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0.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customXml/itemProps63.xml" ContentType="application/vnd.openxmlformats-officedocument.customXmlProperties+xml"/>
  <Override PartName="/customXml/itemProps64.xml" ContentType="application/vnd.openxmlformats-officedocument.customXmlProperties+xml"/>
  <Override PartName="/customXml/itemProps65.xml" ContentType="application/vnd.openxmlformats-officedocument.customXmlProperties+xml"/>
  <Override PartName="/customXml/itemProps66.xml" ContentType="application/vnd.openxmlformats-officedocument.customXmlProperties+xml"/>
  <Override PartName="/customXml/itemProps67.xml" ContentType="application/vnd.openxmlformats-officedocument.customXmlProperties+xml"/>
  <Override PartName="/customXml/itemProps68.xml" ContentType="application/vnd.openxmlformats-officedocument.customXmlProperties+xml"/>
  <Override PartName="/customXml/itemProps69.xml" ContentType="application/vnd.openxmlformats-officedocument.customXmlProperties+xml"/>
  <Override PartName="/customXml/itemProps70.xml" ContentType="application/vnd.openxmlformats-officedocument.customXmlProperties+xml"/>
  <Override PartName="/customXml/itemProps71.xml" ContentType="application/vnd.openxmlformats-officedocument.customXmlProperties+xml"/>
  <Override PartName="/customXml/itemProps72.xml" ContentType="application/vnd.openxmlformats-officedocument.customXmlProperties+xml"/>
  <Override PartName="/customXml/itemProps73.xml" ContentType="application/vnd.openxmlformats-officedocument.customXmlProperties+xml"/>
  <Override PartName="/customXml/itemProps74.xml" ContentType="application/vnd.openxmlformats-officedocument.customXmlProperties+xml"/>
  <Override PartName="/customXml/itemProps75.xml" ContentType="application/vnd.openxmlformats-officedocument.customXmlProperties+xml"/>
  <Override PartName="/customXml/itemProps7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https://dtg-my.sharepoint.com/personal/nguyenthithanhdiem_duytanrecycling_com/Documents/KTQT/07. NGÂN SÁCH- THỰC HIỆN/Năm 2026/01. Budget 2026-New/01. Sales/"/>
    </mc:Choice>
  </mc:AlternateContent>
  <xr:revisionPtr revIDLastSave="33" documentId="13_ncr:1_{9BBC5D88-D3E8-47AB-A2A3-C6199870F061}" xr6:coauthVersionLast="47" xr6:coauthVersionMax="47" xr10:uidLastSave="{98CD53AF-66C9-4446-903A-8B622ECD7D62}"/>
  <bookViews>
    <workbookView xWindow="-110" yWindow="-110" windowWidth="19420" windowHeight="10300" tabRatio="807" firstSheet="1" activeTab="15" xr2:uid="{0E9EDF6D-69F0-4699-97A5-414AE3A88B11}"/>
  </bookViews>
  <sheets>
    <sheet name="Ghi chú" sheetId="5" state="hidden" r:id="rId1"/>
    <sheet name="ĐGVC" sheetId="8" r:id="rId2"/>
    <sheet name="Source_VC" sheetId="9" state="hidden" r:id="rId3"/>
    <sheet name="Sheet1" sheetId="69" state="hidden" r:id="rId4"/>
    <sheet name="KH 2026_OPT6" sheetId="68" r:id="rId5"/>
    <sheet name="Giá bán 2026" sheetId="34" r:id="rId6"/>
    <sheet name="DB 2025" sheetId="3" r:id="rId7"/>
    <sheet name="DB 2025-Cũ" sheetId="39" state="hidden" r:id="rId8"/>
    <sheet name="HTK-31.08" sheetId="20" state="hidden" r:id="rId9"/>
    <sheet name="MD" sheetId="1" r:id="rId10"/>
    <sheet name="Asm." sheetId="2" state="hidden" r:id="rId11"/>
    <sheet name="Nia" sheetId="52" r:id="rId12"/>
    <sheet name="||" sheetId="12" r:id="rId13"/>
    <sheet name="PV_Data" sheetId="13" r:id="rId14"/>
    <sheet name="PV_Data_2" sheetId="48" r:id="rId15"/>
    <sheet name="Data" sheetId="11" r:id="rId16"/>
  </sheets>
  <definedNames>
    <definedName name="_xlnm._FilterDatabase" localSheetId="1" hidden="1">ĐGVC!$A$5:$Y$105</definedName>
    <definedName name="_xlnm._FilterDatabase" localSheetId="8" hidden="1">'HTK-31.08'!$A$3:$C$97</definedName>
    <definedName name="_xlnm._FilterDatabase" localSheetId="9" hidden="1">MD!$E$97:$F$107</definedName>
    <definedName name="EXR">Asm.!$B$2</definedName>
  </definedNames>
  <calcPr calcId="191028" calcMode="manual" calcCompleted="0"/>
  <pivotCaches>
    <pivotCache cacheId="0" r:id="rId17"/>
    <pivotCache cacheId="1" r:id="rId1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5" i="8" l="1"/>
  <c r="G105" i="8"/>
  <c r="L17" i="3" l="1"/>
  <c r="AX86" i="68"/>
  <c r="AW86" i="68"/>
  <c r="AV86" i="68"/>
  <c r="AU86" i="68"/>
  <c r="AT86" i="68"/>
  <c r="AS86" i="68"/>
  <c r="AR86" i="68"/>
  <c r="AQ86" i="68"/>
  <c r="AP86" i="68"/>
  <c r="AO86" i="68"/>
  <c r="AN86" i="68"/>
  <c r="AM86" i="68"/>
  <c r="AX57" i="68"/>
  <c r="AW57" i="68"/>
  <c r="AV57" i="68"/>
  <c r="AU57" i="68"/>
  <c r="AT57" i="68"/>
  <c r="AS57" i="68"/>
  <c r="AR57" i="68"/>
  <c r="AQ57" i="68"/>
  <c r="AP57" i="68"/>
  <c r="AO57" i="68"/>
  <c r="AN57" i="68"/>
  <c r="AM57" i="68"/>
  <c r="AX56" i="68"/>
  <c r="AW56" i="68"/>
  <c r="AV56" i="68"/>
  <c r="AU56" i="68"/>
  <c r="AT56" i="68"/>
  <c r="AS56" i="68"/>
  <c r="AR56" i="68"/>
  <c r="AQ56" i="68"/>
  <c r="AP56" i="68"/>
  <c r="AO56" i="68"/>
  <c r="AN56" i="68"/>
  <c r="AM56" i="68"/>
  <c r="AX55" i="68"/>
  <c r="AW55" i="68"/>
  <c r="AV55" i="68"/>
  <c r="AU55" i="68"/>
  <c r="AT55" i="68"/>
  <c r="AS55" i="68"/>
  <c r="AR55" i="68"/>
  <c r="AQ55" i="68"/>
  <c r="AP55" i="68"/>
  <c r="AO55" i="68"/>
  <c r="AN55" i="68"/>
  <c r="AM55" i="68"/>
  <c r="AX46" i="68"/>
  <c r="AW46" i="68"/>
  <c r="AV46" i="68"/>
  <c r="AU46" i="68"/>
  <c r="AT46" i="68"/>
  <c r="AS46" i="68"/>
  <c r="AR46" i="68"/>
  <c r="AQ46" i="68"/>
  <c r="AP46" i="68"/>
  <c r="AO46" i="68"/>
  <c r="AN46" i="68"/>
  <c r="AM46" i="68"/>
  <c r="AX34" i="68"/>
  <c r="AW34" i="68"/>
  <c r="AV34" i="68"/>
  <c r="AU34" i="68"/>
  <c r="AT34" i="68"/>
  <c r="AS34" i="68"/>
  <c r="AR34" i="68"/>
  <c r="AQ34" i="68"/>
  <c r="AP34" i="68"/>
  <c r="AO34" i="68"/>
  <c r="AN34" i="68"/>
  <c r="AM34" i="68"/>
  <c r="AX69" i="68"/>
  <c r="AW69" i="68"/>
  <c r="AV69" i="68"/>
  <c r="AU69" i="68"/>
  <c r="AT69" i="68"/>
  <c r="AS69" i="68"/>
  <c r="AR69" i="68"/>
  <c r="AQ69" i="68"/>
  <c r="AP69" i="68"/>
  <c r="AO69" i="68"/>
  <c r="AN69" i="68"/>
  <c r="AM69" i="68"/>
  <c r="AX27" i="68"/>
  <c r="AW27" i="68"/>
  <c r="AV27" i="68"/>
  <c r="AU27" i="68"/>
  <c r="AT27" i="68"/>
  <c r="AS27" i="68"/>
  <c r="AR27" i="68"/>
  <c r="AQ27" i="68"/>
  <c r="AP27" i="68"/>
  <c r="AO27" i="68"/>
  <c r="AN27" i="68"/>
  <c r="AM27" i="68"/>
  <c r="AX10" i="68"/>
  <c r="AW10" i="68"/>
  <c r="AV10" i="68"/>
  <c r="AU10" i="68"/>
  <c r="AT10" i="68"/>
  <c r="AS10" i="68"/>
  <c r="AR10" i="68"/>
  <c r="AQ10" i="68"/>
  <c r="AP10" i="68"/>
  <c r="AO10" i="68"/>
  <c r="AN10" i="68"/>
  <c r="AM10" i="68"/>
  <c r="H19" i="69"/>
  <c r="G19" i="69"/>
  <c r="X27" i="68" l="1"/>
  <c r="W27" i="68" l="1"/>
  <c r="M173" i="68" l="1"/>
  <c r="C183" i="68"/>
  <c r="D183" i="68"/>
  <c r="E183" i="68"/>
  <c r="G183" i="68"/>
  <c r="H183" i="68"/>
  <c r="CL183" i="68" s="1" a="1"/>
  <c r="CL183" i="68" s="1"/>
  <c r="J183" i="68"/>
  <c r="K183" i="68"/>
  <c r="M183" i="68"/>
  <c r="O183" i="68"/>
  <c r="P183" i="68"/>
  <c r="Q183" i="68"/>
  <c r="R183" i="68"/>
  <c r="S183" i="68"/>
  <c r="AI183" i="68"/>
  <c r="BA183" i="68"/>
  <c r="BB183" i="68" s="1"/>
  <c r="BD183" i="68"/>
  <c r="DR183" i="68" s="1"/>
  <c r="BE183" i="68"/>
  <c r="DS183" i="68" s="1"/>
  <c r="BF183" i="68"/>
  <c r="DT183" i="68" s="1"/>
  <c r="BG183" i="68"/>
  <c r="DU183" i="68" s="1"/>
  <c r="BH183" i="68"/>
  <c r="DV183" i="68" s="1"/>
  <c r="BI183" i="68"/>
  <c r="DW183" i="68" s="1"/>
  <c r="BJ183" i="68"/>
  <c r="DX183" i="68" s="1"/>
  <c r="BK183" i="68"/>
  <c r="DY183" i="68" s="1"/>
  <c r="BL183" i="68"/>
  <c r="DZ183" i="68" s="1"/>
  <c r="BM183" i="68"/>
  <c r="EA183" i="68" s="1"/>
  <c r="BN183" i="68"/>
  <c r="EB183" i="68" s="1"/>
  <c r="BO183" i="68"/>
  <c r="EC183" i="68" s="1"/>
  <c r="BW183" i="68"/>
  <c r="BX183" i="68"/>
  <c r="BY183" i="68"/>
  <c r="BZ183" i="68"/>
  <c r="CA183" i="68"/>
  <c r="CB183" i="68"/>
  <c r="CC183" i="68"/>
  <c r="CD183" i="68"/>
  <c r="CE183" i="68"/>
  <c r="CF183" i="68"/>
  <c r="CG183" i="68"/>
  <c r="CH183" i="68"/>
  <c r="CI183" i="68" l="1"/>
  <c r="BP183" i="68"/>
  <c r="BQ183" i="68"/>
  <c r="AJ183" i="68"/>
  <c r="AK183" i="68" s="1"/>
  <c r="AL183" i="68" s="1"/>
  <c r="CM183" i="68" a="1"/>
  <c r="CM183" i="68" s="1"/>
  <c r="CK183" i="68" s="1"/>
  <c r="CJ183" i="68" a="1"/>
  <c r="CJ183" i="68" s="1"/>
  <c r="ED183" i="68"/>
  <c r="BR183" i="68" l="1"/>
  <c r="BS183" i="68" s="1"/>
  <c r="CX183" i="68"/>
  <c r="DK183" i="68" s="1"/>
  <c r="CV183" i="68"/>
  <c r="DI183" i="68" s="1"/>
  <c r="CU183" i="68"/>
  <c r="DH183" i="68" s="1"/>
  <c r="CT183" i="68"/>
  <c r="DG183" i="68" s="1"/>
  <c r="CS183" i="68"/>
  <c r="DF183" i="68" s="1"/>
  <c r="CQ183" i="68"/>
  <c r="DD183" i="68" s="1"/>
  <c r="CY183" i="68"/>
  <c r="DL183" i="68" s="1"/>
  <c r="CW183" i="68"/>
  <c r="DJ183" i="68" s="1"/>
  <c r="CR183" i="68"/>
  <c r="DE183" i="68" s="1"/>
  <c r="CP183" i="68"/>
  <c r="DC183" i="68" s="1"/>
  <c r="CO183" i="68"/>
  <c r="DB183" i="68" s="1"/>
  <c r="CN183" i="68"/>
  <c r="CZ183" i="68" l="1"/>
  <c r="DA183" i="68"/>
  <c r="DM183" i="68" s="1"/>
  <c r="C182" i="68" l="1"/>
  <c r="D182" i="68"/>
  <c r="E182" i="68"/>
  <c r="G182" i="68"/>
  <c r="H182" i="68"/>
  <c r="J182" i="68"/>
  <c r="K182" i="68"/>
  <c r="M182" i="68"/>
  <c r="O182" i="68"/>
  <c r="P182" i="68"/>
  <c r="Q182" i="68"/>
  <c r="R182" i="68"/>
  <c r="S182" i="68"/>
  <c r="AI182" i="68"/>
  <c r="BA182" i="68"/>
  <c r="BB182" i="68" s="1"/>
  <c r="BD182" i="68"/>
  <c r="DR182" i="68" s="1"/>
  <c r="BE182" i="68"/>
  <c r="DS182" i="68" s="1"/>
  <c r="BF182" i="68"/>
  <c r="DT182" i="68" s="1"/>
  <c r="BG182" i="68"/>
  <c r="DU182" i="68" s="1"/>
  <c r="BH182" i="68"/>
  <c r="DV182" i="68" s="1"/>
  <c r="BI182" i="68"/>
  <c r="DW182" i="68" s="1"/>
  <c r="BJ182" i="68"/>
  <c r="DX182" i="68" s="1"/>
  <c r="BK182" i="68"/>
  <c r="DY182" i="68" s="1"/>
  <c r="BL182" i="68"/>
  <c r="DZ182" i="68" s="1"/>
  <c r="BM182" i="68"/>
  <c r="EA182" i="68" s="1"/>
  <c r="BN182" i="68"/>
  <c r="EB182" i="68" s="1"/>
  <c r="BO182" i="68"/>
  <c r="EC182" i="68" s="1"/>
  <c r="BW182" i="68"/>
  <c r="BX182" i="68"/>
  <c r="BY182" i="68"/>
  <c r="BZ182" i="68"/>
  <c r="CA182" i="68"/>
  <c r="CB182" i="68"/>
  <c r="CC182" i="68"/>
  <c r="CD182" i="68"/>
  <c r="CE182" i="68"/>
  <c r="CF182" i="68"/>
  <c r="CG182" i="68"/>
  <c r="CH182" i="68"/>
  <c r="C181" i="68"/>
  <c r="D181" i="68"/>
  <c r="E181" i="68"/>
  <c r="G181" i="68"/>
  <c r="H181" i="68"/>
  <c r="CJ181" i="68" s="1" a="1"/>
  <c r="CJ181" i="68" s="1"/>
  <c r="J181" i="68"/>
  <c r="K181" i="68"/>
  <c r="M181" i="68"/>
  <c r="O181" i="68"/>
  <c r="P181" i="68"/>
  <c r="Q181" i="68"/>
  <c r="R181" i="68"/>
  <c r="S181" i="68"/>
  <c r="AI181" i="68"/>
  <c r="BA181" i="68"/>
  <c r="BB181" i="68" s="1"/>
  <c r="BD181" i="68"/>
  <c r="DR181" i="68" s="1"/>
  <c r="BE181" i="68"/>
  <c r="DS181" i="68" s="1"/>
  <c r="BF181" i="68"/>
  <c r="DT181" i="68" s="1"/>
  <c r="BG181" i="68"/>
  <c r="DU181" i="68" s="1"/>
  <c r="BH181" i="68"/>
  <c r="DV181" i="68" s="1"/>
  <c r="BI181" i="68"/>
  <c r="DW181" i="68" s="1"/>
  <c r="BJ181" i="68"/>
  <c r="DX181" i="68" s="1"/>
  <c r="BK181" i="68"/>
  <c r="DY181" i="68" s="1"/>
  <c r="BL181" i="68"/>
  <c r="DZ181" i="68" s="1"/>
  <c r="BM181" i="68"/>
  <c r="EA181" i="68" s="1"/>
  <c r="BN181" i="68"/>
  <c r="EB181" i="68" s="1"/>
  <c r="BO181" i="68"/>
  <c r="EC181" i="68" s="1"/>
  <c r="BW181" i="68"/>
  <c r="BX181" i="68"/>
  <c r="BY181" i="68"/>
  <c r="BZ181" i="68"/>
  <c r="CA181" i="68"/>
  <c r="CB181" i="68"/>
  <c r="CC181" i="68"/>
  <c r="CD181" i="68"/>
  <c r="CE181" i="68"/>
  <c r="CF181" i="68"/>
  <c r="CG181" i="68"/>
  <c r="CH181" i="68"/>
  <c r="C180" i="68"/>
  <c r="D180" i="68"/>
  <c r="E180" i="68"/>
  <c r="G180" i="68"/>
  <c r="H180" i="68"/>
  <c r="J180" i="68"/>
  <c r="K180" i="68"/>
  <c r="M180" i="68"/>
  <c r="O180" i="68"/>
  <c r="P180" i="68"/>
  <c r="Q180" i="68"/>
  <c r="R180" i="68"/>
  <c r="S180" i="68"/>
  <c r="AI180" i="68"/>
  <c r="BA180" i="68"/>
  <c r="BB180" i="68" s="1"/>
  <c r="BD180" i="68"/>
  <c r="DR180" i="68" s="1"/>
  <c r="BE180" i="68"/>
  <c r="DS180" i="68" s="1"/>
  <c r="BF180" i="68"/>
  <c r="DT180" i="68" s="1"/>
  <c r="BG180" i="68"/>
  <c r="DU180" i="68" s="1"/>
  <c r="BH180" i="68"/>
  <c r="DV180" i="68" s="1"/>
  <c r="BI180" i="68"/>
  <c r="DW180" i="68" s="1"/>
  <c r="BJ180" i="68"/>
  <c r="DX180" i="68" s="1"/>
  <c r="BK180" i="68"/>
  <c r="DY180" i="68" s="1"/>
  <c r="BL180" i="68"/>
  <c r="DZ180" i="68" s="1"/>
  <c r="BM180" i="68"/>
  <c r="EA180" i="68" s="1"/>
  <c r="BN180" i="68"/>
  <c r="EB180" i="68" s="1"/>
  <c r="BO180" i="68"/>
  <c r="EC180" i="68" s="1"/>
  <c r="BW180" i="68"/>
  <c r="BX180" i="68"/>
  <c r="BY180" i="68"/>
  <c r="BZ180" i="68"/>
  <c r="CA180" i="68"/>
  <c r="CB180" i="68"/>
  <c r="CC180" i="68"/>
  <c r="CD180" i="68"/>
  <c r="CE180" i="68"/>
  <c r="CF180" i="68"/>
  <c r="CG180" i="68"/>
  <c r="CH180" i="68"/>
  <c r="C179" i="68"/>
  <c r="D179" i="68"/>
  <c r="E179" i="68"/>
  <c r="G179" i="68"/>
  <c r="H179" i="68"/>
  <c r="CL179" i="68" s="1" a="1"/>
  <c r="CL179" i="68" s="1"/>
  <c r="J179" i="68"/>
  <c r="K179" i="68"/>
  <c r="M179" i="68"/>
  <c r="O179" i="68"/>
  <c r="P179" i="68"/>
  <c r="Q179" i="68"/>
  <c r="R179" i="68"/>
  <c r="S179" i="68"/>
  <c r="AI179" i="68"/>
  <c r="BA179" i="68"/>
  <c r="BB179" i="68" s="1"/>
  <c r="BD179" i="68"/>
  <c r="DR179" i="68" s="1"/>
  <c r="BE179" i="68"/>
  <c r="DS179" i="68" s="1"/>
  <c r="BF179" i="68"/>
  <c r="DT179" i="68" s="1"/>
  <c r="BG179" i="68"/>
  <c r="DU179" i="68" s="1"/>
  <c r="BH179" i="68"/>
  <c r="DV179" i="68" s="1"/>
  <c r="BI179" i="68"/>
  <c r="DW179" i="68" s="1"/>
  <c r="BJ179" i="68"/>
  <c r="DX179" i="68" s="1"/>
  <c r="BK179" i="68"/>
  <c r="DY179" i="68" s="1"/>
  <c r="BL179" i="68"/>
  <c r="DZ179" i="68" s="1"/>
  <c r="BM179" i="68"/>
  <c r="EA179" i="68" s="1"/>
  <c r="BN179" i="68"/>
  <c r="EB179" i="68" s="1"/>
  <c r="BO179" i="68"/>
  <c r="EC179" i="68" s="1"/>
  <c r="BW179" i="68"/>
  <c r="BX179" i="68"/>
  <c r="BY179" i="68"/>
  <c r="BZ179" i="68"/>
  <c r="CA179" i="68"/>
  <c r="CB179" i="68"/>
  <c r="CC179" i="68"/>
  <c r="CD179" i="68"/>
  <c r="CE179" i="68"/>
  <c r="CF179" i="68"/>
  <c r="CG179" i="68"/>
  <c r="CH179" i="68"/>
  <c r="CM182" i="68" l="1" a="1"/>
  <c r="CM182" i="68" s="1"/>
  <c r="CJ182" i="68" a="1"/>
  <c r="CJ182" i="68" s="1"/>
  <c r="AJ182" i="68"/>
  <c r="AK182" i="68" s="1"/>
  <c r="AL182" i="68" s="1"/>
  <c r="BP182" i="68"/>
  <c r="BQ182" i="68"/>
  <c r="CI182" i="68"/>
  <c r="CI181" i="68"/>
  <c r="BQ181" i="68"/>
  <c r="ED182" i="68"/>
  <c r="BQ180" i="68"/>
  <c r="CM181" i="68" a="1"/>
  <c r="CM181" i="68" s="1"/>
  <c r="AJ181" i="68"/>
  <c r="AK181" i="68" s="1"/>
  <c r="AL181" i="68" s="1"/>
  <c r="BP181" i="68"/>
  <c r="AJ179" i="68"/>
  <c r="AK179" i="68" s="1"/>
  <c r="AL179" i="68" s="1"/>
  <c r="CI180" i="68"/>
  <c r="CJ180" i="68" a="1"/>
  <c r="CJ180" i="68" s="1"/>
  <c r="CM180" i="68" a="1"/>
  <c r="CM180" i="68" s="1"/>
  <c r="ED181" i="68"/>
  <c r="BP180" i="68"/>
  <c r="AJ180" i="68"/>
  <c r="AK180" i="68" s="1"/>
  <c r="AL180" i="68" s="1"/>
  <c r="ED180" i="68"/>
  <c r="BP179" i="68"/>
  <c r="CL180" i="68" a="1"/>
  <c r="CL180" i="68" s="1"/>
  <c r="CI179" i="68"/>
  <c r="CJ179" i="68" a="1"/>
  <c r="CJ179" i="68" s="1"/>
  <c r="BQ179" i="68"/>
  <c r="ED179" i="68"/>
  <c r="CM179" i="68" a="1"/>
  <c r="CM179" i="68" s="1"/>
  <c r="CK179" i="68" s="1"/>
  <c r="BR182" i="68" l="1"/>
  <c r="BS182" i="68" s="1"/>
  <c r="BR181" i="68"/>
  <c r="BS181" i="68" s="1"/>
  <c r="BR180" i="68"/>
  <c r="BS180" i="68" s="1"/>
  <c r="CK180" i="68"/>
  <c r="CW180" i="68" s="1"/>
  <c r="DJ180" i="68" s="1"/>
  <c r="BR179" i="68"/>
  <c r="BS179" i="68" s="1"/>
  <c r="CO179" i="68"/>
  <c r="DB179" i="68" s="1"/>
  <c r="CW179" i="68"/>
  <c r="DJ179" i="68" s="1"/>
  <c r="CS179" i="68"/>
  <c r="DF179" i="68" s="1"/>
  <c r="CX179" i="68"/>
  <c r="DK179" i="68" s="1"/>
  <c r="CV179" i="68"/>
  <c r="DI179" i="68" s="1"/>
  <c r="CY179" i="68"/>
  <c r="DL179" i="68" s="1"/>
  <c r="CQ179" i="68"/>
  <c r="DD179" i="68" s="1"/>
  <c r="CP179" i="68"/>
  <c r="DC179" i="68" s="1"/>
  <c r="CU179" i="68"/>
  <c r="DH179" i="68" s="1"/>
  <c r="CN179" i="68"/>
  <c r="CR179" i="68"/>
  <c r="DE179" i="68" s="1"/>
  <c r="CT179" i="68"/>
  <c r="DG179" i="68" s="1"/>
  <c r="CO180" i="68" l="1"/>
  <c r="DB180" i="68" s="1"/>
  <c r="CX180" i="68"/>
  <c r="DK180" i="68" s="1"/>
  <c r="CY180" i="68"/>
  <c r="DL180" i="68" s="1"/>
  <c r="CP180" i="68"/>
  <c r="DC180" i="68" s="1"/>
  <c r="CQ180" i="68"/>
  <c r="DD180" i="68" s="1"/>
  <c r="CR180" i="68"/>
  <c r="DE180" i="68" s="1"/>
  <c r="CT180" i="68"/>
  <c r="DG180" i="68" s="1"/>
  <c r="CN180" i="68"/>
  <c r="CU180" i="68"/>
  <c r="DH180" i="68" s="1"/>
  <c r="CS180" i="68"/>
  <c r="DF180" i="68" s="1"/>
  <c r="CV180" i="68"/>
  <c r="DI180" i="68" s="1"/>
  <c r="CZ179" i="68"/>
  <c r="DA179" i="68"/>
  <c r="DM179" i="68" s="1"/>
  <c r="CZ180" i="68" l="1"/>
  <c r="DA180" i="68"/>
  <c r="DM180" i="68" s="1"/>
  <c r="C178" i="68" l="1"/>
  <c r="D178" i="68"/>
  <c r="E178" i="68"/>
  <c r="G178" i="68"/>
  <c r="H178" i="68"/>
  <c r="J178" i="68"/>
  <c r="K178" i="68"/>
  <c r="M178" i="68"/>
  <c r="O178" i="68"/>
  <c r="P178" i="68"/>
  <c r="Q178" i="68"/>
  <c r="R178" i="68"/>
  <c r="S178" i="68"/>
  <c r="AI178" i="68"/>
  <c r="BA178" i="68"/>
  <c r="BB178" i="68" s="1"/>
  <c r="BD178" i="68"/>
  <c r="DR178" i="68" s="1"/>
  <c r="BE178" i="68"/>
  <c r="DS178" i="68" s="1"/>
  <c r="BF178" i="68"/>
  <c r="DT178" i="68" s="1"/>
  <c r="BG178" i="68"/>
  <c r="DU178" i="68" s="1"/>
  <c r="BH178" i="68"/>
  <c r="DV178" i="68" s="1"/>
  <c r="BI178" i="68"/>
  <c r="DW178" i="68" s="1"/>
  <c r="BJ178" i="68"/>
  <c r="DX178" i="68" s="1"/>
  <c r="BK178" i="68"/>
  <c r="DY178" i="68" s="1"/>
  <c r="BL178" i="68"/>
  <c r="DZ178" i="68" s="1"/>
  <c r="BM178" i="68"/>
  <c r="EA178" i="68" s="1"/>
  <c r="BN178" i="68"/>
  <c r="EB178" i="68" s="1"/>
  <c r="BO178" i="68"/>
  <c r="EC178" i="68" s="1"/>
  <c r="BW178" i="68"/>
  <c r="BX178" i="68"/>
  <c r="BY178" i="68"/>
  <c r="BZ178" i="68"/>
  <c r="CA178" i="68"/>
  <c r="CB178" i="68"/>
  <c r="CC178" i="68"/>
  <c r="CD178" i="68"/>
  <c r="CE178" i="68"/>
  <c r="CF178" i="68"/>
  <c r="CG178" i="68"/>
  <c r="CH178" i="68"/>
  <c r="AH2" i="68"/>
  <c r="AG2" i="68"/>
  <c r="AF2" i="68"/>
  <c r="AE2" i="68"/>
  <c r="AD2" i="68"/>
  <c r="AC2" i="68"/>
  <c r="AB2" i="68"/>
  <c r="AA2" i="68"/>
  <c r="Z2" i="68"/>
  <c r="Y2" i="68"/>
  <c r="X2" i="68"/>
  <c r="W2" i="68"/>
  <c r="BP178" i="68" l="1"/>
  <c r="CJ178" i="68" a="1"/>
  <c r="CJ178" i="68" s="1"/>
  <c r="CI178" i="68"/>
  <c r="BQ178" i="68"/>
  <c r="AJ178" i="68"/>
  <c r="AK178" i="68" s="1"/>
  <c r="AL178" i="68" s="1"/>
  <c r="CM178" i="68" a="1"/>
  <c r="CM178" i="68" s="1"/>
  <c r="ED178" i="68"/>
  <c r="CL178" i="68" a="1"/>
  <c r="CL178" i="68" s="1"/>
  <c r="BR178" i="68" l="1"/>
  <c r="BS178" i="68" s="1"/>
  <c r="CK178" i="68"/>
  <c r="CW178" i="68" s="1"/>
  <c r="DJ178" i="68" s="1"/>
  <c r="E184" i="68"/>
  <c r="CH177" i="68"/>
  <c r="CG177" i="68"/>
  <c r="CF177" i="68"/>
  <c r="CE177" i="68"/>
  <c r="CD177" i="68"/>
  <c r="CC177" i="68"/>
  <c r="CB177" i="68"/>
  <c r="CA177" i="68"/>
  <c r="BZ177" i="68"/>
  <c r="BY177" i="68"/>
  <c r="BX177" i="68"/>
  <c r="BW177" i="68"/>
  <c r="BO177" i="68"/>
  <c r="EC177" i="68" s="1"/>
  <c r="BN177" i="68"/>
  <c r="EB177" i="68" s="1"/>
  <c r="BM177" i="68"/>
  <c r="BL177" i="68"/>
  <c r="DZ177" i="68" s="1"/>
  <c r="BK177" i="68"/>
  <c r="BJ177" i="68"/>
  <c r="DX177" i="68" s="1"/>
  <c r="BI177" i="68"/>
  <c r="DW177" i="68" s="1"/>
  <c r="BH177" i="68"/>
  <c r="BG177" i="68"/>
  <c r="BF177" i="68"/>
  <c r="DT177" i="68" s="1"/>
  <c r="BE177" i="68"/>
  <c r="DS177" i="68" s="1"/>
  <c r="BD177" i="68"/>
  <c r="DR177" i="68" s="1"/>
  <c r="BA177" i="68"/>
  <c r="BB177" i="68" s="1"/>
  <c r="AI177" i="68"/>
  <c r="S177" i="68"/>
  <c r="R177" i="68"/>
  <c r="Q177" i="68"/>
  <c r="P177" i="68"/>
  <c r="O177" i="68"/>
  <c r="M177" i="68"/>
  <c r="K177" i="68"/>
  <c r="J177" i="68"/>
  <c r="H177" i="68"/>
  <c r="G177" i="68"/>
  <c r="E177" i="68"/>
  <c r="D177" i="68"/>
  <c r="C177" i="68"/>
  <c r="CH176" i="68"/>
  <c r="CG176" i="68"/>
  <c r="CF176" i="68"/>
  <c r="CE176" i="68"/>
  <c r="CD176" i="68"/>
  <c r="CC176" i="68"/>
  <c r="CB176" i="68"/>
  <c r="CA176" i="68"/>
  <c r="BZ176" i="68"/>
  <c r="BY176" i="68"/>
  <c r="BX176" i="68"/>
  <c r="BW176" i="68"/>
  <c r="BO176" i="68"/>
  <c r="EC176" i="68" s="1"/>
  <c r="BN176" i="68"/>
  <c r="BM176" i="68"/>
  <c r="EA176" i="68" s="1"/>
  <c r="BL176" i="68"/>
  <c r="DZ176" i="68" s="1"/>
  <c r="BK176" i="68"/>
  <c r="BJ176" i="68"/>
  <c r="DX176" i="68" s="1"/>
  <c r="BI176" i="68"/>
  <c r="BH176" i="68"/>
  <c r="DV176" i="68" s="1"/>
  <c r="BG176" i="68"/>
  <c r="DU176" i="68" s="1"/>
  <c r="BF176" i="68"/>
  <c r="BE176" i="68"/>
  <c r="DS176" i="68" s="1"/>
  <c r="BD176" i="68"/>
  <c r="DR176" i="68" s="1"/>
  <c r="AI176" i="68"/>
  <c r="S176" i="68"/>
  <c r="R176" i="68"/>
  <c r="Q176" i="68"/>
  <c r="P176" i="68"/>
  <c r="O176" i="68"/>
  <c r="M176" i="68"/>
  <c r="K176" i="68"/>
  <c r="J176" i="68"/>
  <c r="H176" i="68"/>
  <c r="CJ176" i="68" s="1" a="1"/>
  <c r="CJ176" i="68" s="1"/>
  <c r="G176" i="68"/>
  <c r="E176" i="68"/>
  <c r="D176" i="68"/>
  <c r="C176" i="68"/>
  <c r="CH175" i="68"/>
  <c r="CG175" i="68"/>
  <c r="CF175" i="68"/>
  <c r="CE175" i="68"/>
  <c r="CD175" i="68"/>
  <c r="CC175" i="68"/>
  <c r="CB175" i="68"/>
  <c r="CA175" i="68"/>
  <c r="BZ175" i="68"/>
  <c r="BY175" i="68"/>
  <c r="BX175" i="68"/>
  <c r="BW175" i="68"/>
  <c r="BO175" i="68"/>
  <c r="BN175" i="68"/>
  <c r="EB175" i="68" s="1"/>
  <c r="BM175" i="68"/>
  <c r="EA175" i="68" s="1"/>
  <c r="BL175" i="68"/>
  <c r="DZ175" i="68" s="1"/>
  <c r="BK175" i="68"/>
  <c r="DY175" i="68" s="1"/>
  <c r="BJ175" i="68"/>
  <c r="DX175" i="68" s="1"/>
  <c r="BI175" i="68"/>
  <c r="BH175" i="68"/>
  <c r="DV175" i="68" s="1"/>
  <c r="BG175" i="68"/>
  <c r="BF175" i="68"/>
  <c r="DT175" i="68" s="1"/>
  <c r="BE175" i="68"/>
  <c r="DS175" i="68" s="1"/>
  <c r="BD175" i="68"/>
  <c r="BA175" i="68"/>
  <c r="BB175" i="68" s="1"/>
  <c r="AI175" i="68"/>
  <c r="S175" i="68"/>
  <c r="R175" i="68"/>
  <c r="Q175" i="68"/>
  <c r="P175" i="68"/>
  <c r="O175" i="68"/>
  <c r="M175" i="68"/>
  <c r="K175" i="68"/>
  <c r="J175" i="68"/>
  <c r="H175" i="68"/>
  <c r="CJ175" i="68" s="1" a="1"/>
  <c r="CJ175" i="68" s="1"/>
  <c r="G175" i="68"/>
  <c r="E175" i="68"/>
  <c r="D175" i="68"/>
  <c r="C175" i="68"/>
  <c r="CH174" i="68"/>
  <c r="CG174" i="68"/>
  <c r="CF174" i="68"/>
  <c r="CE174" i="68"/>
  <c r="CD174" i="68"/>
  <c r="CC174" i="68"/>
  <c r="CB174" i="68"/>
  <c r="CA174" i="68"/>
  <c r="BZ174" i="68"/>
  <c r="BY174" i="68"/>
  <c r="BX174" i="68"/>
  <c r="BW174" i="68"/>
  <c r="BO174" i="68"/>
  <c r="EC174" i="68" s="1"/>
  <c r="BN174" i="68"/>
  <c r="EB174" i="68" s="1"/>
  <c r="BM174" i="68"/>
  <c r="EA174" i="68" s="1"/>
  <c r="BL174" i="68"/>
  <c r="DZ174" i="68" s="1"/>
  <c r="BK174" i="68"/>
  <c r="DY174" i="68" s="1"/>
  <c r="BJ174" i="68"/>
  <c r="DX174" i="68" s="1"/>
  <c r="BI174" i="68"/>
  <c r="DW174" i="68" s="1"/>
  <c r="BH174" i="68"/>
  <c r="DV174" i="68" s="1"/>
  <c r="BG174" i="68"/>
  <c r="BF174" i="68"/>
  <c r="DT174" i="68" s="1"/>
  <c r="BE174" i="68"/>
  <c r="BD174" i="68"/>
  <c r="DR174" i="68" s="1"/>
  <c r="BA174" i="68"/>
  <c r="BB174" i="68" s="1"/>
  <c r="AI174" i="68"/>
  <c r="S174" i="68"/>
  <c r="R174" i="68"/>
  <c r="Q174" i="68"/>
  <c r="P174" i="68"/>
  <c r="O174" i="68"/>
  <c r="M174" i="68"/>
  <c r="K174" i="68"/>
  <c r="J174" i="68"/>
  <c r="H174" i="68"/>
  <c r="G174" i="68"/>
  <c r="E174" i="68"/>
  <c r="D174" i="68"/>
  <c r="C174" i="68"/>
  <c r="CH173" i="68"/>
  <c r="CG173" i="68"/>
  <c r="CF173" i="68"/>
  <c r="CE173" i="68"/>
  <c r="CD173" i="68"/>
  <c r="CC173" i="68"/>
  <c r="CB173" i="68"/>
  <c r="CA173" i="68"/>
  <c r="BZ173" i="68"/>
  <c r="BY173" i="68"/>
  <c r="BX173" i="68"/>
  <c r="BW173" i="68"/>
  <c r="BO173" i="68"/>
  <c r="BN173" i="68"/>
  <c r="BM173" i="68"/>
  <c r="EA173" i="68" s="1"/>
  <c r="BL173" i="68"/>
  <c r="DZ173" i="68" s="1"/>
  <c r="BK173" i="68"/>
  <c r="BJ173" i="68"/>
  <c r="BI173" i="68"/>
  <c r="BH173" i="68"/>
  <c r="DV173" i="68" s="1"/>
  <c r="BG173" i="68"/>
  <c r="DU173" i="68" s="1"/>
  <c r="BF173" i="68"/>
  <c r="DT173" i="68" s="1"/>
  <c r="BE173" i="68"/>
  <c r="BD173" i="68"/>
  <c r="DR173" i="68" s="1"/>
  <c r="AI173" i="68"/>
  <c r="S173" i="68"/>
  <c r="R173" i="68"/>
  <c r="Q173" i="68"/>
  <c r="P173" i="68"/>
  <c r="O173" i="68"/>
  <c r="K173" i="68"/>
  <c r="J173" i="68"/>
  <c r="H173" i="68"/>
  <c r="G173" i="68"/>
  <c r="E173" i="68"/>
  <c r="D173" i="68"/>
  <c r="C173" i="68"/>
  <c r="CH172" i="68"/>
  <c r="CG172" i="68"/>
  <c r="CF172" i="68"/>
  <c r="CE172" i="68"/>
  <c r="CD172" i="68"/>
  <c r="CC172" i="68"/>
  <c r="CB172" i="68"/>
  <c r="CA172" i="68"/>
  <c r="BZ172" i="68"/>
  <c r="BY172" i="68"/>
  <c r="BX172" i="68"/>
  <c r="BW172" i="68"/>
  <c r="BO172" i="68"/>
  <c r="EC172" i="68" s="1"/>
  <c r="BN172" i="68"/>
  <c r="EB172" i="68" s="1"/>
  <c r="BM172" i="68"/>
  <c r="EA172" i="68" s="1"/>
  <c r="BL172" i="68"/>
  <c r="BK172" i="68"/>
  <c r="BJ172" i="68"/>
  <c r="BI172" i="68"/>
  <c r="DW172" i="68" s="1"/>
  <c r="BH172" i="68"/>
  <c r="DV172" i="68" s="1"/>
  <c r="BG172" i="68"/>
  <c r="DU172" i="68" s="1"/>
  <c r="BF172" i="68"/>
  <c r="BE172" i="68"/>
  <c r="DS172" i="68" s="1"/>
  <c r="BD172" i="68"/>
  <c r="DR172" i="68" s="1"/>
  <c r="BA172" i="68"/>
  <c r="BB172" i="68" s="1"/>
  <c r="AI172" i="68"/>
  <c r="S172" i="68"/>
  <c r="R172" i="68"/>
  <c r="Q172" i="68"/>
  <c r="P172" i="68"/>
  <c r="O172" i="68"/>
  <c r="M172" i="68"/>
  <c r="K172" i="68"/>
  <c r="J172" i="68"/>
  <c r="H172" i="68"/>
  <c r="CJ172" i="68" s="1" a="1"/>
  <c r="CJ172" i="68" s="1"/>
  <c r="G172" i="68"/>
  <c r="E172" i="68"/>
  <c r="D172" i="68"/>
  <c r="C172" i="68"/>
  <c r="CH171" i="68"/>
  <c r="CG171" i="68"/>
  <c r="CF171" i="68"/>
  <c r="CE171" i="68"/>
  <c r="CD171" i="68"/>
  <c r="CC171" i="68"/>
  <c r="CB171" i="68"/>
  <c r="CA171" i="68"/>
  <c r="BZ171" i="68"/>
  <c r="BY171" i="68"/>
  <c r="BX171" i="68"/>
  <c r="BW171" i="68"/>
  <c r="BO171" i="68"/>
  <c r="BN171" i="68"/>
  <c r="EB171" i="68" s="1"/>
  <c r="BM171" i="68"/>
  <c r="EA171" i="68" s="1"/>
  <c r="BL171" i="68"/>
  <c r="DZ171" i="68" s="1"/>
  <c r="BK171" i="68"/>
  <c r="DY171" i="68" s="1"/>
  <c r="BJ171" i="68"/>
  <c r="DX171" i="68" s="1"/>
  <c r="BI171" i="68"/>
  <c r="BH171" i="68"/>
  <c r="DV171" i="68" s="1"/>
  <c r="BG171" i="68"/>
  <c r="DU171" i="68" s="1"/>
  <c r="BF171" i="68"/>
  <c r="BE171" i="68"/>
  <c r="DS171" i="68" s="1"/>
  <c r="BD171" i="68"/>
  <c r="BA171" i="68"/>
  <c r="BB171" i="68" s="1"/>
  <c r="AI171" i="68"/>
  <c r="S171" i="68"/>
  <c r="R171" i="68"/>
  <c r="Q171" i="68"/>
  <c r="P171" i="68"/>
  <c r="O171" i="68"/>
  <c r="M171" i="68"/>
  <c r="K171" i="68"/>
  <c r="J171" i="68"/>
  <c r="H171" i="68"/>
  <c r="G171" i="68"/>
  <c r="E171" i="68"/>
  <c r="D171" i="68"/>
  <c r="C171" i="68"/>
  <c r="CH170" i="68"/>
  <c r="CG170" i="68"/>
  <c r="CF170" i="68"/>
  <c r="CE170" i="68"/>
  <c r="CD170" i="68"/>
  <c r="CC170" i="68"/>
  <c r="CB170" i="68"/>
  <c r="CA170" i="68"/>
  <c r="BZ170" i="68"/>
  <c r="BY170" i="68"/>
  <c r="BX170" i="68"/>
  <c r="BW170" i="68"/>
  <c r="BO170" i="68"/>
  <c r="EC170" i="68" s="1"/>
  <c r="BN170" i="68"/>
  <c r="EB170" i="68" s="1"/>
  <c r="BM170" i="68"/>
  <c r="EA170" i="68" s="1"/>
  <c r="BL170" i="68"/>
  <c r="BK170" i="68"/>
  <c r="DY170" i="68" s="1"/>
  <c r="BJ170" i="68"/>
  <c r="DX170" i="68" s="1"/>
  <c r="BI170" i="68"/>
  <c r="DW170" i="68" s="1"/>
  <c r="BH170" i="68"/>
  <c r="DV170" i="68" s="1"/>
  <c r="BG170" i="68"/>
  <c r="DU170" i="68" s="1"/>
  <c r="BF170" i="68"/>
  <c r="BE170" i="68"/>
  <c r="DS170" i="68" s="1"/>
  <c r="BD170" i="68"/>
  <c r="DR170" i="68" s="1"/>
  <c r="BA170" i="68"/>
  <c r="BB170" i="68" s="1"/>
  <c r="AI170" i="68"/>
  <c r="S170" i="68"/>
  <c r="R170" i="68"/>
  <c r="Q170" i="68"/>
  <c r="P170" i="68"/>
  <c r="O170" i="68"/>
  <c r="M170" i="68"/>
  <c r="K170" i="68"/>
  <c r="J170" i="68"/>
  <c r="H170" i="68"/>
  <c r="G170" i="68"/>
  <c r="E170" i="68"/>
  <c r="D170" i="68"/>
  <c r="CH169" i="68"/>
  <c r="CG169" i="68"/>
  <c r="CF169" i="68"/>
  <c r="CE169" i="68"/>
  <c r="CD169" i="68"/>
  <c r="CC169" i="68"/>
  <c r="CB169" i="68"/>
  <c r="CA169" i="68"/>
  <c r="BZ169" i="68"/>
  <c r="BY169" i="68"/>
  <c r="BX169" i="68"/>
  <c r="BW169" i="68"/>
  <c r="BO169" i="68"/>
  <c r="EC169" i="68" s="1"/>
  <c r="BN169" i="68"/>
  <c r="EB169" i="68" s="1"/>
  <c r="BM169" i="68"/>
  <c r="EA169" i="68" s="1"/>
  <c r="BL169" i="68"/>
  <c r="DZ169" i="68" s="1"/>
  <c r="BK169" i="68"/>
  <c r="DY169" i="68" s="1"/>
  <c r="BJ169" i="68"/>
  <c r="BI169" i="68"/>
  <c r="BH169" i="68"/>
  <c r="DV169" i="68" s="1"/>
  <c r="BG169" i="68"/>
  <c r="DU169" i="68" s="1"/>
  <c r="BF169" i="68"/>
  <c r="DT169" i="68" s="1"/>
  <c r="BE169" i="68"/>
  <c r="DS169" i="68" s="1"/>
  <c r="BD169" i="68"/>
  <c r="DR169" i="68" s="1"/>
  <c r="BA169" i="68"/>
  <c r="BB169" i="68" s="1"/>
  <c r="AI169" i="68"/>
  <c r="S169" i="68"/>
  <c r="R169" i="68"/>
  <c r="Q169" i="68"/>
  <c r="P169" i="68"/>
  <c r="O169" i="68"/>
  <c r="M169" i="68"/>
  <c r="K169" i="68"/>
  <c r="J169" i="68"/>
  <c r="H169" i="68"/>
  <c r="G169" i="68"/>
  <c r="E169" i="68"/>
  <c r="D169" i="68"/>
  <c r="C169" i="68"/>
  <c r="CH168" i="68"/>
  <c r="CG168" i="68"/>
  <c r="CF168" i="68"/>
  <c r="CE168" i="68"/>
  <c r="CD168" i="68"/>
  <c r="CC168" i="68"/>
  <c r="CB168" i="68"/>
  <c r="CA168" i="68"/>
  <c r="BZ168" i="68"/>
  <c r="BY168" i="68"/>
  <c r="BX168" i="68"/>
  <c r="BW168" i="68"/>
  <c r="BO168" i="68"/>
  <c r="EC168" i="68" s="1"/>
  <c r="BN168" i="68"/>
  <c r="BM168" i="68"/>
  <c r="EA168" i="68" s="1"/>
  <c r="BL168" i="68"/>
  <c r="DZ168" i="68" s="1"/>
  <c r="BK168" i="68"/>
  <c r="DY168" i="68" s="1"/>
  <c r="BJ168" i="68"/>
  <c r="BI168" i="68"/>
  <c r="DW168" i="68" s="1"/>
  <c r="BH168" i="68"/>
  <c r="BG168" i="68"/>
  <c r="DU168" i="68" s="1"/>
  <c r="BF168" i="68"/>
  <c r="DT168" i="68" s="1"/>
  <c r="BE168" i="68"/>
  <c r="DS168" i="68" s="1"/>
  <c r="BD168" i="68"/>
  <c r="BA168" i="68"/>
  <c r="BB168" i="68" s="1"/>
  <c r="AI168" i="68"/>
  <c r="S168" i="68"/>
  <c r="R168" i="68"/>
  <c r="Q168" i="68"/>
  <c r="P168" i="68"/>
  <c r="O168" i="68"/>
  <c r="M168" i="68"/>
  <c r="K168" i="68"/>
  <c r="J168" i="68"/>
  <c r="H168" i="68"/>
  <c r="G168" i="68"/>
  <c r="E168" i="68"/>
  <c r="D168" i="68"/>
  <c r="C168" i="68"/>
  <c r="CH167" i="68"/>
  <c r="CG167" i="68"/>
  <c r="CF167" i="68"/>
  <c r="CE167" i="68"/>
  <c r="CD167" i="68"/>
  <c r="CC167" i="68"/>
  <c r="CB167" i="68"/>
  <c r="CA167" i="68"/>
  <c r="BZ167" i="68"/>
  <c r="BY167" i="68"/>
  <c r="BX167" i="68"/>
  <c r="BW167" i="68"/>
  <c r="BO167" i="68"/>
  <c r="EC167" i="68" s="1"/>
  <c r="BN167" i="68"/>
  <c r="EB167" i="68" s="1"/>
  <c r="BM167" i="68"/>
  <c r="EA167" i="68" s="1"/>
  <c r="BL167" i="68"/>
  <c r="DZ167" i="68" s="1"/>
  <c r="BK167" i="68"/>
  <c r="DY167" i="68" s="1"/>
  <c r="BJ167" i="68"/>
  <c r="DX167" i="68" s="1"/>
  <c r="BI167" i="68"/>
  <c r="DW167" i="68" s="1"/>
  <c r="BH167" i="68"/>
  <c r="DV167" i="68" s="1"/>
  <c r="BG167" i="68"/>
  <c r="BF167" i="68"/>
  <c r="DT167" i="68" s="1"/>
  <c r="BE167" i="68"/>
  <c r="BD167" i="68"/>
  <c r="DR167" i="68" s="1"/>
  <c r="BA167" i="68"/>
  <c r="BB167" i="68" s="1"/>
  <c r="AI167" i="68"/>
  <c r="S167" i="68"/>
  <c r="R167" i="68"/>
  <c r="Q167" i="68"/>
  <c r="P167" i="68"/>
  <c r="O167" i="68"/>
  <c r="M167" i="68"/>
  <c r="K167" i="68"/>
  <c r="J167" i="68"/>
  <c r="H167" i="68"/>
  <c r="CL167" i="68" s="1" a="1"/>
  <c r="CL167" i="68" s="1"/>
  <c r="G167" i="68"/>
  <c r="E167" i="68"/>
  <c r="D167" i="68"/>
  <c r="C167" i="68"/>
  <c r="CH166" i="68"/>
  <c r="CG166" i="68"/>
  <c r="CF166" i="68"/>
  <c r="CE166" i="68"/>
  <c r="CD166" i="68"/>
  <c r="CC166" i="68"/>
  <c r="CB166" i="68"/>
  <c r="CA166" i="68"/>
  <c r="BZ166" i="68"/>
  <c r="BY166" i="68"/>
  <c r="BX166" i="68"/>
  <c r="BW166" i="68"/>
  <c r="BO166" i="68"/>
  <c r="EC166" i="68" s="1"/>
  <c r="BN166" i="68"/>
  <c r="EB166" i="68" s="1"/>
  <c r="BM166" i="68"/>
  <c r="EA166" i="68" s="1"/>
  <c r="BL166" i="68"/>
  <c r="BK166" i="68"/>
  <c r="DY166" i="68" s="1"/>
  <c r="BJ166" i="68"/>
  <c r="DX166" i="68" s="1"/>
  <c r="BI166" i="68"/>
  <c r="DW166" i="68" s="1"/>
  <c r="BH166" i="68"/>
  <c r="DV166" i="68" s="1"/>
  <c r="BG166" i="68"/>
  <c r="DU166" i="68" s="1"/>
  <c r="BF166" i="68"/>
  <c r="BE166" i="68"/>
  <c r="BD166" i="68"/>
  <c r="DR166" i="68" s="1"/>
  <c r="BA166" i="68"/>
  <c r="BB166" i="68" s="1"/>
  <c r="AI166" i="68"/>
  <c r="S166" i="68"/>
  <c r="R166" i="68"/>
  <c r="Q166" i="68"/>
  <c r="P166" i="68"/>
  <c r="O166" i="68"/>
  <c r="M166" i="68"/>
  <c r="K166" i="68"/>
  <c r="J166" i="68"/>
  <c r="H166" i="68"/>
  <c r="G166" i="68"/>
  <c r="E166" i="68"/>
  <c r="D166" i="68"/>
  <c r="C166" i="68"/>
  <c r="CH165" i="68"/>
  <c r="CG165" i="68"/>
  <c r="CF165" i="68"/>
  <c r="CE165" i="68"/>
  <c r="CD165" i="68"/>
  <c r="CC165" i="68"/>
  <c r="CB165" i="68"/>
  <c r="CA165" i="68"/>
  <c r="BZ165" i="68"/>
  <c r="BY165" i="68"/>
  <c r="BX165" i="68"/>
  <c r="BW165" i="68"/>
  <c r="BO165" i="68"/>
  <c r="EC165" i="68" s="1"/>
  <c r="BN165" i="68"/>
  <c r="EB165" i="68" s="1"/>
  <c r="BM165" i="68"/>
  <c r="EA165" i="68" s="1"/>
  <c r="BL165" i="68"/>
  <c r="DZ165" i="68" s="1"/>
  <c r="BK165" i="68"/>
  <c r="DY165" i="68" s="1"/>
  <c r="BJ165" i="68"/>
  <c r="BI165" i="68"/>
  <c r="BH165" i="68"/>
  <c r="DV165" i="68" s="1"/>
  <c r="BG165" i="68"/>
  <c r="BF165" i="68"/>
  <c r="DT165" i="68" s="1"/>
  <c r="BE165" i="68"/>
  <c r="DS165" i="68" s="1"/>
  <c r="BD165" i="68"/>
  <c r="DR165" i="68" s="1"/>
  <c r="BA165" i="68"/>
  <c r="BB165" i="68" s="1"/>
  <c r="AI165" i="68"/>
  <c r="S165" i="68"/>
  <c r="R165" i="68"/>
  <c r="Q165" i="68"/>
  <c r="P165" i="68"/>
  <c r="O165" i="68"/>
  <c r="M165" i="68"/>
  <c r="K165" i="68"/>
  <c r="J165" i="68"/>
  <c r="H165" i="68"/>
  <c r="CL165" i="68" s="1" a="1"/>
  <c r="CL165" i="68" s="1"/>
  <c r="G165" i="68"/>
  <c r="E165" i="68"/>
  <c r="D165" i="68"/>
  <c r="C165" i="68"/>
  <c r="CH164" i="68"/>
  <c r="CG164" i="68"/>
  <c r="CF164" i="68"/>
  <c r="CE164" i="68"/>
  <c r="CD164" i="68"/>
  <c r="CC164" i="68"/>
  <c r="CB164" i="68"/>
  <c r="CA164" i="68"/>
  <c r="BZ164" i="68"/>
  <c r="BY164" i="68"/>
  <c r="BX164" i="68"/>
  <c r="BW164" i="68"/>
  <c r="BO164" i="68"/>
  <c r="EC164" i="68" s="1"/>
  <c r="BN164" i="68"/>
  <c r="EB164" i="68" s="1"/>
  <c r="BM164" i="68"/>
  <c r="BL164" i="68"/>
  <c r="BK164" i="68"/>
  <c r="DY164" i="68" s="1"/>
  <c r="BJ164" i="68"/>
  <c r="DX164" i="68" s="1"/>
  <c r="BI164" i="68"/>
  <c r="DW164" i="68" s="1"/>
  <c r="BH164" i="68"/>
  <c r="BG164" i="68"/>
  <c r="DU164" i="68" s="1"/>
  <c r="BF164" i="68"/>
  <c r="BE164" i="68"/>
  <c r="BD164" i="68"/>
  <c r="DR164" i="68" s="1"/>
  <c r="BA164" i="68"/>
  <c r="BB164" i="68" s="1"/>
  <c r="AI164" i="68"/>
  <c r="S164" i="68"/>
  <c r="R164" i="68"/>
  <c r="Q164" i="68"/>
  <c r="P164" i="68"/>
  <c r="O164" i="68"/>
  <c r="M164" i="68"/>
  <c r="K164" i="68"/>
  <c r="J164" i="68"/>
  <c r="H164" i="68"/>
  <c r="G164" i="68"/>
  <c r="E164" i="68"/>
  <c r="D164" i="68"/>
  <c r="C164" i="68"/>
  <c r="CH163" i="68"/>
  <c r="CG163" i="68"/>
  <c r="CF163" i="68"/>
  <c r="CE163" i="68"/>
  <c r="CD163" i="68"/>
  <c r="CC163" i="68"/>
  <c r="CB163" i="68"/>
  <c r="CA163" i="68"/>
  <c r="BZ163" i="68"/>
  <c r="BY163" i="68"/>
  <c r="BX163" i="68"/>
  <c r="BW163" i="68"/>
  <c r="BO163" i="68"/>
  <c r="EC163" i="68" s="1"/>
  <c r="BN163" i="68"/>
  <c r="BM163" i="68"/>
  <c r="EA163" i="68" s="1"/>
  <c r="BL163" i="68"/>
  <c r="DZ163" i="68" s="1"/>
  <c r="BK163" i="68"/>
  <c r="DY163" i="68" s="1"/>
  <c r="BJ163" i="68"/>
  <c r="DX163" i="68" s="1"/>
  <c r="BI163" i="68"/>
  <c r="BH163" i="68"/>
  <c r="BG163" i="68"/>
  <c r="DU163" i="68" s="1"/>
  <c r="BF163" i="68"/>
  <c r="DT163" i="68" s="1"/>
  <c r="BE163" i="68"/>
  <c r="BD163" i="68"/>
  <c r="DR163" i="68" s="1"/>
  <c r="BA163" i="68"/>
  <c r="BB163" i="68" s="1"/>
  <c r="AI163" i="68"/>
  <c r="S163" i="68"/>
  <c r="R163" i="68"/>
  <c r="Q163" i="68"/>
  <c r="P163" i="68"/>
  <c r="O163" i="68"/>
  <c r="M163" i="68"/>
  <c r="K163" i="68"/>
  <c r="J163" i="68"/>
  <c r="H163" i="68"/>
  <c r="G163" i="68"/>
  <c r="E163" i="68"/>
  <c r="D163" i="68"/>
  <c r="C163" i="68"/>
  <c r="CH162" i="68"/>
  <c r="CG162" i="68"/>
  <c r="CF162" i="68"/>
  <c r="CE162" i="68"/>
  <c r="CD162" i="68"/>
  <c r="CC162" i="68"/>
  <c r="CB162" i="68"/>
  <c r="CA162" i="68"/>
  <c r="BZ162" i="68"/>
  <c r="BY162" i="68"/>
  <c r="BX162" i="68"/>
  <c r="BW162" i="68"/>
  <c r="BO162" i="68"/>
  <c r="EC162" i="68" s="1"/>
  <c r="BN162" i="68"/>
  <c r="BM162" i="68"/>
  <c r="EA162" i="68" s="1"/>
  <c r="BL162" i="68"/>
  <c r="BK162" i="68"/>
  <c r="BJ162" i="68"/>
  <c r="DX162" i="68" s="1"/>
  <c r="BI162" i="68"/>
  <c r="BH162" i="68"/>
  <c r="DV162" i="68" s="1"/>
  <c r="BG162" i="68"/>
  <c r="DU162" i="68" s="1"/>
  <c r="BF162" i="68"/>
  <c r="DT162" i="68" s="1"/>
  <c r="BE162" i="68"/>
  <c r="DS162" i="68" s="1"/>
  <c r="BD162" i="68"/>
  <c r="BA162" i="68"/>
  <c r="BB162" i="68" s="1"/>
  <c r="AI162" i="68"/>
  <c r="S162" i="68"/>
  <c r="R162" i="68"/>
  <c r="Q162" i="68"/>
  <c r="P162" i="68"/>
  <c r="O162" i="68"/>
  <c r="M162" i="68"/>
  <c r="K162" i="68"/>
  <c r="J162" i="68"/>
  <c r="H162" i="68"/>
  <c r="CL162" i="68" s="1" a="1"/>
  <c r="CL162" i="68" s="1"/>
  <c r="G162" i="68"/>
  <c r="E162" i="68"/>
  <c r="D162" i="68"/>
  <c r="C162" i="68"/>
  <c r="CH161" i="68"/>
  <c r="CG161" i="68"/>
  <c r="CF161" i="68"/>
  <c r="CE161" i="68"/>
  <c r="CD161" i="68"/>
  <c r="CC161" i="68"/>
  <c r="CB161" i="68"/>
  <c r="CA161" i="68"/>
  <c r="BZ161" i="68"/>
  <c r="BY161" i="68"/>
  <c r="BX161" i="68"/>
  <c r="BW161" i="68"/>
  <c r="BO161" i="68"/>
  <c r="BN161" i="68"/>
  <c r="EB161" i="68" s="1"/>
  <c r="BM161" i="68"/>
  <c r="EA161" i="68" s="1"/>
  <c r="BL161" i="68"/>
  <c r="DZ161" i="68" s="1"/>
  <c r="BK161" i="68"/>
  <c r="DY161" i="68" s="1"/>
  <c r="BJ161" i="68"/>
  <c r="DX161" i="68" s="1"/>
  <c r="BI161" i="68"/>
  <c r="DW161" i="68" s="1"/>
  <c r="BH161" i="68"/>
  <c r="DV161" i="68" s="1"/>
  <c r="BG161" i="68"/>
  <c r="BF161" i="68"/>
  <c r="BE161" i="68"/>
  <c r="BD161" i="68"/>
  <c r="DR161" i="68" s="1"/>
  <c r="BA161" i="68"/>
  <c r="BB161" i="68" s="1"/>
  <c r="AI161" i="68"/>
  <c r="S161" i="68"/>
  <c r="R161" i="68"/>
  <c r="Q161" i="68"/>
  <c r="P161" i="68"/>
  <c r="O161" i="68"/>
  <c r="M161" i="68"/>
  <c r="K161" i="68"/>
  <c r="J161" i="68"/>
  <c r="H161" i="68"/>
  <c r="G161" i="68"/>
  <c r="E161" i="68"/>
  <c r="D161" i="68"/>
  <c r="C161" i="68"/>
  <c r="CH160" i="68"/>
  <c r="CG160" i="68"/>
  <c r="CF160" i="68"/>
  <c r="CE160" i="68"/>
  <c r="CD160" i="68"/>
  <c r="CC160" i="68"/>
  <c r="CB160" i="68"/>
  <c r="CA160" i="68"/>
  <c r="BZ160" i="68"/>
  <c r="BY160" i="68"/>
  <c r="BX160" i="68"/>
  <c r="BW160" i="68"/>
  <c r="BO160" i="68"/>
  <c r="EC160" i="68" s="1"/>
  <c r="BN160" i="68"/>
  <c r="EB160" i="68" s="1"/>
  <c r="BM160" i="68"/>
  <c r="EA160" i="68" s="1"/>
  <c r="BL160" i="68"/>
  <c r="DZ160" i="68" s="1"/>
  <c r="BK160" i="68"/>
  <c r="DY160" i="68" s="1"/>
  <c r="BJ160" i="68"/>
  <c r="BI160" i="68"/>
  <c r="DW160" i="68" s="1"/>
  <c r="BH160" i="68"/>
  <c r="DV160" i="68" s="1"/>
  <c r="BG160" i="68"/>
  <c r="BF160" i="68"/>
  <c r="DT160" i="68" s="1"/>
  <c r="BE160" i="68"/>
  <c r="BD160" i="68"/>
  <c r="BA160" i="68"/>
  <c r="BB160" i="68" s="1"/>
  <c r="AI160" i="68"/>
  <c r="S160" i="68"/>
  <c r="R160" i="68"/>
  <c r="Q160" i="68"/>
  <c r="P160" i="68"/>
  <c r="O160" i="68"/>
  <c r="M160" i="68"/>
  <c r="K160" i="68"/>
  <c r="J160" i="68"/>
  <c r="H160" i="68"/>
  <c r="CL160" i="68" s="1" a="1"/>
  <c r="CL160" i="68" s="1"/>
  <c r="G160" i="68"/>
  <c r="E160" i="68"/>
  <c r="D160" i="68"/>
  <c r="C160" i="68"/>
  <c r="CH159" i="68"/>
  <c r="CG159" i="68"/>
  <c r="CF159" i="68"/>
  <c r="CE159" i="68"/>
  <c r="CD159" i="68"/>
  <c r="CC159" i="68"/>
  <c r="CB159" i="68"/>
  <c r="CA159" i="68"/>
  <c r="BZ159" i="68"/>
  <c r="BY159" i="68"/>
  <c r="BX159" i="68"/>
  <c r="BW159" i="68"/>
  <c r="BO159" i="68"/>
  <c r="EC159" i="68" s="1"/>
  <c r="BN159" i="68"/>
  <c r="EB159" i="68" s="1"/>
  <c r="BM159" i="68"/>
  <c r="EA159" i="68" s="1"/>
  <c r="BL159" i="68"/>
  <c r="DZ159" i="68" s="1"/>
  <c r="BK159" i="68"/>
  <c r="BJ159" i="68"/>
  <c r="DX159" i="68" s="1"/>
  <c r="BI159" i="68"/>
  <c r="DW159" i="68" s="1"/>
  <c r="BH159" i="68"/>
  <c r="BG159" i="68"/>
  <c r="BF159" i="68"/>
  <c r="BE159" i="68"/>
  <c r="DS159" i="68" s="1"/>
  <c r="BD159" i="68"/>
  <c r="DR159" i="68" s="1"/>
  <c r="BA159" i="68"/>
  <c r="BB159" i="68" s="1"/>
  <c r="AI159" i="68"/>
  <c r="S159" i="68"/>
  <c r="R159" i="68"/>
  <c r="Q159" i="68"/>
  <c r="P159" i="68"/>
  <c r="O159" i="68"/>
  <c r="M159" i="68"/>
  <c r="K159" i="68"/>
  <c r="J159" i="68"/>
  <c r="H159" i="68"/>
  <c r="CL159" i="68" s="1" a="1"/>
  <c r="CL159" i="68" s="1"/>
  <c r="G159" i="68"/>
  <c r="E159" i="68"/>
  <c r="D159" i="68"/>
  <c r="C159" i="68"/>
  <c r="CH158" i="68"/>
  <c r="CG158" i="68"/>
  <c r="CF158" i="68"/>
  <c r="CE158" i="68"/>
  <c r="CD158" i="68"/>
  <c r="CC158" i="68"/>
  <c r="CB158" i="68"/>
  <c r="CA158" i="68"/>
  <c r="BZ158" i="68"/>
  <c r="BY158" i="68"/>
  <c r="BX158" i="68"/>
  <c r="BW158" i="68"/>
  <c r="BO158" i="68"/>
  <c r="EC158" i="68" s="1"/>
  <c r="BN158" i="68"/>
  <c r="BM158" i="68"/>
  <c r="BL158" i="68"/>
  <c r="DZ158" i="68" s="1"/>
  <c r="BK158" i="68"/>
  <c r="DY158" i="68" s="1"/>
  <c r="BJ158" i="68"/>
  <c r="DX158" i="68" s="1"/>
  <c r="BI158" i="68"/>
  <c r="BH158" i="68"/>
  <c r="DV158" i="68" s="1"/>
  <c r="BG158" i="68"/>
  <c r="DU158" i="68" s="1"/>
  <c r="BF158" i="68"/>
  <c r="BE158" i="68"/>
  <c r="BD158" i="68"/>
  <c r="BA158" i="68"/>
  <c r="BB158" i="68" s="1"/>
  <c r="AI158" i="68"/>
  <c r="S158" i="68"/>
  <c r="R158" i="68"/>
  <c r="Q158" i="68"/>
  <c r="P158" i="68"/>
  <c r="O158" i="68"/>
  <c r="M158" i="68"/>
  <c r="K158" i="68"/>
  <c r="J158" i="68"/>
  <c r="H158" i="68"/>
  <c r="G158" i="68"/>
  <c r="E158" i="68"/>
  <c r="D158" i="68"/>
  <c r="C158" i="68"/>
  <c r="CH157" i="68"/>
  <c r="CG157" i="68"/>
  <c r="CF157" i="68"/>
  <c r="CE157" i="68"/>
  <c r="CD157" i="68"/>
  <c r="CC157" i="68"/>
  <c r="CB157" i="68"/>
  <c r="CA157" i="68"/>
  <c r="BZ157" i="68"/>
  <c r="BY157" i="68"/>
  <c r="BX157" i="68"/>
  <c r="BW157" i="68"/>
  <c r="BO157" i="68"/>
  <c r="BN157" i="68"/>
  <c r="EB157" i="68" s="1"/>
  <c r="BM157" i="68"/>
  <c r="EA157" i="68" s="1"/>
  <c r="BL157" i="68"/>
  <c r="DZ157" i="68" s="1"/>
  <c r="BK157" i="68"/>
  <c r="DY157" i="68" s="1"/>
  <c r="BJ157" i="68"/>
  <c r="DX157" i="68" s="1"/>
  <c r="BI157" i="68"/>
  <c r="DW157" i="68" s="1"/>
  <c r="BH157" i="68"/>
  <c r="DV157" i="68" s="1"/>
  <c r="BG157" i="68"/>
  <c r="DU157" i="68" s="1"/>
  <c r="BF157" i="68"/>
  <c r="DT157" i="68" s="1"/>
  <c r="BE157" i="68"/>
  <c r="DS157" i="68" s="1"/>
  <c r="BD157" i="68"/>
  <c r="DR157" i="68" s="1"/>
  <c r="BA157" i="68"/>
  <c r="BB157" i="68" s="1"/>
  <c r="AI157" i="68"/>
  <c r="S157" i="68"/>
  <c r="R157" i="68"/>
  <c r="Q157" i="68"/>
  <c r="P157" i="68"/>
  <c r="O157" i="68"/>
  <c r="M157" i="68"/>
  <c r="K157" i="68"/>
  <c r="J157" i="68"/>
  <c r="H157" i="68"/>
  <c r="G157" i="68"/>
  <c r="E157" i="68"/>
  <c r="D157" i="68"/>
  <c r="C157" i="68"/>
  <c r="CH156" i="68"/>
  <c r="CG156" i="68"/>
  <c r="CF156" i="68"/>
  <c r="CE156" i="68"/>
  <c r="CD156" i="68"/>
  <c r="CC156" i="68"/>
  <c r="CB156" i="68"/>
  <c r="CA156" i="68"/>
  <c r="BZ156" i="68"/>
  <c r="BY156" i="68"/>
  <c r="BX156" i="68"/>
  <c r="BW156" i="68"/>
  <c r="BO156" i="68"/>
  <c r="EC156" i="68" s="1"/>
  <c r="BN156" i="68"/>
  <c r="EB156" i="68" s="1"/>
  <c r="BM156" i="68"/>
  <c r="BL156" i="68"/>
  <c r="DZ156" i="68" s="1"/>
  <c r="BK156" i="68"/>
  <c r="DY156" i="68" s="1"/>
  <c r="BJ156" i="68"/>
  <c r="DX156" i="68" s="1"/>
  <c r="BI156" i="68"/>
  <c r="DW156" i="68" s="1"/>
  <c r="BH156" i="68"/>
  <c r="BG156" i="68"/>
  <c r="BF156" i="68"/>
  <c r="DT156" i="68" s="1"/>
  <c r="BE156" i="68"/>
  <c r="DS156" i="68" s="1"/>
  <c r="BD156" i="68"/>
  <c r="DR156" i="68" s="1"/>
  <c r="BA156" i="68"/>
  <c r="BB156" i="68" s="1"/>
  <c r="AI156" i="68"/>
  <c r="S156" i="68"/>
  <c r="R156" i="68"/>
  <c r="Q156" i="68"/>
  <c r="P156" i="68"/>
  <c r="O156" i="68"/>
  <c r="M156" i="68"/>
  <c r="K156" i="68"/>
  <c r="J156" i="68"/>
  <c r="H156" i="68"/>
  <c r="CL156" i="68" s="1" a="1"/>
  <c r="CL156" i="68" s="1"/>
  <c r="G156" i="68"/>
  <c r="E156" i="68"/>
  <c r="D156" i="68"/>
  <c r="C156" i="68"/>
  <c r="CH155" i="68"/>
  <c r="CG155" i="68"/>
  <c r="CF155" i="68"/>
  <c r="CE155" i="68"/>
  <c r="CD155" i="68"/>
  <c r="CC155" i="68"/>
  <c r="CB155" i="68"/>
  <c r="CA155" i="68"/>
  <c r="BZ155" i="68"/>
  <c r="BY155" i="68"/>
  <c r="BX155" i="68"/>
  <c r="BW155" i="68"/>
  <c r="BO155" i="68"/>
  <c r="EC155" i="68" s="1"/>
  <c r="BN155" i="68"/>
  <c r="BM155" i="68"/>
  <c r="EA155" i="68" s="1"/>
  <c r="BL155" i="68"/>
  <c r="DZ155" i="68" s="1"/>
  <c r="BK155" i="68"/>
  <c r="BJ155" i="68"/>
  <c r="DX155" i="68" s="1"/>
  <c r="BI155" i="68"/>
  <c r="DW155" i="68" s="1"/>
  <c r="BH155" i="68"/>
  <c r="DV155" i="68" s="1"/>
  <c r="BG155" i="68"/>
  <c r="DU155" i="68" s="1"/>
  <c r="BF155" i="68"/>
  <c r="DT155" i="68" s="1"/>
  <c r="BE155" i="68"/>
  <c r="DS155" i="68" s="1"/>
  <c r="BD155" i="68"/>
  <c r="BA155" i="68"/>
  <c r="BB155" i="68" s="1"/>
  <c r="AI155" i="68"/>
  <c r="S155" i="68"/>
  <c r="R155" i="68"/>
  <c r="Q155" i="68"/>
  <c r="P155" i="68"/>
  <c r="O155" i="68"/>
  <c r="M155" i="68"/>
  <c r="K155" i="68"/>
  <c r="J155" i="68"/>
  <c r="H155" i="68"/>
  <c r="G155" i="68"/>
  <c r="E155" i="68"/>
  <c r="D155" i="68"/>
  <c r="C155" i="68"/>
  <c r="CH154" i="68"/>
  <c r="CG154" i="68"/>
  <c r="CF154" i="68"/>
  <c r="CE154" i="68"/>
  <c r="CD154" i="68"/>
  <c r="CC154" i="68"/>
  <c r="CB154" i="68"/>
  <c r="CA154" i="68"/>
  <c r="BZ154" i="68"/>
  <c r="BY154" i="68"/>
  <c r="BX154" i="68"/>
  <c r="BW154" i="68"/>
  <c r="BO154" i="68"/>
  <c r="BN154" i="68"/>
  <c r="BM154" i="68"/>
  <c r="EA154" i="68" s="1"/>
  <c r="BL154" i="68"/>
  <c r="BK154" i="68"/>
  <c r="DY154" i="68" s="1"/>
  <c r="BJ154" i="68"/>
  <c r="DX154" i="68" s="1"/>
  <c r="BI154" i="68"/>
  <c r="DW154" i="68" s="1"/>
  <c r="BH154" i="68"/>
  <c r="DV154" i="68" s="1"/>
  <c r="BG154" i="68"/>
  <c r="DU154" i="68" s="1"/>
  <c r="BF154" i="68"/>
  <c r="DT154" i="68" s="1"/>
  <c r="BE154" i="68"/>
  <c r="DS154" i="68" s="1"/>
  <c r="BD154" i="68"/>
  <c r="DR154" i="68" s="1"/>
  <c r="BA154" i="68"/>
  <c r="BB154" i="68" s="1"/>
  <c r="AI154" i="68"/>
  <c r="S154" i="68"/>
  <c r="R154" i="68"/>
  <c r="Q154" i="68"/>
  <c r="P154" i="68"/>
  <c r="O154" i="68"/>
  <c r="M154" i="68"/>
  <c r="K154" i="68"/>
  <c r="J154" i="68"/>
  <c r="H154" i="68"/>
  <c r="CL154" i="68" s="1" a="1"/>
  <c r="CL154" i="68" s="1"/>
  <c r="G154" i="68"/>
  <c r="E154" i="68"/>
  <c r="D154" i="68"/>
  <c r="C154" i="68"/>
  <c r="CH153" i="68"/>
  <c r="CG153" i="68"/>
  <c r="CF153" i="68"/>
  <c r="CE153" i="68"/>
  <c r="CD153" i="68"/>
  <c r="CC153" i="68"/>
  <c r="CB153" i="68"/>
  <c r="CA153" i="68"/>
  <c r="BZ153" i="68"/>
  <c r="BY153" i="68"/>
  <c r="BX153" i="68"/>
  <c r="BW153" i="68"/>
  <c r="BO153" i="68"/>
  <c r="EC153" i="68" s="1"/>
  <c r="BN153" i="68"/>
  <c r="EB153" i="68" s="1"/>
  <c r="BM153" i="68"/>
  <c r="BL153" i="68"/>
  <c r="DZ153" i="68" s="1"/>
  <c r="BK153" i="68"/>
  <c r="DY153" i="68" s="1"/>
  <c r="BJ153" i="68"/>
  <c r="DX153" i="68" s="1"/>
  <c r="BI153" i="68"/>
  <c r="DW153" i="68" s="1"/>
  <c r="BH153" i="68"/>
  <c r="BG153" i="68"/>
  <c r="DU153" i="68" s="1"/>
  <c r="BF153" i="68"/>
  <c r="BE153" i="68"/>
  <c r="DS153" i="68" s="1"/>
  <c r="BD153" i="68"/>
  <c r="DR153" i="68" s="1"/>
  <c r="BA153" i="68"/>
  <c r="BB153" i="68" s="1"/>
  <c r="AI153" i="68"/>
  <c r="S153" i="68"/>
  <c r="R153" i="68"/>
  <c r="Q153" i="68"/>
  <c r="P153" i="68"/>
  <c r="O153" i="68"/>
  <c r="M153" i="68"/>
  <c r="K153" i="68"/>
  <c r="J153" i="68"/>
  <c r="H153" i="68"/>
  <c r="G153" i="68"/>
  <c r="E153" i="68"/>
  <c r="D153" i="68"/>
  <c r="C153" i="68"/>
  <c r="CH152" i="68"/>
  <c r="CG152" i="68"/>
  <c r="CF152" i="68"/>
  <c r="CE152" i="68"/>
  <c r="CD152" i="68"/>
  <c r="CC152" i="68"/>
  <c r="CB152" i="68"/>
  <c r="CA152" i="68"/>
  <c r="BZ152" i="68"/>
  <c r="BY152" i="68"/>
  <c r="BX152" i="68"/>
  <c r="BW152" i="68"/>
  <c r="BO152" i="68"/>
  <c r="EC152" i="68" s="1"/>
  <c r="BN152" i="68"/>
  <c r="EB152" i="68" s="1"/>
  <c r="BM152" i="68"/>
  <c r="BL152" i="68"/>
  <c r="BK152" i="68"/>
  <c r="BJ152" i="68"/>
  <c r="DX152" i="68" s="1"/>
  <c r="BI152" i="68"/>
  <c r="DW152" i="68" s="1"/>
  <c r="BH152" i="68"/>
  <c r="DV152" i="68" s="1"/>
  <c r="BG152" i="68"/>
  <c r="DU152" i="68" s="1"/>
  <c r="BF152" i="68"/>
  <c r="DT152" i="68" s="1"/>
  <c r="BE152" i="68"/>
  <c r="DS152" i="68" s="1"/>
  <c r="BD152" i="68"/>
  <c r="DR152" i="68" s="1"/>
  <c r="BA152" i="68"/>
  <c r="BB152" i="68" s="1"/>
  <c r="AI152" i="68"/>
  <c r="S152" i="68"/>
  <c r="R152" i="68"/>
  <c r="Q152" i="68"/>
  <c r="P152" i="68"/>
  <c r="O152" i="68"/>
  <c r="M152" i="68"/>
  <c r="K152" i="68"/>
  <c r="J152" i="68"/>
  <c r="H152" i="68"/>
  <c r="CL152" i="68" s="1" a="1"/>
  <c r="CL152" i="68" s="1"/>
  <c r="G152" i="68"/>
  <c r="E152" i="68"/>
  <c r="D152" i="68"/>
  <c r="C152" i="68"/>
  <c r="CH151" i="68"/>
  <c r="CG151" i="68"/>
  <c r="CF151" i="68"/>
  <c r="CE151" i="68"/>
  <c r="CD151" i="68"/>
  <c r="CC151" i="68"/>
  <c r="CB151" i="68"/>
  <c r="CA151" i="68"/>
  <c r="BZ151" i="68"/>
  <c r="BY151" i="68"/>
  <c r="BX151" i="68"/>
  <c r="BW151" i="68"/>
  <c r="BO151" i="68"/>
  <c r="EC151" i="68" s="1"/>
  <c r="BN151" i="68"/>
  <c r="EB151" i="68" s="1"/>
  <c r="BM151" i="68"/>
  <c r="EA151" i="68" s="1"/>
  <c r="BL151" i="68"/>
  <c r="DZ151" i="68" s="1"/>
  <c r="BK151" i="68"/>
  <c r="DY151" i="68" s="1"/>
  <c r="BJ151" i="68"/>
  <c r="DX151" i="68" s="1"/>
  <c r="BI151" i="68"/>
  <c r="DW151" i="68" s="1"/>
  <c r="BH151" i="68"/>
  <c r="DV151" i="68" s="1"/>
  <c r="BG151" i="68"/>
  <c r="BF151" i="68"/>
  <c r="DT151" i="68" s="1"/>
  <c r="BE151" i="68"/>
  <c r="BD151" i="68"/>
  <c r="DR151" i="68" s="1"/>
  <c r="BA151" i="68"/>
  <c r="BB151" i="68" s="1"/>
  <c r="AI151" i="68"/>
  <c r="S151" i="68"/>
  <c r="R151" i="68"/>
  <c r="Q151" i="68"/>
  <c r="P151" i="68"/>
  <c r="O151" i="68"/>
  <c r="M151" i="68"/>
  <c r="K151" i="68"/>
  <c r="J151" i="68"/>
  <c r="H151" i="68"/>
  <c r="CL151" i="68" s="1" a="1"/>
  <c r="CL151" i="68" s="1"/>
  <c r="G151" i="68"/>
  <c r="E151" i="68"/>
  <c r="D151" i="68"/>
  <c r="C151" i="68"/>
  <c r="CH150" i="68"/>
  <c r="CG150" i="68"/>
  <c r="CF150" i="68"/>
  <c r="CE150" i="68"/>
  <c r="CD150" i="68"/>
  <c r="CC150" i="68"/>
  <c r="CB150" i="68"/>
  <c r="CA150" i="68"/>
  <c r="BZ150" i="68"/>
  <c r="BY150" i="68"/>
  <c r="BX150" i="68"/>
  <c r="BW150" i="68"/>
  <c r="BO150" i="68"/>
  <c r="BN150" i="68"/>
  <c r="EB150" i="68" s="1"/>
  <c r="BM150" i="68"/>
  <c r="EA150" i="68" s="1"/>
  <c r="BL150" i="68"/>
  <c r="BK150" i="68"/>
  <c r="BJ150" i="68"/>
  <c r="BI150" i="68"/>
  <c r="BH150" i="68"/>
  <c r="BG150" i="68"/>
  <c r="DU150" i="68" s="1"/>
  <c r="BF150" i="68"/>
  <c r="BE150" i="68"/>
  <c r="DS150" i="68" s="1"/>
  <c r="BD150" i="68"/>
  <c r="BA150" i="68"/>
  <c r="BB150" i="68" s="1"/>
  <c r="AI150" i="68"/>
  <c r="S150" i="68"/>
  <c r="R150" i="68"/>
  <c r="Q150" i="68"/>
  <c r="P150" i="68"/>
  <c r="O150" i="68"/>
  <c r="M150" i="68"/>
  <c r="K150" i="68"/>
  <c r="J150" i="68"/>
  <c r="H150" i="68"/>
  <c r="CL150" i="68" s="1" a="1"/>
  <c r="CL150" i="68" s="1"/>
  <c r="G150" i="68"/>
  <c r="E150" i="68"/>
  <c r="D150" i="68"/>
  <c r="C150" i="68"/>
  <c r="CH149" i="68"/>
  <c r="CG149" i="68"/>
  <c r="CF149" i="68"/>
  <c r="CE149" i="68"/>
  <c r="CD149" i="68"/>
  <c r="CC149" i="68"/>
  <c r="CB149" i="68"/>
  <c r="CA149" i="68"/>
  <c r="BZ149" i="68"/>
  <c r="BY149" i="68"/>
  <c r="BX149" i="68"/>
  <c r="BW149" i="68"/>
  <c r="BO149" i="68"/>
  <c r="EC149" i="68" s="1"/>
  <c r="BN149" i="68"/>
  <c r="EB149" i="68" s="1"/>
  <c r="BM149" i="68"/>
  <c r="EA149" i="68" s="1"/>
  <c r="BL149" i="68"/>
  <c r="DZ149" i="68" s="1"/>
  <c r="BK149" i="68"/>
  <c r="DY149" i="68" s="1"/>
  <c r="BJ149" i="68"/>
  <c r="DX149" i="68" s="1"/>
  <c r="BI149" i="68"/>
  <c r="BH149" i="68"/>
  <c r="DV149" i="68" s="1"/>
  <c r="BG149" i="68"/>
  <c r="DU149" i="68" s="1"/>
  <c r="BF149" i="68"/>
  <c r="BE149" i="68"/>
  <c r="BD149" i="68"/>
  <c r="BA149" i="68"/>
  <c r="BB149" i="68" s="1"/>
  <c r="AI149" i="68"/>
  <c r="S149" i="68"/>
  <c r="R149" i="68"/>
  <c r="Q149" i="68"/>
  <c r="P149" i="68"/>
  <c r="O149" i="68"/>
  <c r="M149" i="68"/>
  <c r="K149" i="68"/>
  <c r="J149" i="68"/>
  <c r="H149" i="68"/>
  <c r="G149" i="68"/>
  <c r="E149" i="68"/>
  <c r="D149" i="68"/>
  <c r="C149" i="68"/>
  <c r="CH148" i="68"/>
  <c r="CG148" i="68"/>
  <c r="CF148" i="68"/>
  <c r="CE148" i="68"/>
  <c r="CD148" i="68"/>
  <c r="CC148" i="68"/>
  <c r="CB148" i="68"/>
  <c r="CA148" i="68"/>
  <c r="BZ148" i="68"/>
  <c r="BY148" i="68"/>
  <c r="BX148" i="68"/>
  <c r="BW148" i="68"/>
  <c r="BO148" i="68"/>
  <c r="EC148" i="68" s="1"/>
  <c r="BN148" i="68"/>
  <c r="BM148" i="68"/>
  <c r="EA148" i="68" s="1"/>
  <c r="BL148" i="68"/>
  <c r="DZ148" i="68" s="1"/>
  <c r="BK148" i="68"/>
  <c r="DY148" i="68" s="1"/>
  <c r="BJ148" i="68"/>
  <c r="DX148" i="68" s="1"/>
  <c r="BI148" i="68"/>
  <c r="DW148" i="68" s="1"/>
  <c r="BH148" i="68"/>
  <c r="BG148" i="68"/>
  <c r="DU148" i="68" s="1"/>
  <c r="BF148" i="68"/>
  <c r="BE148" i="68"/>
  <c r="DS148" i="68" s="1"/>
  <c r="BD148" i="68"/>
  <c r="BA148" i="68"/>
  <c r="BB148" i="68" s="1"/>
  <c r="AI148" i="68"/>
  <c r="S148" i="68"/>
  <c r="R148" i="68"/>
  <c r="Q148" i="68"/>
  <c r="P148" i="68"/>
  <c r="O148" i="68"/>
  <c r="M148" i="68"/>
  <c r="K148" i="68"/>
  <c r="J148" i="68"/>
  <c r="H148" i="68"/>
  <c r="CL148" i="68" s="1" a="1"/>
  <c r="CL148" i="68" s="1"/>
  <c r="G148" i="68"/>
  <c r="E148" i="68"/>
  <c r="D148" i="68"/>
  <c r="C148" i="68"/>
  <c r="CH147" i="68"/>
  <c r="CG147" i="68"/>
  <c r="CF147" i="68"/>
  <c r="CE147" i="68"/>
  <c r="CD147" i="68"/>
  <c r="CC147" i="68"/>
  <c r="CB147" i="68"/>
  <c r="CA147" i="68"/>
  <c r="BZ147" i="68"/>
  <c r="BY147" i="68"/>
  <c r="BX147" i="68"/>
  <c r="BW147" i="68"/>
  <c r="BO147" i="68"/>
  <c r="EC147" i="68" s="1"/>
  <c r="BN147" i="68"/>
  <c r="EB147" i="68" s="1"/>
  <c r="BM147" i="68"/>
  <c r="EA147" i="68" s="1"/>
  <c r="BL147" i="68"/>
  <c r="DZ147" i="68" s="1"/>
  <c r="BK147" i="68"/>
  <c r="DY147" i="68" s="1"/>
  <c r="BJ147" i="68"/>
  <c r="DX147" i="68" s="1"/>
  <c r="BI147" i="68"/>
  <c r="BH147" i="68"/>
  <c r="DV147" i="68" s="1"/>
  <c r="BG147" i="68"/>
  <c r="DU147" i="68" s="1"/>
  <c r="BF147" i="68"/>
  <c r="BE147" i="68"/>
  <c r="DS147" i="68" s="1"/>
  <c r="BD147" i="68"/>
  <c r="BA147" i="68"/>
  <c r="BB147" i="68" s="1"/>
  <c r="AI147" i="68"/>
  <c r="S147" i="68"/>
  <c r="R147" i="68"/>
  <c r="Q147" i="68"/>
  <c r="P147" i="68"/>
  <c r="O147" i="68"/>
  <c r="M147" i="68"/>
  <c r="K147" i="68"/>
  <c r="J147" i="68"/>
  <c r="H147" i="68"/>
  <c r="CL147" i="68" s="1" a="1"/>
  <c r="CL147" i="68" s="1"/>
  <c r="G147" i="68"/>
  <c r="E147" i="68"/>
  <c r="D147" i="68"/>
  <c r="C147" i="68"/>
  <c r="CH146" i="68"/>
  <c r="CG146" i="68"/>
  <c r="CF146" i="68"/>
  <c r="CE146" i="68"/>
  <c r="CD146" i="68"/>
  <c r="CC146" i="68"/>
  <c r="CB146" i="68"/>
  <c r="CA146" i="68"/>
  <c r="BZ146" i="68"/>
  <c r="BY146" i="68"/>
  <c r="BX146" i="68"/>
  <c r="BW146" i="68"/>
  <c r="BO146" i="68"/>
  <c r="EC146" i="68" s="1"/>
  <c r="BN146" i="68"/>
  <c r="BM146" i="68"/>
  <c r="EA146" i="68" s="1"/>
  <c r="BL146" i="68"/>
  <c r="DZ146" i="68" s="1"/>
  <c r="BK146" i="68"/>
  <c r="DY146" i="68" s="1"/>
  <c r="BJ146" i="68"/>
  <c r="DX146" i="68" s="1"/>
  <c r="BI146" i="68"/>
  <c r="DW146" i="68" s="1"/>
  <c r="BH146" i="68"/>
  <c r="BG146" i="68"/>
  <c r="DU146" i="68" s="1"/>
  <c r="BF146" i="68"/>
  <c r="DT146" i="68" s="1"/>
  <c r="BE146" i="68"/>
  <c r="BD146" i="68"/>
  <c r="DR146" i="68" s="1"/>
  <c r="BA146" i="68"/>
  <c r="BB146" i="68" s="1"/>
  <c r="AI146" i="68"/>
  <c r="S146" i="68"/>
  <c r="R146" i="68"/>
  <c r="Q146" i="68"/>
  <c r="P146" i="68"/>
  <c r="O146" i="68"/>
  <c r="M146" i="68"/>
  <c r="K146" i="68"/>
  <c r="J146" i="68"/>
  <c r="H146" i="68"/>
  <c r="G146" i="68"/>
  <c r="E146" i="68"/>
  <c r="D146" i="68"/>
  <c r="C146" i="68"/>
  <c r="CH145" i="68"/>
  <c r="CG145" i="68"/>
  <c r="CF145" i="68"/>
  <c r="CE145" i="68"/>
  <c r="CD145" i="68"/>
  <c r="CC145" i="68"/>
  <c r="CB145" i="68"/>
  <c r="CA145" i="68"/>
  <c r="BZ145" i="68"/>
  <c r="BY145" i="68"/>
  <c r="BX145" i="68"/>
  <c r="BW145" i="68"/>
  <c r="BO145" i="68"/>
  <c r="EC145" i="68" s="1"/>
  <c r="BN145" i="68"/>
  <c r="BM145" i="68"/>
  <c r="EA145" i="68" s="1"/>
  <c r="BL145" i="68"/>
  <c r="DZ145" i="68" s="1"/>
  <c r="BK145" i="68"/>
  <c r="DY145" i="68" s="1"/>
  <c r="BJ145" i="68"/>
  <c r="BI145" i="68"/>
  <c r="BH145" i="68"/>
  <c r="BG145" i="68"/>
  <c r="BF145" i="68"/>
  <c r="BE145" i="68"/>
  <c r="BD145" i="68"/>
  <c r="DR145" i="68" s="1"/>
  <c r="BA145" i="68"/>
  <c r="BB145" i="68" s="1"/>
  <c r="AI145" i="68"/>
  <c r="S145" i="68"/>
  <c r="R145" i="68"/>
  <c r="Q145" i="68"/>
  <c r="P145" i="68"/>
  <c r="O145" i="68"/>
  <c r="M145" i="68"/>
  <c r="K145" i="68"/>
  <c r="J145" i="68"/>
  <c r="H145" i="68"/>
  <c r="G145" i="68"/>
  <c r="E145" i="68"/>
  <c r="D145" i="68"/>
  <c r="C145" i="68"/>
  <c r="CH144" i="68"/>
  <c r="CG144" i="68"/>
  <c r="CF144" i="68"/>
  <c r="CE144" i="68"/>
  <c r="CD144" i="68"/>
  <c r="CC144" i="68"/>
  <c r="CB144" i="68"/>
  <c r="CA144" i="68"/>
  <c r="BZ144" i="68"/>
  <c r="BY144" i="68"/>
  <c r="BX144" i="68"/>
  <c r="BW144" i="68"/>
  <c r="BO144" i="68"/>
  <c r="BN144" i="68"/>
  <c r="BM144" i="68"/>
  <c r="EA144" i="68" s="1"/>
  <c r="BL144" i="68"/>
  <c r="DZ144" i="68" s="1"/>
  <c r="BK144" i="68"/>
  <c r="DY144" i="68" s="1"/>
  <c r="BJ144" i="68"/>
  <c r="DX144" i="68" s="1"/>
  <c r="BI144" i="68"/>
  <c r="DW144" i="68" s="1"/>
  <c r="BH144" i="68"/>
  <c r="BG144" i="68"/>
  <c r="DU144" i="68" s="1"/>
  <c r="BF144" i="68"/>
  <c r="BE144" i="68"/>
  <c r="BD144" i="68"/>
  <c r="DR144" i="68" s="1"/>
  <c r="BA144" i="68"/>
  <c r="BB144" i="68" s="1"/>
  <c r="AI144" i="68"/>
  <c r="S144" i="68"/>
  <c r="R144" i="68"/>
  <c r="Q144" i="68"/>
  <c r="P144" i="68"/>
  <c r="O144" i="68"/>
  <c r="M144" i="68"/>
  <c r="K144" i="68"/>
  <c r="J144" i="68"/>
  <c r="H144" i="68"/>
  <c r="G144" i="68"/>
  <c r="E144" i="68"/>
  <c r="D144" i="68"/>
  <c r="C144" i="68"/>
  <c r="CH143" i="68"/>
  <c r="CG143" i="68"/>
  <c r="CF143" i="68"/>
  <c r="CE143" i="68"/>
  <c r="CD143" i="68"/>
  <c r="CC143" i="68"/>
  <c r="CB143" i="68"/>
  <c r="CA143" i="68"/>
  <c r="BZ143" i="68"/>
  <c r="BY143" i="68"/>
  <c r="BX143" i="68"/>
  <c r="BW143" i="68"/>
  <c r="BO143" i="68"/>
  <c r="EC143" i="68" s="1"/>
  <c r="BN143" i="68"/>
  <c r="EB143" i="68" s="1"/>
  <c r="BM143" i="68"/>
  <c r="EA143" i="68" s="1"/>
  <c r="BL143" i="68"/>
  <c r="DZ143" i="68" s="1"/>
  <c r="BK143" i="68"/>
  <c r="BJ143" i="68"/>
  <c r="DX143" i="68" s="1"/>
  <c r="BI143" i="68"/>
  <c r="BH143" i="68"/>
  <c r="BG143" i="68"/>
  <c r="DU143" i="68" s="1"/>
  <c r="BF143" i="68"/>
  <c r="DT143" i="68" s="1"/>
  <c r="BE143" i="68"/>
  <c r="BD143" i="68"/>
  <c r="DR143" i="68" s="1"/>
  <c r="BA143" i="68"/>
  <c r="BB143" i="68" s="1"/>
  <c r="AI143" i="68"/>
  <c r="S143" i="68"/>
  <c r="R143" i="68"/>
  <c r="Q143" i="68"/>
  <c r="P143" i="68"/>
  <c r="O143" i="68"/>
  <c r="M143" i="68"/>
  <c r="K143" i="68"/>
  <c r="J143" i="68"/>
  <c r="H143" i="68"/>
  <c r="CL143" i="68" s="1" a="1"/>
  <c r="CL143" i="68" s="1"/>
  <c r="G143" i="68"/>
  <c r="E143" i="68"/>
  <c r="D143" i="68"/>
  <c r="C143" i="68"/>
  <c r="CH142" i="68"/>
  <c r="CG142" i="68"/>
  <c r="CF142" i="68"/>
  <c r="CE142" i="68"/>
  <c r="CD142" i="68"/>
  <c r="CC142" i="68"/>
  <c r="CB142" i="68"/>
  <c r="CA142" i="68"/>
  <c r="BZ142" i="68"/>
  <c r="BY142" i="68"/>
  <c r="BX142" i="68"/>
  <c r="BW142" i="68"/>
  <c r="BO142" i="68"/>
  <c r="BN142" i="68"/>
  <c r="EB142" i="68" s="1"/>
  <c r="BM142" i="68"/>
  <c r="EA142" i="68" s="1"/>
  <c r="BL142" i="68"/>
  <c r="DZ142" i="68" s="1"/>
  <c r="BK142" i="68"/>
  <c r="DY142" i="68" s="1"/>
  <c r="BJ142" i="68"/>
  <c r="DX142" i="68" s="1"/>
  <c r="BI142" i="68"/>
  <c r="DW142" i="68" s="1"/>
  <c r="BH142" i="68"/>
  <c r="DV142" i="68" s="1"/>
  <c r="BG142" i="68"/>
  <c r="DU142" i="68" s="1"/>
  <c r="BF142" i="68"/>
  <c r="BE142" i="68"/>
  <c r="BD142" i="68"/>
  <c r="BA142" i="68"/>
  <c r="BB142" i="68" s="1"/>
  <c r="AI142" i="68"/>
  <c r="S142" i="68"/>
  <c r="R142" i="68"/>
  <c r="Q142" i="68"/>
  <c r="P142" i="68"/>
  <c r="O142" i="68"/>
  <c r="M142" i="68"/>
  <c r="K142" i="68"/>
  <c r="J142" i="68"/>
  <c r="H142" i="68"/>
  <c r="G142" i="68"/>
  <c r="E142" i="68"/>
  <c r="D142" i="68"/>
  <c r="C142" i="68"/>
  <c r="CH141" i="68"/>
  <c r="CG141" i="68"/>
  <c r="CF141" i="68"/>
  <c r="CE141" i="68"/>
  <c r="CD141" i="68"/>
  <c r="CC141" i="68"/>
  <c r="CB141" i="68"/>
  <c r="CA141" i="68"/>
  <c r="BZ141" i="68"/>
  <c r="BY141" i="68"/>
  <c r="BX141" i="68"/>
  <c r="BW141" i="68"/>
  <c r="BO141" i="68"/>
  <c r="EC141" i="68" s="1"/>
  <c r="BN141" i="68"/>
  <c r="EB141" i="68" s="1"/>
  <c r="BM141" i="68"/>
  <c r="EA141" i="68" s="1"/>
  <c r="BL141" i="68"/>
  <c r="DZ141" i="68" s="1"/>
  <c r="BK141" i="68"/>
  <c r="DY141" i="68" s="1"/>
  <c r="BJ141" i="68"/>
  <c r="BI141" i="68"/>
  <c r="DW141" i="68" s="1"/>
  <c r="BH141" i="68"/>
  <c r="DV141" i="68" s="1"/>
  <c r="BG141" i="68"/>
  <c r="DU141" i="68" s="1"/>
  <c r="BF141" i="68"/>
  <c r="BE141" i="68"/>
  <c r="DS141" i="68" s="1"/>
  <c r="BD141" i="68"/>
  <c r="BA141" i="68"/>
  <c r="BB141" i="68" s="1"/>
  <c r="AI141" i="68"/>
  <c r="S141" i="68"/>
  <c r="R141" i="68"/>
  <c r="Q141" i="68"/>
  <c r="P141" i="68"/>
  <c r="O141" i="68"/>
  <c r="M141" i="68"/>
  <c r="K141" i="68"/>
  <c r="J141" i="68"/>
  <c r="H141" i="68"/>
  <c r="CL141" i="68" s="1" a="1"/>
  <c r="CL141" i="68" s="1"/>
  <c r="G141" i="68"/>
  <c r="E141" i="68"/>
  <c r="D141" i="68"/>
  <c r="C141" i="68"/>
  <c r="CH140" i="68"/>
  <c r="CG140" i="68"/>
  <c r="CF140" i="68"/>
  <c r="CE140" i="68"/>
  <c r="CD140" i="68"/>
  <c r="CC140" i="68"/>
  <c r="CB140" i="68"/>
  <c r="CA140" i="68"/>
  <c r="BZ140" i="68"/>
  <c r="BY140" i="68"/>
  <c r="BX140" i="68"/>
  <c r="BW140" i="68"/>
  <c r="BO140" i="68"/>
  <c r="EC140" i="68" s="1"/>
  <c r="BN140" i="68"/>
  <c r="EB140" i="68" s="1"/>
  <c r="BM140" i="68"/>
  <c r="EA140" i="68" s="1"/>
  <c r="BL140" i="68"/>
  <c r="BK140" i="68"/>
  <c r="DY140" i="68" s="1"/>
  <c r="BJ140" i="68"/>
  <c r="DX140" i="68" s="1"/>
  <c r="BI140" i="68"/>
  <c r="DW140" i="68" s="1"/>
  <c r="BH140" i="68"/>
  <c r="DV140" i="68" s="1"/>
  <c r="BG140" i="68"/>
  <c r="DU140" i="68" s="1"/>
  <c r="BF140" i="68"/>
  <c r="DT140" i="68" s="1"/>
  <c r="BE140" i="68"/>
  <c r="BD140" i="68"/>
  <c r="DR140" i="68" s="1"/>
  <c r="BA140" i="68"/>
  <c r="BB140" i="68" s="1"/>
  <c r="AI140" i="68"/>
  <c r="S140" i="68"/>
  <c r="R140" i="68"/>
  <c r="Q140" i="68"/>
  <c r="P140" i="68"/>
  <c r="O140" i="68"/>
  <c r="M140" i="68"/>
  <c r="K140" i="68"/>
  <c r="J140" i="68"/>
  <c r="H140" i="68"/>
  <c r="G140" i="68"/>
  <c r="E140" i="68"/>
  <c r="D140" i="68"/>
  <c r="C140" i="68"/>
  <c r="CH139" i="68"/>
  <c r="CG139" i="68"/>
  <c r="CF139" i="68"/>
  <c r="CE139" i="68"/>
  <c r="CD139" i="68"/>
  <c r="CC139" i="68"/>
  <c r="CB139" i="68"/>
  <c r="CA139" i="68"/>
  <c r="BZ139" i="68"/>
  <c r="BY139" i="68"/>
  <c r="BX139" i="68"/>
  <c r="BW139" i="68"/>
  <c r="BO139" i="68"/>
  <c r="EC139" i="68" s="1"/>
  <c r="BN139" i="68"/>
  <c r="EB139" i="68" s="1"/>
  <c r="BM139" i="68"/>
  <c r="BL139" i="68"/>
  <c r="DZ139" i="68" s="1"/>
  <c r="BK139" i="68"/>
  <c r="DY139" i="68" s="1"/>
  <c r="BJ139" i="68"/>
  <c r="DX139" i="68" s="1"/>
  <c r="BI139" i="68"/>
  <c r="DW139" i="68" s="1"/>
  <c r="BH139" i="68"/>
  <c r="DV139" i="68" s="1"/>
  <c r="BG139" i="68"/>
  <c r="BF139" i="68"/>
  <c r="DT139" i="68" s="1"/>
  <c r="BE139" i="68"/>
  <c r="DS139" i="68" s="1"/>
  <c r="BD139" i="68"/>
  <c r="DR139" i="68" s="1"/>
  <c r="BA139" i="68"/>
  <c r="BB139" i="68" s="1"/>
  <c r="AI139" i="68"/>
  <c r="S139" i="68"/>
  <c r="R139" i="68"/>
  <c r="Q139" i="68"/>
  <c r="P139" i="68"/>
  <c r="O139" i="68"/>
  <c r="M139" i="68"/>
  <c r="K139" i="68"/>
  <c r="J139" i="68"/>
  <c r="H139" i="68"/>
  <c r="CL139" i="68" s="1" a="1"/>
  <c r="CL139" i="68" s="1"/>
  <c r="G139" i="68"/>
  <c r="E139" i="68"/>
  <c r="D139" i="68"/>
  <c r="C139" i="68"/>
  <c r="CH138" i="68"/>
  <c r="CG138" i="68"/>
  <c r="CF138" i="68"/>
  <c r="CE138" i="68"/>
  <c r="CD138" i="68"/>
  <c r="CC138" i="68"/>
  <c r="CB138" i="68"/>
  <c r="CA138" i="68"/>
  <c r="BZ138" i="68"/>
  <c r="BY138" i="68"/>
  <c r="BX138" i="68"/>
  <c r="BW138" i="68"/>
  <c r="BO138" i="68"/>
  <c r="EC138" i="68" s="1"/>
  <c r="BN138" i="68"/>
  <c r="EB138" i="68" s="1"/>
  <c r="BM138" i="68"/>
  <c r="BL138" i="68"/>
  <c r="DZ138" i="68" s="1"/>
  <c r="BK138" i="68"/>
  <c r="BJ138" i="68"/>
  <c r="DX138" i="68" s="1"/>
  <c r="BI138" i="68"/>
  <c r="DW138" i="68" s="1"/>
  <c r="BH138" i="68"/>
  <c r="DV138" i="68" s="1"/>
  <c r="BG138" i="68"/>
  <c r="BF138" i="68"/>
  <c r="DT138" i="68" s="1"/>
  <c r="BE138" i="68"/>
  <c r="DS138" i="68" s="1"/>
  <c r="BD138" i="68"/>
  <c r="DR138" i="68" s="1"/>
  <c r="BA138" i="68"/>
  <c r="BB138" i="68" s="1"/>
  <c r="AI138" i="68"/>
  <c r="S138" i="68"/>
  <c r="R138" i="68"/>
  <c r="Q138" i="68"/>
  <c r="P138" i="68"/>
  <c r="O138" i="68"/>
  <c r="M138" i="68"/>
  <c r="K138" i="68"/>
  <c r="J138" i="68"/>
  <c r="H138" i="68"/>
  <c r="CL138" i="68" s="1" a="1"/>
  <c r="CL138" i="68" s="1"/>
  <c r="G138" i="68"/>
  <c r="E138" i="68"/>
  <c r="D138" i="68"/>
  <c r="C138" i="68"/>
  <c r="CH137" i="68"/>
  <c r="CG137" i="68"/>
  <c r="CF137" i="68"/>
  <c r="CE137" i="68"/>
  <c r="CD137" i="68"/>
  <c r="CC137" i="68"/>
  <c r="CB137" i="68"/>
  <c r="CA137" i="68"/>
  <c r="BZ137" i="68"/>
  <c r="BY137" i="68"/>
  <c r="BX137" i="68"/>
  <c r="BW137" i="68"/>
  <c r="BO137" i="68"/>
  <c r="EC137" i="68" s="1"/>
  <c r="BN137" i="68"/>
  <c r="BM137" i="68"/>
  <c r="EA137" i="68" s="1"/>
  <c r="BL137" i="68"/>
  <c r="BK137" i="68"/>
  <c r="DY137" i="68" s="1"/>
  <c r="BJ137" i="68"/>
  <c r="DX137" i="68" s="1"/>
  <c r="BI137" i="68"/>
  <c r="BH137" i="68"/>
  <c r="DV137" i="68" s="1"/>
  <c r="BG137" i="68"/>
  <c r="DU137" i="68" s="1"/>
  <c r="BF137" i="68"/>
  <c r="BE137" i="68"/>
  <c r="DS137" i="68" s="1"/>
  <c r="BD137" i="68"/>
  <c r="DR137" i="68" s="1"/>
  <c r="BA137" i="68"/>
  <c r="BB137" i="68" s="1"/>
  <c r="AI137" i="68"/>
  <c r="S137" i="68"/>
  <c r="R137" i="68"/>
  <c r="Q137" i="68"/>
  <c r="P137" i="68"/>
  <c r="O137" i="68"/>
  <c r="M137" i="68"/>
  <c r="K137" i="68"/>
  <c r="J137" i="68"/>
  <c r="H137" i="68"/>
  <c r="CL137" i="68" s="1" a="1"/>
  <c r="CL137" i="68" s="1"/>
  <c r="G137" i="68"/>
  <c r="E137" i="68"/>
  <c r="D137" i="68"/>
  <c r="C137" i="68"/>
  <c r="CH136" i="68"/>
  <c r="CG136" i="68"/>
  <c r="CF136" i="68"/>
  <c r="CE136" i="68"/>
  <c r="CD136" i="68"/>
  <c r="CC136" i="68"/>
  <c r="CB136" i="68"/>
  <c r="CA136" i="68"/>
  <c r="BZ136" i="68"/>
  <c r="BY136" i="68"/>
  <c r="BX136" i="68"/>
  <c r="BW136" i="68"/>
  <c r="BO136" i="68"/>
  <c r="BN136" i="68"/>
  <c r="EB136" i="68" s="1"/>
  <c r="BM136" i="68"/>
  <c r="EA136" i="68" s="1"/>
  <c r="BL136" i="68"/>
  <c r="DZ136" i="68" s="1"/>
  <c r="BK136" i="68"/>
  <c r="DY136" i="68" s="1"/>
  <c r="BJ136" i="68"/>
  <c r="DX136" i="68" s="1"/>
  <c r="BI136" i="68"/>
  <c r="DW136" i="68" s="1"/>
  <c r="BH136" i="68"/>
  <c r="DV136" i="68" s="1"/>
  <c r="BG136" i="68"/>
  <c r="DU136" i="68" s="1"/>
  <c r="BF136" i="68"/>
  <c r="BE136" i="68"/>
  <c r="BD136" i="68"/>
  <c r="BA136" i="68"/>
  <c r="BB136" i="68" s="1"/>
  <c r="AI136" i="68"/>
  <c r="S136" i="68"/>
  <c r="R136" i="68"/>
  <c r="Q136" i="68"/>
  <c r="P136" i="68"/>
  <c r="O136" i="68"/>
  <c r="M136" i="68"/>
  <c r="K136" i="68"/>
  <c r="J136" i="68"/>
  <c r="H136" i="68"/>
  <c r="G136" i="68"/>
  <c r="E136" i="68"/>
  <c r="D136" i="68"/>
  <c r="C136" i="68"/>
  <c r="CH135" i="68"/>
  <c r="CG135" i="68"/>
  <c r="CF135" i="68"/>
  <c r="CE135" i="68"/>
  <c r="CD135" i="68"/>
  <c r="CC135" i="68"/>
  <c r="CB135" i="68"/>
  <c r="CA135" i="68"/>
  <c r="BZ135" i="68"/>
  <c r="BY135" i="68"/>
  <c r="BX135" i="68"/>
  <c r="BW135" i="68"/>
  <c r="BO135" i="68"/>
  <c r="EC135" i="68" s="1"/>
  <c r="BN135" i="68"/>
  <c r="EB135" i="68" s="1"/>
  <c r="BM135" i="68"/>
  <c r="EA135" i="68" s="1"/>
  <c r="BL135" i="68"/>
  <c r="BK135" i="68"/>
  <c r="BJ135" i="68"/>
  <c r="DX135" i="68" s="1"/>
  <c r="BI135" i="68"/>
  <c r="BH135" i="68"/>
  <c r="DV135" i="68" s="1"/>
  <c r="BG135" i="68"/>
  <c r="DU135" i="68" s="1"/>
  <c r="BF135" i="68"/>
  <c r="DT135" i="68" s="1"/>
  <c r="BE135" i="68"/>
  <c r="BD135" i="68"/>
  <c r="BA135" i="68"/>
  <c r="BB135" i="68" s="1"/>
  <c r="AI135" i="68"/>
  <c r="S135" i="68"/>
  <c r="R135" i="68"/>
  <c r="Q135" i="68"/>
  <c r="P135" i="68"/>
  <c r="O135" i="68"/>
  <c r="M135" i="68"/>
  <c r="K135" i="68"/>
  <c r="J135" i="68"/>
  <c r="H135" i="68"/>
  <c r="G135" i="68"/>
  <c r="E135" i="68"/>
  <c r="D135" i="68"/>
  <c r="C135" i="68"/>
  <c r="CH134" i="68"/>
  <c r="CG134" i="68"/>
  <c r="CF134" i="68"/>
  <c r="CE134" i="68"/>
  <c r="CD134" i="68"/>
  <c r="CC134" i="68"/>
  <c r="CB134" i="68"/>
  <c r="CA134" i="68"/>
  <c r="BZ134" i="68"/>
  <c r="BY134" i="68"/>
  <c r="BX134" i="68"/>
  <c r="BW134" i="68"/>
  <c r="BO134" i="68"/>
  <c r="EC134" i="68" s="1"/>
  <c r="BN134" i="68"/>
  <c r="EB134" i="68" s="1"/>
  <c r="BM134" i="68"/>
  <c r="BL134" i="68"/>
  <c r="BK134" i="68"/>
  <c r="DY134" i="68" s="1"/>
  <c r="BJ134" i="68"/>
  <c r="DX134" i="68" s="1"/>
  <c r="BI134" i="68"/>
  <c r="BH134" i="68"/>
  <c r="DV134" i="68" s="1"/>
  <c r="BG134" i="68"/>
  <c r="DU134" i="68" s="1"/>
  <c r="BF134" i="68"/>
  <c r="BE134" i="68"/>
  <c r="DS134" i="68" s="1"/>
  <c r="BD134" i="68"/>
  <c r="DR134" i="68" s="1"/>
  <c r="BA134" i="68"/>
  <c r="BB134" i="68" s="1"/>
  <c r="AI134" i="68"/>
  <c r="S134" i="68"/>
  <c r="R134" i="68"/>
  <c r="Q134" i="68"/>
  <c r="P134" i="68"/>
  <c r="O134" i="68"/>
  <c r="M134" i="68"/>
  <c r="K134" i="68"/>
  <c r="J134" i="68"/>
  <c r="H134" i="68"/>
  <c r="G134" i="68"/>
  <c r="E134" i="68"/>
  <c r="D134" i="68"/>
  <c r="C134" i="68"/>
  <c r="CH133" i="68"/>
  <c r="CG133" i="68"/>
  <c r="CF133" i="68"/>
  <c r="CE133" i="68"/>
  <c r="CD133" i="68"/>
  <c r="CC133" i="68"/>
  <c r="CB133" i="68"/>
  <c r="CA133" i="68"/>
  <c r="BZ133" i="68"/>
  <c r="BY133" i="68"/>
  <c r="BX133" i="68"/>
  <c r="BW133" i="68"/>
  <c r="BO133" i="68"/>
  <c r="EC133" i="68" s="1"/>
  <c r="BN133" i="68"/>
  <c r="EB133" i="68" s="1"/>
  <c r="BM133" i="68"/>
  <c r="EA133" i="68" s="1"/>
  <c r="BL133" i="68"/>
  <c r="DZ133" i="68" s="1"/>
  <c r="BK133" i="68"/>
  <c r="BJ133" i="68"/>
  <c r="BI133" i="68"/>
  <c r="BH133" i="68"/>
  <c r="DV133" i="68" s="1"/>
  <c r="BG133" i="68"/>
  <c r="DU133" i="68" s="1"/>
  <c r="BF133" i="68"/>
  <c r="DT133" i="68" s="1"/>
  <c r="BE133" i="68"/>
  <c r="DS133" i="68" s="1"/>
  <c r="BD133" i="68"/>
  <c r="DR133" i="68" s="1"/>
  <c r="BA133" i="68"/>
  <c r="BB133" i="68" s="1"/>
  <c r="AI133" i="68"/>
  <c r="S133" i="68"/>
  <c r="R133" i="68"/>
  <c r="Q133" i="68"/>
  <c r="P133" i="68"/>
  <c r="O133" i="68"/>
  <c r="M133" i="68"/>
  <c r="K133" i="68"/>
  <c r="J133" i="68"/>
  <c r="H133" i="68"/>
  <c r="G133" i="68"/>
  <c r="E133" i="68"/>
  <c r="D133" i="68"/>
  <c r="C133" i="68"/>
  <c r="CH132" i="68"/>
  <c r="CG132" i="68"/>
  <c r="CF132" i="68"/>
  <c r="CE132" i="68"/>
  <c r="CD132" i="68"/>
  <c r="CC132" i="68"/>
  <c r="CB132" i="68"/>
  <c r="CA132" i="68"/>
  <c r="BZ132" i="68"/>
  <c r="BY132" i="68"/>
  <c r="BX132" i="68"/>
  <c r="BW132" i="68"/>
  <c r="BO132" i="68"/>
  <c r="BN132" i="68"/>
  <c r="EB132" i="68" s="1"/>
  <c r="BM132" i="68"/>
  <c r="EA132" i="68" s="1"/>
  <c r="BL132" i="68"/>
  <c r="BK132" i="68"/>
  <c r="BJ132" i="68"/>
  <c r="BI132" i="68"/>
  <c r="DW132" i="68" s="1"/>
  <c r="BH132" i="68"/>
  <c r="BG132" i="68"/>
  <c r="DU132" i="68" s="1"/>
  <c r="BF132" i="68"/>
  <c r="DT132" i="68" s="1"/>
  <c r="BE132" i="68"/>
  <c r="DS132" i="68" s="1"/>
  <c r="BD132" i="68"/>
  <c r="BA132" i="68"/>
  <c r="BB132" i="68" s="1"/>
  <c r="AI132" i="68"/>
  <c r="S132" i="68"/>
  <c r="R132" i="68"/>
  <c r="Q132" i="68"/>
  <c r="P132" i="68"/>
  <c r="O132" i="68"/>
  <c r="M132" i="68"/>
  <c r="K132" i="68"/>
  <c r="J132" i="68"/>
  <c r="H132" i="68"/>
  <c r="G132" i="68"/>
  <c r="E132" i="68"/>
  <c r="D132" i="68"/>
  <c r="C132" i="68"/>
  <c r="CH131" i="68"/>
  <c r="CG131" i="68"/>
  <c r="CF131" i="68"/>
  <c r="CE131" i="68"/>
  <c r="CD131" i="68"/>
  <c r="CC131" i="68"/>
  <c r="CB131" i="68"/>
  <c r="CA131" i="68"/>
  <c r="BZ131" i="68"/>
  <c r="BY131" i="68"/>
  <c r="BX131" i="68"/>
  <c r="BW131" i="68"/>
  <c r="BO131" i="68"/>
  <c r="EC131" i="68" s="1"/>
  <c r="BN131" i="68"/>
  <c r="BM131" i="68"/>
  <c r="EA131" i="68" s="1"/>
  <c r="BL131" i="68"/>
  <c r="DZ131" i="68" s="1"/>
  <c r="BK131" i="68"/>
  <c r="DY131" i="68" s="1"/>
  <c r="BJ131" i="68"/>
  <c r="DX131" i="68" s="1"/>
  <c r="BI131" i="68"/>
  <c r="DW131" i="68" s="1"/>
  <c r="BH131" i="68"/>
  <c r="DV131" i="68" s="1"/>
  <c r="BG131" i="68"/>
  <c r="DU131" i="68" s="1"/>
  <c r="BF131" i="68"/>
  <c r="DT131" i="68" s="1"/>
  <c r="BE131" i="68"/>
  <c r="DS131" i="68" s="1"/>
  <c r="BD131" i="68"/>
  <c r="DR131" i="68" s="1"/>
  <c r="BA131" i="68"/>
  <c r="BB131" i="68" s="1"/>
  <c r="AI131" i="68"/>
  <c r="S131" i="68"/>
  <c r="R131" i="68"/>
  <c r="Q131" i="68"/>
  <c r="P131" i="68"/>
  <c r="O131" i="68"/>
  <c r="M131" i="68"/>
  <c r="K131" i="68"/>
  <c r="J131" i="68"/>
  <c r="H131" i="68"/>
  <c r="CL131" i="68" s="1" a="1"/>
  <c r="CL131" i="68" s="1"/>
  <c r="G131" i="68"/>
  <c r="E131" i="68"/>
  <c r="D131" i="68"/>
  <c r="C131" i="68"/>
  <c r="CH130" i="68"/>
  <c r="CG130" i="68"/>
  <c r="CF130" i="68"/>
  <c r="CE130" i="68"/>
  <c r="CD130" i="68"/>
  <c r="CC130" i="68"/>
  <c r="CB130" i="68"/>
  <c r="CA130" i="68"/>
  <c r="BZ130" i="68"/>
  <c r="BY130" i="68"/>
  <c r="BX130" i="68"/>
  <c r="BW130" i="68"/>
  <c r="BO130" i="68"/>
  <c r="EC130" i="68" s="1"/>
  <c r="BN130" i="68"/>
  <c r="EB130" i="68" s="1"/>
  <c r="BM130" i="68"/>
  <c r="EA130" i="68" s="1"/>
  <c r="BL130" i="68"/>
  <c r="BK130" i="68"/>
  <c r="DY130" i="68" s="1"/>
  <c r="BJ130" i="68"/>
  <c r="DX130" i="68" s="1"/>
  <c r="BI130" i="68"/>
  <c r="DW130" i="68" s="1"/>
  <c r="BH130" i="68"/>
  <c r="BG130" i="68"/>
  <c r="DU130" i="68" s="1"/>
  <c r="BF130" i="68"/>
  <c r="DT130" i="68" s="1"/>
  <c r="BE130" i="68"/>
  <c r="DS130" i="68" s="1"/>
  <c r="BD130" i="68"/>
  <c r="DR130" i="68" s="1"/>
  <c r="BA130" i="68"/>
  <c r="BB130" i="68" s="1"/>
  <c r="AI130" i="68"/>
  <c r="S130" i="68"/>
  <c r="R130" i="68"/>
  <c r="Q130" i="68"/>
  <c r="P130" i="68"/>
  <c r="O130" i="68"/>
  <c r="M130" i="68"/>
  <c r="K130" i="68"/>
  <c r="J130" i="68"/>
  <c r="H130" i="68"/>
  <c r="CL130" i="68" s="1" a="1"/>
  <c r="CL130" i="68" s="1"/>
  <c r="G130" i="68"/>
  <c r="E130" i="68"/>
  <c r="D130" i="68"/>
  <c r="C130" i="68"/>
  <c r="CH129" i="68"/>
  <c r="CG129" i="68"/>
  <c r="CF129" i="68"/>
  <c r="CE129" i="68"/>
  <c r="CD129" i="68"/>
  <c r="CC129" i="68"/>
  <c r="CB129" i="68"/>
  <c r="CA129" i="68"/>
  <c r="BZ129" i="68"/>
  <c r="BY129" i="68"/>
  <c r="BX129" i="68"/>
  <c r="BW129" i="68"/>
  <c r="BO129" i="68"/>
  <c r="EC129" i="68" s="1"/>
  <c r="BN129" i="68"/>
  <c r="EB129" i="68" s="1"/>
  <c r="BM129" i="68"/>
  <c r="EA129" i="68" s="1"/>
  <c r="BL129" i="68"/>
  <c r="BK129" i="68"/>
  <c r="BJ129" i="68"/>
  <c r="BI129" i="68"/>
  <c r="DW129" i="68" s="1"/>
  <c r="BH129" i="68"/>
  <c r="DV129" i="68" s="1"/>
  <c r="BG129" i="68"/>
  <c r="DU129" i="68" s="1"/>
  <c r="BF129" i="68"/>
  <c r="DT129" i="68" s="1"/>
  <c r="BE129" i="68"/>
  <c r="DS129" i="68" s="1"/>
  <c r="BD129" i="68"/>
  <c r="DR129" i="68" s="1"/>
  <c r="BA129" i="68"/>
  <c r="BB129" i="68" s="1"/>
  <c r="AI129" i="68"/>
  <c r="S129" i="68"/>
  <c r="R129" i="68"/>
  <c r="Q129" i="68"/>
  <c r="P129" i="68"/>
  <c r="O129" i="68"/>
  <c r="M129" i="68"/>
  <c r="K129" i="68"/>
  <c r="J129" i="68"/>
  <c r="H129" i="68"/>
  <c r="G129" i="68"/>
  <c r="E129" i="68"/>
  <c r="D129" i="68"/>
  <c r="C129" i="68"/>
  <c r="CH128" i="68"/>
  <c r="CG128" i="68"/>
  <c r="CF128" i="68"/>
  <c r="CE128" i="68"/>
  <c r="CD128" i="68"/>
  <c r="CC128" i="68"/>
  <c r="CB128" i="68"/>
  <c r="CA128" i="68"/>
  <c r="BZ128" i="68"/>
  <c r="BY128" i="68"/>
  <c r="BX128" i="68"/>
  <c r="BW128" i="68"/>
  <c r="BO128" i="68"/>
  <c r="BN128" i="68"/>
  <c r="EB128" i="68" s="1"/>
  <c r="BM128" i="68"/>
  <c r="EA128" i="68" s="1"/>
  <c r="BL128" i="68"/>
  <c r="DZ128" i="68" s="1"/>
  <c r="BK128" i="68"/>
  <c r="DY128" i="68" s="1"/>
  <c r="BJ128" i="68"/>
  <c r="BI128" i="68"/>
  <c r="DW128" i="68" s="1"/>
  <c r="BH128" i="68"/>
  <c r="DV128" i="68" s="1"/>
  <c r="BG128" i="68"/>
  <c r="DU128" i="68" s="1"/>
  <c r="BF128" i="68"/>
  <c r="DT128" i="68" s="1"/>
  <c r="BE128" i="68"/>
  <c r="DS128" i="68" s="1"/>
  <c r="BD128" i="68"/>
  <c r="DR128" i="68" s="1"/>
  <c r="BA128" i="68"/>
  <c r="BB128" i="68" s="1"/>
  <c r="AI128" i="68"/>
  <c r="S128" i="68"/>
  <c r="R128" i="68"/>
  <c r="Q128" i="68"/>
  <c r="P128" i="68"/>
  <c r="O128" i="68"/>
  <c r="M128" i="68"/>
  <c r="K128" i="68"/>
  <c r="J128" i="68"/>
  <c r="H128" i="68"/>
  <c r="CL128" i="68" s="1" a="1"/>
  <c r="CL128" i="68" s="1"/>
  <c r="G128" i="68"/>
  <c r="E128" i="68"/>
  <c r="D128" i="68"/>
  <c r="C128" i="68"/>
  <c r="CH127" i="68"/>
  <c r="CG127" i="68"/>
  <c r="CF127" i="68"/>
  <c r="CE127" i="68"/>
  <c r="CD127" i="68"/>
  <c r="CC127" i="68"/>
  <c r="CB127" i="68"/>
  <c r="CA127" i="68"/>
  <c r="BZ127" i="68"/>
  <c r="BY127" i="68"/>
  <c r="BX127" i="68"/>
  <c r="BW127" i="68"/>
  <c r="BO127" i="68"/>
  <c r="BN127" i="68"/>
  <c r="BM127" i="68"/>
  <c r="EA127" i="68" s="1"/>
  <c r="BL127" i="68"/>
  <c r="DZ127" i="68" s="1"/>
  <c r="BK127" i="68"/>
  <c r="DY127" i="68" s="1"/>
  <c r="BJ127" i="68"/>
  <c r="DX127" i="68" s="1"/>
  <c r="BI127" i="68"/>
  <c r="DW127" i="68" s="1"/>
  <c r="BH127" i="68"/>
  <c r="DV127" i="68" s="1"/>
  <c r="BG127" i="68"/>
  <c r="DU127" i="68" s="1"/>
  <c r="BF127" i="68"/>
  <c r="DT127" i="68" s="1"/>
  <c r="BE127" i="68"/>
  <c r="DS127" i="68" s="1"/>
  <c r="BD127" i="68"/>
  <c r="DR127" i="68" s="1"/>
  <c r="BA127" i="68"/>
  <c r="BB127" i="68" s="1"/>
  <c r="AI127" i="68"/>
  <c r="S127" i="68"/>
  <c r="R127" i="68"/>
  <c r="Q127" i="68"/>
  <c r="P127" i="68"/>
  <c r="O127" i="68"/>
  <c r="M127" i="68"/>
  <c r="K127" i="68"/>
  <c r="J127" i="68"/>
  <c r="H127" i="68"/>
  <c r="CL127" i="68" s="1" a="1"/>
  <c r="CL127" i="68" s="1"/>
  <c r="G127" i="68"/>
  <c r="E127" i="68"/>
  <c r="D127" i="68"/>
  <c r="C127" i="68"/>
  <c r="CH126" i="68"/>
  <c r="CG126" i="68"/>
  <c r="CF126" i="68"/>
  <c r="CE126" i="68"/>
  <c r="CD126" i="68"/>
  <c r="CC126" i="68"/>
  <c r="CB126" i="68"/>
  <c r="CA126" i="68"/>
  <c r="BZ126" i="68"/>
  <c r="BY126" i="68"/>
  <c r="BX126" i="68"/>
  <c r="BW126" i="68"/>
  <c r="BO126" i="68"/>
  <c r="EC126" i="68" s="1"/>
  <c r="BN126" i="68"/>
  <c r="EB126" i="68" s="1"/>
  <c r="BM126" i="68"/>
  <c r="EA126" i="68" s="1"/>
  <c r="BL126" i="68"/>
  <c r="DZ126" i="68" s="1"/>
  <c r="BK126" i="68"/>
  <c r="DY126" i="68" s="1"/>
  <c r="BJ126" i="68"/>
  <c r="DX126" i="68" s="1"/>
  <c r="BI126" i="68"/>
  <c r="DW126" i="68" s="1"/>
  <c r="BH126" i="68"/>
  <c r="BG126" i="68"/>
  <c r="DU126" i="68" s="1"/>
  <c r="BF126" i="68"/>
  <c r="BE126" i="68"/>
  <c r="BD126" i="68"/>
  <c r="DR126" i="68" s="1"/>
  <c r="BA126" i="68"/>
  <c r="BB126" i="68" s="1"/>
  <c r="AI126" i="68"/>
  <c r="S126" i="68"/>
  <c r="R126" i="68"/>
  <c r="Q126" i="68"/>
  <c r="P126" i="68"/>
  <c r="O126" i="68"/>
  <c r="M126" i="68"/>
  <c r="K126" i="68"/>
  <c r="J126" i="68"/>
  <c r="H126" i="68"/>
  <c r="CL126" i="68" s="1" a="1"/>
  <c r="CL126" i="68" s="1"/>
  <c r="G126" i="68"/>
  <c r="E126" i="68"/>
  <c r="D126" i="68"/>
  <c r="C126" i="68"/>
  <c r="CH125" i="68"/>
  <c r="CG125" i="68"/>
  <c r="CF125" i="68"/>
  <c r="CE125" i="68"/>
  <c r="CD125" i="68"/>
  <c r="CC125" i="68"/>
  <c r="CB125" i="68"/>
  <c r="CA125" i="68"/>
  <c r="BZ125" i="68"/>
  <c r="BY125" i="68"/>
  <c r="BX125" i="68"/>
  <c r="BW125" i="68"/>
  <c r="BO125" i="68"/>
  <c r="EC125" i="68" s="1"/>
  <c r="BN125" i="68"/>
  <c r="EB125" i="68" s="1"/>
  <c r="BM125" i="68"/>
  <c r="EA125" i="68" s="1"/>
  <c r="BL125" i="68"/>
  <c r="DZ125" i="68" s="1"/>
  <c r="BK125" i="68"/>
  <c r="DY125" i="68" s="1"/>
  <c r="BJ125" i="68"/>
  <c r="DX125" i="68" s="1"/>
  <c r="BI125" i="68"/>
  <c r="DW125" i="68" s="1"/>
  <c r="BH125" i="68"/>
  <c r="BG125" i="68"/>
  <c r="DU125" i="68" s="1"/>
  <c r="BF125" i="68"/>
  <c r="BE125" i="68"/>
  <c r="DS125" i="68" s="1"/>
  <c r="BD125" i="68"/>
  <c r="DR125" i="68" s="1"/>
  <c r="AI125" i="68"/>
  <c r="S125" i="68"/>
  <c r="R125" i="68"/>
  <c r="Q125" i="68"/>
  <c r="P125" i="68"/>
  <c r="O125" i="68"/>
  <c r="M125" i="68"/>
  <c r="K125" i="68"/>
  <c r="J125" i="68"/>
  <c r="H125" i="68"/>
  <c r="CL125" i="68" s="1" a="1"/>
  <c r="CL125" i="68" s="1"/>
  <c r="G125" i="68"/>
  <c r="E125" i="68"/>
  <c r="D125" i="68"/>
  <c r="C125" i="68"/>
  <c r="CH124" i="68"/>
  <c r="CG124" i="68"/>
  <c r="CF124" i="68"/>
  <c r="CE124" i="68"/>
  <c r="CD124" i="68"/>
  <c r="CC124" i="68"/>
  <c r="CB124" i="68"/>
  <c r="CA124" i="68"/>
  <c r="BZ124" i="68"/>
  <c r="BY124" i="68"/>
  <c r="BX124" i="68"/>
  <c r="BW124" i="68"/>
  <c r="BO124" i="68"/>
  <c r="EC124" i="68" s="1"/>
  <c r="BN124" i="68"/>
  <c r="EB124" i="68" s="1"/>
  <c r="BM124" i="68"/>
  <c r="BL124" i="68"/>
  <c r="DZ124" i="68" s="1"/>
  <c r="BK124" i="68"/>
  <c r="DY124" i="68" s="1"/>
  <c r="BJ124" i="68"/>
  <c r="DX124" i="68" s="1"/>
  <c r="BI124" i="68"/>
  <c r="DW124" i="68" s="1"/>
  <c r="BH124" i="68"/>
  <c r="BG124" i="68"/>
  <c r="BF124" i="68"/>
  <c r="DT124" i="68" s="1"/>
  <c r="BE124" i="68"/>
  <c r="DS124" i="68" s="1"/>
  <c r="BD124" i="68"/>
  <c r="DR124" i="68" s="1"/>
  <c r="BA124" i="68"/>
  <c r="BB124" i="68" s="1"/>
  <c r="AI124" i="68"/>
  <c r="S124" i="68"/>
  <c r="R124" i="68"/>
  <c r="Q124" i="68"/>
  <c r="P124" i="68"/>
  <c r="O124" i="68"/>
  <c r="M124" i="68"/>
  <c r="K124" i="68"/>
  <c r="J124" i="68"/>
  <c r="H124" i="68"/>
  <c r="CL124" i="68" s="1" a="1"/>
  <c r="CL124" i="68" s="1"/>
  <c r="G124" i="68"/>
  <c r="E124" i="68"/>
  <c r="D124" i="68"/>
  <c r="C124" i="68"/>
  <c r="CH123" i="68"/>
  <c r="CG123" i="68"/>
  <c r="CF123" i="68"/>
  <c r="CE123" i="68"/>
  <c r="CD123" i="68"/>
  <c r="CC123" i="68"/>
  <c r="CB123" i="68"/>
  <c r="CA123" i="68"/>
  <c r="BZ123" i="68"/>
  <c r="BY123" i="68"/>
  <c r="BX123" i="68"/>
  <c r="BW123" i="68"/>
  <c r="BO123" i="68"/>
  <c r="EC123" i="68" s="1"/>
  <c r="BN123" i="68"/>
  <c r="EB123" i="68" s="1"/>
  <c r="BM123" i="68"/>
  <c r="EA123" i="68" s="1"/>
  <c r="BL123" i="68"/>
  <c r="DZ123" i="68" s="1"/>
  <c r="BK123" i="68"/>
  <c r="DY123" i="68" s="1"/>
  <c r="BJ123" i="68"/>
  <c r="DX123" i="68" s="1"/>
  <c r="BI123" i="68"/>
  <c r="BH123" i="68"/>
  <c r="DV123" i="68" s="1"/>
  <c r="BG123" i="68"/>
  <c r="DU123" i="68" s="1"/>
  <c r="BF123" i="68"/>
  <c r="DT123" i="68" s="1"/>
  <c r="BE123" i="68"/>
  <c r="DS123" i="68" s="1"/>
  <c r="BD123" i="68"/>
  <c r="DR123" i="68" s="1"/>
  <c r="BA123" i="68"/>
  <c r="BB123" i="68" s="1"/>
  <c r="AI123" i="68"/>
  <c r="S123" i="68"/>
  <c r="R123" i="68"/>
  <c r="Q123" i="68"/>
  <c r="P123" i="68"/>
  <c r="O123" i="68"/>
  <c r="M123" i="68"/>
  <c r="K123" i="68"/>
  <c r="J123" i="68"/>
  <c r="H123" i="68"/>
  <c r="G123" i="68"/>
  <c r="E123" i="68"/>
  <c r="D123" i="68"/>
  <c r="C123" i="68"/>
  <c r="CH122" i="68"/>
  <c r="CG122" i="68"/>
  <c r="CF122" i="68"/>
  <c r="CE122" i="68"/>
  <c r="CD122" i="68"/>
  <c r="CC122" i="68"/>
  <c r="CB122" i="68"/>
  <c r="CA122" i="68"/>
  <c r="BZ122" i="68"/>
  <c r="BY122" i="68"/>
  <c r="BX122" i="68"/>
  <c r="BW122" i="68"/>
  <c r="BO122" i="68"/>
  <c r="EC122" i="68" s="1"/>
  <c r="BN122" i="68"/>
  <c r="BM122" i="68"/>
  <c r="EA122" i="68" s="1"/>
  <c r="BL122" i="68"/>
  <c r="DZ122" i="68" s="1"/>
  <c r="BK122" i="68"/>
  <c r="DY122" i="68" s="1"/>
  <c r="BJ122" i="68"/>
  <c r="DX122" i="68" s="1"/>
  <c r="BI122" i="68"/>
  <c r="BH122" i="68"/>
  <c r="DV122" i="68" s="1"/>
  <c r="BG122" i="68"/>
  <c r="DU122" i="68" s="1"/>
  <c r="BF122" i="68"/>
  <c r="DT122" i="68" s="1"/>
  <c r="BE122" i="68"/>
  <c r="BD122" i="68"/>
  <c r="BA122" i="68"/>
  <c r="BB122" i="68" s="1"/>
  <c r="AI122" i="68"/>
  <c r="S122" i="68"/>
  <c r="R122" i="68"/>
  <c r="Q122" i="68"/>
  <c r="P122" i="68"/>
  <c r="O122" i="68"/>
  <c r="M122" i="68"/>
  <c r="K122" i="68"/>
  <c r="J122" i="68"/>
  <c r="H122" i="68"/>
  <c r="G122" i="68"/>
  <c r="E122" i="68"/>
  <c r="D122" i="68"/>
  <c r="C122" i="68"/>
  <c r="CH121" i="68"/>
  <c r="CG121" i="68"/>
  <c r="CF121" i="68"/>
  <c r="CE121" i="68"/>
  <c r="CD121" i="68"/>
  <c r="CC121" i="68"/>
  <c r="CB121" i="68"/>
  <c r="CA121" i="68"/>
  <c r="BZ121" i="68"/>
  <c r="BY121" i="68"/>
  <c r="BX121" i="68"/>
  <c r="BW121" i="68"/>
  <c r="BO121" i="68"/>
  <c r="EC121" i="68" s="1"/>
  <c r="BN121" i="68"/>
  <c r="EB121" i="68" s="1"/>
  <c r="BM121" i="68"/>
  <c r="EA121" i="68" s="1"/>
  <c r="BL121" i="68"/>
  <c r="DZ121" i="68" s="1"/>
  <c r="BK121" i="68"/>
  <c r="DY121" i="68" s="1"/>
  <c r="BJ121" i="68"/>
  <c r="DX121" i="68" s="1"/>
  <c r="BI121" i="68"/>
  <c r="DW121" i="68" s="1"/>
  <c r="BH121" i="68"/>
  <c r="DV121" i="68" s="1"/>
  <c r="BG121" i="68"/>
  <c r="BF121" i="68"/>
  <c r="DT121" i="68" s="1"/>
  <c r="BE121" i="68"/>
  <c r="BD121" i="68"/>
  <c r="DR121" i="68" s="1"/>
  <c r="BA121" i="68"/>
  <c r="BB121" i="68" s="1"/>
  <c r="AI121" i="68"/>
  <c r="S121" i="68"/>
  <c r="R121" i="68"/>
  <c r="Q121" i="68"/>
  <c r="P121" i="68"/>
  <c r="O121" i="68"/>
  <c r="M121" i="68"/>
  <c r="K121" i="68"/>
  <c r="J121" i="68"/>
  <c r="H121" i="68"/>
  <c r="G121" i="68"/>
  <c r="E121" i="68"/>
  <c r="D121" i="68"/>
  <c r="C121" i="68"/>
  <c r="CH120" i="68"/>
  <c r="CG120" i="68"/>
  <c r="CF120" i="68"/>
  <c r="CE120" i="68"/>
  <c r="CD120" i="68"/>
  <c r="CC120" i="68"/>
  <c r="CB120" i="68"/>
  <c r="CA120" i="68"/>
  <c r="BZ120" i="68"/>
  <c r="BY120" i="68"/>
  <c r="BX120" i="68"/>
  <c r="BW120" i="68"/>
  <c r="BO120" i="68"/>
  <c r="EC120" i="68" s="1"/>
  <c r="BN120" i="68"/>
  <c r="EB120" i="68" s="1"/>
  <c r="BM120" i="68"/>
  <c r="EA120" i="68" s="1"/>
  <c r="BL120" i="68"/>
  <c r="BK120" i="68"/>
  <c r="DY120" i="68" s="1"/>
  <c r="BJ120" i="68"/>
  <c r="BI120" i="68"/>
  <c r="DW120" i="68" s="1"/>
  <c r="BH120" i="68"/>
  <c r="BG120" i="68"/>
  <c r="DU120" i="68" s="1"/>
  <c r="BF120" i="68"/>
  <c r="DT120" i="68" s="1"/>
  <c r="BE120" i="68"/>
  <c r="DS120" i="68" s="1"/>
  <c r="BD120" i="68"/>
  <c r="DR120" i="68" s="1"/>
  <c r="BA120" i="68"/>
  <c r="BB120" i="68" s="1"/>
  <c r="AI120" i="68"/>
  <c r="S120" i="68"/>
  <c r="R120" i="68"/>
  <c r="Q120" i="68"/>
  <c r="P120" i="68"/>
  <c r="O120" i="68"/>
  <c r="M120" i="68"/>
  <c r="K120" i="68"/>
  <c r="J120" i="68"/>
  <c r="H120" i="68"/>
  <c r="CL120" i="68" s="1" a="1"/>
  <c r="CL120" i="68" s="1"/>
  <c r="G120" i="68"/>
  <c r="E120" i="68"/>
  <c r="D120" i="68"/>
  <c r="C120" i="68"/>
  <c r="CH119" i="68"/>
  <c r="CG119" i="68"/>
  <c r="CF119" i="68"/>
  <c r="CE119" i="68"/>
  <c r="CD119" i="68"/>
  <c r="CC119" i="68"/>
  <c r="CB119" i="68"/>
  <c r="CA119" i="68"/>
  <c r="BZ119" i="68"/>
  <c r="BY119" i="68"/>
  <c r="BX119" i="68"/>
  <c r="BW119" i="68"/>
  <c r="BO119" i="68"/>
  <c r="EC119" i="68" s="1"/>
  <c r="BN119" i="68"/>
  <c r="EB119" i="68" s="1"/>
  <c r="BM119" i="68"/>
  <c r="EA119" i="68" s="1"/>
  <c r="BL119" i="68"/>
  <c r="BK119" i="68"/>
  <c r="DY119" i="68" s="1"/>
  <c r="BJ119" i="68"/>
  <c r="DX119" i="68" s="1"/>
  <c r="BI119" i="68"/>
  <c r="DW119" i="68" s="1"/>
  <c r="BH119" i="68"/>
  <c r="DV119" i="68" s="1"/>
  <c r="BG119" i="68"/>
  <c r="DU119" i="68" s="1"/>
  <c r="BF119" i="68"/>
  <c r="BE119" i="68"/>
  <c r="DS119" i="68" s="1"/>
  <c r="BD119" i="68"/>
  <c r="DR119" i="68" s="1"/>
  <c r="BA119" i="68"/>
  <c r="BB119" i="68" s="1"/>
  <c r="AI119" i="68"/>
  <c r="S119" i="68"/>
  <c r="R119" i="68"/>
  <c r="Q119" i="68"/>
  <c r="P119" i="68"/>
  <c r="O119" i="68"/>
  <c r="M119" i="68"/>
  <c r="K119" i="68"/>
  <c r="J119" i="68"/>
  <c r="H119" i="68"/>
  <c r="G119" i="68"/>
  <c r="E119" i="68"/>
  <c r="D119" i="68"/>
  <c r="C119" i="68"/>
  <c r="BO118" i="68"/>
  <c r="EC118" i="68" s="1"/>
  <c r="BN118" i="68"/>
  <c r="EB118" i="68" s="1"/>
  <c r="BM118" i="68"/>
  <c r="CF118" i="68" s="1"/>
  <c r="BL118" i="68"/>
  <c r="DZ118" i="68" s="1"/>
  <c r="BK118" i="68"/>
  <c r="BJ118" i="68"/>
  <c r="CC118" i="68" s="1"/>
  <c r="BI118" i="68"/>
  <c r="CB118" i="68" s="1"/>
  <c r="BH118" i="68"/>
  <c r="BG118" i="68"/>
  <c r="BF118" i="68"/>
  <c r="BE118" i="68"/>
  <c r="BX118" i="68" s="1"/>
  <c r="BD118" i="68"/>
  <c r="BA118" i="68"/>
  <c r="BB118" i="68" s="1"/>
  <c r="AI118" i="68"/>
  <c r="S118" i="68"/>
  <c r="R118" i="68"/>
  <c r="Q118" i="68"/>
  <c r="P118" i="68"/>
  <c r="O118" i="68"/>
  <c r="M118" i="68"/>
  <c r="K118" i="68"/>
  <c r="J118" i="68"/>
  <c r="H118" i="68"/>
  <c r="CL118" i="68" s="1" a="1"/>
  <c r="CL118" i="68" s="1"/>
  <c r="G118" i="68"/>
  <c r="E118" i="68"/>
  <c r="D118" i="68"/>
  <c r="C118" i="68"/>
  <c r="CH117" i="68"/>
  <c r="CG117" i="68"/>
  <c r="CF117" i="68"/>
  <c r="CE117" i="68"/>
  <c r="CD117" i="68"/>
  <c r="CC117" i="68"/>
  <c r="CB117" i="68"/>
  <c r="CA117" i="68"/>
  <c r="BZ117" i="68"/>
  <c r="BY117" i="68"/>
  <c r="BX117" i="68"/>
  <c r="BW117" i="68"/>
  <c r="BO117" i="68"/>
  <c r="EC117" i="68" s="1"/>
  <c r="BN117" i="68"/>
  <c r="EB117" i="68" s="1"/>
  <c r="BM117" i="68"/>
  <c r="EA117" i="68" s="1"/>
  <c r="BL117" i="68"/>
  <c r="DZ117" i="68" s="1"/>
  <c r="BK117" i="68"/>
  <c r="DY117" i="68" s="1"/>
  <c r="BJ117" i="68"/>
  <c r="BI117" i="68"/>
  <c r="DW117" i="68" s="1"/>
  <c r="BH117" i="68"/>
  <c r="BG117" i="68"/>
  <c r="DU117" i="68" s="1"/>
  <c r="BF117" i="68"/>
  <c r="BE117" i="68"/>
  <c r="DS117" i="68" s="1"/>
  <c r="BD117" i="68"/>
  <c r="BA117" i="68"/>
  <c r="BB117" i="68" s="1"/>
  <c r="AI117" i="68"/>
  <c r="S117" i="68"/>
  <c r="R117" i="68"/>
  <c r="Q117" i="68"/>
  <c r="P117" i="68"/>
  <c r="O117" i="68"/>
  <c r="M117" i="68"/>
  <c r="K117" i="68"/>
  <c r="J117" i="68"/>
  <c r="H117" i="68"/>
  <c r="CL117" i="68" s="1" a="1"/>
  <c r="CL117" i="68" s="1"/>
  <c r="G117" i="68"/>
  <c r="E117" i="68"/>
  <c r="D117" i="68"/>
  <c r="C117" i="68"/>
  <c r="CH116" i="68"/>
  <c r="CG116" i="68"/>
  <c r="CF116" i="68"/>
  <c r="CE116" i="68"/>
  <c r="CD116" i="68"/>
  <c r="CC116" i="68"/>
  <c r="CB116" i="68"/>
  <c r="CA116" i="68"/>
  <c r="BZ116" i="68"/>
  <c r="BY116" i="68"/>
  <c r="BX116" i="68"/>
  <c r="BW116" i="68"/>
  <c r="BO116" i="68"/>
  <c r="EC116" i="68" s="1"/>
  <c r="BN116" i="68"/>
  <c r="EB116" i="68" s="1"/>
  <c r="BM116" i="68"/>
  <c r="BL116" i="68"/>
  <c r="DZ116" i="68" s="1"/>
  <c r="BK116" i="68"/>
  <c r="DY116" i="68" s="1"/>
  <c r="BJ116" i="68"/>
  <c r="BI116" i="68"/>
  <c r="DW116" i="68" s="1"/>
  <c r="BH116" i="68"/>
  <c r="BG116" i="68"/>
  <c r="DU116" i="68" s="1"/>
  <c r="BF116" i="68"/>
  <c r="BE116" i="68"/>
  <c r="DS116" i="68" s="1"/>
  <c r="BD116" i="68"/>
  <c r="DR116" i="68" s="1"/>
  <c r="BA116" i="68"/>
  <c r="BB116" i="68" s="1"/>
  <c r="AI116" i="68"/>
  <c r="S116" i="68"/>
  <c r="R116" i="68"/>
  <c r="Q116" i="68"/>
  <c r="P116" i="68"/>
  <c r="O116" i="68"/>
  <c r="M116" i="68"/>
  <c r="K116" i="68"/>
  <c r="J116" i="68"/>
  <c r="H116" i="68"/>
  <c r="CL116" i="68" s="1" a="1"/>
  <c r="CL116" i="68" s="1"/>
  <c r="G116" i="68"/>
  <c r="E116" i="68"/>
  <c r="D116" i="68"/>
  <c r="C116" i="68"/>
  <c r="CH115" i="68"/>
  <c r="CG115" i="68"/>
  <c r="CF115" i="68"/>
  <c r="CE115" i="68"/>
  <c r="CD115" i="68"/>
  <c r="CC115" i="68"/>
  <c r="CB115" i="68"/>
  <c r="CA115" i="68"/>
  <c r="BZ115" i="68"/>
  <c r="BY115" i="68"/>
  <c r="BX115" i="68"/>
  <c r="BW115" i="68"/>
  <c r="BO115" i="68"/>
  <c r="BN115" i="68"/>
  <c r="EB115" i="68" s="1"/>
  <c r="BM115" i="68"/>
  <c r="BL115" i="68"/>
  <c r="DZ115" i="68" s="1"/>
  <c r="BK115" i="68"/>
  <c r="DY115" i="68" s="1"/>
  <c r="BJ115" i="68"/>
  <c r="DX115" i="68" s="1"/>
  <c r="BI115" i="68"/>
  <c r="DW115" i="68" s="1"/>
  <c r="BH115" i="68"/>
  <c r="BG115" i="68"/>
  <c r="BF115" i="68"/>
  <c r="DT115" i="68" s="1"/>
  <c r="BE115" i="68"/>
  <c r="DS115" i="68" s="1"/>
  <c r="BD115" i="68"/>
  <c r="DR115" i="68" s="1"/>
  <c r="BA115" i="68"/>
  <c r="BB115" i="68" s="1"/>
  <c r="AI115" i="68"/>
  <c r="S115" i="68"/>
  <c r="R115" i="68"/>
  <c r="Q115" i="68"/>
  <c r="P115" i="68"/>
  <c r="O115" i="68"/>
  <c r="M115" i="68"/>
  <c r="K115" i="68"/>
  <c r="J115" i="68"/>
  <c r="H115" i="68"/>
  <c r="G115" i="68"/>
  <c r="E115" i="68"/>
  <c r="D115" i="68"/>
  <c r="C115" i="68"/>
  <c r="CH114" i="68"/>
  <c r="CG114" i="68"/>
  <c r="CF114" i="68"/>
  <c r="CE114" i="68"/>
  <c r="CD114" i="68"/>
  <c r="CC114" i="68"/>
  <c r="CB114" i="68"/>
  <c r="CA114" i="68"/>
  <c r="BZ114" i="68"/>
  <c r="BY114" i="68"/>
  <c r="BX114" i="68"/>
  <c r="BW114" i="68"/>
  <c r="BO114" i="68"/>
  <c r="EC114" i="68" s="1"/>
  <c r="BN114" i="68"/>
  <c r="EB114" i="68" s="1"/>
  <c r="BM114" i="68"/>
  <c r="EA114" i="68" s="1"/>
  <c r="BL114" i="68"/>
  <c r="DZ114" i="68" s="1"/>
  <c r="BK114" i="68"/>
  <c r="DY114" i="68" s="1"/>
  <c r="BJ114" i="68"/>
  <c r="DX114" i="68" s="1"/>
  <c r="BI114" i="68"/>
  <c r="DW114" i="68" s="1"/>
  <c r="BH114" i="68"/>
  <c r="BG114" i="68"/>
  <c r="DU114" i="68" s="1"/>
  <c r="BF114" i="68"/>
  <c r="DT114" i="68" s="1"/>
  <c r="BE114" i="68"/>
  <c r="DS114" i="68" s="1"/>
  <c r="BD114" i="68"/>
  <c r="DR114" i="68" s="1"/>
  <c r="BA114" i="68"/>
  <c r="BB114" i="68" s="1"/>
  <c r="AI114" i="68"/>
  <c r="S114" i="68"/>
  <c r="R114" i="68"/>
  <c r="Q114" i="68"/>
  <c r="P114" i="68"/>
  <c r="O114" i="68"/>
  <c r="M114" i="68"/>
  <c r="K114" i="68"/>
  <c r="J114" i="68"/>
  <c r="H114" i="68"/>
  <c r="CL114" i="68" s="1" a="1"/>
  <c r="CL114" i="68" s="1"/>
  <c r="G114" i="68"/>
  <c r="E114" i="68"/>
  <c r="D114" i="68"/>
  <c r="C114" i="68"/>
  <c r="CH113" i="68"/>
  <c r="CG113" i="68"/>
  <c r="CF113" i="68"/>
  <c r="CE113" i="68"/>
  <c r="CD113" i="68"/>
  <c r="CC113" i="68"/>
  <c r="CB113" i="68"/>
  <c r="CA113" i="68"/>
  <c r="BZ113" i="68"/>
  <c r="BY113" i="68"/>
  <c r="BX113" i="68"/>
  <c r="BW113" i="68"/>
  <c r="BO113" i="68"/>
  <c r="BN113" i="68"/>
  <c r="EB113" i="68" s="1"/>
  <c r="BM113" i="68"/>
  <c r="EA113" i="68" s="1"/>
  <c r="BL113" i="68"/>
  <c r="DZ113" i="68" s="1"/>
  <c r="BK113" i="68"/>
  <c r="DY113" i="68" s="1"/>
  <c r="BJ113" i="68"/>
  <c r="DX113" i="68" s="1"/>
  <c r="BI113" i="68"/>
  <c r="DW113" i="68" s="1"/>
  <c r="BH113" i="68"/>
  <c r="DV113" i="68" s="1"/>
  <c r="BG113" i="68"/>
  <c r="BF113" i="68"/>
  <c r="DT113" i="68" s="1"/>
  <c r="BE113" i="68"/>
  <c r="DS113" i="68" s="1"/>
  <c r="BD113" i="68"/>
  <c r="BA113" i="68"/>
  <c r="BB113" i="68" s="1"/>
  <c r="AI113" i="68"/>
  <c r="S113" i="68"/>
  <c r="R113" i="68"/>
  <c r="Q113" i="68"/>
  <c r="P113" i="68"/>
  <c r="O113" i="68"/>
  <c r="M113" i="68"/>
  <c r="K113" i="68"/>
  <c r="J113" i="68"/>
  <c r="H113" i="68"/>
  <c r="CL113" i="68" s="1" a="1"/>
  <c r="CL113" i="68" s="1"/>
  <c r="G113" i="68"/>
  <c r="E113" i="68"/>
  <c r="D113" i="68"/>
  <c r="C113" i="68"/>
  <c r="CH112" i="68"/>
  <c r="CG112" i="68"/>
  <c r="CF112" i="68"/>
  <c r="CE112" i="68"/>
  <c r="CD112" i="68"/>
  <c r="CC112" i="68"/>
  <c r="CB112" i="68"/>
  <c r="CA112" i="68"/>
  <c r="BZ112" i="68"/>
  <c r="BY112" i="68"/>
  <c r="BX112" i="68"/>
  <c r="BW112" i="68"/>
  <c r="BO112" i="68"/>
  <c r="EC112" i="68" s="1"/>
  <c r="BN112" i="68"/>
  <c r="EB112" i="68" s="1"/>
  <c r="BM112" i="68"/>
  <c r="EA112" i="68" s="1"/>
  <c r="BL112" i="68"/>
  <c r="DZ112" i="68" s="1"/>
  <c r="BK112" i="68"/>
  <c r="DY112" i="68" s="1"/>
  <c r="BJ112" i="68"/>
  <c r="DX112" i="68" s="1"/>
  <c r="BI112" i="68"/>
  <c r="BH112" i="68"/>
  <c r="DV112" i="68" s="1"/>
  <c r="BG112" i="68"/>
  <c r="BF112" i="68"/>
  <c r="DT112" i="68" s="1"/>
  <c r="BE112" i="68"/>
  <c r="BD112" i="68"/>
  <c r="BA112" i="68"/>
  <c r="BB112" i="68" s="1"/>
  <c r="AI112" i="68"/>
  <c r="S112" i="68"/>
  <c r="R112" i="68"/>
  <c r="Q112" i="68"/>
  <c r="P112" i="68"/>
  <c r="O112" i="68"/>
  <c r="M112" i="68"/>
  <c r="K112" i="68"/>
  <c r="J112" i="68"/>
  <c r="H112" i="68"/>
  <c r="CL112" i="68" s="1" a="1"/>
  <c r="CL112" i="68" s="1"/>
  <c r="G112" i="68"/>
  <c r="E112" i="68"/>
  <c r="D112" i="68"/>
  <c r="C112" i="68"/>
  <c r="CH111" i="68"/>
  <c r="CG111" i="68"/>
  <c r="CF111" i="68"/>
  <c r="CE111" i="68"/>
  <c r="CD111" i="68"/>
  <c r="CC111" i="68"/>
  <c r="CB111" i="68"/>
  <c r="CA111" i="68"/>
  <c r="BZ111" i="68"/>
  <c r="BY111" i="68"/>
  <c r="BX111" i="68"/>
  <c r="BW111" i="68"/>
  <c r="BO111" i="68"/>
  <c r="BN111" i="68"/>
  <c r="BM111" i="68"/>
  <c r="EA111" i="68" s="1"/>
  <c r="BL111" i="68"/>
  <c r="BK111" i="68"/>
  <c r="DY111" i="68" s="1"/>
  <c r="BJ111" i="68"/>
  <c r="DX111" i="68" s="1"/>
  <c r="BI111" i="68"/>
  <c r="DW111" i="68" s="1"/>
  <c r="BH111" i="68"/>
  <c r="DV111" i="68" s="1"/>
  <c r="BG111" i="68"/>
  <c r="DU111" i="68" s="1"/>
  <c r="BF111" i="68"/>
  <c r="DT111" i="68" s="1"/>
  <c r="BE111" i="68"/>
  <c r="DS111" i="68" s="1"/>
  <c r="BD111" i="68"/>
  <c r="BA111" i="68"/>
  <c r="BB111" i="68" s="1"/>
  <c r="AI111" i="68"/>
  <c r="S111" i="68"/>
  <c r="R111" i="68"/>
  <c r="Q111" i="68"/>
  <c r="P111" i="68"/>
  <c r="O111" i="68"/>
  <c r="M111" i="68"/>
  <c r="K111" i="68"/>
  <c r="J111" i="68"/>
  <c r="H111" i="68"/>
  <c r="CJ111" i="68" s="1" a="1"/>
  <c r="CJ111" i="68" s="1"/>
  <c r="G111" i="68"/>
  <c r="E111" i="68"/>
  <c r="D111" i="68"/>
  <c r="C111" i="68"/>
  <c r="CH110" i="68"/>
  <c r="CG110" i="68"/>
  <c r="CF110" i="68"/>
  <c r="CE110" i="68"/>
  <c r="CD110" i="68"/>
  <c r="CC110" i="68"/>
  <c r="CB110" i="68"/>
  <c r="CA110" i="68"/>
  <c r="BZ110" i="68"/>
  <c r="BY110" i="68"/>
  <c r="BX110" i="68"/>
  <c r="BW110" i="68"/>
  <c r="BO110" i="68"/>
  <c r="EC110" i="68" s="1"/>
  <c r="BN110" i="68"/>
  <c r="EB110" i="68" s="1"/>
  <c r="BM110" i="68"/>
  <c r="EA110" i="68" s="1"/>
  <c r="BL110" i="68"/>
  <c r="DZ110" i="68" s="1"/>
  <c r="BK110" i="68"/>
  <c r="DY110" i="68" s="1"/>
  <c r="BJ110" i="68"/>
  <c r="DX110" i="68" s="1"/>
  <c r="BI110" i="68"/>
  <c r="BH110" i="68"/>
  <c r="DV110" i="68" s="1"/>
  <c r="BG110" i="68"/>
  <c r="DU110" i="68" s="1"/>
  <c r="BF110" i="68"/>
  <c r="DT110" i="68" s="1"/>
  <c r="BE110" i="68"/>
  <c r="DS110" i="68" s="1"/>
  <c r="BD110" i="68"/>
  <c r="DR110" i="68" s="1"/>
  <c r="BA110" i="68"/>
  <c r="BB110" i="68" s="1"/>
  <c r="AI110" i="68"/>
  <c r="S110" i="68"/>
  <c r="R110" i="68"/>
  <c r="Q110" i="68"/>
  <c r="P110" i="68"/>
  <c r="O110" i="68"/>
  <c r="M110" i="68"/>
  <c r="K110" i="68"/>
  <c r="J110" i="68"/>
  <c r="H110" i="68"/>
  <c r="CJ110" i="68" s="1" a="1"/>
  <c r="CJ110" i="68" s="1"/>
  <c r="G110" i="68"/>
  <c r="E110" i="68"/>
  <c r="D110" i="68"/>
  <c r="C110" i="68"/>
  <c r="CH109" i="68"/>
  <c r="CG109" i="68"/>
  <c r="CF109" i="68"/>
  <c r="CE109" i="68"/>
  <c r="CD109" i="68"/>
  <c r="CC109" i="68"/>
  <c r="CB109" i="68"/>
  <c r="CA109" i="68"/>
  <c r="BZ109" i="68"/>
  <c r="BY109" i="68"/>
  <c r="BX109" i="68"/>
  <c r="BW109" i="68"/>
  <c r="BO109" i="68"/>
  <c r="EC109" i="68" s="1"/>
  <c r="BN109" i="68"/>
  <c r="EB109" i="68" s="1"/>
  <c r="BM109" i="68"/>
  <c r="BL109" i="68"/>
  <c r="DZ109" i="68" s="1"/>
  <c r="BK109" i="68"/>
  <c r="BJ109" i="68"/>
  <c r="BI109" i="68"/>
  <c r="DW109" i="68" s="1"/>
  <c r="BH109" i="68"/>
  <c r="BG109" i="68"/>
  <c r="BF109" i="68"/>
  <c r="BE109" i="68"/>
  <c r="DS109" i="68" s="1"/>
  <c r="BD109" i="68"/>
  <c r="BA109" i="68"/>
  <c r="BB109" i="68" s="1"/>
  <c r="AI109" i="68"/>
  <c r="S109" i="68"/>
  <c r="R109" i="68"/>
  <c r="Q109" i="68"/>
  <c r="P109" i="68"/>
  <c r="O109" i="68"/>
  <c r="M109" i="68"/>
  <c r="K109" i="68"/>
  <c r="J109" i="68"/>
  <c r="H109" i="68"/>
  <c r="CL109" i="68" s="1" a="1"/>
  <c r="CL109" i="68" s="1"/>
  <c r="G109" i="68"/>
  <c r="E109" i="68"/>
  <c r="D109" i="68"/>
  <c r="C109" i="68"/>
  <c r="CH108" i="68"/>
  <c r="CG108" i="68"/>
  <c r="CF108" i="68"/>
  <c r="CE108" i="68"/>
  <c r="CD108" i="68"/>
  <c r="CC108" i="68"/>
  <c r="CB108" i="68"/>
  <c r="CA108" i="68"/>
  <c r="BZ108" i="68"/>
  <c r="BY108" i="68"/>
  <c r="BX108" i="68"/>
  <c r="BW108" i="68"/>
  <c r="BO108" i="68"/>
  <c r="BN108" i="68"/>
  <c r="BM108" i="68"/>
  <c r="EA108" i="68" s="1"/>
  <c r="BL108" i="68"/>
  <c r="DZ108" i="68" s="1"/>
  <c r="BK108" i="68"/>
  <c r="DY108" i="68" s="1"/>
  <c r="BJ108" i="68"/>
  <c r="DX108" i="68" s="1"/>
  <c r="BI108" i="68"/>
  <c r="DW108" i="68" s="1"/>
  <c r="BH108" i="68"/>
  <c r="DV108" i="68" s="1"/>
  <c r="BG108" i="68"/>
  <c r="DU108" i="68" s="1"/>
  <c r="BF108" i="68"/>
  <c r="DT108" i="68" s="1"/>
  <c r="BE108" i="68"/>
  <c r="DS108" i="68" s="1"/>
  <c r="BD108" i="68"/>
  <c r="BA108" i="68"/>
  <c r="BB108" i="68" s="1"/>
  <c r="AI108" i="68"/>
  <c r="S108" i="68"/>
  <c r="R108" i="68"/>
  <c r="Q108" i="68"/>
  <c r="P108" i="68"/>
  <c r="O108" i="68"/>
  <c r="M108" i="68"/>
  <c r="K108" i="68"/>
  <c r="J108" i="68"/>
  <c r="H108" i="68"/>
  <c r="G108" i="68"/>
  <c r="E108" i="68"/>
  <c r="D108" i="68"/>
  <c r="C108" i="68"/>
  <c r="CH107" i="68"/>
  <c r="CG107" i="68"/>
  <c r="CF107" i="68"/>
  <c r="CE107" i="68"/>
  <c r="CD107" i="68"/>
  <c r="CC107" i="68"/>
  <c r="CB107" i="68"/>
  <c r="CA107" i="68"/>
  <c r="BZ107" i="68"/>
  <c r="BY107" i="68"/>
  <c r="BX107" i="68"/>
  <c r="BW107" i="68"/>
  <c r="BO107" i="68"/>
  <c r="BN107" i="68"/>
  <c r="EB107" i="68" s="1"/>
  <c r="BM107" i="68"/>
  <c r="BL107" i="68"/>
  <c r="DZ107" i="68" s="1"/>
  <c r="BK107" i="68"/>
  <c r="DY107" i="68" s="1"/>
  <c r="BJ107" i="68"/>
  <c r="DX107" i="68" s="1"/>
  <c r="BI107" i="68"/>
  <c r="DW107" i="68" s="1"/>
  <c r="BH107" i="68"/>
  <c r="DV107" i="68" s="1"/>
  <c r="BG107" i="68"/>
  <c r="DU107" i="68" s="1"/>
  <c r="BF107" i="68"/>
  <c r="DT107" i="68" s="1"/>
  <c r="BE107" i="68"/>
  <c r="DS107" i="68" s="1"/>
  <c r="BD107" i="68"/>
  <c r="BA107" i="68"/>
  <c r="BB107" i="68" s="1"/>
  <c r="AI107" i="68"/>
  <c r="S107" i="68"/>
  <c r="R107" i="68"/>
  <c r="Q107" i="68"/>
  <c r="P107" i="68"/>
  <c r="O107" i="68"/>
  <c r="M107" i="68"/>
  <c r="K107" i="68"/>
  <c r="J107" i="68"/>
  <c r="H107" i="68"/>
  <c r="CL107" i="68" s="1" a="1"/>
  <c r="CL107" i="68" s="1"/>
  <c r="G107" i="68"/>
  <c r="E107" i="68"/>
  <c r="D107" i="68"/>
  <c r="C107" i="68"/>
  <c r="CH106" i="68"/>
  <c r="CG106" i="68"/>
  <c r="CF106" i="68"/>
  <c r="CE106" i="68"/>
  <c r="CD106" i="68"/>
  <c r="CC106" i="68"/>
  <c r="CB106" i="68"/>
  <c r="CA106" i="68"/>
  <c r="BZ106" i="68"/>
  <c r="BY106" i="68"/>
  <c r="BX106" i="68"/>
  <c r="BW106" i="68"/>
  <c r="BO106" i="68"/>
  <c r="EC106" i="68" s="1"/>
  <c r="BN106" i="68"/>
  <c r="BM106" i="68"/>
  <c r="EA106" i="68" s="1"/>
  <c r="BL106" i="68"/>
  <c r="DZ106" i="68" s="1"/>
  <c r="BK106" i="68"/>
  <c r="DY106" i="68" s="1"/>
  <c r="BJ106" i="68"/>
  <c r="BI106" i="68"/>
  <c r="DW106" i="68" s="1"/>
  <c r="BH106" i="68"/>
  <c r="DV106" i="68" s="1"/>
  <c r="BG106" i="68"/>
  <c r="DU106" i="68" s="1"/>
  <c r="BF106" i="68"/>
  <c r="DT106" i="68" s="1"/>
  <c r="BE106" i="68"/>
  <c r="DS106" i="68" s="1"/>
  <c r="BD106" i="68"/>
  <c r="BA106" i="68"/>
  <c r="BB106" i="68" s="1"/>
  <c r="AI106" i="68"/>
  <c r="S106" i="68"/>
  <c r="R106" i="68"/>
  <c r="Q106" i="68"/>
  <c r="P106" i="68"/>
  <c r="O106" i="68"/>
  <c r="M106" i="68"/>
  <c r="K106" i="68"/>
  <c r="J106" i="68"/>
  <c r="H106" i="68"/>
  <c r="CL106" i="68" s="1" a="1"/>
  <c r="CL106" i="68" s="1"/>
  <c r="G106" i="68"/>
  <c r="E106" i="68"/>
  <c r="D106" i="68"/>
  <c r="C106" i="68"/>
  <c r="CH105" i="68"/>
  <c r="CG105" i="68"/>
  <c r="CF105" i="68"/>
  <c r="CE105" i="68"/>
  <c r="CD105" i="68"/>
  <c r="CC105" i="68"/>
  <c r="CB105" i="68"/>
  <c r="CA105" i="68"/>
  <c r="BZ105" i="68"/>
  <c r="BY105" i="68"/>
  <c r="BX105" i="68"/>
  <c r="BW105" i="68"/>
  <c r="BO105" i="68"/>
  <c r="EC105" i="68" s="1"/>
  <c r="BN105" i="68"/>
  <c r="EB105" i="68" s="1"/>
  <c r="BM105" i="68"/>
  <c r="EA105" i="68" s="1"/>
  <c r="BL105" i="68"/>
  <c r="BK105" i="68"/>
  <c r="DY105" i="68" s="1"/>
  <c r="BJ105" i="68"/>
  <c r="BI105" i="68"/>
  <c r="DW105" i="68" s="1"/>
  <c r="BH105" i="68"/>
  <c r="BG105" i="68"/>
  <c r="DU105" i="68" s="1"/>
  <c r="BF105" i="68"/>
  <c r="DT105" i="68" s="1"/>
  <c r="BE105" i="68"/>
  <c r="DS105" i="68" s="1"/>
  <c r="BD105" i="68"/>
  <c r="BA105" i="68"/>
  <c r="BB105" i="68" s="1"/>
  <c r="AI105" i="68"/>
  <c r="S105" i="68"/>
  <c r="R105" i="68"/>
  <c r="Q105" i="68"/>
  <c r="P105" i="68"/>
  <c r="O105" i="68"/>
  <c r="M105" i="68"/>
  <c r="K105" i="68"/>
  <c r="J105" i="68"/>
  <c r="H105" i="68"/>
  <c r="CL105" i="68" s="1" a="1"/>
  <c r="CL105" i="68" s="1"/>
  <c r="G105" i="68"/>
  <c r="E105" i="68"/>
  <c r="D105" i="68"/>
  <c r="C105" i="68"/>
  <c r="CH104" i="68"/>
  <c r="CG104" i="68"/>
  <c r="CF104" i="68"/>
  <c r="CE104" i="68"/>
  <c r="CD104" i="68"/>
  <c r="CC104" i="68"/>
  <c r="CB104" i="68"/>
  <c r="CA104" i="68"/>
  <c r="BZ104" i="68"/>
  <c r="BY104" i="68"/>
  <c r="BX104" i="68"/>
  <c r="BW104" i="68"/>
  <c r="BO104" i="68"/>
  <c r="EC104" i="68" s="1"/>
  <c r="BN104" i="68"/>
  <c r="EB104" i="68" s="1"/>
  <c r="BM104" i="68"/>
  <c r="EA104" i="68" s="1"/>
  <c r="BL104" i="68"/>
  <c r="DZ104" i="68" s="1"/>
  <c r="BK104" i="68"/>
  <c r="BJ104" i="68"/>
  <c r="DX104" i="68" s="1"/>
  <c r="BI104" i="68"/>
  <c r="DW104" i="68" s="1"/>
  <c r="BH104" i="68"/>
  <c r="DV104" i="68" s="1"/>
  <c r="BG104" i="68"/>
  <c r="BF104" i="68"/>
  <c r="BE104" i="68"/>
  <c r="DS104" i="68" s="1"/>
  <c r="BD104" i="68"/>
  <c r="BA104" i="68"/>
  <c r="BB104" i="68" s="1"/>
  <c r="AI104" i="68"/>
  <c r="S104" i="68"/>
  <c r="R104" i="68"/>
  <c r="Q104" i="68"/>
  <c r="P104" i="68"/>
  <c r="O104" i="68"/>
  <c r="M104" i="68"/>
  <c r="K104" i="68"/>
  <c r="J104" i="68"/>
  <c r="H104" i="68"/>
  <c r="CL104" i="68" s="1" a="1"/>
  <c r="CL104" i="68" s="1"/>
  <c r="G104" i="68"/>
  <c r="E104" i="68"/>
  <c r="D104" i="68"/>
  <c r="C104" i="68"/>
  <c r="CH103" i="68"/>
  <c r="CG103" i="68"/>
  <c r="CF103" i="68"/>
  <c r="CE103" i="68"/>
  <c r="CD103" i="68"/>
  <c r="CC103" i="68"/>
  <c r="CB103" i="68"/>
  <c r="CA103" i="68"/>
  <c r="BZ103" i="68"/>
  <c r="BY103" i="68"/>
  <c r="BX103" i="68"/>
  <c r="BW103" i="68"/>
  <c r="BO103" i="68"/>
  <c r="EC103" i="68" s="1"/>
  <c r="BN103" i="68"/>
  <c r="BM103" i="68"/>
  <c r="BL103" i="68"/>
  <c r="DZ103" i="68" s="1"/>
  <c r="BK103" i="68"/>
  <c r="DY103" i="68" s="1"/>
  <c r="BJ103" i="68"/>
  <c r="DX103" i="68" s="1"/>
  <c r="BI103" i="68"/>
  <c r="DW103" i="68" s="1"/>
  <c r="BH103" i="68"/>
  <c r="BG103" i="68"/>
  <c r="DU103" i="68" s="1"/>
  <c r="BF103" i="68"/>
  <c r="DT103" i="68" s="1"/>
  <c r="BE103" i="68"/>
  <c r="BD103" i="68"/>
  <c r="DR103" i="68" s="1"/>
  <c r="BA103" i="68"/>
  <c r="BB103" i="68" s="1"/>
  <c r="AI103" i="68"/>
  <c r="S103" i="68"/>
  <c r="R103" i="68"/>
  <c r="Q103" i="68"/>
  <c r="P103" i="68"/>
  <c r="O103" i="68"/>
  <c r="M103" i="68"/>
  <c r="K103" i="68"/>
  <c r="J103" i="68"/>
  <c r="H103" i="68"/>
  <c r="CL103" i="68" s="1" a="1"/>
  <c r="CL103" i="68" s="1"/>
  <c r="G103" i="68"/>
  <c r="E103" i="68"/>
  <c r="D103" i="68"/>
  <c r="C103" i="68"/>
  <c r="CH102" i="68"/>
  <c r="CG102" i="68"/>
  <c r="CF102" i="68"/>
  <c r="CE102" i="68"/>
  <c r="CD102" i="68"/>
  <c r="CC102" i="68"/>
  <c r="CB102" i="68"/>
  <c r="CA102" i="68"/>
  <c r="BZ102" i="68"/>
  <c r="BY102" i="68"/>
  <c r="BX102" i="68"/>
  <c r="BW102" i="68"/>
  <c r="BO102" i="68"/>
  <c r="EC102" i="68" s="1"/>
  <c r="BN102" i="68"/>
  <c r="BM102" i="68"/>
  <c r="EA102" i="68" s="1"/>
  <c r="BL102" i="68"/>
  <c r="BK102" i="68"/>
  <c r="DY102" i="68" s="1"/>
  <c r="BJ102" i="68"/>
  <c r="BI102" i="68"/>
  <c r="BH102" i="68"/>
  <c r="BG102" i="68"/>
  <c r="BF102" i="68"/>
  <c r="DT102" i="68" s="1"/>
  <c r="BE102" i="68"/>
  <c r="DS102" i="68" s="1"/>
  <c r="BD102" i="68"/>
  <c r="DR102" i="68" s="1"/>
  <c r="BA102" i="68"/>
  <c r="BB102" i="68" s="1"/>
  <c r="AI102" i="68"/>
  <c r="S102" i="68"/>
  <c r="R102" i="68"/>
  <c r="Q102" i="68"/>
  <c r="P102" i="68"/>
  <c r="O102" i="68"/>
  <c r="M102" i="68"/>
  <c r="K102" i="68"/>
  <c r="J102" i="68"/>
  <c r="H102" i="68"/>
  <c r="G102" i="68"/>
  <c r="E102" i="68"/>
  <c r="D102" i="68"/>
  <c r="C102" i="68"/>
  <c r="CH101" i="68"/>
  <c r="CG101" i="68"/>
  <c r="CF101" i="68"/>
  <c r="CE101" i="68"/>
  <c r="CD101" i="68"/>
  <c r="CC101" i="68"/>
  <c r="CB101" i="68"/>
  <c r="CA101" i="68"/>
  <c r="BZ101" i="68"/>
  <c r="BY101" i="68"/>
  <c r="BX101" i="68"/>
  <c r="BW101" i="68"/>
  <c r="BO101" i="68"/>
  <c r="EC101" i="68" s="1"/>
  <c r="BN101" i="68"/>
  <c r="BM101" i="68"/>
  <c r="EA101" i="68" s="1"/>
  <c r="BL101" i="68"/>
  <c r="DZ101" i="68" s="1"/>
  <c r="BK101" i="68"/>
  <c r="DY101" i="68" s="1"/>
  <c r="BJ101" i="68"/>
  <c r="DX101" i="68" s="1"/>
  <c r="BI101" i="68"/>
  <c r="DW101" i="68" s="1"/>
  <c r="BH101" i="68"/>
  <c r="DV101" i="68" s="1"/>
  <c r="BG101" i="68"/>
  <c r="BF101" i="68"/>
  <c r="DT101" i="68" s="1"/>
  <c r="BE101" i="68"/>
  <c r="DS101" i="68" s="1"/>
  <c r="BD101" i="68"/>
  <c r="BA101" i="68"/>
  <c r="BB101" i="68" s="1"/>
  <c r="AI101" i="68"/>
  <c r="S101" i="68"/>
  <c r="R101" i="68"/>
  <c r="Q101" i="68"/>
  <c r="P101" i="68"/>
  <c r="O101" i="68"/>
  <c r="M101" i="68"/>
  <c r="K101" i="68"/>
  <c r="J101" i="68"/>
  <c r="H101" i="68"/>
  <c r="CL101" i="68" s="1" a="1"/>
  <c r="CL101" i="68" s="1"/>
  <c r="G101" i="68"/>
  <c r="E101" i="68"/>
  <c r="D101" i="68"/>
  <c r="C101" i="68"/>
  <c r="CH100" i="68"/>
  <c r="CG100" i="68"/>
  <c r="CF100" i="68"/>
  <c r="CE100" i="68"/>
  <c r="CD100" i="68"/>
  <c r="CC100" i="68"/>
  <c r="CB100" i="68"/>
  <c r="CA100" i="68"/>
  <c r="BZ100" i="68"/>
  <c r="BY100" i="68"/>
  <c r="BX100" i="68"/>
  <c r="BW100" i="68"/>
  <c r="BO100" i="68"/>
  <c r="BN100" i="68"/>
  <c r="EB100" i="68" s="1"/>
  <c r="BM100" i="68"/>
  <c r="EA100" i="68" s="1"/>
  <c r="BL100" i="68"/>
  <c r="DZ100" i="68" s="1"/>
  <c r="BK100" i="68"/>
  <c r="DY100" i="68" s="1"/>
  <c r="BJ100" i="68"/>
  <c r="DX100" i="68" s="1"/>
  <c r="BI100" i="68"/>
  <c r="DW100" i="68" s="1"/>
  <c r="BH100" i="68"/>
  <c r="BG100" i="68"/>
  <c r="DU100" i="68" s="1"/>
  <c r="BF100" i="68"/>
  <c r="DT100" i="68" s="1"/>
  <c r="BE100" i="68"/>
  <c r="DS100" i="68" s="1"/>
  <c r="BD100" i="68"/>
  <c r="BA100" i="68"/>
  <c r="BB100" i="68" s="1"/>
  <c r="AI100" i="68"/>
  <c r="S100" i="68"/>
  <c r="R100" i="68"/>
  <c r="Q100" i="68"/>
  <c r="P100" i="68"/>
  <c r="O100" i="68"/>
  <c r="M100" i="68"/>
  <c r="K100" i="68"/>
  <c r="J100" i="68"/>
  <c r="H100" i="68"/>
  <c r="CL100" i="68" s="1" a="1"/>
  <c r="CL100" i="68" s="1"/>
  <c r="G100" i="68"/>
  <c r="E100" i="68"/>
  <c r="D100" i="68"/>
  <c r="C100" i="68"/>
  <c r="CH99" i="68"/>
  <c r="CG99" i="68"/>
  <c r="CF99" i="68"/>
  <c r="CE99" i="68"/>
  <c r="CD99" i="68"/>
  <c r="CC99" i="68"/>
  <c r="CB99" i="68"/>
  <c r="CA99" i="68"/>
  <c r="BZ99" i="68"/>
  <c r="BY99" i="68"/>
  <c r="BX99" i="68"/>
  <c r="BW99" i="68"/>
  <c r="BO99" i="68"/>
  <c r="EC99" i="68" s="1"/>
  <c r="BN99" i="68"/>
  <c r="BM99" i="68"/>
  <c r="EA99" i="68" s="1"/>
  <c r="BL99" i="68"/>
  <c r="DZ99" i="68" s="1"/>
  <c r="BK99" i="68"/>
  <c r="DY99" i="68" s="1"/>
  <c r="BJ99" i="68"/>
  <c r="BI99" i="68"/>
  <c r="DW99" i="68" s="1"/>
  <c r="BH99" i="68"/>
  <c r="BG99" i="68"/>
  <c r="DU99" i="68" s="1"/>
  <c r="BF99" i="68"/>
  <c r="DT99" i="68" s="1"/>
  <c r="BE99" i="68"/>
  <c r="DS99" i="68" s="1"/>
  <c r="BD99" i="68"/>
  <c r="BA99" i="68"/>
  <c r="BB99" i="68" s="1"/>
  <c r="AI99" i="68"/>
  <c r="S99" i="68"/>
  <c r="R99" i="68"/>
  <c r="Q99" i="68"/>
  <c r="P99" i="68"/>
  <c r="O99" i="68"/>
  <c r="M99" i="68"/>
  <c r="K99" i="68"/>
  <c r="J99" i="68"/>
  <c r="H99" i="68"/>
  <c r="CL99" i="68" s="1" a="1"/>
  <c r="CL99" i="68" s="1"/>
  <c r="G99" i="68"/>
  <c r="E99" i="68"/>
  <c r="D99" i="68"/>
  <c r="C99" i="68"/>
  <c r="CH98" i="68"/>
  <c r="CG98" i="68"/>
  <c r="CF98" i="68"/>
  <c r="CE98" i="68"/>
  <c r="CD98" i="68"/>
  <c r="CC98" i="68"/>
  <c r="CB98" i="68"/>
  <c r="CA98" i="68"/>
  <c r="BZ98" i="68"/>
  <c r="BY98" i="68"/>
  <c r="BX98" i="68"/>
  <c r="BW98" i="68"/>
  <c r="BO98" i="68"/>
  <c r="EC98" i="68" s="1"/>
  <c r="BN98" i="68"/>
  <c r="EB98" i="68" s="1"/>
  <c r="BM98" i="68"/>
  <c r="EA98" i="68" s="1"/>
  <c r="BL98" i="68"/>
  <c r="DZ98" i="68" s="1"/>
  <c r="BK98" i="68"/>
  <c r="DY98" i="68" s="1"/>
  <c r="BJ98" i="68"/>
  <c r="DX98" i="68" s="1"/>
  <c r="BI98" i="68"/>
  <c r="DW98" i="68" s="1"/>
  <c r="BH98" i="68"/>
  <c r="DV98" i="68" s="1"/>
  <c r="BG98" i="68"/>
  <c r="BF98" i="68"/>
  <c r="BE98" i="68"/>
  <c r="DS98" i="68" s="1"/>
  <c r="BD98" i="68"/>
  <c r="BA98" i="68"/>
  <c r="BB98" i="68" s="1"/>
  <c r="AI98" i="68"/>
  <c r="S98" i="68"/>
  <c r="R98" i="68"/>
  <c r="Q98" i="68"/>
  <c r="P98" i="68"/>
  <c r="O98" i="68"/>
  <c r="M98" i="68"/>
  <c r="K98" i="68"/>
  <c r="J98" i="68"/>
  <c r="H98" i="68"/>
  <c r="CL98" i="68" s="1" a="1"/>
  <c r="CL98" i="68" s="1"/>
  <c r="G98" i="68"/>
  <c r="E98" i="68"/>
  <c r="D98" i="68"/>
  <c r="C98" i="68"/>
  <c r="CH97" i="68"/>
  <c r="CG97" i="68"/>
  <c r="CF97" i="68"/>
  <c r="CE97" i="68"/>
  <c r="CD97" i="68"/>
  <c r="CC97" i="68"/>
  <c r="CB97" i="68"/>
  <c r="CA97" i="68"/>
  <c r="BZ97" i="68"/>
  <c r="BY97" i="68"/>
  <c r="BX97" i="68"/>
  <c r="BW97" i="68"/>
  <c r="BO97" i="68"/>
  <c r="BN97" i="68"/>
  <c r="EB97" i="68" s="1"/>
  <c r="BM97" i="68"/>
  <c r="BL97" i="68"/>
  <c r="DZ97" i="68" s="1"/>
  <c r="BK97" i="68"/>
  <c r="DY97" i="68" s="1"/>
  <c r="BJ97" i="68"/>
  <c r="DX97" i="68" s="1"/>
  <c r="BI97" i="68"/>
  <c r="BH97" i="68"/>
  <c r="DV97" i="68" s="1"/>
  <c r="BG97" i="68"/>
  <c r="DU97" i="68" s="1"/>
  <c r="BF97" i="68"/>
  <c r="BE97" i="68"/>
  <c r="DS97" i="68" s="1"/>
  <c r="BD97" i="68"/>
  <c r="DR97" i="68" s="1"/>
  <c r="BA97" i="68"/>
  <c r="BB97" i="68" s="1"/>
  <c r="AI97" i="68"/>
  <c r="S97" i="68"/>
  <c r="R97" i="68"/>
  <c r="Q97" i="68"/>
  <c r="P97" i="68"/>
  <c r="O97" i="68"/>
  <c r="M97" i="68"/>
  <c r="K97" i="68"/>
  <c r="J97" i="68"/>
  <c r="H97" i="68"/>
  <c r="G97" i="68"/>
  <c r="E97" i="68"/>
  <c r="D97" i="68"/>
  <c r="C97" i="68"/>
  <c r="CH96" i="68"/>
  <c r="CG96" i="68"/>
  <c r="CF96" i="68"/>
  <c r="CE96" i="68"/>
  <c r="CD96" i="68"/>
  <c r="CC96" i="68"/>
  <c r="CB96" i="68"/>
  <c r="CA96" i="68"/>
  <c r="BZ96" i="68"/>
  <c r="BY96" i="68"/>
  <c r="BX96" i="68"/>
  <c r="BW96" i="68"/>
  <c r="BO96" i="68"/>
  <c r="EC96" i="68" s="1"/>
  <c r="BN96" i="68"/>
  <c r="EB96" i="68" s="1"/>
  <c r="BM96" i="68"/>
  <c r="BL96" i="68"/>
  <c r="DZ96" i="68" s="1"/>
  <c r="BK96" i="68"/>
  <c r="DY96" i="68" s="1"/>
  <c r="BJ96" i="68"/>
  <c r="DX96" i="68" s="1"/>
  <c r="BI96" i="68"/>
  <c r="DW96" i="68" s="1"/>
  <c r="BH96" i="68"/>
  <c r="DV96" i="68" s="1"/>
  <c r="BG96" i="68"/>
  <c r="DU96" i="68" s="1"/>
  <c r="BF96" i="68"/>
  <c r="DT96" i="68" s="1"/>
  <c r="BE96" i="68"/>
  <c r="DS96" i="68" s="1"/>
  <c r="BD96" i="68"/>
  <c r="BA96" i="68"/>
  <c r="BB96" i="68" s="1"/>
  <c r="AI96" i="68"/>
  <c r="S96" i="68"/>
  <c r="R96" i="68"/>
  <c r="Q96" i="68"/>
  <c r="P96" i="68"/>
  <c r="O96" i="68"/>
  <c r="M96" i="68"/>
  <c r="K96" i="68"/>
  <c r="J96" i="68"/>
  <c r="H96" i="68"/>
  <c r="CJ96" i="68" s="1" a="1"/>
  <c r="CJ96" i="68" s="1"/>
  <c r="G96" i="68"/>
  <c r="E96" i="68"/>
  <c r="D96" i="68"/>
  <c r="C96" i="68"/>
  <c r="CH95" i="68"/>
  <c r="CG95" i="68"/>
  <c r="CF95" i="68"/>
  <c r="CE95" i="68"/>
  <c r="CD95" i="68"/>
  <c r="CC95" i="68"/>
  <c r="CB95" i="68"/>
  <c r="CA95" i="68"/>
  <c r="BZ95" i="68"/>
  <c r="BY95" i="68"/>
  <c r="BX95" i="68"/>
  <c r="BW95" i="68"/>
  <c r="BO95" i="68"/>
  <c r="EC95" i="68" s="1"/>
  <c r="BN95" i="68"/>
  <c r="EB95" i="68" s="1"/>
  <c r="BM95" i="68"/>
  <c r="EA95" i="68" s="1"/>
  <c r="BL95" i="68"/>
  <c r="DZ95" i="68" s="1"/>
  <c r="BK95" i="68"/>
  <c r="BJ95" i="68"/>
  <c r="BI95" i="68"/>
  <c r="DW95" i="68" s="1"/>
  <c r="BH95" i="68"/>
  <c r="DV95" i="68" s="1"/>
  <c r="BG95" i="68"/>
  <c r="BF95" i="68"/>
  <c r="DT95" i="68" s="1"/>
  <c r="BE95" i="68"/>
  <c r="BD95" i="68"/>
  <c r="DR95" i="68" s="1"/>
  <c r="BA95" i="68"/>
  <c r="BB95" i="68" s="1"/>
  <c r="AI95" i="68"/>
  <c r="S95" i="68"/>
  <c r="R95" i="68"/>
  <c r="Q95" i="68"/>
  <c r="P95" i="68"/>
  <c r="O95" i="68"/>
  <c r="M95" i="68"/>
  <c r="K95" i="68"/>
  <c r="J95" i="68"/>
  <c r="H95" i="68"/>
  <c r="CL95" i="68" s="1" a="1"/>
  <c r="CL95" i="68" s="1"/>
  <c r="G95" i="68"/>
  <c r="E95" i="68"/>
  <c r="D95" i="68"/>
  <c r="C95" i="68"/>
  <c r="CH94" i="68"/>
  <c r="CG94" i="68"/>
  <c r="CF94" i="68"/>
  <c r="CE94" i="68"/>
  <c r="CD94" i="68"/>
  <c r="CC94" i="68"/>
  <c r="CB94" i="68"/>
  <c r="CA94" i="68"/>
  <c r="BZ94" i="68"/>
  <c r="BY94" i="68"/>
  <c r="BX94" i="68"/>
  <c r="BW94" i="68"/>
  <c r="BO94" i="68"/>
  <c r="BN94" i="68"/>
  <c r="EB94" i="68" s="1"/>
  <c r="BM94" i="68"/>
  <c r="EA94" i="68" s="1"/>
  <c r="BL94" i="68"/>
  <c r="BK94" i="68"/>
  <c r="BJ94" i="68"/>
  <c r="DX94" i="68" s="1"/>
  <c r="BI94" i="68"/>
  <c r="DW94" i="68" s="1"/>
  <c r="BH94" i="68"/>
  <c r="DV94" i="68" s="1"/>
  <c r="BG94" i="68"/>
  <c r="DU94" i="68" s="1"/>
  <c r="BF94" i="68"/>
  <c r="DT94" i="68" s="1"/>
  <c r="BE94" i="68"/>
  <c r="DS94" i="68" s="1"/>
  <c r="BD94" i="68"/>
  <c r="DR94" i="68" s="1"/>
  <c r="BA94" i="68"/>
  <c r="BB94" i="68" s="1"/>
  <c r="AI94" i="68"/>
  <c r="S94" i="68"/>
  <c r="R94" i="68"/>
  <c r="Q94" i="68"/>
  <c r="P94" i="68"/>
  <c r="O94" i="68"/>
  <c r="M94" i="68"/>
  <c r="K94" i="68"/>
  <c r="J94" i="68"/>
  <c r="H94" i="68"/>
  <c r="CL94" i="68" s="1" a="1"/>
  <c r="CL94" i="68" s="1"/>
  <c r="G94" i="68"/>
  <c r="E94" i="68"/>
  <c r="D94" i="68"/>
  <c r="C94" i="68"/>
  <c r="CH93" i="68"/>
  <c r="CG93" i="68"/>
  <c r="CF93" i="68"/>
  <c r="CE93" i="68"/>
  <c r="CD93" i="68"/>
  <c r="CC93" i="68"/>
  <c r="CB93" i="68"/>
  <c r="CA93" i="68"/>
  <c r="BZ93" i="68"/>
  <c r="BY93" i="68"/>
  <c r="BX93" i="68"/>
  <c r="BW93" i="68"/>
  <c r="BO93" i="68"/>
  <c r="EC93" i="68" s="1"/>
  <c r="BN93" i="68"/>
  <c r="BM93" i="68"/>
  <c r="BL93" i="68"/>
  <c r="DZ93" i="68" s="1"/>
  <c r="BK93" i="68"/>
  <c r="DY93" i="68" s="1"/>
  <c r="BJ93" i="68"/>
  <c r="BI93" i="68"/>
  <c r="DW93" i="68" s="1"/>
  <c r="BH93" i="68"/>
  <c r="DV93" i="68" s="1"/>
  <c r="BG93" i="68"/>
  <c r="DU93" i="68" s="1"/>
  <c r="BF93" i="68"/>
  <c r="DT93" i="68" s="1"/>
  <c r="BE93" i="68"/>
  <c r="DS93" i="68" s="1"/>
  <c r="BD93" i="68"/>
  <c r="DR93" i="68" s="1"/>
  <c r="BA93" i="68"/>
  <c r="BB93" i="68" s="1"/>
  <c r="AI93" i="68"/>
  <c r="S93" i="68"/>
  <c r="R93" i="68"/>
  <c r="Q93" i="68"/>
  <c r="P93" i="68"/>
  <c r="O93" i="68"/>
  <c r="M93" i="68"/>
  <c r="K93" i="68"/>
  <c r="J93" i="68"/>
  <c r="H93" i="68"/>
  <c r="G93" i="68"/>
  <c r="E93" i="68"/>
  <c r="D93" i="68"/>
  <c r="C93" i="68"/>
  <c r="CH92" i="68"/>
  <c r="CG92" i="68"/>
  <c r="CF92" i="68"/>
  <c r="CE92" i="68"/>
  <c r="CD92" i="68"/>
  <c r="CC92" i="68"/>
  <c r="CB92" i="68"/>
  <c r="CA92" i="68"/>
  <c r="BZ92" i="68"/>
  <c r="BY92" i="68"/>
  <c r="BX92" i="68"/>
  <c r="BW92" i="68"/>
  <c r="BO92" i="68"/>
  <c r="EC92" i="68" s="1"/>
  <c r="BN92" i="68"/>
  <c r="BM92" i="68"/>
  <c r="EA92" i="68" s="1"/>
  <c r="BL92" i="68"/>
  <c r="BK92" i="68"/>
  <c r="BJ92" i="68"/>
  <c r="DX92" i="68" s="1"/>
  <c r="BI92" i="68"/>
  <c r="DW92" i="68" s="1"/>
  <c r="BH92" i="68"/>
  <c r="BG92" i="68"/>
  <c r="DU92" i="68" s="1"/>
  <c r="BF92" i="68"/>
  <c r="DT92" i="68" s="1"/>
  <c r="BE92" i="68"/>
  <c r="DS92" i="68" s="1"/>
  <c r="BD92" i="68"/>
  <c r="BA92" i="68"/>
  <c r="BB92" i="68" s="1"/>
  <c r="AI92" i="68"/>
  <c r="S92" i="68"/>
  <c r="R92" i="68"/>
  <c r="Q92" i="68"/>
  <c r="P92" i="68"/>
  <c r="O92" i="68"/>
  <c r="M92" i="68"/>
  <c r="K92" i="68"/>
  <c r="J92" i="68"/>
  <c r="H92" i="68"/>
  <c r="CJ92" i="68" s="1" a="1"/>
  <c r="CJ92" i="68" s="1"/>
  <c r="G92" i="68"/>
  <c r="E92" i="68"/>
  <c r="D92" i="68"/>
  <c r="C92" i="68"/>
  <c r="CH91" i="68"/>
  <c r="CG91" i="68"/>
  <c r="CF91" i="68"/>
  <c r="CE91" i="68"/>
  <c r="CD91" i="68"/>
  <c r="CC91" i="68"/>
  <c r="CB91" i="68"/>
  <c r="CA91" i="68"/>
  <c r="BZ91" i="68"/>
  <c r="BY91" i="68"/>
  <c r="BX91" i="68"/>
  <c r="BW91" i="68"/>
  <c r="BO91" i="68"/>
  <c r="EC91" i="68" s="1"/>
  <c r="BN91" i="68"/>
  <c r="EB91" i="68" s="1"/>
  <c r="BM91" i="68"/>
  <c r="BL91" i="68"/>
  <c r="DZ91" i="68" s="1"/>
  <c r="BK91" i="68"/>
  <c r="DY91" i="68" s="1"/>
  <c r="BJ91" i="68"/>
  <c r="DX91" i="68" s="1"/>
  <c r="BI91" i="68"/>
  <c r="BH91" i="68"/>
  <c r="DV91" i="68" s="1"/>
  <c r="BG91" i="68"/>
  <c r="DU91" i="68" s="1"/>
  <c r="BF91" i="68"/>
  <c r="BE91" i="68"/>
  <c r="DS91" i="68" s="1"/>
  <c r="BD91" i="68"/>
  <c r="BA91" i="68"/>
  <c r="BB91" i="68" s="1"/>
  <c r="AI91" i="68"/>
  <c r="S91" i="68"/>
  <c r="R91" i="68"/>
  <c r="Q91" i="68"/>
  <c r="P91" i="68"/>
  <c r="O91" i="68"/>
  <c r="M91" i="68"/>
  <c r="K91" i="68"/>
  <c r="J91" i="68"/>
  <c r="H91" i="68"/>
  <c r="CL91" i="68" s="1" a="1"/>
  <c r="CL91" i="68" s="1"/>
  <c r="G91" i="68"/>
  <c r="E91" i="68"/>
  <c r="D91" i="68"/>
  <c r="C91" i="68"/>
  <c r="CH90" i="68"/>
  <c r="CG90" i="68"/>
  <c r="CF90" i="68"/>
  <c r="CE90" i="68"/>
  <c r="CD90" i="68"/>
  <c r="CC90" i="68"/>
  <c r="CB90" i="68"/>
  <c r="CA90" i="68"/>
  <c r="BZ90" i="68"/>
  <c r="BY90" i="68"/>
  <c r="BX90" i="68"/>
  <c r="BW90" i="68"/>
  <c r="BO90" i="68"/>
  <c r="EC90" i="68" s="1"/>
  <c r="BN90" i="68"/>
  <c r="BM90" i="68"/>
  <c r="EA90" i="68" s="1"/>
  <c r="BL90" i="68"/>
  <c r="DZ90" i="68" s="1"/>
  <c r="BK90" i="68"/>
  <c r="DY90" i="68" s="1"/>
  <c r="BJ90" i="68"/>
  <c r="DX90" i="68" s="1"/>
  <c r="BI90" i="68"/>
  <c r="DW90" i="68" s="1"/>
  <c r="BH90" i="68"/>
  <c r="DV90" i="68" s="1"/>
  <c r="BG90" i="68"/>
  <c r="DU90" i="68" s="1"/>
  <c r="BF90" i="68"/>
  <c r="DT90" i="68" s="1"/>
  <c r="BE90" i="68"/>
  <c r="DS90" i="68" s="1"/>
  <c r="BD90" i="68"/>
  <c r="BA90" i="68"/>
  <c r="BB90" i="68" s="1"/>
  <c r="AI90" i="68"/>
  <c r="S90" i="68"/>
  <c r="R90" i="68"/>
  <c r="Q90" i="68"/>
  <c r="P90" i="68"/>
  <c r="O90" i="68"/>
  <c r="M90" i="68"/>
  <c r="K90" i="68"/>
  <c r="J90" i="68"/>
  <c r="H90" i="68"/>
  <c r="CJ90" i="68" s="1" a="1"/>
  <c r="CJ90" i="68" s="1"/>
  <c r="G90" i="68"/>
  <c r="E90" i="68"/>
  <c r="D90" i="68"/>
  <c r="C90" i="68"/>
  <c r="CH89" i="68"/>
  <c r="CG89" i="68"/>
  <c r="CF89" i="68"/>
  <c r="CE89" i="68"/>
  <c r="CD89" i="68"/>
  <c r="CC89" i="68"/>
  <c r="CB89" i="68"/>
  <c r="CA89" i="68"/>
  <c r="BZ89" i="68"/>
  <c r="BY89" i="68"/>
  <c r="BX89" i="68"/>
  <c r="BW89" i="68"/>
  <c r="BO89" i="68"/>
  <c r="EC89" i="68" s="1"/>
  <c r="BN89" i="68"/>
  <c r="EB89" i="68" s="1"/>
  <c r="BM89" i="68"/>
  <c r="EA89" i="68" s="1"/>
  <c r="BL89" i="68"/>
  <c r="BK89" i="68"/>
  <c r="DY89" i="68" s="1"/>
  <c r="BJ89" i="68"/>
  <c r="DX89" i="68" s="1"/>
  <c r="BI89" i="68"/>
  <c r="BH89" i="68"/>
  <c r="DV89" i="68" s="1"/>
  <c r="BG89" i="68"/>
  <c r="DU89" i="68" s="1"/>
  <c r="BF89" i="68"/>
  <c r="BE89" i="68"/>
  <c r="DS89" i="68" s="1"/>
  <c r="BD89" i="68"/>
  <c r="BA89" i="68"/>
  <c r="BB89" i="68" s="1"/>
  <c r="AI89" i="68"/>
  <c r="S89" i="68"/>
  <c r="R89" i="68"/>
  <c r="Q89" i="68"/>
  <c r="P89" i="68"/>
  <c r="O89" i="68"/>
  <c r="M89" i="68"/>
  <c r="K89" i="68"/>
  <c r="J89" i="68"/>
  <c r="H89" i="68"/>
  <c r="G89" i="68"/>
  <c r="E89" i="68"/>
  <c r="D89" i="68"/>
  <c r="C89" i="68"/>
  <c r="CH88" i="68"/>
  <c r="CG88" i="68"/>
  <c r="CF88" i="68"/>
  <c r="CE88" i="68"/>
  <c r="CD88" i="68"/>
  <c r="CC88" i="68"/>
  <c r="CB88" i="68"/>
  <c r="CA88" i="68"/>
  <c r="BZ88" i="68"/>
  <c r="BY88" i="68"/>
  <c r="BX88" i="68"/>
  <c r="BW88" i="68"/>
  <c r="BO88" i="68"/>
  <c r="BN88" i="68"/>
  <c r="EB88" i="68" s="1"/>
  <c r="BM88" i="68"/>
  <c r="BL88" i="68"/>
  <c r="DZ88" i="68" s="1"/>
  <c r="BK88" i="68"/>
  <c r="DY88" i="68" s="1"/>
  <c r="BJ88" i="68"/>
  <c r="BI88" i="68"/>
  <c r="DW88" i="68" s="1"/>
  <c r="BH88" i="68"/>
  <c r="DV88" i="68" s="1"/>
  <c r="BG88" i="68"/>
  <c r="DU88" i="68" s="1"/>
  <c r="BF88" i="68"/>
  <c r="DT88" i="68" s="1"/>
  <c r="BE88" i="68"/>
  <c r="DS88" i="68" s="1"/>
  <c r="BD88" i="68"/>
  <c r="DR88" i="68" s="1"/>
  <c r="BA88" i="68"/>
  <c r="BB88" i="68" s="1"/>
  <c r="AI88" i="68"/>
  <c r="S88" i="68"/>
  <c r="R88" i="68"/>
  <c r="Q88" i="68"/>
  <c r="P88" i="68"/>
  <c r="O88" i="68"/>
  <c r="M88" i="68"/>
  <c r="K88" i="68"/>
  <c r="J88" i="68"/>
  <c r="H88" i="68"/>
  <c r="G88" i="68"/>
  <c r="E88" i="68"/>
  <c r="D88" i="68"/>
  <c r="C88" i="68"/>
  <c r="CH87" i="68"/>
  <c r="CG87" i="68"/>
  <c r="CF87" i="68"/>
  <c r="CE87" i="68"/>
  <c r="CD87" i="68"/>
  <c r="CC87" i="68"/>
  <c r="CB87" i="68"/>
  <c r="CA87" i="68"/>
  <c r="BZ87" i="68"/>
  <c r="BY87" i="68"/>
  <c r="BX87" i="68"/>
  <c r="BW87" i="68"/>
  <c r="BO87" i="68"/>
  <c r="EC87" i="68" s="1"/>
  <c r="BN87" i="68"/>
  <c r="EB87" i="68" s="1"/>
  <c r="BM87" i="68"/>
  <c r="EA87" i="68" s="1"/>
  <c r="BL87" i="68"/>
  <c r="BK87" i="68"/>
  <c r="DY87" i="68" s="1"/>
  <c r="BJ87" i="68"/>
  <c r="DX87" i="68" s="1"/>
  <c r="BI87" i="68"/>
  <c r="DW87" i="68" s="1"/>
  <c r="BH87" i="68"/>
  <c r="DV87" i="68" s="1"/>
  <c r="BG87" i="68"/>
  <c r="DU87" i="68" s="1"/>
  <c r="BF87" i="68"/>
  <c r="DT87" i="68" s="1"/>
  <c r="BE87" i="68"/>
  <c r="BD87" i="68"/>
  <c r="DR87" i="68" s="1"/>
  <c r="BA87" i="68"/>
  <c r="BB87" i="68" s="1"/>
  <c r="AI87" i="68"/>
  <c r="S87" i="68"/>
  <c r="R87" i="68"/>
  <c r="Q87" i="68"/>
  <c r="P87" i="68"/>
  <c r="O87" i="68"/>
  <c r="M87" i="68"/>
  <c r="K87" i="68"/>
  <c r="J87" i="68"/>
  <c r="H87" i="68"/>
  <c r="G87" i="68"/>
  <c r="E87" i="68"/>
  <c r="D87" i="68"/>
  <c r="C87" i="68"/>
  <c r="CH86" i="68"/>
  <c r="CG86" i="68"/>
  <c r="CF86" i="68"/>
  <c r="CE86" i="68"/>
  <c r="CD86" i="68"/>
  <c r="CC86" i="68"/>
  <c r="CB86" i="68"/>
  <c r="CA86" i="68"/>
  <c r="BZ86" i="68"/>
  <c r="BY86" i="68"/>
  <c r="BX86" i="68"/>
  <c r="BW86" i="68"/>
  <c r="BF86" i="68"/>
  <c r="BA86" i="68"/>
  <c r="BB86" i="68" s="1"/>
  <c r="BO86" i="68"/>
  <c r="EC86" i="68" s="1"/>
  <c r="BN86" i="68"/>
  <c r="EB86" i="68" s="1"/>
  <c r="BM86" i="68"/>
  <c r="BL86" i="68"/>
  <c r="DZ86" i="68" s="1"/>
  <c r="BK86" i="68"/>
  <c r="BJ86" i="68"/>
  <c r="BI86" i="68"/>
  <c r="DW86" i="68" s="1"/>
  <c r="BH86" i="68"/>
  <c r="BG86" i="68"/>
  <c r="BE86" i="68"/>
  <c r="BD86" i="68"/>
  <c r="AI86" i="68"/>
  <c r="S86" i="68"/>
  <c r="R86" i="68"/>
  <c r="Q86" i="68"/>
  <c r="P86" i="68"/>
  <c r="O86" i="68"/>
  <c r="M86" i="68"/>
  <c r="K86" i="68"/>
  <c r="J86" i="68"/>
  <c r="H86" i="68"/>
  <c r="G86" i="68"/>
  <c r="E86" i="68"/>
  <c r="D86" i="68"/>
  <c r="C86" i="68"/>
  <c r="CH85" i="68"/>
  <c r="CG85" i="68"/>
  <c r="CF85" i="68"/>
  <c r="CE85" i="68"/>
  <c r="CD85" i="68"/>
  <c r="CC85" i="68"/>
  <c r="CB85" i="68"/>
  <c r="CA85" i="68"/>
  <c r="BZ85" i="68"/>
  <c r="BY85" i="68"/>
  <c r="BX85" i="68"/>
  <c r="BW85" i="68"/>
  <c r="BO85" i="68"/>
  <c r="EC85" i="68" s="1"/>
  <c r="BN85" i="68"/>
  <c r="EB85" i="68" s="1"/>
  <c r="BM85" i="68"/>
  <c r="EA85" i="68" s="1"/>
  <c r="BL85" i="68"/>
  <c r="BK85" i="68"/>
  <c r="BJ85" i="68"/>
  <c r="BI85" i="68"/>
  <c r="DW85" i="68" s="1"/>
  <c r="BH85" i="68"/>
  <c r="DV85" i="68" s="1"/>
  <c r="BG85" i="68"/>
  <c r="DU85" i="68" s="1"/>
  <c r="BF85" i="68"/>
  <c r="BE85" i="68"/>
  <c r="BD85" i="68"/>
  <c r="DR85" i="68" s="1"/>
  <c r="BA85" i="68"/>
  <c r="BB85" i="68" s="1"/>
  <c r="AI85" i="68"/>
  <c r="S85" i="68"/>
  <c r="R85" i="68"/>
  <c r="Q85" i="68"/>
  <c r="P85" i="68"/>
  <c r="O85" i="68"/>
  <c r="M85" i="68"/>
  <c r="K85" i="68"/>
  <c r="J85" i="68"/>
  <c r="H85" i="68"/>
  <c r="CL85" i="68" s="1" a="1"/>
  <c r="CL85" i="68" s="1"/>
  <c r="G85" i="68"/>
  <c r="E85" i="68"/>
  <c r="D85" i="68"/>
  <c r="C85" i="68"/>
  <c r="CH84" i="68"/>
  <c r="CG84" i="68"/>
  <c r="CF84" i="68"/>
  <c r="CE84" i="68"/>
  <c r="CD84" i="68"/>
  <c r="CC84" i="68"/>
  <c r="CB84" i="68"/>
  <c r="CA84" i="68"/>
  <c r="BZ84" i="68"/>
  <c r="BY84" i="68"/>
  <c r="BX84" i="68"/>
  <c r="BW84" i="68"/>
  <c r="BO84" i="68"/>
  <c r="EC84" i="68" s="1"/>
  <c r="BN84" i="68"/>
  <c r="EB84" i="68" s="1"/>
  <c r="BM84" i="68"/>
  <c r="BL84" i="68"/>
  <c r="DZ84" i="68" s="1"/>
  <c r="BK84" i="68"/>
  <c r="DY84" i="68" s="1"/>
  <c r="BJ84" i="68"/>
  <c r="DX84" i="68" s="1"/>
  <c r="BI84" i="68"/>
  <c r="DW84" i="68" s="1"/>
  <c r="BH84" i="68"/>
  <c r="DV84" i="68" s="1"/>
  <c r="BG84" i="68"/>
  <c r="BF84" i="68"/>
  <c r="BE84" i="68"/>
  <c r="DS84" i="68" s="1"/>
  <c r="BD84" i="68"/>
  <c r="BA84" i="68"/>
  <c r="BB84" i="68" s="1"/>
  <c r="AI84" i="68"/>
  <c r="S84" i="68"/>
  <c r="R84" i="68"/>
  <c r="Q84" i="68"/>
  <c r="P84" i="68"/>
  <c r="O84" i="68"/>
  <c r="M84" i="68"/>
  <c r="K84" i="68"/>
  <c r="J84" i="68"/>
  <c r="H84" i="68"/>
  <c r="G84" i="68"/>
  <c r="E84" i="68"/>
  <c r="D84" i="68"/>
  <c r="C84" i="68"/>
  <c r="CH83" i="68"/>
  <c r="CG83" i="68"/>
  <c r="CF83" i="68"/>
  <c r="CE83" i="68"/>
  <c r="CD83" i="68"/>
  <c r="CC83" i="68"/>
  <c r="CB83" i="68"/>
  <c r="CA83" i="68"/>
  <c r="BZ83" i="68"/>
  <c r="BY83" i="68"/>
  <c r="BX83" i="68"/>
  <c r="BW83" i="68"/>
  <c r="BO83" i="68"/>
  <c r="EC83" i="68" s="1"/>
  <c r="BN83" i="68"/>
  <c r="EB83" i="68" s="1"/>
  <c r="BM83" i="68"/>
  <c r="BL83" i="68"/>
  <c r="BK83" i="68"/>
  <c r="DY83" i="68" s="1"/>
  <c r="BJ83" i="68"/>
  <c r="DX83" i="68" s="1"/>
  <c r="BI83" i="68"/>
  <c r="DW83" i="68" s="1"/>
  <c r="BH83" i="68"/>
  <c r="DV83" i="68" s="1"/>
  <c r="BG83" i="68"/>
  <c r="DU83" i="68" s="1"/>
  <c r="BF83" i="68"/>
  <c r="DT83" i="68" s="1"/>
  <c r="BE83" i="68"/>
  <c r="DS83" i="68" s="1"/>
  <c r="BD83" i="68"/>
  <c r="BA83" i="68"/>
  <c r="BB83" i="68" s="1"/>
  <c r="AI83" i="68"/>
  <c r="S83" i="68"/>
  <c r="R83" i="68"/>
  <c r="Q83" i="68"/>
  <c r="P83" i="68"/>
  <c r="O83" i="68"/>
  <c r="M83" i="68"/>
  <c r="K83" i="68"/>
  <c r="J83" i="68"/>
  <c r="H83" i="68"/>
  <c r="CL83" i="68" s="1" a="1"/>
  <c r="CL83" i="68" s="1"/>
  <c r="G83" i="68"/>
  <c r="E83" i="68"/>
  <c r="D83" i="68"/>
  <c r="C83" i="68"/>
  <c r="CH82" i="68"/>
  <c r="CG82" i="68"/>
  <c r="CF82" i="68"/>
  <c r="CE82" i="68"/>
  <c r="CD82" i="68"/>
  <c r="CC82" i="68"/>
  <c r="CB82" i="68"/>
  <c r="CA82" i="68"/>
  <c r="BZ82" i="68"/>
  <c r="BY82" i="68"/>
  <c r="BX82" i="68"/>
  <c r="BW82" i="68"/>
  <c r="BO82" i="68"/>
  <c r="EC82" i="68" s="1"/>
  <c r="BN82" i="68"/>
  <c r="EB82" i="68" s="1"/>
  <c r="BM82" i="68"/>
  <c r="EA82" i="68" s="1"/>
  <c r="BL82" i="68"/>
  <c r="DZ82" i="68" s="1"/>
  <c r="BK82" i="68"/>
  <c r="DY82" i="68" s="1"/>
  <c r="BJ82" i="68"/>
  <c r="DX82" i="68" s="1"/>
  <c r="BI82" i="68"/>
  <c r="DW82" i="68" s="1"/>
  <c r="BH82" i="68"/>
  <c r="DV82" i="68" s="1"/>
  <c r="BG82" i="68"/>
  <c r="DU82" i="68" s="1"/>
  <c r="BF82" i="68"/>
  <c r="DT82" i="68" s="1"/>
  <c r="BE82" i="68"/>
  <c r="DS82" i="68" s="1"/>
  <c r="BD82" i="68"/>
  <c r="BA82" i="68"/>
  <c r="BB82" i="68" s="1"/>
  <c r="AI82" i="68"/>
  <c r="S82" i="68"/>
  <c r="R82" i="68"/>
  <c r="Q82" i="68"/>
  <c r="P82" i="68"/>
  <c r="O82" i="68"/>
  <c r="M82" i="68"/>
  <c r="K82" i="68"/>
  <c r="J82" i="68"/>
  <c r="H82" i="68"/>
  <c r="CL82" i="68" s="1" a="1"/>
  <c r="CL82" i="68" s="1"/>
  <c r="G82" i="68"/>
  <c r="E82" i="68"/>
  <c r="D82" i="68"/>
  <c r="C82" i="68"/>
  <c r="CH81" i="68"/>
  <c r="CG81" i="68"/>
  <c r="CF81" i="68"/>
  <c r="CE81" i="68"/>
  <c r="CD81" i="68"/>
  <c r="CC81" i="68"/>
  <c r="CB81" i="68"/>
  <c r="CA81" i="68"/>
  <c r="BZ81" i="68"/>
  <c r="BY81" i="68"/>
  <c r="BX81" i="68"/>
  <c r="BW81" i="68"/>
  <c r="BO81" i="68"/>
  <c r="EC81" i="68" s="1"/>
  <c r="BN81" i="68"/>
  <c r="EB81" i="68" s="1"/>
  <c r="BM81" i="68"/>
  <c r="EA81" i="68" s="1"/>
  <c r="BL81" i="68"/>
  <c r="BK81" i="68"/>
  <c r="DY81" i="68" s="1"/>
  <c r="BJ81" i="68"/>
  <c r="DX81" i="68" s="1"/>
  <c r="BI81" i="68"/>
  <c r="BH81" i="68"/>
  <c r="BG81" i="68"/>
  <c r="DU81" i="68" s="1"/>
  <c r="BF81" i="68"/>
  <c r="DT81" i="68" s="1"/>
  <c r="BE81" i="68"/>
  <c r="DS81" i="68" s="1"/>
  <c r="BD81" i="68"/>
  <c r="DR81" i="68" s="1"/>
  <c r="BA81" i="68"/>
  <c r="BB81" i="68" s="1"/>
  <c r="AI81" i="68"/>
  <c r="S81" i="68"/>
  <c r="R81" i="68"/>
  <c r="Q81" i="68"/>
  <c r="P81" i="68"/>
  <c r="O81" i="68"/>
  <c r="M81" i="68"/>
  <c r="K81" i="68"/>
  <c r="J81" i="68"/>
  <c r="H81" i="68"/>
  <c r="CL81" i="68" s="1" a="1"/>
  <c r="CL81" i="68" s="1"/>
  <c r="G81" i="68"/>
  <c r="E81" i="68"/>
  <c r="D81" i="68"/>
  <c r="C81" i="68"/>
  <c r="CH80" i="68"/>
  <c r="CG80" i="68"/>
  <c r="CF80" i="68"/>
  <c r="CE80" i="68"/>
  <c r="CD80" i="68"/>
  <c r="CC80" i="68"/>
  <c r="CB80" i="68"/>
  <c r="CA80" i="68"/>
  <c r="BZ80" i="68"/>
  <c r="BY80" i="68"/>
  <c r="BX80" i="68"/>
  <c r="BW80" i="68"/>
  <c r="BO80" i="68"/>
  <c r="EC80" i="68" s="1"/>
  <c r="BN80" i="68"/>
  <c r="BM80" i="68"/>
  <c r="BL80" i="68"/>
  <c r="BK80" i="68"/>
  <c r="BJ80" i="68"/>
  <c r="BI80" i="68"/>
  <c r="DW80" i="68" s="1"/>
  <c r="BH80" i="68"/>
  <c r="DV80" i="68" s="1"/>
  <c r="BG80" i="68"/>
  <c r="DU80" i="68" s="1"/>
  <c r="BF80" i="68"/>
  <c r="DT80" i="68" s="1"/>
  <c r="BE80" i="68"/>
  <c r="BD80" i="68"/>
  <c r="BA80" i="68"/>
  <c r="BB80" i="68" s="1"/>
  <c r="AI80" i="68"/>
  <c r="S80" i="68"/>
  <c r="R80" i="68"/>
  <c r="Q80" i="68"/>
  <c r="P80" i="68"/>
  <c r="O80" i="68"/>
  <c r="M80" i="68"/>
  <c r="K80" i="68"/>
  <c r="J80" i="68"/>
  <c r="H80" i="68"/>
  <c r="G80" i="68"/>
  <c r="E80" i="68"/>
  <c r="D80" i="68"/>
  <c r="C80" i="68"/>
  <c r="CH79" i="68"/>
  <c r="CG79" i="68"/>
  <c r="CF79" i="68"/>
  <c r="CE79" i="68"/>
  <c r="CD79" i="68"/>
  <c r="CC79" i="68"/>
  <c r="CB79" i="68"/>
  <c r="CA79" i="68"/>
  <c r="BZ79" i="68"/>
  <c r="BY79" i="68"/>
  <c r="BX79" i="68"/>
  <c r="BW79" i="68"/>
  <c r="BO79" i="68"/>
  <c r="EC79" i="68" s="1"/>
  <c r="BN79" i="68"/>
  <c r="EB79" i="68" s="1"/>
  <c r="BM79" i="68"/>
  <c r="EA79" i="68" s="1"/>
  <c r="BL79" i="68"/>
  <c r="DZ79" i="68" s="1"/>
  <c r="BK79" i="68"/>
  <c r="DY79" i="68" s="1"/>
  <c r="BJ79" i="68"/>
  <c r="DX79" i="68" s="1"/>
  <c r="BI79" i="68"/>
  <c r="DW79" i="68" s="1"/>
  <c r="BH79" i="68"/>
  <c r="DV79" i="68" s="1"/>
  <c r="BG79" i="68"/>
  <c r="DU79" i="68" s="1"/>
  <c r="BF79" i="68"/>
  <c r="DT79" i="68" s="1"/>
  <c r="BE79" i="68"/>
  <c r="BD79" i="68"/>
  <c r="DR79" i="68" s="1"/>
  <c r="BA79" i="68"/>
  <c r="BB79" i="68" s="1"/>
  <c r="AI79" i="68"/>
  <c r="S79" i="68"/>
  <c r="R79" i="68"/>
  <c r="Q79" i="68"/>
  <c r="P79" i="68"/>
  <c r="O79" i="68"/>
  <c r="M79" i="68"/>
  <c r="K79" i="68"/>
  <c r="J79" i="68"/>
  <c r="H79" i="68"/>
  <c r="G79" i="68"/>
  <c r="E79" i="68"/>
  <c r="D79" i="68"/>
  <c r="C79" i="68"/>
  <c r="CH78" i="68"/>
  <c r="CG78" i="68"/>
  <c r="CF78" i="68"/>
  <c r="CE78" i="68"/>
  <c r="CD78" i="68"/>
  <c r="CC78" i="68"/>
  <c r="CB78" i="68"/>
  <c r="CA78" i="68"/>
  <c r="BZ78" i="68"/>
  <c r="BY78" i="68"/>
  <c r="BX78" i="68"/>
  <c r="BW78" i="68"/>
  <c r="BO78" i="68"/>
  <c r="EC78" i="68" s="1"/>
  <c r="BN78" i="68"/>
  <c r="EB78" i="68" s="1"/>
  <c r="BM78" i="68"/>
  <c r="EA78" i="68" s="1"/>
  <c r="BL78" i="68"/>
  <c r="DZ78" i="68" s="1"/>
  <c r="BK78" i="68"/>
  <c r="BJ78" i="68"/>
  <c r="BI78" i="68"/>
  <c r="BH78" i="68"/>
  <c r="DV78" i="68" s="1"/>
  <c r="BG78" i="68"/>
  <c r="DU78" i="68" s="1"/>
  <c r="BF78" i="68"/>
  <c r="DT78" i="68" s="1"/>
  <c r="BE78" i="68"/>
  <c r="DS78" i="68" s="1"/>
  <c r="BD78" i="68"/>
  <c r="DR78" i="68" s="1"/>
  <c r="BA78" i="68"/>
  <c r="BB78" i="68" s="1"/>
  <c r="AI78" i="68"/>
  <c r="S78" i="68"/>
  <c r="R78" i="68"/>
  <c r="Q78" i="68"/>
  <c r="P78" i="68"/>
  <c r="O78" i="68"/>
  <c r="M78" i="68"/>
  <c r="K78" i="68"/>
  <c r="J78" i="68"/>
  <c r="H78" i="68"/>
  <c r="G78" i="68"/>
  <c r="E78" i="68"/>
  <c r="D78" i="68"/>
  <c r="C78" i="68"/>
  <c r="CH77" i="68"/>
  <c r="CG77" i="68"/>
  <c r="CF77" i="68"/>
  <c r="CE77" i="68"/>
  <c r="CD77" i="68"/>
  <c r="CC77" i="68"/>
  <c r="CB77" i="68"/>
  <c r="CA77" i="68"/>
  <c r="BZ77" i="68"/>
  <c r="BY77" i="68"/>
  <c r="BX77" i="68"/>
  <c r="BW77" i="68"/>
  <c r="BO77" i="68"/>
  <c r="EC77" i="68" s="1"/>
  <c r="BN77" i="68"/>
  <c r="EB77" i="68" s="1"/>
  <c r="BM77" i="68"/>
  <c r="EA77" i="68" s="1"/>
  <c r="BL77" i="68"/>
  <c r="BK77" i="68"/>
  <c r="BJ77" i="68"/>
  <c r="DX77" i="68" s="1"/>
  <c r="BI77" i="68"/>
  <c r="DW77" i="68" s="1"/>
  <c r="BH77" i="68"/>
  <c r="DV77" i="68" s="1"/>
  <c r="BG77" i="68"/>
  <c r="DU77" i="68" s="1"/>
  <c r="BF77" i="68"/>
  <c r="DT77" i="68" s="1"/>
  <c r="BE77" i="68"/>
  <c r="DS77" i="68" s="1"/>
  <c r="BD77" i="68"/>
  <c r="BA77" i="68"/>
  <c r="BB77" i="68" s="1"/>
  <c r="AI77" i="68"/>
  <c r="S77" i="68"/>
  <c r="R77" i="68"/>
  <c r="Q77" i="68"/>
  <c r="P77" i="68"/>
  <c r="O77" i="68"/>
  <c r="M77" i="68"/>
  <c r="K77" i="68"/>
  <c r="J77" i="68"/>
  <c r="H77" i="68"/>
  <c r="G77" i="68"/>
  <c r="E77" i="68"/>
  <c r="D77" i="68"/>
  <c r="C77" i="68"/>
  <c r="CH76" i="68"/>
  <c r="CG76" i="68"/>
  <c r="CF76" i="68"/>
  <c r="CE76" i="68"/>
  <c r="CD76" i="68"/>
  <c r="CC76" i="68"/>
  <c r="CB76" i="68"/>
  <c r="CA76" i="68"/>
  <c r="BZ76" i="68"/>
  <c r="BY76" i="68"/>
  <c r="BX76" i="68"/>
  <c r="BW76" i="68"/>
  <c r="BO76" i="68"/>
  <c r="BN76" i="68"/>
  <c r="EB76" i="68" s="1"/>
  <c r="BM76" i="68"/>
  <c r="BL76" i="68"/>
  <c r="DZ76" i="68" s="1"/>
  <c r="BK76" i="68"/>
  <c r="DY76" i="68" s="1"/>
  <c r="BJ76" i="68"/>
  <c r="DX76" i="68" s="1"/>
  <c r="BI76" i="68"/>
  <c r="DW76" i="68" s="1"/>
  <c r="BH76" i="68"/>
  <c r="BG76" i="68"/>
  <c r="BF76" i="68"/>
  <c r="DT76" i="68" s="1"/>
  <c r="BE76" i="68"/>
  <c r="BD76" i="68"/>
  <c r="DR76" i="68" s="1"/>
  <c r="BA76" i="68"/>
  <c r="BB76" i="68" s="1"/>
  <c r="AI76" i="68"/>
  <c r="S76" i="68"/>
  <c r="R76" i="68"/>
  <c r="Q76" i="68"/>
  <c r="P76" i="68"/>
  <c r="O76" i="68"/>
  <c r="M76" i="68"/>
  <c r="K76" i="68"/>
  <c r="J76" i="68"/>
  <c r="H76" i="68"/>
  <c r="G76" i="68"/>
  <c r="E76" i="68"/>
  <c r="D76" i="68"/>
  <c r="C76" i="68"/>
  <c r="CH75" i="68"/>
  <c r="CG75" i="68"/>
  <c r="CF75" i="68"/>
  <c r="CE75" i="68"/>
  <c r="CD75" i="68"/>
  <c r="CC75" i="68"/>
  <c r="CB75" i="68"/>
  <c r="CA75" i="68"/>
  <c r="BZ75" i="68"/>
  <c r="BY75" i="68"/>
  <c r="BX75" i="68"/>
  <c r="BW75" i="68"/>
  <c r="BO75" i="68"/>
  <c r="EC75" i="68" s="1"/>
  <c r="BN75" i="68"/>
  <c r="EB75" i="68" s="1"/>
  <c r="BM75" i="68"/>
  <c r="EA75" i="68" s="1"/>
  <c r="BL75" i="68"/>
  <c r="DZ75" i="68" s="1"/>
  <c r="BK75" i="68"/>
  <c r="BJ75" i="68"/>
  <c r="BI75" i="68"/>
  <c r="DW75" i="68" s="1"/>
  <c r="BH75" i="68"/>
  <c r="DV75" i="68" s="1"/>
  <c r="BG75" i="68"/>
  <c r="DU75" i="68" s="1"/>
  <c r="BF75" i="68"/>
  <c r="DT75" i="68" s="1"/>
  <c r="BE75" i="68"/>
  <c r="DS75" i="68" s="1"/>
  <c r="BD75" i="68"/>
  <c r="DR75" i="68" s="1"/>
  <c r="BA75" i="68"/>
  <c r="BB75" i="68" s="1"/>
  <c r="AI75" i="68"/>
  <c r="S75" i="68"/>
  <c r="R75" i="68"/>
  <c r="Q75" i="68"/>
  <c r="P75" i="68"/>
  <c r="O75" i="68"/>
  <c r="M75" i="68"/>
  <c r="K75" i="68"/>
  <c r="J75" i="68"/>
  <c r="H75" i="68"/>
  <c r="G75" i="68"/>
  <c r="E75" i="68"/>
  <c r="D75" i="68"/>
  <c r="C75" i="68"/>
  <c r="CH74" i="68"/>
  <c r="CG74" i="68"/>
  <c r="CF74" i="68"/>
  <c r="CE74" i="68"/>
  <c r="CD74" i="68"/>
  <c r="CC74" i="68"/>
  <c r="CB74" i="68"/>
  <c r="CA74" i="68"/>
  <c r="BZ74" i="68"/>
  <c r="BY74" i="68"/>
  <c r="BX74" i="68"/>
  <c r="BW74" i="68"/>
  <c r="BO74" i="68"/>
  <c r="BN74" i="68"/>
  <c r="EB74" i="68" s="1"/>
  <c r="BM74" i="68"/>
  <c r="EA74" i="68" s="1"/>
  <c r="BL74" i="68"/>
  <c r="DZ74" i="68" s="1"/>
  <c r="BK74" i="68"/>
  <c r="DY74" i="68" s="1"/>
  <c r="BJ74" i="68"/>
  <c r="DX74" i="68" s="1"/>
  <c r="BI74" i="68"/>
  <c r="DW74" i="68" s="1"/>
  <c r="BH74" i="68"/>
  <c r="DV74" i="68" s="1"/>
  <c r="BG74" i="68"/>
  <c r="BF74" i="68"/>
  <c r="DT74" i="68" s="1"/>
  <c r="BE74" i="68"/>
  <c r="DS74" i="68" s="1"/>
  <c r="BD74" i="68"/>
  <c r="DR74" i="68" s="1"/>
  <c r="BA74" i="68"/>
  <c r="BB74" i="68" s="1"/>
  <c r="AI74" i="68"/>
  <c r="S74" i="68"/>
  <c r="R74" i="68"/>
  <c r="Q74" i="68"/>
  <c r="P74" i="68"/>
  <c r="O74" i="68"/>
  <c r="M74" i="68"/>
  <c r="K74" i="68"/>
  <c r="J74" i="68"/>
  <c r="H74" i="68"/>
  <c r="CJ74" i="68" s="1" a="1"/>
  <c r="CJ74" i="68" s="1"/>
  <c r="G74" i="68"/>
  <c r="E74" i="68"/>
  <c r="D74" i="68"/>
  <c r="C74" i="68"/>
  <c r="CH73" i="68"/>
  <c r="CG73" i="68"/>
  <c r="CF73" i="68"/>
  <c r="CE73" i="68"/>
  <c r="CD73" i="68"/>
  <c r="CC73" i="68"/>
  <c r="CB73" i="68"/>
  <c r="CA73" i="68"/>
  <c r="BZ73" i="68"/>
  <c r="BY73" i="68"/>
  <c r="BX73" i="68"/>
  <c r="BW73" i="68"/>
  <c r="BO73" i="68"/>
  <c r="EC73" i="68" s="1"/>
  <c r="BN73" i="68"/>
  <c r="EB73" i="68" s="1"/>
  <c r="BM73" i="68"/>
  <c r="EA73" i="68" s="1"/>
  <c r="BL73" i="68"/>
  <c r="BK73" i="68"/>
  <c r="DY73" i="68" s="1"/>
  <c r="BJ73" i="68"/>
  <c r="DX73" i="68" s="1"/>
  <c r="BI73" i="68"/>
  <c r="BH73" i="68"/>
  <c r="DV73" i="68" s="1"/>
  <c r="BG73" i="68"/>
  <c r="DU73" i="68" s="1"/>
  <c r="BF73" i="68"/>
  <c r="DT73" i="68" s="1"/>
  <c r="BE73" i="68"/>
  <c r="DS73" i="68" s="1"/>
  <c r="BD73" i="68"/>
  <c r="DR73" i="68" s="1"/>
  <c r="BA73" i="68"/>
  <c r="BB73" i="68" s="1"/>
  <c r="AI73" i="68"/>
  <c r="S73" i="68"/>
  <c r="R73" i="68"/>
  <c r="Q73" i="68"/>
  <c r="P73" i="68"/>
  <c r="O73" i="68"/>
  <c r="M73" i="68"/>
  <c r="K73" i="68"/>
  <c r="J73" i="68"/>
  <c r="H73" i="68"/>
  <c r="CL73" i="68" s="1" a="1"/>
  <c r="CL73" i="68" s="1"/>
  <c r="G73" i="68"/>
  <c r="E73" i="68"/>
  <c r="D73" i="68"/>
  <c r="C73" i="68"/>
  <c r="CH72" i="68"/>
  <c r="CG72" i="68"/>
  <c r="CF72" i="68"/>
  <c r="CE72" i="68"/>
  <c r="CD72" i="68"/>
  <c r="CC72" i="68"/>
  <c r="CB72" i="68"/>
  <c r="CA72" i="68"/>
  <c r="BZ72" i="68"/>
  <c r="BY72" i="68"/>
  <c r="BX72" i="68"/>
  <c r="BW72" i="68"/>
  <c r="BO72" i="68"/>
  <c r="EC72" i="68" s="1"/>
  <c r="BN72" i="68"/>
  <c r="EB72" i="68" s="1"/>
  <c r="BM72" i="68"/>
  <c r="BL72" i="68"/>
  <c r="DZ72" i="68" s="1"/>
  <c r="BK72" i="68"/>
  <c r="BJ72" i="68"/>
  <c r="DX72" i="68" s="1"/>
  <c r="BI72" i="68"/>
  <c r="DW72" i="68" s="1"/>
  <c r="BH72" i="68"/>
  <c r="DV72" i="68" s="1"/>
  <c r="BG72" i="68"/>
  <c r="DU72" i="68" s="1"/>
  <c r="BF72" i="68"/>
  <c r="DT72" i="68" s="1"/>
  <c r="BE72" i="68"/>
  <c r="BD72" i="68"/>
  <c r="DR72" i="68" s="1"/>
  <c r="BA72" i="68"/>
  <c r="BB72" i="68" s="1"/>
  <c r="AI72" i="68"/>
  <c r="S72" i="68"/>
  <c r="R72" i="68"/>
  <c r="Q72" i="68"/>
  <c r="P72" i="68"/>
  <c r="O72" i="68"/>
  <c r="M72" i="68"/>
  <c r="K72" i="68"/>
  <c r="J72" i="68"/>
  <c r="H72" i="68"/>
  <c r="CL72" i="68" s="1" a="1"/>
  <c r="CL72" i="68" s="1"/>
  <c r="G72" i="68"/>
  <c r="E72" i="68"/>
  <c r="D72" i="68"/>
  <c r="C72" i="68"/>
  <c r="CH71" i="68"/>
  <c r="CG71" i="68"/>
  <c r="CF71" i="68"/>
  <c r="CE71" i="68"/>
  <c r="CD71" i="68"/>
  <c r="CC71" i="68"/>
  <c r="CB71" i="68"/>
  <c r="CA71" i="68"/>
  <c r="BZ71" i="68"/>
  <c r="BY71" i="68"/>
  <c r="BX71" i="68"/>
  <c r="BW71" i="68"/>
  <c r="BO71" i="68"/>
  <c r="BN71" i="68"/>
  <c r="BM71" i="68"/>
  <c r="EA71" i="68" s="1"/>
  <c r="BL71" i="68"/>
  <c r="DZ71" i="68" s="1"/>
  <c r="BK71" i="68"/>
  <c r="DY71" i="68" s="1"/>
  <c r="BJ71" i="68"/>
  <c r="BI71" i="68"/>
  <c r="DW71" i="68" s="1"/>
  <c r="BH71" i="68"/>
  <c r="DV71" i="68" s="1"/>
  <c r="BG71" i="68"/>
  <c r="DU71" i="68" s="1"/>
  <c r="BF71" i="68"/>
  <c r="DT71" i="68" s="1"/>
  <c r="BE71" i="68"/>
  <c r="DS71" i="68" s="1"/>
  <c r="BD71" i="68"/>
  <c r="DR71" i="68" s="1"/>
  <c r="BA71" i="68"/>
  <c r="BB71" i="68" s="1"/>
  <c r="AI71" i="68"/>
  <c r="S71" i="68"/>
  <c r="R71" i="68"/>
  <c r="Q71" i="68"/>
  <c r="P71" i="68"/>
  <c r="O71" i="68"/>
  <c r="M71" i="68"/>
  <c r="K71" i="68"/>
  <c r="J71" i="68"/>
  <c r="H71" i="68"/>
  <c r="G71" i="68"/>
  <c r="E71" i="68"/>
  <c r="D71" i="68"/>
  <c r="C71" i="68"/>
  <c r="CH70" i="68"/>
  <c r="CG70" i="68"/>
  <c r="CF70" i="68"/>
  <c r="CE70" i="68"/>
  <c r="CD70" i="68"/>
  <c r="CC70" i="68"/>
  <c r="CB70" i="68"/>
  <c r="CA70" i="68"/>
  <c r="BZ70" i="68"/>
  <c r="BY70" i="68"/>
  <c r="BX70" i="68"/>
  <c r="BW70" i="68"/>
  <c r="BO70" i="68"/>
  <c r="EC70" i="68" s="1"/>
  <c r="BN70" i="68"/>
  <c r="EB70" i="68" s="1"/>
  <c r="BM70" i="68"/>
  <c r="EA70" i="68" s="1"/>
  <c r="BL70" i="68"/>
  <c r="DZ70" i="68" s="1"/>
  <c r="BK70" i="68"/>
  <c r="DY70" i="68" s="1"/>
  <c r="BJ70" i="68"/>
  <c r="BI70" i="68"/>
  <c r="DW70" i="68" s="1"/>
  <c r="BH70" i="68"/>
  <c r="DV70" i="68" s="1"/>
  <c r="BG70" i="68"/>
  <c r="DU70" i="68" s="1"/>
  <c r="BF70" i="68"/>
  <c r="DT70" i="68" s="1"/>
  <c r="BE70" i="68"/>
  <c r="BD70" i="68"/>
  <c r="DR70" i="68" s="1"/>
  <c r="BA70" i="68"/>
  <c r="BB70" i="68" s="1"/>
  <c r="AI70" i="68"/>
  <c r="S70" i="68"/>
  <c r="R70" i="68"/>
  <c r="Q70" i="68"/>
  <c r="P70" i="68"/>
  <c r="O70" i="68"/>
  <c r="M70" i="68"/>
  <c r="K70" i="68"/>
  <c r="J70" i="68"/>
  <c r="H70" i="68"/>
  <c r="G70" i="68"/>
  <c r="E70" i="68"/>
  <c r="D70" i="68"/>
  <c r="C70" i="68"/>
  <c r="CH69" i="68"/>
  <c r="CG69" i="68"/>
  <c r="CF69" i="68"/>
  <c r="CE69" i="68"/>
  <c r="CD69" i="68"/>
  <c r="CC69" i="68"/>
  <c r="CB69" i="68"/>
  <c r="CA69" i="68"/>
  <c r="BZ69" i="68"/>
  <c r="BY69" i="68"/>
  <c r="BX69" i="68"/>
  <c r="BW69" i="68"/>
  <c r="BA69" i="68"/>
  <c r="BB69" i="68" s="1"/>
  <c r="BO69" i="68"/>
  <c r="EC69" i="68" s="1"/>
  <c r="BN69" i="68"/>
  <c r="BM69" i="68"/>
  <c r="BL69" i="68"/>
  <c r="DZ69" i="68" s="1"/>
  <c r="BK69" i="68"/>
  <c r="DY69" i="68" s="1"/>
  <c r="BJ69" i="68"/>
  <c r="DX69" i="68" s="1"/>
  <c r="BI69" i="68"/>
  <c r="DW69" i="68" s="1"/>
  <c r="BH69" i="68"/>
  <c r="DV69" i="68" s="1"/>
  <c r="BG69" i="68"/>
  <c r="DU69" i="68" s="1"/>
  <c r="BF69" i="68"/>
  <c r="DT69" i="68" s="1"/>
  <c r="BE69" i="68"/>
  <c r="BD69" i="68"/>
  <c r="AI69" i="68"/>
  <c r="S69" i="68"/>
  <c r="R69" i="68"/>
  <c r="Q69" i="68"/>
  <c r="P69" i="68"/>
  <c r="O69" i="68"/>
  <c r="M69" i="68"/>
  <c r="K69" i="68"/>
  <c r="J69" i="68"/>
  <c r="H69" i="68"/>
  <c r="G69" i="68"/>
  <c r="E69" i="68"/>
  <c r="D69" i="68"/>
  <c r="C69" i="68"/>
  <c r="CH68" i="68"/>
  <c r="CG68" i="68"/>
  <c r="CF68" i="68"/>
  <c r="CE68" i="68"/>
  <c r="CD68" i="68"/>
  <c r="CC68" i="68"/>
  <c r="CB68" i="68"/>
  <c r="CA68" i="68"/>
  <c r="BZ68" i="68"/>
  <c r="BY68" i="68"/>
  <c r="BX68" i="68"/>
  <c r="BW68" i="68"/>
  <c r="BO68" i="68"/>
  <c r="EC68" i="68" s="1"/>
  <c r="BN68" i="68"/>
  <c r="EB68" i="68" s="1"/>
  <c r="BM68" i="68"/>
  <c r="EA68" i="68" s="1"/>
  <c r="BL68" i="68"/>
  <c r="DZ68" i="68" s="1"/>
  <c r="BK68" i="68"/>
  <c r="BJ68" i="68"/>
  <c r="DX68" i="68" s="1"/>
  <c r="BI68" i="68"/>
  <c r="DW68" i="68" s="1"/>
  <c r="BH68" i="68"/>
  <c r="DV68" i="68" s="1"/>
  <c r="BG68" i="68"/>
  <c r="DU68" i="68" s="1"/>
  <c r="BF68" i="68"/>
  <c r="DT68" i="68" s="1"/>
  <c r="BE68" i="68"/>
  <c r="BD68" i="68"/>
  <c r="BA68" i="68"/>
  <c r="BB68" i="68" s="1"/>
  <c r="AI68" i="68"/>
  <c r="S68" i="68"/>
  <c r="R68" i="68"/>
  <c r="Q68" i="68"/>
  <c r="P68" i="68"/>
  <c r="O68" i="68"/>
  <c r="M68" i="68"/>
  <c r="K68" i="68"/>
  <c r="J68" i="68"/>
  <c r="H68" i="68"/>
  <c r="G68" i="68"/>
  <c r="E68" i="68"/>
  <c r="D68" i="68"/>
  <c r="C68" i="68"/>
  <c r="CH67" i="68"/>
  <c r="CG67" i="68"/>
  <c r="CF67" i="68"/>
  <c r="CE67" i="68"/>
  <c r="CD67" i="68"/>
  <c r="CC67" i="68"/>
  <c r="CB67" i="68"/>
  <c r="CA67" i="68"/>
  <c r="BZ67" i="68"/>
  <c r="BY67" i="68"/>
  <c r="BX67" i="68"/>
  <c r="BW67" i="68"/>
  <c r="BO67" i="68"/>
  <c r="EC67" i="68" s="1"/>
  <c r="BN67" i="68"/>
  <c r="EB67" i="68" s="1"/>
  <c r="BM67" i="68"/>
  <c r="EA67" i="68" s="1"/>
  <c r="BL67" i="68"/>
  <c r="BK67" i="68"/>
  <c r="DY67" i="68" s="1"/>
  <c r="BJ67" i="68"/>
  <c r="DX67" i="68" s="1"/>
  <c r="BI67" i="68"/>
  <c r="DW67" i="68" s="1"/>
  <c r="BH67" i="68"/>
  <c r="BG67" i="68"/>
  <c r="DU67" i="68" s="1"/>
  <c r="BF67" i="68"/>
  <c r="DT67" i="68" s="1"/>
  <c r="BE67" i="68"/>
  <c r="DS67" i="68" s="1"/>
  <c r="BD67" i="68"/>
  <c r="DR67" i="68" s="1"/>
  <c r="BA67" i="68"/>
  <c r="BB67" i="68" s="1"/>
  <c r="AI67" i="68"/>
  <c r="S67" i="68"/>
  <c r="R67" i="68"/>
  <c r="Q67" i="68"/>
  <c r="P67" i="68"/>
  <c r="O67" i="68"/>
  <c r="M67" i="68"/>
  <c r="K67" i="68"/>
  <c r="J67" i="68"/>
  <c r="H67" i="68"/>
  <c r="G67" i="68"/>
  <c r="E67" i="68"/>
  <c r="D67" i="68"/>
  <c r="C67" i="68"/>
  <c r="CH66" i="68"/>
  <c r="CG66" i="68"/>
  <c r="CF66" i="68"/>
  <c r="CE66" i="68"/>
  <c r="CD66" i="68"/>
  <c r="CC66" i="68"/>
  <c r="CB66" i="68"/>
  <c r="CA66" i="68"/>
  <c r="BZ66" i="68"/>
  <c r="BY66" i="68"/>
  <c r="BX66" i="68"/>
  <c r="BW66" i="68"/>
  <c r="BO66" i="68"/>
  <c r="BN66" i="68"/>
  <c r="EB66" i="68" s="1"/>
  <c r="BM66" i="68"/>
  <c r="EA66" i="68" s="1"/>
  <c r="BL66" i="68"/>
  <c r="DZ66" i="68" s="1"/>
  <c r="BK66" i="68"/>
  <c r="DY66" i="68" s="1"/>
  <c r="BJ66" i="68"/>
  <c r="BI66" i="68"/>
  <c r="DW66" i="68" s="1"/>
  <c r="BH66" i="68"/>
  <c r="DV66" i="68" s="1"/>
  <c r="BG66" i="68"/>
  <c r="BF66" i="68"/>
  <c r="DT66" i="68" s="1"/>
  <c r="BE66" i="68"/>
  <c r="BD66" i="68"/>
  <c r="BA66" i="68"/>
  <c r="BB66" i="68" s="1"/>
  <c r="AI66" i="68"/>
  <c r="S66" i="68"/>
  <c r="R66" i="68"/>
  <c r="Q66" i="68"/>
  <c r="P66" i="68"/>
  <c r="O66" i="68"/>
  <c r="M66" i="68"/>
  <c r="K66" i="68"/>
  <c r="J66" i="68"/>
  <c r="H66" i="68"/>
  <c r="G66" i="68"/>
  <c r="E66" i="68"/>
  <c r="D66" i="68"/>
  <c r="C66" i="68"/>
  <c r="CH65" i="68"/>
  <c r="CG65" i="68"/>
  <c r="CF65" i="68"/>
  <c r="CE65" i="68"/>
  <c r="CD65" i="68"/>
  <c r="CC65" i="68"/>
  <c r="CB65" i="68"/>
  <c r="CA65" i="68"/>
  <c r="BZ65" i="68"/>
  <c r="BY65" i="68"/>
  <c r="BX65" i="68"/>
  <c r="BW65" i="68"/>
  <c r="BO65" i="68"/>
  <c r="BN65" i="68"/>
  <c r="BM65" i="68"/>
  <c r="EA65" i="68" s="1"/>
  <c r="BL65" i="68"/>
  <c r="DZ65" i="68" s="1"/>
  <c r="BK65" i="68"/>
  <c r="DY65" i="68" s="1"/>
  <c r="BJ65" i="68"/>
  <c r="DX65" i="68" s="1"/>
  <c r="BI65" i="68"/>
  <c r="DW65" i="68" s="1"/>
  <c r="BH65" i="68"/>
  <c r="DV65" i="68" s="1"/>
  <c r="BG65" i="68"/>
  <c r="DU65" i="68" s="1"/>
  <c r="BF65" i="68"/>
  <c r="DT65" i="68" s="1"/>
  <c r="BE65" i="68"/>
  <c r="BD65" i="68"/>
  <c r="DR65" i="68" s="1"/>
  <c r="BA65" i="68"/>
  <c r="BB65" i="68" s="1"/>
  <c r="AI65" i="68"/>
  <c r="S65" i="68"/>
  <c r="R65" i="68"/>
  <c r="Q65" i="68"/>
  <c r="P65" i="68"/>
  <c r="O65" i="68"/>
  <c r="M65" i="68"/>
  <c r="K65" i="68"/>
  <c r="J65" i="68"/>
  <c r="H65" i="68"/>
  <c r="G65" i="68"/>
  <c r="E65" i="68"/>
  <c r="D65" i="68"/>
  <c r="C65" i="68"/>
  <c r="CH64" i="68"/>
  <c r="CG64" i="68"/>
  <c r="CF64" i="68"/>
  <c r="CE64" i="68"/>
  <c r="CD64" i="68"/>
  <c r="CC64" i="68"/>
  <c r="CB64" i="68"/>
  <c r="CA64" i="68"/>
  <c r="BZ64" i="68"/>
  <c r="BY64" i="68"/>
  <c r="BX64" i="68"/>
  <c r="BW64" i="68"/>
  <c r="BO64" i="68"/>
  <c r="EC64" i="68" s="1"/>
  <c r="BN64" i="68"/>
  <c r="EB64" i="68" s="1"/>
  <c r="BM64" i="68"/>
  <c r="EA64" i="68" s="1"/>
  <c r="BL64" i="68"/>
  <c r="DZ64" i="68" s="1"/>
  <c r="BK64" i="68"/>
  <c r="DY64" i="68" s="1"/>
  <c r="BJ64" i="68"/>
  <c r="BI64" i="68"/>
  <c r="DW64" i="68" s="1"/>
  <c r="BH64" i="68"/>
  <c r="DV64" i="68" s="1"/>
  <c r="BG64" i="68"/>
  <c r="DU64" i="68" s="1"/>
  <c r="BF64" i="68"/>
  <c r="DT64" i="68" s="1"/>
  <c r="BE64" i="68"/>
  <c r="DS64" i="68" s="1"/>
  <c r="BD64" i="68"/>
  <c r="DR64" i="68" s="1"/>
  <c r="BA64" i="68"/>
  <c r="BB64" i="68" s="1"/>
  <c r="AI64" i="68"/>
  <c r="S64" i="68"/>
  <c r="R64" i="68"/>
  <c r="Q64" i="68"/>
  <c r="P64" i="68"/>
  <c r="O64" i="68"/>
  <c r="M64" i="68"/>
  <c r="K64" i="68"/>
  <c r="J64" i="68"/>
  <c r="H64" i="68"/>
  <c r="G64" i="68"/>
  <c r="E64" i="68"/>
  <c r="D64" i="68"/>
  <c r="C64" i="68"/>
  <c r="CH63" i="68"/>
  <c r="CG63" i="68"/>
  <c r="CF63" i="68"/>
  <c r="CE63" i="68"/>
  <c r="CD63" i="68"/>
  <c r="CC63" i="68"/>
  <c r="CB63" i="68"/>
  <c r="CA63" i="68"/>
  <c r="BZ63" i="68"/>
  <c r="BY63" i="68"/>
  <c r="BX63" i="68"/>
  <c r="BW63" i="68"/>
  <c r="BO63" i="68"/>
  <c r="EC63" i="68" s="1"/>
  <c r="BN63" i="68"/>
  <c r="EB63" i="68" s="1"/>
  <c r="BM63" i="68"/>
  <c r="EA63" i="68" s="1"/>
  <c r="BL63" i="68"/>
  <c r="BK63" i="68"/>
  <c r="BJ63" i="68"/>
  <c r="BI63" i="68"/>
  <c r="DW63" i="68" s="1"/>
  <c r="BH63" i="68"/>
  <c r="DV63" i="68" s="1"/>
  <c r="BG63" i="68"/>
  <c r="DU63" i="68" s="1"/>
  <c r="BF63" i="68"/>
  <c r="DT63" i="68" s="1"/>
  <c r="BE63" i="68"/>
  <c r="DS63" i="68" s="1"/>
  <c r="BD63" i="68"/>
  <c r="DR63" i="68" s="1"/>
  <c r="BA63" i="68"/>
  <c r="BB63" i="68" s="1"/>
  <c r="AI63" i="68"/>
  <c r="S63" i="68"/>
  <c r="R63" i="68"/>
  <c r="Q63" i="68"/>
  <c r="P63" i="68"/>
  <c r="O63" i="68"/>
  <c r="M63" i="68"/>
  <c r="K63" i="68"/>
  <c r="J63" i="68"/>
  <c r="H63" i="68"/>
  <c r="G63" i="68"/>
  <c r="E63" i="68"/>
  <c r="D63" i="68"/>
  <c r="C63" i="68"/>
  <c r="BV62" i="68"/>
  <c r="CB62" i="68" s="1"/>
  <c r="BO62" i="68"/>
  <c r="BN62" i="68"/>
  <c r="EB62" i="68" s="1"/>
  <c r="BM62" i="68"/>
  <c r="BL62" i="68"/>
  <c r="BK62" i="68"/>
  <c r="DY62" i="68" s="1"/>
  <c r="BJ62" i="68"/>
  <c r="DX62" i="68" s="1"/>
  <c r="BI62" i="68"/>
  <c r="DW62" i="68" s="1"/>
  <c r="BH62" i="68"/>
  <c r="DV62" i="68" s="1"/>
  <c r="BG62" i="68"/>
  <c r="DU62" i="68" s="1"/>
  <c r="BF62" i="68"/>
  <c r="DT62" i="68" s="1"/>
  <c r="BE62" i="68"/>
  <c r="DS62" i="68" s="1"/>
  <c r="BD62" i="68"/>
  <c r="BA62" i="68"/>
  <c r="BB62" i="68" s="1"/>
  <c r="AI62" i="68"/>
  <c r="S62" i="68"/>
  <c r="R62" i="68"/>
  <c r="Q62" i="68"/>
  <c r="P62" i="68"/>
  <c r="O62" i="68"/>
  <c r="M62" i="68"/>
  <c r="K62" i="68"/>
  <c r="J62" i="68"/>
  <c r="H62" i="68"/>
  <c r="CJ62" i="68" s="1" a="1"/>
  <c r="CJ62" i="68" s="1"/>
  <c r="G62" i="68"/>
  <c r="E62" i="68"/>
  <c r="D62" i="68"/>
  <c r="C62" i="68"/>
  <c r="CH61" i="68"/>
  <c r="CG61" i="68"/>
  <c r="CF61" i="68"/>
  <c r="CE61" i="68"/>
  <c r="CD61" i="68"/>
  <c r="CC61" i="68"/>
  <c r="CB61" i="68"/>
  <c r="CA61" i="68"/>
  <c r="BZ61" i="68"/>
  <c r="BY61" i="68"/>
  <c r="BX61" i="68"/>
  <c r="BW61" i="68"/>
  <c r="BO61" i="68"/>
  <c r="BN61" i="68"/>
  <c r="BM61" i="68"/>
  <c r="EA61" i="68" s="1"/>
  <c r="BL61" i="68"/>
  <c r="BK61" i="68"/>
  <c r="BJ61" i="68"/>
  <c r="BI61" i="68"/>
  <c r="DW61" i="68" s="1"/>
  <c r="BH61" i="68"/>
  <c r="DV61" i="68" s="1"/>
  <c r="BG61" i="68"/>
  <c r="DU61" i="68" s="1"/>
  <c r="BF61" i="68"/>
  <c r="DT61" i="68" s="1"/>
  <c r="BE61" i="68"/>
  <c r="DS61" i="68" s="1"/>
  <c r="BD61" i="68"/>
  <c r="DR61" i="68" s="1"/>
  <c r="BA61" i="68"/>
  <c r="BB61" i="68" s="1"/>
  <c r="AI61" i="68"/>
  <c r="S61" i="68"/>
  <c r="R61" i="68"/>
  <c r="Q61" i="68"/>
  <c r="P61" i="68"/>
  <c r="O61" i="68"/>
  <c r="M61" i="68"/>
  <c r="K61" i="68"/>
  <c r="J61" i="68"/>
  <c r="H61" i="68"/>
  <c r="CJ61" i="68" s="1" a="1"/>
  <c r="CJ61" i="68" s="1"/>
  <c r="G61" i="68"/>
  <c r="E61" i="68"/>
  <c r="D61" i="68"/>
  <c r="C61" i="68"/>
  <c r="CH60" i="68"/>
  <c r="CG60" i="68"/>
  <c r="CF60" i="68"/>
  <c r="CE60" i="68"/>
  <c r="CD60" i="68"/>
  <c r="CC60" i="68"/>
  <c r="CB60" i="68"/>
  <c r="CA60" i="68"/>
  <c r="BZ60" i="68"/>
  <c r="BY60" i="68"/>
  <c r="BX60" i="68"/>
  <c r="BW60" i="68"/>
  <c r="BO60" i="68"/>
  <c r="BN60" i="68"/>
  <c r="EB60" i="68" s="1"/>
  <c r="BM60" i="68"/>
  <c r="BL60" i="68"/>
  <c r="DZ60" i="68" s="1"/>
  <c r="BK60" i="68"/>
  <c r="BJ60" i="68"/>
  <c r="DX60" i="68" s="1"/>
  <c r="BI60" i="68"/>
  <c r="DW60" i="68" s="1"/>
  <c r="BH60" i="68"/>
  <c r="DV60" i="68" s="1"/>
  <c r="BG60" i="68"/>
  <c r="DU60" i="68" s="1"/>
  <c r="BF60" i="68"/>
  <c r="DT60" i="68" s="1"/>
  <c r="BE60" i="68"/>
  <c r="DS60" i="68" s="1"/>
  <c r="BD60" i="68"/>
  <c r="DR60" i="68" s="1"/>
  <c r="BA60" i="68"/>
  <c r="BB60" i="68" s="1"/>
  <c r="AI60" i="68"/>
  <c r="S60" i="68"/>
  <c r="R60" i="68"/>
  <c r="Q60" i="68"/>
  <c r="P60" i="68"/>
  <c r="O60" i="68"/>
  <c r="M60" i="68"/>
  <c r="K60" i="68"/>
  <c r="J60" i="68"/>
  <c r="H60" i="68"/>
  <c r="CL60" i="68" s="1" a="1"/>
  <c r="CL60" i="68" s="1"/>
  <c r="G60" i="68"/>
  <c r="E60" i="68"/>
  <c r="D60" i="68"/>
  <c r="C60" i="68"/>
  <c r="BA59" i="68"/>
  <c r="BB59" i="68" s="1"/>
  <c r="AX59" i="68"/>
  <c r="BO59" i="68" s="1"/>
  <c r="EC59" i="68" s="1"/>
  <c r="AW59" i="68"/>
  <c r="BN59" i="68" s="1"/>
  <c r="CG59" i="68" s="1"/>
  <c r="AV59" i="68"/>
  <c r="BM59" i="68" s="1"/>
  <c r="EA59" i="68" s="1"/>
  <c r="AU59" i="68"/>
  <c r="BL59" i="68" s="1"/>
  <c r="DZ59" i="68" s="1"/>
  <c r="AT59" i="68"/>
  <c r="BK59" i="68" s="1"/>
  <c r="DY59" i="68" s="1"/>
  <c r="AS59" i="68"/>
  <c r="BJ59" i="68" s="1"/>
  <c r="AR59" i="68"/>
  <c r="BI59" i="68" s="1"/>
  <c r="DW59" i="68" s="1"/>
  <c r="AQ59" i="68"/>
  <c r="BH59" i="68" s="1"/>
  <c r="AP59" i="68"/>
  <c r="BG59" i="68" s="1"/>
  <c r="AO59" i="68"/>
  <c r="BF59" i="68" s="1"/>
  <c r="BY59" i="68" s="1"/>
  <c r="AN59" i="68"/>
  <c r="BE59" i="68" s="1"/>
  <c r="AM59" i="68"/>
  <c r="BD59" i="68" s="1"/>
  <c r="AI59" i="68"/>
  <c r="S59" i="68"/>
  <c r="R59" i="68"/>
  <c r="Q59" i="68"/>
  <c r="P59" i="68"/>
  <c r="O59" i="68"/>
  <c r="M59" i="68"/>
  <c r="K59" i="68"/>
  <c r="J59" i="68"/>
  <c r="H59" i="68"/>
  <c r="CL59" i="68" s="1" a="1"/>
  <c r="CL59" i="68" s="1"/>
  <c r="G59" i="68"/>
  <c r="E59" i="68"/>
  <c r="D59" i="68"/>
  <c r="C59" i="68"/>
  <c r="BD58" i="68"/>
  <c r="BA58" i="68"/>
  <c r="BB58" i="68" s="1"/>
  <c r="AX58" i="68"/>
  <c r="BO58" i="68" s="1"/>
  <c r="EC58" i="68" s="1"/>
  <c r="AW58" i="68"/>
  <c r="BN58" i="68" s="1"/>
  <c r="AV58" i="68"/>
  <c r="BM58" i="68" s="1"/>
  <c r="EA58" i="68" s="1"/>
  <c r="AU58" i="68"/>
  <c r="BL58" i="68" s="1"/>
  <c r="AT58" i="68"/>
  <c r="BK58" i="68" s="1"/>
  <c r="DY58" i="68" s="1"/>
  <c r="AS58" i="68"/>
  <c r="BJ58" i="68" s="1"/>
  <c r="DX58" i="68" s="1"/>
  <c r="AR58" i="68"/>
  <c r="BI58" i="68" s="1"/>
  <c r="DW58" i="68" s="1"/>
  <c r="AQ58" i="68"/>
  <c r="BH58" i="68" s="1"/>
  <c r="CA58" i="68" s="1"/>
  <c r="AP58" i="68"/>
  <c r="BG58" i="68" s="1"/>
  <c r="AO58" i="68"/>
  <c r="BF58" i="68" s="1"/>
  <c r="AN58" i="68"/>
  <c r="BE58" i="68" s="1"/>
  <c r="AM58" i="68"/>
  <c r="AI58" i="68"/>
  <c r="S58" i="68"/>
  <c r="R58" i="68"/>
  <c r="Q58" i="68"/>
  <c r="P58" i="68"/>
  <c r="O58" i="68"/>
  <c r="M58" i="68"/>
  <c r="K58" i="68"/>
  <c r="J58" i="68"/>
  <c r="H58" i="68"/>
  <c r="G58" i="68"/>
  <c r="E58" i="68"/>
  <c r="D58" i="68"/>
  <c r="C58" i="68"/>
  <c r="CH57" i="68"/>
  <c r="CG57" i="68"/>
  <c r="CF57" i="68"/>
  <c r="CE57" i="68"/>
  <c r="CD57" i="68"/>
  <c r="CC57" i="68"/>
  <c r="CB57" i="68"/>
  <c r="CA57" i="68"/>
  <c r="BZ57" i="68"/>
  <c r="BY57" i="68"/>
  <c r="BX57" i="68"/>
  <c r="BW57" i="68"/>
  <c r="BA57" i="68"/>
  <c r="BB57" i="68" s="1"/>
  <c r="BO57" i="68"/>
  <c r="BN57" i="68"/>
  <c r="EB57" i="68" s="1"/>
  <c r="BM57" i="68"/>
  <c r="EA57" i="68" s="1"/>
  <c r="BL57" i="68"/>
  <c r="BK57" i="68"/>
  <c r="DY57" i="68" s="1"/>
  <c r="BJ57" i="68"/>
  <c r="BI57" i="68"/>
  <c r="BH57" i="68"/>
  <c r="DV57" i="68" s="1"/>
  <c r="BG57" i="68"/>
  <c r="DU57" i="68" s="1"/>
  <c r="BF57" i="68"/>
  <c r="BE57" i="68"/>
  <c r="BD57" i="68"/>
  <c r="AI57" i="68"/>
  <c r="S57" i="68"/>
  <c r="R57" i="68"/>
  <c r="Q57" i="68"/>
  <c r="P57" i="68"/>
  <c r="O57" i="68"/>
  <c r="M57" i="68"/>
  <c r="K57" i="68"/>
  <c r="J57" i="68"/>
  <c r="H57" i="68"/>
  <c r="G57" i="68"/>
  <c r="E57" i="68"/>
  <c r="D57" i="68"/>
  <c r="C57" i="68"/>
  <c r="CH56" i="68"/>
  <c r="CG56" i="68"/>
  <c r="CF56" i="68"/>
  <c r="CE56" i="68"/>
  <c r="CD56" i="68"/>
  <c r="CC56" i="68"/>
  <c r="CB56" i="68"/>
  <c r="CA56" i="68"/>
  <c r="BZ56" i="68"/>
  <c r="BY56" i="68"/>
  <c r="BX56" i="68"/>
  <c r="BW56" i="68"/>
  <c r="BA56" i="68"/>
  <c r="BB56" i="68" s="1"/>
  <c r="BO56" i="68"/>
  <c r="BN56" i="68"/>
  <c r="EB56" i="68" s="1"/>
  <c r="BM56" i="68"/>
  <c r="EA56" i="68" s="1"/>
  <c r="BL56" i="68"/>
  <c r="BK56" i="68"/>
  <c r="DY56" i="68" s="1"/>
  <c r="BJ56" i="68"/>
  <c r="DX56" i="68" s="1"/>
  <c r="BI56" i="68"/>
  <c r="BH56" i="68"/>
  <c r="BG56" i="68"/>
  <c r="BF56" i="68"/>
  <c r="BE56" i="68"/>
  <c r="BD56" i="68"/>
  <c r="AI56" i="68"/>
  <c r="S56" i="68"/>
  <c r="R56" i="68"/>
  <c r="Q56" i="68"/>
  <c r="P56" i="68"/>
  <c r="O56" i="68"/>
  <c r="M56" i="68"/>
  <c r="K56" i="68"/>
  <c r="J56" i="68"/>
  <c r="H56" i="68"/>
  <c r="G56" i="68"/>
  <c r="E56" i="68"/>
  <c r="D56" i="68"/>
  <c r="C56" i="68"/>
  <c r="CH55" i="68"/>
  <c r="CG55" i="68"/>
  <c r="CF55" i="68"/>
  <c r="CE55" i="68"/>
  <c r="CD55" i="68"/>
  <c r="CC55" i="68"/>
  <c r="CB55" i="68"/>
  <c r="CA55" i="68"/>
  <c r="BZ55" i="68"/>
  <c r="BY55" i="68"/>
  <c r="BX55" i="68"/>
  <c r="BW55" i="68"/>
  <c r="BA55" i="68"/>
  <c r="BB55" i="68" s="1"/>
  <c r="BO55" i="68"/>
  <c r="EC55" i="68" s="1"/>
  <c r="BN55" i="68"/>
  <c r="EB55" i="68" s="1"/>
  <c r="BM55" i="68"/>
  <c r="EA55" i="68" s="1"/>
  <c r="BL55" i="68"/>
  <c r="DZ55" i="68" s="1"/>
  <c r="BK55" i="68"/>
  <c r="BJ55" i="68"/>
  <c r="BI55" i="68"/>
  <c r="BH55" i="68"/>
  <c r="DV55" i="68" s="1"/>
  <c r="BG55" i="68"/>
  <c r="DU55" i="68" s="1"/>
  <c r="BF55" i="68"/>
  <c r="DT55" i="68" s="1"/>
  <c r="BE55" i="68"/>
  <c r="DS55" i="68" s="1"/>
  <c r="BD55" i="68"/>
  <c r="DR55" i="68" s="1"/>
  <c r="AI55" i="68"/>
  <c r="S55" i="68"/>
  <c r="R55" i="68"/>
  <c r="Q55" i="68"/>
  <c r="P55" i="68"/>
  <c r="O55" i="68"/>
  <c r="M55" i="68"/>
  <c r="K55" i="68"/>
  <c r="J55" i="68"/>
  <c r="H55" i="68"/>
  <c r="G55" i="68"/>
  <c r="E55" i="68"/>
  <c r="D55" i="68"/>
  <c r="C55" i="68"/>
  <c r="BA54" i="68"/>
  <c r="BB54" i="68" s="1"/>
  <c r="AX54" i="68"/>
  <c r="BO54" i="68" s="1"/>
  <c r="CH54" i="68" s="1"/>
  <c r="AW54" i="68"/>
  <c r="BN54" i="68" s="1"/>
  <c r="AV54" i="68"/>
  <c r="BM54" i="68" s="1"/>
  <c r="CF54" i="68" s="1"/>
  <c r="AU54" i="68"/>
  <c r="BL54" i="68" s="1"/>
  <c r="AT54" i="68"/>
  <c r="BK54" i="68" s="1"/>
  <c r="DY54" i="68" s="1"/>
  <c r="AS54" i="68"/>
  <c r="BJ54" i="68" s="1"/>
  <c r="AR54" i="68"/>
  <c r="BI54" i="68" s="1"/>
  <c r="AQ54" i="68"/>
  <c r="BH54" i="68" s="1"/>
  <c r="DV54" i="68" s="1"/>
  <c r="AP54" i="68"/>
  <c r="BG54" i="68" s="1"/>
  <c r="BZ54" i="68" s="1"/>
  <c r="AO54" i="68"/>
  <c r="BF54" i="68" s="1"/>
  <c r="BY54" i="68" s="1"/>
  <c r="AN54" i="68"/>
  <c r="BE54" i="68" s="1"/>
  <c r="DS54" i="68" s="1"/>
  <c r="AM54" i="68"/>
  <c r="BD54" i="68" s="1"/>
  <c r="AI54" i="68"/>
  <c r="S54" i="68"/>
  <c r="R54" i="68"/>
  <c r="Q54" i="68"/>
  <c r="P54" i="68"/>
  <c r="O54" i="68"/>
  <c r="M54" i="68"/>
  <c r="K54" i="68"/>
  <c r="J54" i="68"/>
  <c r="H54" i="68"/>
  <c r="G54" i="68"/>
  <c r="E54" i="68"/>
  <c r="D54" i="68"/>
  <c r="C54" i="68"/>
  <c r="CH53" i="68"/>
  <c r="CG53" i="68"/>
  <c r="CF53" i="68"/>
  <c r="CE53" i="68"/>
  <c r="CD53" i="68"/>
  <c r="CC53" i="68"/>
  <c r="CB53" i="68"/>
  <c r="CA53" i="68"/>
  <c r="BZ53" i="68"/>
  <c r="BY53" i="68"/>
  <c r="BX53" i="68"/>
  <c r="BW53" i="68"/>
  <c r="BO53" i="68"/>
  <c r="BN53" i="68"/>
  <c r="BM53" i="68"/>
  <c r="BL53" i="68"/>
  <c r="DZ53" i="68" s="1"/>
  <c r="BK53" i="68"/>
  <c r="DY53" i="68" s="1"/>
  <c r="BJ53" i="68"/>
  <c r="DX53" i="68" s="1"/>
  <c r="BI53" i="68"/>
  <c r="DW53" i="68" s="1"/>
  <c r="BH53" i="68"/>
  <c r="DV53" i="68" s="1"/>
  <c r="BG53" i="68"/>
  <c r="DU53" i="68" s="1"/>
  <c r="BF53" i="68"/>
  <c r="DT53" i="68" s="1"/>
  <c r="BE53" i="68"/>
  <c r="DS53" i="68" s="1"/>
  <c r="BD53" i="68"/>
  <c r="DR53" i="68" s="1"/>
  <c r="BA53" i="68"/>
  <c r="BB53" i="68" s="1"/>
  <c r="AI53" i="68"/>
  <c r="S53" i="68"/>
  <c r="R53" i="68"/>
  <c r="Q53" i="68"/>
  <c r="P53" i="68"/>
  <c r="O53" i="68"/>
  <c r="M53" i="68"/>
  <c r="K53" i="68"/>
  <c r="J53" i="68"/>
  <c r="H53" i="68"/>
  <c r="G53" i="68"/>
  <c r="E53" i="68"/>
  <c r="D53" i="68"/>
  <c r="C53" i="68"/>
  <c r="CH52" i="68"/>
  <c r="CG52" i="68"/>
  <c r="CF52" i="68"/>
  <c r="CE52" i="68"/>
  <c r="CD52" i="68"/>
  <c r="CC52" i="68"/>
  <c r="CB52" i="68"/>
  <c r="CA52" i="68"/>
  <c r="BZ52" i="68"/>
  <c r="BY52" i="68"/>
  <c r="BX52" i="68"/>
  <c r="BW52" i="68"/>
  <c r="BO52" i="68"/>
  <c r="EC52" i="68" s="1"/>
  <c r="BN52" i="68"/>
  <c r="EB52" i="68" s="1"/>
  <c r="BM52" i="68"/>
  <c r="EA52" i="68" s="1"/>
  <c r="BL52" i="68"/>
  <c r="DZ52" i="68" s="1"/>
  <c r="BK52" i="68"/>
  <c r="DY52" i="68" s="1"/>
  <c r="BJ52" i="68"/>
  <c r="DX52" i="68" s="1"/>
  <c r="BI52" i="68"/>
  <c r="DW52" i="68" s="1"/>
  <c r="BH52" i="68"/>
  <c r="BG52" i="68"/>
  <c r="DU52" i="68" s="1"/>
  <c r="BF52" i="68"/>
  <c r="DT52" i="68" s="1"/>
  <c r="BE52" i="68"/>
  <c r="BD52" i="68"/>
  <c r="DR52" i="68" s="1"/>
  <c r="BA52" i="68"/>
  <c r="BB52" i="68" s="1"/>
  <c r="AI52" i="68"/>
  <c r="S52" i="68"/>
  <c r="R52" i="68"/>
  <c r="Q52" i="68"/>
  <c r="P52" i="68"/>
  <c r="O52" i="68"/>
  <c r="M52" i="68"/>
  <c r="K52" i="68"/>
  <c r="J52" i="68"/>
  <c r="H52" i="68"/>
  <c r="G52" i="68"/>
  <c r="E52" i="68"/>
  <c r="D52" i="68"/>
  <c r="C52" i="68"/>
  <c r="CH51" i="68"/>
  <c r="CG51" i="68"/>
  <c r="CF51" i="68"/>
  <c r="CE51" i="68"/>
  <c r="CD51" i="68"/>
  <c r="CC51" i="68"/>
  <c r="CB51" i="68"/>
  <c r="CA51" i="68"/>
  <c r="BZ51" i="68"/>
  <c r="BY51" i="68"/>
  <c r="BX51" i="68"/>
  <c r="BW51" i="68"/>
  <c r="BO51" i="68"/>
  <c r="BN51" i="68"/>
  <c r="EB51" i="68" s="1"/>
  <c r="BM51" i="68"/>
  <c r="EA51" i="68" s="1"/>
  <c r="BL51" i="68"/>
  <c r="DZ51" i="68" s="1"/>
  <c r="BK51" i="68"/>
  <c r="BJ51" i="68"/>
  <c r="DX51" i="68" s="1"/>
  <c r="BI51" i="68"/>
  <c r="BH51" i="68"/>
  <c r="DV51" i="68" s="1"/>
  <c r="BG51" i="68"/>
  <c r="DU51" i="68" s="1"/>
  <c r="BF51" i="68"/>
  <c r="DT51" i="68" s="1"/>
  <c r="BE51" i="68"/>
  <c r="BD51" i="68"/>
  <c r="DR51" i="68" s="1"/>
  <c r="BA51" i="68"/>
  <c r="BB51" i="68" s="1"/>
  <c r="AI51" i="68"/>
  <c r="S51" i="68"/>
  <c r="R51" i="68"/>
  <c r="Q51" i="68"/>
  <c r="P51" i="68"/>
  <c r="O51" i="68"/>
  <c r="M51" i="68"/>
  <c r="K51" i="68"/>
  <c r="J51" i="68"/>
  <c r="H51" i="68"/>
  <c r="G51" i="68"/>
  <c r="E51" i="68"/>
  <c r="D51" i="68"/>
  <c r="C51" i="68"/>
  <c r="CH50" i="68"/>
  <c r="CG50" i="68"/>
  <c r="CF50" i="68"/>
  <c r="CE50" i="68"/>
  <c r="CD50" i="68"/>
  <c r="CC50" i="68"/>
  <c r="CB50" i="68"/>
  <c r="CA50" i="68"/>
  <c r="BZ50" i="68"/>
  <c r="BY50" i="68"/>
  <c r="BX50" i="68"/>
  <c r="BW50" i="68"/>
  <c r="BO50" i="68"/>
  <c r="EC50" i="68" s="1"/>
  <c r="BN50" i="68"/>
  <c r="EB50" i="68" s="1"/>
  <c r="BM50" i="68"/>
  <c r="EA50" i="68" s="1"/>
  <c r="BL50" i="68"/>
  <c r="DZ50" i="68" s="1"/>
  <c r="BK50" i="68"/>
  <c r="BJ50" i="68"/>
  <c r="DX50" i="68" s="1"/>
  <c r="BI50" i="68"/>
  <c r="DW50" i="68" s="1"/>
  <c r="BH50" i="68"/>
  <c r="DV50" i="68" s="1"/>
  <c r="BG50" i="68"/>
  <c r="BF50" i="68"/>
  <c r="BE50" i="68"/>
  <c r="DS50" i="68" s="1"/>
  <c r="BD50" i="68"/>
  <c r="DR50" i="68" s="1"/>
  <c r="BA50" i="68"/>
  <c r="BB50" i="68" s="1"/>
  <c r="AI50" i="68"/>
  <c r="S50" i="68"/>
  <c r="R50" i="68"/>
  <c r="Q50" i="68"/>
  <c r="P50" i="68"/>
  <c r="O50" i="68"/>
  <c r="M50" i="68"/>
  <c r="K50" i="68"/>
  <c r="J50" i="68"/>
  <c r="H50" i="68"/>
  <c r="CJ50" i="68" s="1" a="1"/>
  <c r="CJ50" i="68" s="1"/>
  <c r="G50" i="68"/>
  <c r="E50" i="68"/>
  <c r="D50" i="68"/>
  <c r="C50" i="68"/>
  <c r="CH49" i="68"/>
  <c r="CG49" i="68"/>
  <c r="CF49" i="68"/>
  <c r="CE49" i="68"/>
  <c r="CD49" i="68"/>
  <c r="CC49" i="68"/>
  <c r="CB49" i="68"/>
  <c r="CA49" i="68"/>
  <c r="BZ49" i="68"/>
  <c r="BY49" i="68"/>
  <c r="BX49" i="68"/>
  <c r="BW49" i="68"/>
  <c r="BO49" i="68"/>
  <c r="EC49" i="68" s="1"/>
  <c r="BN49" i="68"/>
  <c r="EB49" i="68" s="1"/>
  <c r="BM49" i="68"/>
  <c r="EA49" i="68" s="1"/>
  <c r="BL49" i="68"/>
  <c r="BK49" i="68"/>
  <c r="DY49" i="68" s="1"/>
  <c r="BJ49" i="68"/>
  <c r="DX49" i="68" s="1"/>
  <c r="BI49" i="68"/>
  <c r="DW49" i="68" s="1"/>
  <c r="BH49" i="68"/>
  <c r="DV49" i="68" s="1"/>
  <c r="BG49" i="68"/>
  <c r="DU49" i="68" s="1"/>
  <c r="BF49" i="68"/>
  <c r="DT49" i="68" s="1"/>
  <c r="BE49" i="68"/>
  <c r="BD49" i="68"/>
  <c r="DR49" i="68" s="1"/>
  <c r="BA49" i="68"/>
  <c r="BB49" i="68" s="1"/>
  <c r="AI49" i="68"/>
  <c r="S49" i="68"/>
  <c r="R49" i="68"/>
  <c r="Q49" i="68"/>
  <c r="P49" i="68"/>
  <c r="O49" i="68"/>
  <c r="M49" i="68"/>
  <c r="K49" i="68"/>
  <c r="J49" i="68"/>
  <c r="H49" i="68"/>
  <c r="G49" i="68"/>
  <c r="E49" i="68"/>
  <c r="D49" i="68"/>
  <c r="C49" i="68"/>
  <c r="CH48" i="68"/>
  <c r="CG48" i="68"/>
  <c r="CF48" i="68"/>
  <c r="CE48" i="68"/>
  <c r="CD48" i="68"/>
  <c r="CC48" i="68"/>
  <c r="CB48" i="68"/>
  <c r="CA48" i="68"/>
  <c r="BZ48" i="68"/>
  <c r="BY48" i="68"/>
  <c r="BX48" i="68"/>
  <c r="BW48" i="68"/>
  <c r="BO48" i="68"/>
  <c r="EC48" i="68" s="1"/>
  <c r="BN48" i="68"/>
  <c r="EB48" i="68" s="1"/>
  <c r="BM48" i="68"/>
  <c r="EA48" i="68" s="1"/>
  <c r="BL48" i="68"/>
  <c r="DZ48" i="68" s="1"/>
  <c r="BK48" i="68"/>
  <c r="DY48" i="68" s="1"/>
  <c r="BJ48" i="68"/>
  <c r="DX48" i="68" s="1"/>
  <c r="BI48" i="68"/>
  <c r="BH48" i="68"/>
  <c r="DV48" i="68" s="1"/>
  <c r="BG48" i="68"/>
  <c r="DU48" i="68" s="1"/>
  <c r="BF48" i="68"/>
  <c r="DT48" i="68" s="1"/>
  <c r="BE48" i="68"/>
  <c r="BD48" i="68"/>
  <c r="DR48" i="68" s="1"/>
  <c r="BA48" i="68"/>
  <c r="BB48" i="68" s="1"/>
  <c r="AI48" i="68"/>
  <c r="S48" i="68"/>
  <c r="R48" i="68"/>
  <c r="Q48" i="68"/>
  <c r="P48" i="68"/>
  <c r="O48" i="68"/>
  <c r="M48" i="68"/>
  <c r="K48" i="68"/>
  <c r="J48" i="68"/>
  <c r="H48" i="68"/>
  <c r="G48" i="68"/>
  <c r="E48" i="68"/>
  <c r="D48" i="68"/>
  <c r="C48" i="68"/>
  <c r="CH47" i="68"/>
  <c r="CG47" i="68"/>
  <c r="CF47" i="68"/>
  <c r="CE47" i="68"/>
  <c r="CD47" i="68"/>
  <c r="CC47" i="68"/>
  <c r="CB47" i="68"/>
  <c r="CA47" i="68"/>
  <c r="BZ47" i="68"/>
  <c r="BY47" i="68"/>
  <c r="BX47" i="68"/>
  <c r="BW47" i="68"/>
  <c r="BO47" i="68"/>
  <c r="EC47" i="68" s="1"/>
  <c r="BN47" i="68"/>
  <c r="EB47" i="68" s="1"/>
  <c r="BM47" i="68"/>
  <c r="EA47" i="68" s="1"/>
  <c r="BL47" i="68"/>
  <c r="DZ47" i="68" s="1"/>
  <c r="BK47" i="68"/>
  <c r="DY47" i="68" s="1"/>
  <c r="BJ47" i="68"/>
  <c r="DX47" i="68" s="1"/>
  <c r="BI47" i="68"/>
  <c r="DW47" i="68" s="1"/>
  <c r="BH47" i="68"/>
  <c r="BG47" i="68"/>
  <c r="BF47" i="68"/>
  <c r="BE47" i="68"/>
  <c r="DS47" i="68" s="1"/>
  <c r="BD47" i="68"/>
  <c r="DR47" i="68" s="1"/>
  <c r="BA47" i="68"/>
  <c r="BB47" i="68" s="1"/>
  <c r="AI47" i="68"/>
  <c r="S47" i="68"/>
  <c r="R47" i="68"/>
  <c r="Q47" i="68"/>
  <c r="P47" i="68"/>
  <c r="O47" i="68"/>
  <c r="M47" i="68"/>
  <c r="K47" i="68"/>
  <c r="J47" i="68"/>
  <c r="H47" i="68"/>
  <c r="G47" i="68"/>
  <c r="E47" i="68"/>
  <c r="D47" i="68"/>
  <c r="C47" i="68"/>
  <c r="CH46" i="68"/>
  <c r="CG46" i="68"/>
  <c r="CF46" i="68"/>
  <c r="CE46" i="68"/>
  <c r="CD46" i="68"/>
  <c r="CC46" i="68"/>
  <c r="CB46" i="68"/>
  <c r="CA46" i="68"/>
  <c r="BZ46" i="68"/>
  <c r="BY46" i="68"/>
  <c r="BX46" i="68"/>
  <c r="BW46" i="68"/>
  <c r="BA46" i="68"/>
  <c r="BB46" i="68" s="1"/>
  <c r="BO46" i="68"/>
  <c r="BN46" i="68"/>
  <c r="EB46" i="68" s="1"/>
  <c r="BM46" i="68"/>
  <c r="EA46" i="68" s="1"/>
  <c r="BL46" i="68"/>
  <c r="BK46" i="68"/>
  <c r="DY46" i="68" s="1"/>
  <c r="BJ46" i="68"/>
  <c r="DX46" i="68" s="1"/>
  <c r="BI46" i="68"/>
  <c r="BH46" i="68"/>
  <c r="BG46" i="68"/>
  <c r="DU46" i="68" s="1"/>
  <c r="BF46" i="68"/>
  <c r="DT46" i="68" s="1"/>
  <c r="BE46" i="68"/>
  <c r="BD46" i="68"/>
  <c r="AI46" i="68"/>
  <c r="S46" i="68"/>
  <c r="R46" i="68"/>
  <c r="Q46" i="68"/>
  <c r="P46" i="68"/>
  <c r="O46" i="68"/>
  <c r="M46" i="68"/>
  <c r="K46" i="68"/>
  <c r="J46" i="68"/>
  <c r="H46" i="68"/>
  <c r="G46" i="68"/>
  <c r="E46" i="68"/>
  <c r="D46" i="68"/>
  <c r="C46" i="68"/>
  <c r="CH45" i="68"/>
  <c r="CG45" i="68"/>
  <c r="CF45" i="68"/>
  <c r="CE45" i="68"/>
  <c r="CD45" i="68"/>
  <c r="CC45" i="68"/>
  <c r="CB45" i="68"/>
  <c r="CA45" i="68"/>
  <c r="BZ45" i="68"/>
  <c r="BY45" i="68"/>
  <c r="BX45" i="68"/>
  <c r="BW45" i="68"/>
  <c r="BO45" i="68"/>
  <c r="BN45" i="68"/>
  <c r="EB45" i="68" s="1"/>
  <c r="BM45" i="68"/>
  <c r="EA45" i="68" s="1"/>
  <c r="BL45" i="68"/>
  <c r="BK45" i="68"/>
  <c r="BJ45" i="68"/>
  <c r="DX45" i="68" s="1"/>
  <c r="BI45" i="68"/>
  <c r="DW45" i="68" s="1"/>
  <c r="BH45" i="68"/>
  <c r="DV45" i="68" s="1"/>
  <c r="BG45" i="68"/>
  <c r="DU45" i="68" s="1"/>
  <c r="BF45" i="68"/>
  <c r="BE45" i="68"/>
  <c r="DS45" i="68" s="1"/>
  <c r="BD45" i="68"/>
  <c r="DR45" i="68" s="1"/>
  <c r="BA45" i="68"/>
  <c r="BB45" i="68" s="1"/>
  <c r="AI45" i="68"/>
  <c r="S45" i="68"/>
  <c r="R45" i="68"/>
  <c r="Q45" i="68"/>
  <c r="P45" i="68"/>
  <c r="O45" i="68"/>
  <c r="M45" i="68"/>
  <c r="K45" i="68"/>
  <c r="J45" i="68"/>
  <c r="H45" i="68"/>
  <c r="G45" i="68"/>
  <c r="E45" i="68"/>
  <c r="D45" i="68"/>
  <c r="C45" i="68"/>
  <c r="CH44" i="68"/>
  <c r="CG44" i="68"/>
  <c r="CF44" i="68"/>
  <c r="CE44" i="68"/>
  <c r="CD44" i="68"/>
  <c r="CC44" i="68"/>
  <c r="CB44" i="68"/>
  <c r="CA44" i="68"/>
  <c r="BZ44" i="68"/>
  <c r="BY44" i="68"/>
  <c r="BX44" i="68"/>
  <c r="BW44" i="68"/>
  <c r="BO44" i="68"/>
  <c r="BN44" i="68"/>
  <c r="BM44" i="68"/>
  <c r="EA44" i="68" s="1"/>
  <c r="BL44" i="68"/>
  <c r="BK44" i="68"/>
  <c r="BJ44" i="68"/>
  <c r="BI44" i="68"/>
  <c r="DW44" i="68" s="1"/>
  <c r="BH44" i="68"/>
  <c r="DV44" i="68" s="1"/>
  <c r="BG44" i="68"/>
  <c r="DU44" i="68" s="1"/>
  <c r="BF44" i="68"/>
  <c r="DT44" i="68" s="1"/>
  <c r="BE44" i="68"/>
  <c r="DS44" i="68" s="1"/>
  <c r="BD44" i="68"/>
  <c r="DR44" i="68" s="1"/>
  <c r="BA44" i="68"/>
  <c r="BB44" i="68" s="1"/>
  <c r="AI44" i="68"/>
  <c r="S44" i="68"/>
  <c r="R44" i="68"/>
  <c r="Q44" i="68"/>
  <c r="P44" i="68"/>
  <c r="O44" i="68"/>
  <c r="M44" i="68"/>
  <c r="K44" i="68"/>
  <c r="J44" i="68"/>
  <c r="H44" i="68"/>
  <c r="G44" i="68"/>
  <c r="E44" i="68"/>
  <c r="D44" i="68"/>
  <c r="C44" i="68"/>
  <c r="CH43" i="68"/>
  <c r="CG43" i="68"/>
  <c r="CF43" i="68"/>
  <c r="CE43" i="68"/>
  <c r="CD43" i="68"/>
  <c r="CC43" i="68"/>
  <c r="CB43" i="68"/>
  <c r="CA43" i="68"/>
  <c r="BZ43" i="68"/>
  <c r="BY43" i="68"/>
  <c r="BX43" i="68"/>
  <c r="BW43" i="68"/>
  <c r="BO43" i="68"/>
  <c r="EC43" i="68" s="1"/>
  <c r="BN43" i="68"/>
  <c r="BM43" i="68"/>
  <c r="EA43" i="68" s="1"/>
  <c r="BL43" i="68"/>
  <c r="DZ43" i="68" s="1"/>
  <c r="BK43" i="68"/>
  <c r="DY43" i="68" s="1"/>
  <c r="BJ43" i="68"/>
  <c r="DX43" i="68" s="1"/>
  <c r="BI43" i="68"/>
  <c r="BH43" i="68"/>
  <c r="DV43" i="68" s="1"/>
  <c r="BG43" i="68"/>
  <c r="DU43" i="68" s="1"/>
  <c r="BF43" i="68"/>
  <c r="DT43" i="68" s="1"/>
  <c r="BE43" i="68"/>
  <c r="BD43" i="68"/>
  <c r="BA43" i="68"/>
  <c r="BB43" i="68" s="1"/>
  <c r="AI43" i="68"/>
  <c r="S43" i="68"/>
  <c r="R43" i="68"/>
  <c r="Q43" i="68"/>
  <c r="P43" i="68"/>
  <c r="O43" i="68"/>
  <c r="M43" i="68"/>
  <c r="K43" i="68"/>
  <c r="J43" i="68"/>
  <c r="H43" i="68"/>
  <c r="G43" i="68"/>
  <c r="E43" i="68"/>
  <c r="D43" i="68"/>
  <c r="C43" i="68"/>
  <c r="CH42" i="68"/>
  <c r="CG42" i="68"/>
  <c r="CF42" i="68"/>
  <c r="CE42" i="68"/>
  <c r="CD42" i="68"/>
  <c r="CC42" i="68"/>
  <c r="CB42" i="68"/>
  <c r="CA42" i="68"/>
  <c r="BZ42" i="68"/>
  <c r="BY42" i="68"/>
  <c r="BX42" i="68"/>
  <c r="BW42" i="68"/>
  <c r="BO42" i="68"/>
  <c r="EC42" i="68" s="1"/>
  <c r="BN42" i="68"/>
  <c r="BM42" i="68"/>
  <c r="EA42" i="68" s="1"/>
  <c r="BL42" i="68"/>
  <c r="DZ42" i="68" s="1"/>
  <c r="BK42" i="68"/>
  <c r="DY42" i="68" s="1"/>
  <c r="BJ42" i="68"/>
  <c r="BI42" i="68"/>
  <c r="BH42" i="68"/>
  <c r="BG42" i="68"/>
  <c r="BF42" i="68"/>
  <c r="DT42" i="68" s="1"/>
  <c r="BE42" i="68"/>
  <c r="DS42" i="68" s="1"/>
  <c r="BD42" i="68"/>
  <c r="DR42" i="68" s="1"/>
  <c r="BA42" i="68"/>
  <c r="BB42" i="68" s="1"/>
  <c r="AI42" i="68"/>
  <c r="S42" i="68"/>
  <c r="R42" i="68"/>
  <c r="Q42" i="68"/>
  <c r="P42" i="68"/>
  <c r="O42" i="68"/>
  <c r="M42" i="68"/>
  <c r="K42" i="68"/>
  <c r="J42" i="68"/>
  <c r="H42" i="68"/>
  <c r="G42" i="68"/>
  <c r="E42" i="68"/>
  <c r="D42" i="68"/>
  <c r="C42" i="68"/>
  <c r="CH41" i="68"/>
  <c r="CG41" i="68"/>
  <c r="CF41" i="68"/>
  <c r="CE41" i="68"/>
  <c r="CD41" i="68"/>
  <c r="CC41" i="68"/>
  <c r="CB41" i="68"/>
  <c r="CA41" i="68"/>
  <c r="BZ41" i="68"/>
  <c r="BY41" i="68"/>
  <c r="BX41" i="68"/>
  <c r="BW41" i="68"/>
  <c r="BO41" i="68"/>
  <c r="EC41" i="68" s="1"/>
  <c r="BN41" i="68"/>
  <c r="BM41" i="68"/>
  <c r="EA41" i="68" s="1"/>
  <c r="BL41" i="68"/>
  <c r="BK41" i="68"/>
  <c r="DY41" i="68" s="1"/>
  <c r="BJ41" i="68"/>
  <c r="BI41" i="68"/>
  <c r="DW41" i="68" s="1"/>
  <c r="BH41" i="68"/>
  <c r="DV41" i="68" s="1"/>
  <c r="BG41" i="68"/>
  <c r="DU41" i="68" s="1"/>
  <c r="BF41" i="68"/>
  <c r="DT41" i="68" s="1"/>
  <c r="BE41" i="68"/>
  <c r="DS41" i="68" s="1"/>
  <c r="BD41" i="68"/>
  <c r="DR41" i="68" s="1"/>
  <c r="BA41" i="68"/>
  <c r="BB41" i="68" s="1"/>
  <c r="AI41" i="68"/>
  <c r="S41" i="68"/>
  <c r="R41" i="68"/>
  <c r="Q41" i="68"/>
  <c r="P41" i="68"/>
  <c r="O41" i="68"/>
  <c r="M41" i="68"/>
  <c r="K41" i="68"/>
  <c r="J41" i="68"/>
  <c r="H41" i="68"/>
  <c r="CJ41" i="68" s="1" a="1"/>
  <c r="CJ41" i="68" s="1"/>
  <c r="G41" i="68"/>
  <c r="E41" i="68"/>
  <c r="D41" i="68"/>
  <c r="C41" i="68"/>
  <c r="CH40" i="68"/>
  <c r="CG40" i="68"/>
  <c r="CF40" i="68"/>
  <c r="CE40" i="68"/>
  <c r="CD40" i="68"/>
  <c r="CC40" i="68"/>
  <c r="CB40" i="68"/>
  <c r="CA40" i="68"/>
  <c r="BZ40" i="68"/>
  <c r="BY40" i="68"/>
  <c r="BX40" i="68"/>
  <c r="BW40" i="68"/>
  <c r="BO40" i="68"/>
  <c r="EC40" i="68" s="1"/>
  <c r="BN40" i="68"/>
  <c r="BM40" i="68"/>
  <c r="EA40" i="68" s="1"/>
  <c r="BL40" i="68"/>
  <c r="DZ40" i="68" s="1"/>
  <c r="BK40" i="68"/>
  <c r="DY40" i="68" s="1"/>
  <c r="BJ40" i="68"/>
  <c r="BI40" i="68"/>
  <c r="BH40" i="68"/>
  <c r="DV40" i="68" s="1"/>
  <c r="BG40" i="68"/>
  <c r="DU40" i="68" s="1"/>
  <c r="BF40" i="68"/>
  <c r="BE40" i="68"/>
  <c r="BD40" i="68"/>
  <c r="BA40" i="68"/>
  <c r="BB40" i="68" s="1"/>
  <c r="AI40" i="68"/>
  <c r="S40" i="68"/>
  <c r="R40" i="68"/>
  <c r="Q40" i="68"/>
  <c r="P40" i="68"/>
  <c r="O40" i="68"/>
  <c r="M40" i="68"/>
  <c r="K40" i="68"/>
  <c r="J40" i="68"/>
  <c r="H40" i="68"/>
  <c r="G40" i="68"/>
  <c r="E40" i="68"/>
  <c r="D40" i="68"/>
  <c r="C40" i="68"/>
  <c r="CH39" i="68"/>
  <c r="CG39" i="68"/>
  <c r="CF39" i="68"/>
  <c r="CE39" i="68"/>
  <c r="CD39" i="68"/>
  <c r="CC39" i="68"/>
  <c r="CB39" i="68"/>
  <c r="CA39" i="68"/>
  <c r="BZ39" i="68"/>
  <c r="BY39" i="68"/>
  <c r="BX39" i="68"/>
  <c r="BW39" i="68"/>
  <c r="BO39" i="68"/>
  <c r="EC39" i="68" s="1"/>
  <c r="BN39" i="68"/>
  <c r="EB39" i="68" s="1"/>
  <c r="BM39" i="68"/>
  <c r="BL39" i="68"/>
  <c r="DZ39" i="68" s="1"/>
  <c r="BK39" i="68"/>
  <c r="DY39" i="68" s="1"/>
  <c r="BJ39" i="68"/>
  <c r="DX39" i="68" s="1"/>
  <c r="BI39" i="68"/>
  <c r="DW39" i="68" s="1"/>
  <c r="BH39" i="68"/>
  <c r="DV39" i="68" s="1"/>
  <c r="BG39" i="68"/>
  <c r="DU39" i="68" s="1"/>
  <c r="BF39" i="68"/>
  <c r="DT39" i="68" s="1"/>
  <c r="BE39" i="68"/>
  <c r="DS39" i="68" s="1"/>
  <c r="BD39" i="68"/>
  <c r="BA39" i="68"/>
  <c r="BB39" i="68" s="1"/>
  <c r="AI39" i="68"/>
  <c r="S39" i="68"/>
  <c r="R39" i="68"/>
  <c r="Q39" i="68"/>
  <c r="P39" i="68"/>
  <c r="O39" i="68"/>
  <c r="M39" i="68"/>
  <c r="K39" i="68"/>
  <c r="J39" i="68"/>
  <c r="H39" i="68"/>
  <c r="G39" i="68"/>
  <c r="E39" i="68"/>
  <c r="D39" i="68"/>
  <c r="C39" i="68"/>
  <c r="CH38" i="68"/>
  <c r="CG38" i="68"/>
  <c r="CF38" i="68"/>
  <c r="CE38" i="68"/>
  <c r="CD38" i="68"/>
  <c r="CC38" i="68"/>
  <c r="CB38" i="68"/>
  <c r="CA38" i="68"/>
  <c r="BZ38" i="68"/>
  <c r="BY38" i="68"/>
  <c r="BX38" i="68"/>
  <c r="BW38" i="68"/>
  <c r="BO38" i="68"/>
  <c r="BN38" i="68"/>
  <c r="EB38" i="68" s="1"/>
  <c r="BM38" i="68"/>
  <c r="BL38" i="68"/>
  <c r="BK38" i="68"/>
  <c r="BJ38" i="68"/>
  <c r="DX38" i="68" s="1"/>
  <c r="BI38" i="68"/>
  <c r="DW38" i="68" s="1"/>
  <c r="BH38" i="68"/>
  <c r="DV38" i="68" s="1"/>
  <c r="BG38" i="68"/>
  <c r="DU38" i="68" s="1"/>
  <c r="BF38" i="68"/>
  <c r="DT38" i="68" s="1"/>
  <c r="BE38" i="68"/>
  <c r="DS38" i="68" s="1"/>
  <c r="BD38" i="68"/>
  <c r="BA38" i="68"/>
  <c r="BB38" i="68" s="1"/>
  <c r="AI38" i="68"/>
  <c r="S38" i="68"/>
  <c r="R38" i="68"/>
  <c r="Q38" i="68"/>
  <c r="P38" i="68"/>
  <c r="O38" i="68"/>
  <c r="M38" i="68"/>
  <c r="K38" i="68"/>
  <c r="J38" i="68"/>
  <c r="H38" i="68"/>
  <c r="CJ38" i="68" s="1" a="1"/>
  <c r="CJ38" i="68" s="1"/>
  <c r="G38" i="68"/>
  <c r="E38" i="68"/>
  <c r="D38" i="68"/>
  <c r="C38" i="68"/>
  <c r="CH37" i="68"/>
  <c r="CG37" i="68"/>
  <c r="CF37" i="68"/>
  <c r="CE37" i="68"/>
  <c r="CD37" i="68"/>
  <c r="CC37" i="68"/>
  <c r="CB37" i="68"/>
  <c r="CA37" i="68"/>
  <c r="BZ37" i="68"/>
  <c r="BY37" i="68"/>
  <c r="BX37" i="68"/>
  <c r="BW37" i="68"/>
  <c r="BO37" i="68"/>
  <c r="EC37" i="68" s="1"/>
  <c r="BN37" i="68"/>
  <c r="EB37" i="68" s="1"/>
  <c r="BM37" i="68"/>
  <c r="EA37" i="68" s="1"/>
  <c r="BL37" i="68"/>
  <c r="DZ37" i="68" s="1"/>
  <c r="BK37" i="68"/>
  <c r="DY37" i="68" s="1"/>
  <c r="BJ37" i="68"/>
  <c r="DX37" i="68" s="1"/>
  <c r="BI37" i="68"/>
  <c r="DW37" i="68" s="1"/>
  <c r="BH37" i="68"/>
  <c r="BG37" i="68"/>
  <c r="DU37" i="68" s="1"/>
  <c r="BF37" i="68"/>
  <c r="BE37" i="68"/>
  <c r="DS37" i="68" s="1"/>
  <c r="BD37" i="68"/>
  <c r="DR37" i="68" s="1"/>
  <c r="BA37" i="68"/>
  <c r="BB37" i="68" s="1"/>
  <c r="AI37" i="68"/>
  <c r="S37" i="68"/>
  <c r="R37" i="68"/>
  <c r="Q37" i="68"/>
  <c r="P37" i="68"/>
  <c r="O37" i="68"/>
  <c r="M37" i="68"/>
  <c r="K37" i="68"/>
  <c r="J37" i="68"/>
  <c r="H37" i="68"/>
  <c r="CJ37" i="68" s="1" a="1"/>
  <c r="CJ37" i="68" s="1"/>
  <c r="G37" i="68"/>
  <c r="E37" i="68"/>
  <c r="D37" i="68"/>
  <c r="C37" i="68"/>
  <c r="CH36" i="68"/>
  <c r="CG36" i="68"/>
  <c r="CF36" i="68"/>
  <c r="CE36" i="68"/>
  <c r="CD36" i="68"/>
  <c r="CC36" i="68"/>
  <c r="CB36" i="68"/>
  <c r="CA36" i="68"/>
  <c r="BZ36" i="68"/>
  <c r="BY36" i="68"/>
  <c r="BX36" i="68"/>
  <c r="BW36" i="68"/>
  <c r="BO36" i="68"/>
  <c r="EC36" i="68" s="1"/>
  <c r="BN36" i="68"/>
  <c r="EB36" i="68" s="1"/>
  <c r="BM36" i="68"/>
  <c r="EA36" i="68" s="1"/>
  <c r="BL36" i="68"/>
  <c r="DZ36" i="68" s="1"/>
  <c r="BK36" i="68"/>
  <c r="DY36" i="68" s="1"/>
  <c r="BJ36" i="68"/>
  <c r="DX36" i="68" s="1"/>
  <c r="BI36" i="68"/>
  <c r="DW36" i="68" s="1"/>
  <c r="BH36" i="68"/>
  <c r="DV36" i="68" s="1"/>
  <c r="BG36" i="68"/>
  <c r="DU36" i="68" s="1"/>
  <c r="BF36" i="68"/>
  <c r="DT36" i="68" s="1"/>
  <c r="BE36" i="68"/>
  <c r="DS36" i="68" s="1"/>
  <c r="BD36" i="68"/>
  <c r="BA36" i="68"/>
  <c r="BB36" i="68" s="1"/>
  <c r="AI36" i="68"/>
  <c r="S36" i="68"/>
  <c r="R36" i="68"/>
  <c r="Q36" i="68"/>
  <c r="P36" i="68"/>
  <c r="O36" i="68"/>
  <c r="M36" i="68"/>
  <c r="K36" i="68"/>
  <c r="J36" i="68"/>
  <c r="H36" i="68"/>
  <c r="CJ36" i="68" s="1" a="1"/>
  <c r="CJ36" i="68" s="1"/>
  <c r="G36" i="68"/>
  <c r="E36" i="68"/>
  <c r="D36" i="68"/>
  <c r="C36" i="68"/>
  <c r="CH35" i="68"/>
  <c r="CG35" i="68"/>
  <c r="CF35" i="68"/>
  <c r="CE35" i="68"/>
  <c r="CD35" i="68"/>
  <c r="CC35" i="68"/>
  <c r="CB35" i="68"/>
  <c r="CA35" i="68"/>
  <c r="BZ35" i="68"/>
  <c r="BY35" i="68"/>
  <c r="BX35" i="68"/>
  <c r="BW35" i="68"/>
  <c r="BO35" i="68"/>
  <c r="EC35" i="68" s="1"/>
  <c r="BN35" i="68"/>
  <c r="EB35" i="68" s="1"/>
  <c r="BM35" i="68"/>
  <c r="BL35" i="68"/>
  <c r="BK35" i="68"/>
  <c r="BJ35" i="68"/>
  <c r="BI35" i="68"/>
  <c r="BH35" i="68"/>
  <c r="DV35" i="68" s="1"/>
  <c r="BG35" i="68"/>
  <c r="DU35" i="68" s="1"/>
  <c r="BF35" i="68"/>
  <c r="DT35" i="68" s="1"/>
  <c r="BE35" i="68"/>
  <c r="DS35" i="68" s="1"/>
  <c r="BD35" i="68"/>
  <c r="DR35" i="68" s="1"/>
  <c r="BA35" i="68"/>
  <c r="BB35" i="68" s="1"/>
  <c r="AI35" i="68"/>
  <c r="S35" i="68"/>
  <c r="R35" i="68"/>
  <c r="Q35" i="68"/>
  <c r="P35" i="68"/>
  <c r="O35" i="68"/>
  <c r="M35" i="68"/>
  <c r="K35" i="68"/>
  <c r="J35" i="68"/>
  <c r="H35" i="68"/>
  <c r="CL35" i="68" s="1" a="1"/>
  <c r="CL35" i="68" s="1"/>
  <c r="G35" i="68"/>
  <c r="E35" i="68"/>
  <c r="D35" i="68"/>
  <c r="C35" i="68"/>
  <c r="CH34" i="68"/>
  <c r="CG34" i="68"/>
  <c r="CF34" i="68"/>
  <c r="CE34" i="68"/>
  <c r="CD34" i="68"/>
  <c r="CC34" i="68"/>
  <c r="CB34" i="68"/>
  <c r="CA34" i="68"/>
  <c r="BZ34" i="68"/>
  <c r="BY34" i="68"/>
  <c r="BX34" i="68"/>
  <c r="BW34" i="68"/>
  <c r="BA34" i="68"/>
  <c r="BB34" i="68" s="1"/>
  <c r="BO34" i="68"/>
  <c r="EC34" i="68" s="1"/>
  <c r="BN34" i="68"/>
  <c r="BM34" i="68"/>
  <c r="EA34" i="68" s="1"/>
  <c r="BL34" i="68"/>
  <c r="DZ34" i="68" s="1"/>
  <c r="BK34" i="68"/>
  <c r="DY34" i="68" s="1"/>
  <c r="BJ34" i="68"/>
  <c r="BI34" i="68"/>
  <c r="BH34" i="68"/>
  <c r="BG34" i="68"/>
  <c r="DU34" i="68" s="1"/>
  <c r="BF34" i="68"/>
  <c r="BE34" i="68"/>
  <c r="BD34" i="68"/>
  <c r="AI34" i="68"/>
  <c r="S34" i="68"/>
  <c r="R34" i="68"/>
  <c r="Q34" i="68"/>
  <c r="P34" i="68"/>
  <c r="O34" i="68"/>
  <c r="M34" i="68"/>
  <c r="K34" i="68"/>
  <c r="J34" i="68"/>
  <c r="H34" i="68"/>
  <c r="CL34" i="68" s="1" a="1"/>
  <c r="CL34" i="68" s="1"/>
  <c r="G34" i="68"/>
  <c r="E34" i="68"/>
  <c r="D34" i="68"/>
  <c r="C34" i="68"/>
  <c r="CH33" i="68"/>
  <c r="CG33" i="68"/>
  <c r="CF33" i="68"/>
  <c r="CE33" i="68"/>
  <c r="CD33" i="68"/>
  <c r="CC33" i="68"/>
  <c r="CB33" i="68"/>
  <c r="CA33" i="68"/>
  <c r="BZ33" i="68"/>
  <c r="BY33" i="68"/>
  <c r="BX33" i="68"/>
  <c r="BW33" i="68"/>
  <c r="BO33" i="68"/>
  <c r="EC33" i="68" s="1"/>
  <c r="BN33" i="68"/>
  <c r="EB33" i="68" s="1"/>
  <c r="BM33" i="68"/>
  <c r="EA33" i="68" s="1"/>
  <c r="BL33" i="68"/>
  <c r="DZ33" i="68" s="1"/>
  <c r="BK33" i="68"/>
  <c r="BJ33" i="68"/>
  <c r="BI33" i="68"/>
  <c r="DW33" i="68" s="1"/>
  <c r="BH33" i="68"/>
  <c r="DV33" i="68" s="1"/>
  <c r="BG33" i="68"/>
  <c r="DU33" i="68" s="1"/>
  <c r="BF33" i="68"/>
  <c r="DT33" i="68" s="1"/>
  <c r="BE33" i="68"/>
  <c r="DS33" i="68" s="1"/>
  <c r="BD33" i="68"/>
  <c r="BA33" i="68"/>
  <c r="BB33" i="68" s="1"/>
  <c r="AI33" i="68"/>
  <c r="S33" i="68"/>
  <c r="R33" i="68"/>
  <c r="Q33" i="68"/>
  <c r="P33" i="68"/>
  <c r="O33" i="68"/>
  <c r="M33" i="68"/>
  <c r="K33" i="68"/>
  <c r="J33" i="68"/>
  <c r="H33" i="68"/>
  <c r="G33" i="68"/>
  <c r="E33" i="68"/>
  <c r="D33" i="68"/>
  <c r="C33" i="68"/>
  <c r="CH32" i="68"/>
  <c r="CG32" i="68"/>
  <c r="CF32" i="68"/>
  <c r="CE32" i="68"/>
  <c r="CD32" i="68"/>
  <c r="CC32" i="68"/>
  <c r="CB32" i="68"/>
  <c r="CA32" i="68"/>
  <c r="BZ32" i="68"/>
  <c r="BY32" i="68"/>
  <c r="BX32" i="68"/>
  <c r="BW32" i="68"/>
  <c r="BO32" i="68"/>
  <c r="EC32" i="68" s="1"/>
  <c r="BN32" i="68"/>
  <c r="EB32" i="68" s="1"/>
  <c r="BM32" i="68"/>
  <c r="EA32" i="68" s="1"/>
  <c r="BL32" i="68"/>
  <c r="DZ32" i="68" s="1"/>
  <c r="BK32" i="68"/>
  <c r="DY32" i="68" s="1"/>
  <c r="BJ32" i="68"/>
  <c r="DX32" i="68" s="1"/>
  <c r="BI32" i="68"/>
  <c r="BH32" i="68"/>
  <c r="BG32" i="68"/>
  <c r="DU32" i="68" s="1"/>
  <c r="BF32" i="68"/>
  <c r="DT32" i="68" s="1"/>
  <c r="BE32" i="68"/>
  <c r="DS32" i="68" s="1"/>
  <c r="BD32" i="68"/>
  <c r="DR32" i="68" s="1"/>
  <c r="BA32" i="68"/>
  <c r="BB32" i="68" s="1"/>
  <c r="AI32" i="68"/>
  <c r="S32" i="68"/>
  <c r="R32" i="68"/>
  <c r="Q32" i="68"/>
  <c r="P32" i="68"/>
  <c r="O32" i="68"/>
  <c r="M32" i="68"/>
  <c r="K32" i="68"/>
  <c r="J32" i="68"/>
  <c r="H32" i="68"/>
  <c r="G32" i="68"/>
  <c r="E32" i="68"/>
  <c r="D32" i="68"/>
  <c r="C32" i="68"/>
  <c r="CH31" i="68"/>
  <c r="CG31" i="68"/>
  <c r="CF31" i="68"/>
  <c r="CE31" i="68"/>
  <c r="CD31" i="68"/>
  <c r="CC31" i="68"/>
  <c r="CB31" i="68"/>
  <c r="CA31" i="68"/>
  <c r="BZ31" i="68"/>
  <c r="BY31" i="68"/>
  <c r="BX31" i="68"/>
  <c r="BW31" i="68"/>
  <c r="BO31" i="68"/>
  <c r="EC31" i="68" s="1"/>
  <c r="BN31" i="68"/>
  <c r="BM31" i="68"/>
  <c r="EA31" i="68" s="1"/>
  <c r="BL31" i="68"/>
  <c r="DZ31" i="68" s="1"/>
  <c r="BK31" i="68"/>
  <c r="DY31" i="68" s="1"/>
  <c r="BJ31" i="68"/>
  <c r="DX31" i="68" s="1"/>
  <c r="BI31" i="68"/>
  <c r="DW31" i="68" s="1"/>
  <c r="BH31" i="68"/>
  <c r="DV31" i="68" s="1"/>
  <c r="BG31" i="68"/>
  <c r="BF31" i="68"/>
  <c r="BE31" i="68"/>
  <c r="DS31" i="68" s="1"/>
  <c r="BD31" i="68"/>
  <c r="DR31" i="68" s="1"/>
  <c r="BA31" i="68"/>
  <c r="BB31" i="68" s="1"/>
  <c r="AI31" i="68"/>
  <c r="S31" i="68"/>
  <c r="R31" i="68"/>
  <c r="Q31" i="68"/>
  <c r="P31" i="68"/>
  <c r="O31" i="68"/>
  <c r="M31" i="68"/>
  <c r="K31" i="68"/>
  <c r="J31" i="68"/>
  <c r="H31" i="68"/>
  <c r="G31" i="68"/>
  <c r="E31" i="68"/>
  <c r="D31" i="68"/>
  <c r="C31" i="68"/>
  <c r="CH30" i="68"/>
  <c r="CG30" i="68"/>
  <c r="CF30" i="68"/>
  <c r="CE30" i="68"/>
  <c r="CD30" i="68"/>
  <c r="CC30" i="68"/>
  <c r="CB30" i="68"/>
  <c r="CA30" i="68"/>
  <c r="BZ30" i="68"/>
  <c r="BY30" i="68"/>
  <c r="BX30" i="68"/>
  <c r="BW30" i="68"/>
  <c r="BO30" i="68"/>
  <c r="BN30" i="68"/>
  <c r="EB30" i="68" s="1"/>
  <c r="BM30" i="68"/>
  <c r="EA30" i="68" s="1"/>
  <c r="BL30" i="68"/>
  <c r="DZ30" i="68" s="1"/>
  <c r="BK30" i="68"/>
  <c r="DY30" i="68" s="1"/>
  <c r="BJ30" i="68"/>
  <c r="DX30" i="68" s="1"/>
  <c r="BI30" i="68"/>
  <c r="BH30" i="68"/>
  <c r="BG30" i="68"/>
  <c r="BF30" i="68"/>
  <c r="DT30" i="68" s="1"/>
  <c r="BE30" i="68"/>
  <c r="BD30" i="68"/>
  <c r="BA30" i="68"/>
  <c r="BB30" i="68" s="1"/>
  <c r="AI30" i="68"/>
  <c r="S30" i="68"/>
  <c r="R30" i="68"/>
  <c r="Q30" i="68"/>
  <c r="P30" i="68"/>
  <c r="O30" i="68"/>
  <c r="M30" i="68"/>
  <c r="K30" i="68"/>
  <c r="J30" i="68"/>
  <c r="H30" i="68"/>
  <c r="CL30" i="68" s="1" a="1"/>
  <c r="CL30" i="68" s="1"/>
  <c r="G30" i="68"/>
  <c r="E30" i="68"/>
  <c r="D30" i="68"/>
  <c r="C30" i="68"/>
  <c r="CH29" i="68"/>
  <c r="CG29" i="68"/>
  <c r="CF29" i="68"/>
  <c r="CE29" i="68"/>
  <c r="CD29" i="68"/>
  <c r="CC29" i="68"/>
  <c r="CB29" i="68"/>
  <c r="CA29" i="68"/>
  <c r="BZ29" i="68"/>
  <c r="BY29" i="68"/>
  <c r="BX29" i="68"/>
  <c r="BW29" i="68"/>
  <c r="BO29" i="68"/>
  <c r="BN29" i="68"/>
  <c r="EB29" i="68" s="1"/>
  <c r="BM29" i="68"/>
  <c r="EA29" i="68" s="1"/>
  <c r="BL29" i="68"/>
  <c r="DZ29" i="68" s="1"/>
  <c r="BK29" i="68"/>
  <c r="DY29" i="68" s="1"/>
  <c r="BJ29" i="68"/>
  <c r="BI29" i="68"/>
  <c r="DW29" i="68" s="1"/>
  <c r="BH29" i="68"/>
  <c r="DV29" i="68" s="1"/>
  <c r="BG29" i="68"/>
  <c r="DU29" i="68" s="1"/>
  <c r="BF29" i="68"/>
  <c r="BE29" i="68"/>
  <c r="DS29" i="68" s="1"/>
  <c r="BD29" i="68"/>
  <c r="DR29" i="68" s="1"/>
  <c r="BA29" i="68"/>
  <c r="BB29" i="68" s="1"/>
  <c r="AI29" i="68"/>
  <c r="S29" i="68"/>
  <c r="R29" i="68"/>
  <c r="Q29" i="68"/>
  <c r="P29" i="68"/>
  <c r="O29" i="68"/>
  <c r="M29" i="68"/>
  <c r="K29" i="68"/>
  <c r="J29" i="68"/>
  <c r="H29" i="68"/>
  <c r="G29" i="68"/>
  <c r="E29" i="68"/>
  <c r="D29" i="68"/>
  <c r="C29" i="68"/>
  <c r="CH28" i="68"/>
  <c r="CG28" i="68"/>
  <c r="CF28" i="68"/>
  <c r="CE28" i="68"/>
  <c r="CD28" i="68"/>
  <c r="CC28" i="68"/>
  <c r="CB28" i="68"/>
  <c r="CA28" i="68"/>
  <c r="BZ28" i="68"/>
  <c r="BY28" i="68"/>
  <c r="BX28" i="68"/>
  <c r="BW28" i="68"/>
  <c r="BO28" i="68"/>
  <c r="EC28" i="68" s="1"/>
  <c r="BN28" i="68"/>
  <c r="EB28" i="68" s="1"/>
  <c r="BM28" i="68"/>
  <c r="BL28" i="68"/>
  <c r="BK28" i="68"/>
  <c r="DY28" i="68" s="1"/>
  <c r="BJ28" i="68"/>
  <c r="DX28" i="68" s="1"/>
  <c r="BI28" i="68"/>
  <c r="DW28" i="68" s="1"/>
  <c r="BH28" i="68"/>
  <c r="DV28" i="68" s="1"/>
  <c r="BG28" i="68"/>
  <c r="DU28" i="68" s="1"/>
  <c r="BF28" i="68"/>
  <c r="DT28" i="68" s="1"/>
  <c r="BE28" i="68"/>
  <c r="DS28" i="68" s="1"/>
  <c r="BD28" i="68"/>
  <c r="DR28" i="68" s="1"/>
  <c r="BA28" i="68"/>
  <c r="BB28" i="68" s="1"/>
  <c r="AI28" i="68"/>
  <c r="S28" i="68"/>
  <c r="R28" i="68"/>
  <c r="Q28" i="68"/>
  <c r="P28" i="68"/>
  <c r="O28" i="68"/>
  <c r="M28" i="68"/>
  <c r="K28" i="68"/>
  <c r="J28" i="68"/>
  <c r="H28" i="68"/>
  <c r="G28" i="68"/>
  <c r="E28" i="68"/>
  <c r="D28" i="68"/>
  <c r="C28" i="68"/>
  <c r="CH27" i="68"/>
  <c r="CG27" i="68"/>
  <c r="CF27" i="68"/>
  <c r="CE27" i="68"/>
  <c r="CD27" i="68"/>
  <c r="CC27" i="68"/>
  <c r="CB27" i="68"/>
  <c r="CA27" i="68"/>
  <c r="BZ27" i="68"/>
  <c r="BY27" i="68"/>
  <c r="BX27" i="68"/>
  <c r="BW27" i="68"/>
  <c r="BA27" i="68"/>
  <c r="BB27" i="68" s="1"/>
  <c r="BO27" i="68"/>
  <c r="BN27" i="68"/>
  <c r="BM27" i="68"/>
  <c r="EA27" i="68" s="1"/>
  <c r="BL27" i="68"/>
  <c r="DZ27" i="68" s="1"/>
  <c r="BK27" i="68"/>
  <c r="DY27" i="68" s="1"/>
  <c r="BJ27" i="68"/>
  <c r="BI27" i="68"/>
  <c r="DW27" i="68" s="1"/>
  <c r="BH27" i="68"/>
  <c r="DV27" i="68" s="1"/>
  <c r="BG27" i="68"/>
  <c r="DU27" i="68" s="1"/>
  <c r="BF27" i="68"/>
  <c r="DT27" i="68" s="1"/>
  <c r="BE27" i="68"/>
  <c r="BD27" i="68"/>
  <c r="AI27" i="68"/>
  <c r="S27" i="68"/>
  <c r="R27" i="68"/>
  <c r="Q27" i="68"/>
  <c r="P27" i="68"/>
  <c r="O27" i="68"/>
  <c r="M27" i="68"/>
  <c r="K27" i="68"/>
  <c r="J27" i="68"/>
  <c r="H27" i="68"/>
  <c r="CL27" i="68" s="1" a="1"/>
  <c r="CL27" i="68" s="1"/>
  <c r="G27" i="68"/>
  <c r="E27" i="68"/>
  <c r="D27" i="68"/>
  <c r="C27" i="68"/>
  <c r="CH26" i="68"/>
  <c r="CG26" i="68"/>
  <c r="CF26" i="68"/>
  <c r="CE26" i="68"/>
  <c r="CD26" i="68"/>
  <c r="CC26" i="68"/>
  <c r="CB26" i="68"/>
  <c r="CA26" i="68"/>
  <c r="BZ26" i="68"/>
  <c r="BY26" i="68"/>
  <c r="BX26" i="68"/>
  <c r="BW26" i="68"/>
  <c r="BO26" i="68"/>
  <c r="EC26" i="68" s="1"/>
  <c r="BN26" i="68"/>
  <c r="BM26" i="68"/>
  <c r="BL26" i="68"/>
  <c r="BK26" i="68"/>
  <c r="DY26" i="68" s="1"/>
  <c r="BJ26" i="68"/>
  <c r="DX26" i="68" s="1"/>
  <c r="BI26" i="68"/>
  <c r="BH26" i="68"/>
  <c r="BG26" i="68"/>
  <c r="DU26" i="68" s="1"/>
  <c r="BF26" i="68"/>
  <c r="DT26" i="68" s="1"/>
  <c r="BE26" i="68"/>
  <c r="DS26" i="68" s="1"/>
  <c r="BD26" i="68"/>
  <c r="BA26" i="68"/>
  <c r="BB26" i="68" s="1"/>
  <c r="AI26" i="68"/>
  <c r="S26" i="68"/>
  <c r="R26" i="68"/>
  <c r="Q26" i="68"/>
  <c r="P26" i="68"/>
  <c r="O26" i="68"/>
  <c r="M26" i="68"/>
  <c r="K26" i="68"/>
  <c r="J26" i="68"/>
  <c r="H26" i="68"/>
  <c r="G26" i="68"/>
  <c r="E26" i="68"/>
  <c r="D26" i="68"/>
  <c r="C26" i="68"/>
  <c r="CH25" i="68"/>
  <c r="CG25" i="68"/>
  <c r="CF25" i="68"/>
  <c r="CE25" i="68"/>
  <c r="CD25" i="68"/>
  <c r="CC25" i="68"/>
  <c r="CB25" i="68"/>
  <c r="CA25" i="68"/>
  <c r="BZ25" i="68"/>
  <c r="BY25" i="68"/>
  <c r="BX25" i="68"/>
  <c r="BW25" i="68"/>
  <c r="BO25" i="68"/>
  <c r="EC25" i="68" s="1"/>
  <c r="BN25" i="68"/>
  <c r="EB25" i="68" s="1"/>
  <c r="BM25" i="68"/>
  <c r="BL25" i="68"/>
  <c r="DZ25" i="68" s="1"/>
  <c r="BK25" i="68"/>
  <c r="DY25" i="68" s="1"/>
  <c r="BJ25" i="68"/>
  <c r="BI25" i="68"/>
  <c r="DW25" i="68" s="1"/>
  <c r="BH25" i="68"/>
  <c r="DV25" i="68" s="1"/>
  <c r="BG25" i="68"/>
  <c r="BF25" i="68"/>
  <c r="BE25" i="68"/>
  <c r="DS25" i="68" s="1"/>
  <c r="BD25" i="68"/>
  <c r="DR25" i="68" s="1"/>
  <c r="BA25" i="68"/>
  <c r="BB25" i="68" s="1"/>
  <c r="AI25" i="68"/>
  <c r="S25" i="68"/>
  <c r="R25" i="68"/>
  <c r="Q25" i="68"/>
  <c r="P25" i="68"/>
  <c r="O25" i="68"/>
  <c r="M25" i="68"/>
  <c r="K25" i="68"/>
  <c r="J25" i="68"/>
  <c r="H25" i="68"/>
  <c r="CJ25" i="68" s="1" a="1"/>
  <c r="CJ25" i="68" s="1"/>
  <c r="G25" i="68"/>
  <c r="E25" i="68"/>
  <c r="D25" i="68"/>
  <c r="C25" i="68"/>
  <c r="CH24" i="68"/>
  <c r="CG24" i="68"/>
  <c r="CF24" i="68"/>
  <c r="CE24" i="68"/>
  <c r="CD24" i="68"/>
  <c r="CC24" i="68"/>
  <c r="CB24" i="68"/>
  <c r="CA24" i="68"/>
  <c r="BZ24" i="68"/>
  <c r="BY24" i="68"/>
  <c r="BX24" i="68"/>
  <c r="BW24" i="68"/>
  <c r="BO24" i="68"/>
  <c r="EC24" i="68" s="1"/>
  <c r="BN24" i="68"/>
  <c r="EB24" i="68" s="1"/>
  <c r="BM24" i="68"/>
  <c r="EA24" i="68" s="1"/>
  <c r="BL24" i="68"/>
  <c r="DZ24" i="68" s="1"/>
  <c r="BK24" i="68"/>
  <c r="BJ24" i="68"/>
  <c r="DX24" i="68" s="1"/>
  <c r="BI24" i="68"/>
  <c r="DW24" i="68" s="1"/>
  <c r="BH24" i="68"/>
  <c r="DV24" i="68" s="1"/>
  <c r="BG24" i="68"/>
  <c r="DU24" i="68" s="1"/>
  <c r="BF24" i="68"/>
  <c r="DT24" i="68" s="1"/>
  <c r="BE24" i="68"/>
  <c r="BD24" i="68"/>
  <c r="BA24" i="68"/>
  <c r="BB24" i="68" s="1"/>
  <c r="AI24" i="68"/>
  <c r="S24" i="68"/>
  <c r="R24" i="68"/>
  <c r="Q24" i="68"/>
  <c r="P24" i="68"/>
  <c r="O24" i="68"/>
  <c r="M24" i="68"/>
  <c r="K24" i="68"/>
  <c r="J24" i="68"/>
  <c r="H24" i="68"/>
  <c r="CJ24" i="68" s="1" a="1"/>
  <c r="CJ24" i="68" s="1"/>
  <c r="G24" i="68"/>
  <c r="E24" i="68"/>
  <c r="D24" i="68"/>
  <c r="C24" i="68"/>
  <c r="CH23" i="68"/>
  <c r="CG23" i="68"/>
  <c r="CF23" i="68"/>
  <c r="CE23" i="68"/>
  <c r="CD23" i="68"/>
  <c r="CC23" i="68"/>
  <c r="CB23" i="68"/>
  <c r="CA23" i="68"/>
  <c r="BZ23" i="68"/>
  <c r="BY23" i="68"/>
  <c r="BX23" i="68"/>
  <c r="BW23" i="68"/>
  <c r="BO23" i="68"/>
  <c r="EC23" i="68" s="1"/>
  <c r="BN23" i="68"/>
  <c r="EB23" i="68" s="1"/>
  <c r="BM23" i="68"/>
  <c r="EA23" i="68" s="1"/>
  <c r="BL23" i="68"/>
  <c r="BK23" i="68"/>
  <c r="DY23" i="68" s="1"/>
  <c r="BJ23" i="68"/>
  <c r="BI23" i="68"/>
  <c r="DW23" i="68" s="1"/>
  <c r="BH23" i="68"/>
  <c r="DV23" i="68" s="1"/>
  <c r="BG23" i="68"/>
  <c r="DU23" i="68" s="1"/>
  <c r="BF23" i="68"/>
  <c r="DT23" i="68" s="1"/>
  <c r="BE23" i="68"/>
  <c r="BD23" i="68"/>
  <c r="DR23" i="68" s="1"/>
  <c r="BA23" i="68"/>
  <c r="BB23" i="68" s="1"/>
  <c r="AI23" i="68"/>
  <c r="S23" i="68"/>
  <c r="R23" i="68"/>
  <c r="Q23" i="68"/>
  <c r="P23" i="68"/>
  <c r="O23" i="68"/>
  <c r="M23" i="68"/>
  <c r="K23" i="68"/>
  <c r="J23" i="68"/>
  <c r="H23" i="68"/>
  <c r="G23" i="68"/>
  <c r="E23" i="68"/>
  <c r="D23" i="68"/>
  <c r="C23" i="68"/>
  <c r="CH22" i="68"/>
  <c r="CG22" i="68"/>
  <c r="CF22" i="68"/>
  <c r="CE22" i="68"/>
  <c r="CD22" i="68"/>
  <c r="CC22" i="68"/>
  <c r="CB22" i="68"/>
  <c r="CA22" i="68"/>
  <c r="BZ22" i="68"/>
  <c r="BY22" i="68"/>
  <c r="BX22" i="68"/>
  <c r="BW22" i="68"/>
  <c r="BO22" i="68"/>
  <c r="EC22" i="68" s="1"/>
  <c r="BN22" i="68"/>
  <c r="EB22" i="68" s="1"/>
  <c r="BM22" i="68"/>
  <c r="EA22" i="68" s="1"/>
  <c r="BL22" i="68"/>
  <c r="BK22" i="68"/>
  <c r="DY22" i="68" s="1"/>
  <c r="BJ22" i="68"/>
  <c r="BI22" i="68"/>
  <c r="DW22" i="68" s="1"/>
  <c r="BH22" i="68"/>
  <c r="DV22" i="68" s="1"/>
  <c r="BG22" i="68"/>
  <c r="DU22" i="68" s="1"/>
  <c r="BF22" i="68"/>
  <c r="DT22" i="68" s="1"/>
  <c r="BE22" i="68"/>
  <c r="BD22" i="68"/>
  <c r="DR22" i="68" s="1"/>
  <c r="BA22" i="68"/>
  <c r="BB22" i="68" s="1"/>
  <c r="AI22" i="68"/>
  <c r="S22" i="68"/>
  <c r="R22" i="68"/>
  <c r="Q22" i="68"/>
  <c r="P22" i="68"/>
  <c r="O22" i="68"/>
  <c r="M22" i="68"/>
  <c r="K22" i="68"/>
  <c r="J22" i="68"/>
  <c r="H22" i="68"/>
  <c r="CL22" i="68" s="1" a="1"/>
  <c r="CL22" i="68" s="1"/>
  <c r="G22" i="68"/>
  <c r="E22" i="68"/>
  <c r="D22" i="68"/>
  <c r="C22" i="68"/>
  <c r="CH21" i="68"/>
  <c r="CG21" i="68"/>
  <c r="CF21" i="68"/>
  <c r="CE21" i="68"/>
  <c r="CD21" i="68"/>
  <c r="CC21" i="68"/>
  <c r="CB21" i="68"/>
  <c r="CA21" i="68"/>
  <c r="BZ21" i="68"/>
  <c r="BY21" i="68"/>
  <c r="BX21" i="68"/>
  <c r="BW21" i="68"/>
  <c r="BO21" i="68"/>
  <c r="BN21" i="68"/>
  <c r="BM21" i="68"/>
  <c r="EA21" i="68" s="1"/>
  <c r="BL21" i="68"/>
  <c r="DZ21" i="68" s="1"/>
  <c r="BK21" i="68"/>
  <c r="DY21" i="68" s="1"/>
  <c r="BJ21" i="68"/>
  <c r="BI21" i="68"/>
  <c r="BH21" i="68"/>
  <c r="DV21" i="68" s="1"/>
  <c r="BG21" i="68"/>
  <c r="DU21" i="68" s="1"/>
  <c r="BF21" i="68"/>
  <c r="DT21" i="68" s="1"/>
  <c r="BE21" i="68"/>
  <c r="DS21" i="68" s="1"/>
  <c r="BD21" i="68"/>
  <c r="DR21" i="68" s="1"/>
  <c r="BA21" i="68"/>
  <c r="BB21" i="68" s="1"/>
  <c r="AI21" i="68"/>
  <c r="S21" i="68"/>
  <c r="R21" i="68"/>
  <c r="Q21" i="68"/>
  <c r="P21" i="68"/>
  <c r="O21" i="68"/>
  <c r="M21" i="68"/>
  <c r="K21" i="68"/>
  <c r="J21" i="68"/>
  <c r="H21" i="68"/>
  <c r="CL21" i="68" s="1" a="1"/>
  <c r="CL21" i="68" s="1"/>
  <c r="G21" i="68"/>
  <c r="E21" i="68"/>
  <c r="D21" i="68"/>
  <c r="C21" i="68"/>
  <c r="CH20" i="68"/>
  <c r="CG20" i="68"/>
  <c r="CF20" i="68"/>
  <c r="CE20" i="68"/>
  <c r="CD20" i="68"/>
  <c r="CC20" i="68"/>
  <c r="CB20" i="68"/>
  <c r="CA20" i="68"/>
  <c r="BZ20" i="68"/>
  <c r="BY20" i="68"/>
  <c r="BX20" i="68"/>
  <c r="BW20" i="68"/>
  <c r="BO20" i="68"/>
  <c r="EC20" i="68" s="1"/>
  <c r="BN20" i="68"/>
  <c r="EB20" i="68" s="1"/>
  <c r="BM20" i="68"/>
  <c r="BL20" i="68"/>
  <c r="BK20" i="68"/>
  <c r="DY20" i="68" s="1"/>
  <c r="BJ20" i="68"/>
  <c r="DX20" i="68" s="1"/>
  <c r="BI20" i="68"/>
  <c r="DW20" i="68" s="1"/>
  <c r="BH20" i="68"/>
  <c r="DV20" i="68" s="1"/>
  <c r="BG20" i="68"/>
  <c r="BF20" i="68"/>
  <c r="DT20" i="68" s="1"/>
  <c r="BE20" i="68"/>
  <c r="BD20" i="68"/>
  <c r="DR20" i="68" s="1"/>
  <c r="BA20" i="68"/>
  <c r="BB20" i="68" s="1"/>
  <c r="AI20" i="68"/>
  <c r="S20" i="68"/>
  <c r="R20" i="68"/>
  <c r="Q20" i="68"/>
  <c r="P20" i="68"/>
  <c r="O20" i="68"/>
  <c r="M20" i="68"/>
  <c r="K20" i="68"/>
  <c r="J20" i="68"/>
  <c r="H20" i="68"/>
  <c r="CJ20" i="68" s="1" a="1"/>
  <c r="CJ20" i="68" s="1"/>
  <c r="G20" i="68"/>
  <c r="E20" i="68"/>
  <c r="D20" i="68"/>
  <c r="C20" i="68"/>
  <c r="CH19" i="68"/>
  <c r="CG19" i="68"/>
  <c r="CF19" i="68"/>
  <c r="CE19" i="68"/>
  <c r="CD19" i="68"/>
  <c r="CC19" i="68"/>
  <c r="CB19" i="68"/>
  <c r="CA19" i="68"/>
  <c r="BZ19" i="68"/>
  <c r="BY19" i="68"/>
  <c r="BX19" i="68"/>
  <c r="BW19" i="68"/>
  <c r="BO19" i="68"/>
  <c r="BN19" i="68"/>
  <c r="EB19" i="68" s="1"/>
  <c r="BM19" i="68"/>
  <c r="BL19" i="68"/>
  <c r="DZ19" i="68" s="1"/>
  <c r="BK19" i="68"/>
  <c r="BJ19" i="68"/>
  <c r="BI19" i="68"/>
  <c r="DW19" i="68" s="1"/>
  <c r="BH19" i="68"/>
  <c r="DV19" i="68" s="1"/>
  <c r="BG19" i="68"/>
  <c r="DU19" i="68" s="1"/>
  <c r="BF19" i="68"/>
  <c r="DT19" i="68" s="1"/>
  <c r="BE19" i="68"/>
  <c r="BD19" i="68"/>
  <c r="BA19" i="68"/>
  <c r="BB19" i="68" s="1"/>
  <c r="AI19" i="68"/>
  <c r="S19" i="68"/>
  <c r="R19" i="68"/>
  <c r="Q19" i="68"/>
  <c r="P19" i="68"/>
  <c r="O19" i="68"/>
  <c r="M19" i="68"/>
  <c r="K19" i="68"/>
  <c r="J19" i="68"/>
  <c r="H19" i="68"/>
  <c r="G19" i="68"/>
  <c r="E19" i="68"/>
  <c r="D19" i="68"/>
  <c r="C19" i="68"/>
  <c r="CH18" i="68"/>
  <c r="CG18" i="68"/>
  <c r="CF18" i="68"/>
  <c r="CE18" i="68"/>
  <c r="CD18" i="68"/>
  <c r="CC18" i="68"/>
  <c r="CB18" i="68"/>
  <c r="CA18" i="68"/>
  <c r="BZ18" i="68"/>
  <c r="BY18" i="68"/>
  <c r="BX18" i="68"/>
  <c r="BW18" i="68"/>
  <c r="BO18" i="68"/>
  <c r="EC18" i="68" s="1"/>
  <c r="BN18" i="68"/>
  <c r="EB18" i="68" s="1"/>
  <c r="BM18" i="68"/>
  <c r="EA18" i="68" s="1"/>
  <c r="BL18" i="68"/>
  <c r="BK18" i="68"/>
  <c r="DY18" i="68" s="1"/>
  <c r="BJ18" i="68"/>
  <c r="DX18" i="68" s="1"/>
  <c r="BI18" i="68"/>
  <c r="BH18" i="68"/>
  <c r="DV18" i="68" s="1"/>
  <c r="BG18" i="68"/>
  <c r="DU18" i="68" s="1"/>
  <c r="BF18" i="68"/>
  <c r="DT18" i="68" s="1"/>
  <c r="BE18" i="68"/>
  <c r="DS18" i="68" s="1"/>
  <c r="BD18" i="68"/>
  <c r="DR18" i="68" s="1"/>
  <c r="BA18" i="68"/>
  <c r="BB18" i="68" s="1"/>
  <c r="AI18" i="68"/>
  <c r="S18" i="68"/>
  <c r="R18" i="68"/>
  <c r="Q18" i="68"/>
  <c r="P18" i="68"/>
  <c r="O18" i="68"/>
  <c r="M18" i="68"/>
  <c r="K18" i="68"/>
  <c r="J18" i="68"/>
  <c r="H18" i="68"/>
  <c r="CJ18" i="68" s="1" a="1"/>
  <c r="CJ18" i="68" s="1"/>
  <c r="G18" i="68"/>
  <c r="E18" i="68"/>
  <c r="D18" i="68"/>
  <c r="C18" i="68"/>
  <c r="CH17" i="68"/>
  <c r="CG17" i="68"/>
  <c r="CF17" i="68"/>
  <c r="CE17" i="68"/>
  <c r="CD17" i="68"/>
  <c r="CC17" i="68"/>
  <c r="CB17" i="68"/>
  <c r="CA17" i="68"/>
  <c r="BZ17" i="68"/>
  <c r="BY17" i="68"/>
  <c r="BX17" i="68"/>
  <c r="BW17" i="68"/>
  <c r="BO17" i="68"/>
  <c r="BN17" i="68"/>
  <c r="EB17" i="68" s="1"/>
  <c r="BM17" i="68"/>
  <c r="EA17" i="68" s="1"/>
  <c r="BL17" i="68"/>
  <c r="DZ17" i="68" s="1"/>
  <c r="BK17" i="68"/>
  <c r="DY17" i="68" s="1"/>
  <c r="BJ17" i="68"/>
  <c r="DX17" i="68" s="1"/>
  <c r="BI17" i="68"/>
  <c r="DW17" i="68" s="1"/>
  <c r="BH17" i="68"/>
  <c r="DV17" i="68" s="1"/>
  <c r="BG17" i="68"/>
  <c r="BF17" i="68"/>
  <c r="BE17" i="68"/>
  <c r="DS17" i="68" s="1"/>
  <c r="BD17" i="68"/>
  <c r="DR17" i="68" s="1"/>
  <c r="BA17" i="68"/>
  <c r="BB17" i="68" s="1"/>
  <c r="AI17" i="68"/>
  <c r="S17" i="68"/>
  <c r="R17" i="68"/>
  <c r="Q17" i="68"/>
  <c r="P17" i="68"/>
  <c r="O17" i="68"/>
  <c r="M17" i="68"/>
  <c r="K17" i="68"/>
  <c r="J17" i="68"/>
  <c r="H17" i="68"/>
  <c r="CL17" i="68" s="1" a="1"/>
  <c r="CL17" i="68" s="1"/>
  <c r="G17" i="68"/>
  <c r="E17" i="68"/>
  <c r="D17" i="68"/>
  <c r="C17" i="68"/>
  <c r="CH16" i="68"/>
  <c r="CG16" i="68"/>
  <c r="CF16" i="68"/>
  <c r="CE16" i="68"/>
  <c r="CD16" i="68"/>
  <c r="CC16" i="68"/>
  <c r="CB16" i="68"/>
  <c r="CA16" i="68"/>
  <c r="BZ16" i="68"/>
  <c r="BY16" i="68"/>
  <c r="BX16" i="68"/>
  <c r="BW16" i="68"/>
  <c r="BO16" i="68"/>
  <c r="EC16" i="68" s="1"/>
  <c r="BN16" i="68"/>
  <c r="EB16" i="68" s="1"/>
  <c r="BM16" i="68"/>
  <c r="EA16" i="68" s="1"/>
  <c r="BL16" i="68"/>
  <c r="DZ16" i="68" s="1"/>
  <c r="BK16" i="68"/>
  <c r="DY16" i="68" s="1"/>
  <c r="BJ16" i="68"/>
  <c r="BI16" i="68"/>
  <c r="DW16" i="68" s="1"/>
  <c r="BH16" i="68"/>
  <c r="DV16" i="68" s="1"/>
  <c r="BG16" i="68"/>
  <c r="DU16" i="68" s="1"/>
  <c r="BF16" i="68"/>
  <c r="DT16" i="68" s="1"/>
  <c r="BE16" i="68"/>
  <c r="BD16" i="68"/>
  <c r="DR16" i="68" s="1"/>
  <c r="BA16" i="68"/>
  <c r="BB16" i="68" s="1"/>
  <c r="AI16" i="68"/>
  <c r="S16" i="68"/>
  <c r="R16" i="68"/>
  <c r="Q16" i="68"/>
  <c r="P16" i="68"/>
  <c r="O16" i="68"/>
  <c r="M16" i="68"/>
  <c r="K16" i="68"/>
  <c r="J16" i="68"/>
  <c r="H16" i="68"/>
  <c r="G16" i="68"/>
  <c r="E16" i="68"/>
  <c r="D16" i="68"/>
  <c r="C16" i="68"/>
  <c r="CH15" i="68"/>
  <c r="CG15" i="68"/>
  <c r="CF15" i="68"/>
  <c r="CE15" i="68"/>
  <c r="CD15" i="68"/>
  <c r="CC15" i="68"/>
  <c r="CB15" i="68"/>
  <c r="CA15" i="68"/>
  <c r="BZ15" i="68"/>
  <c r="BY15" i="68"/>
  <c r="BX15" i="68"/>
  <c r="BW15" i="68"/>
  <c r="BO15" i="68"/>
  <c r="EC15" i="68" s="1"/>
  <c r="BN15" i="68"/>
  <c r="EB15" i="68" s="1"/>
  <c r="BM15" i="68"/>
  <c r="BL15" i="68"/>
  <c r="BK15" i="68"/>
  <c r="DY15" i="68" s="1"/>
  <c r="BJ15" i="68"/>
  <c r="BI15" i="68"/>
  <c r="BH15" i="68"/>
  <c r="DV15" i="68" s="1"/>
  <c r="BG15" i="68"/>
  <c r="DU15" i="68" s="1"/>
  <c r="BF15" i="68"/>
  <c r="BE15" i="68"/>
  <c r="DS15" i="68" s="1"/>
  <c r="BD15" i="68"/>
  <c r="DR15" i="68" s="1"/>
  <c r="BA15" i="68"/>
  <c r="BB15" i="68" s="1"/>
  <c r="AI15" i="68"/>
  <c r="S15" i="68"/>
  <c r="R15" i="68"/>
  <c r="Q15" i="68"/>
  <c r="P15" i="68"/>
  <c r="O15" i="68"/>
  <c r="M15" i="68"/>
  <c r="K15" i="68"/>
  <c r="J15" i="68"/>
  <c r="H15" i="68"/>
  <c r="G15" i="68"/>
  <c r="E15" i="68"/>
  <c r="D15" i="68"/>
  <c r="C15" i="68"/>
  <c r="BO14" i="68"/>
  <c r="CH14" i="68" s="1"/>
  <c r="BN14" i="68"/>
  <c r="EB14" i="68" s="1"/>
  <c r="BM14" i="68"/>
  <c r="CF14" i="68" s="1"/>
  <c r="BL14" i="68"/>
  <c r="CE14" i="68" s="1"/>
  <c r="BK14" i="68"/>
  <c r="CD14" i="68" s="1"/>
  <c r="BJ14" i="68"/>
  <c r="DX14" i="68" s="1"/>
  <c r="BI14" i="68"/>
  <c r="CB14" i="68" s="1"/>
  <c r="BH14" i="68"/>
  <c r="DV14" i="68" s="1"/>
  <c r="BG14" i="68"/>
  <c r="BZ14" i="68" s="1"/>
  <c r="BF14" i="68"/>
  <c r="DT14" i="68" s="1"/>
  <c r="BE14" i="68"/>
  <c r="BX14" i="68" s="1"/>
  <c r="BD14" i="68"/>
  <c r="BW14" i="68" s="1"/>
  <c r="BA14" i="68"/>
  <c r="BB14" i="68" s="1"/>
  <c r="AI14" i="68"/>
  <c r="S14" i="68"/>
  <c r="R14" i="68"/>
  <c r="Q14" i="68"/>
  <c r="P14" i="68"/>
  <c r="O14" i="68"/>
  <c r="M14" i="68"/>
  <c r="K14" i="68"/>
  <c r="J14" i="68"/>
  <c r="H14" i="68"/>
  <c r="CL14" i="68" s="1" a="1"/>
  <c r="CL14" i="68" s="1"/>
  <c r="G14" i="68"/>
  <c r="E14" i="68"/>
  <c r="D14" i="68"/>
  <c r="C14" i="68"/>
  <c r="BO13" i="68"/>
  <c r="CH13" i="68" s="1"/>
  <c r="BN13" i="68"/>
  <c r="EB13" i="68" s="1"/>
  <c r="BM13" i="68"/>
  <c r="EA13" i="68" s="1"/>
  <c r="BL13" i="68"/>
  <c r="DZ13" i="68" s="1"/>
  <c r="BK13" i="68"/>
  <c r="CD13" i="68" s="1"/>
  <c r="BJ13" i="68"/>
  <c r="DX13" i="68" s="1"/>
  <c r="BI13" i="68"/>
  <c r="DW13" i="68" s="1"/>
  <c r="BH13" i="68"/>
  <c r="DV13" i="68" s="1"/>
  <c r="BG13" i="68"/>
  <c r="BZ13" i="68" s="1"/>
  <c r="BF13" i="68"/>
  <c r="BY13" i="68" s="1"/>
  <c r="BE13" i="68"/>
  <c r="DS13" i="68" s="1"/>
  <c r="BD13" i="68"/>
  <c r="BW13" i="68" s="1"/>
  <c r="BA13" i="68"/>
  <c r="BB13" i="68" s="1"/>
  <c r="AI13" i="68"/>
  <c r="S13" i="68"/>
  <c r="R13" i="68"/>
  <c r="Q13" i="68"/>
  <c r="P13" i="68"/>
  <c r="O13" i="68"/>
  <c r="M13" i="68"/>
  <c r="K13" i="68"/>
  <c r="J13" i="68"/>
  <c r="H13" i="68"/>
  <c r="G13" i="68"/>
  <c r="E13" i="68"/>
  <c r="D13" i="68"/>
  <c r="C13" i="68"/>
  <c r="BO12" i="68"/>
  <c r="EC12" i="68" s="1"/>
  <c r="BN12" i="68"/>
  <c r="CG12" i="68" s="1"/>
  <c r="BM12" i="68"/>
  <c r="CF12" i="68" s="1"/>
  <c r="BL12" i="68"/>
  <c r="BK12" i="68"/>
  <c r="BJ12" i="68"/>
  <c r="DX12" i="68" s="1"/>
  <c r="BI12" i="68"/>
  <c r="DW12" i="68" s="1"/>
  <c r="BH12" i="68"/>
  <c r="DV12" i="68" s="1"/>
  <c r="BG12" i="68"/>
  <c r="DU12" i="68" s="1"/>
  <c r="BF12" i="68"/>
  <c r="DT12" i="68" s="1"/>
  <c r="BE12" i="68"/>
  <c r="DS12" i="68" s="1"/>
  <c r="BD12" i="68"/>
  <c r="BW12" i="68" s="1"/>
  <c r="BA12" i="68"/>
  <c r="BB12" i="68" s="1"/>
  <c r="AI12" i="68"/>
  <c r="S12" i="68"/>
  <c r="R12" i="68"/>
  <c r="Q12" i="68"/>
  <c r="P12" i="68"/>
  <c r="O12" i="68"/>
  <c r="M12" i="68"/>
  <c r="K12" i="68"/>
  <c r="J12" i="68"/>
  <c r="H12" i="68"/>
  <c r="CL12" i="68" s="1" a="1"/>
  <c r="CL12" i="68" s="1"/>
  <c r="G12" i="68"/>
  <c r="E12" i="68"/>
  <c r="D12" i="68"/>
  <c r="C12" i="68"/>
  <c r="BO11" i="68"/>
  <c r="CH11" i="68" s="1"/>
  <c r="BN11" i="68"/>
  <c r="BM11" i="68"/>
  <c r="CF11" i="68" s="1"/>
  <c r="BL11" i="68"/>
  <c r="CE11" i="68" s="1"/>
  <c r="BK11" i="68"/>
  <c r="CD11" i="68" s="1"/>
  <c r="BJ11" i="68"/>
  <c r="BI11" i="68"/>
  <c r="CB11" i="68" s="1"/>
  <c r="BH11" i="68"/>
  <c r="CA11" i="68" s="1"/>
  <c r="BG11" i="68"/>
  <c r="BZ11" i="68" s="1"/>
  <c r="BF11" i="68"/>
  <c r="BY11" i="68" s="1"/>
  <c r="BE11" i="68"/>
  <c r="BX11" i="68" s="1"/>
  <c r="BD11" i="68"/>
  <c r="DR11" i="68" s="1"/>
  <c r="BA11" i="68"/>
  <c r="BB11" i="68" s="1"/>
  <c r="AI11" i="68"/>
  <c r="S11" i="68"/>
  <c r="R11" i="68"/>
  <c r="Q11" i="68"/>
  <c r="P11" i="68"/>
  <c r="O11" i="68"/>
  <c r="M11" i="68"/>
  <c r="K11" i="68"/>
  <c r="J11" i="68"/>
  <c r="H11" i="68"/>
  <c r="G11" i="68"/>
  <c r="E11" i="68"/>
  <c r="D11" i="68"/>
  <c r="C11" i="68"/>
  <c r="CH10" i="68"/>
  <c r="CG10" i="68"/>
  <c r="CF10" i="68"/>
  <c r="CE10" i="68"/>
  <c r="CD10" i="68"/>
  <c r="CC10" i="68"/>
  <c r="CB10" i="68"/>
  <c r="CA10" i="68"/>
  <c r="BZ10" i="68"/>
  <c r="BY10" i="68"/>
  <c r="BX10" i="68"/>
  <c r="BW10" i="68"/>
  <c r="BA10" i="68"/>
  <c r="BB10" i="68" s="1"/>
  <c r="BO10" i="68"/>
  <c r="BN10" i="68"/>
  <c r="BM10" i="68"/>
  <c r="BL10" i="68"/>
  <c r="DZ10" i="68" s="1"/>
  <c r="BK10" i="68"/>
  <c r="BJ10" i="68"/>
  <c r="DX10" i="68" s="1"/>
  <c r="BI10" i="68"/>
  <c r="BH10" i="68"/>
  <c r="DV10" i="68" s="1"/>
  <c r="BG10" i="68"/>
  <c r="DU10" i="68" s="1"/>
  <c r="BF10" i="68"/>
  <c r="DT10" i="68" s="1"/>
  <c r="BE10" i="68"/>
  <c r="DS10" i="68" s="1"/>
  <c r="BD10" i="68"/>
  <c r="DR10" i="68" s="1"/>
  <c r="AI10" i="68"/>
  <c r="S10" i="68"/>
  <c r="R10" i="68"/>
  <c r="Q10" i="68"/>
  <c r="P10" i="68"/>
  <c r="O10" i="68"/>
  <c r="M10" i="68"/>
  <c r="K10" i="68"/>
  <c r="J10" i="68"/>
  <c r="H10" i="68"/>
  <c r="G10" i="68"/>
  <c r="E10" i="68"/>
  <c r="D10" i="68"/>
  <c r="C10" i="68"/>
  <c r="CH9" i="68"/>
  <c r="CG9" i="68"/>
  <c r="CF9" i="68"/>
  <c r="CE9" i="68"/>
  <c r="CD9" i="68"/>
  <c r="CC9" i="68"/>
  <c r="CB9" i="68"/>
  <c r="CA9" i="68"/>
  <c r="BZ9" i="68"/>
  <c r="BY9" i="68"/>
  <c r="BX9" i="68"/>
  <c r="BW9" i="68"/>
  <c r="BO9" i="68"/>
  <c r="EC9" i="68" s="1"/>
  <c r="BN9" i="68"/>
  <c r="EB9" i="68" s="1"/>
  <c r="BM9" i="68"/>
  <c r="EA9" i="68" s="1"/>
  <c r="BL9" i="68"/>
  <c r="BK9" i="68"/>
  <c r="BJ9" i="68"/>
  <c r="BI9" i="68"/>
  <c r="DW9" i="68" s="1"/>
  <c r="BH9" i="68"/>
  <c r="DV9" i="68" s="1"/>
  <c r="BG9" i="68"/>
  <c r="DU9" i="68" s="1"/>
  <c r="BF9" i="68"/>
  <c r="DT9" i="68" s="1"/>
  <c r="BE9" i="68"/>
  <c r="BD9" i="68"/>
  <c r="DR9" i="68" s="1"/>
  <c r="BA9" i="68"/>
  <c r="BB9" i="68" s="1"/>
  <c r="AI9" i="68"/>
  <c r="S9" i="68"/>
  <c r="R9" i="68"/>
  <c r="Q9" i="68"/>
  <c r="P9" i="68"/>
  <c r="O9" i="68"/>
  <c r="M9" i="68"/>
  <c r="K9" i="68"/>
  <c r="J9" i="68"/>
  <c r="H9" i="68"/>
  <c r="G9" i="68"/>
  <c r="E9" i="68"/>
  <c r="D9" i="68"/>
  <c r="C9" i="68"/>
  <c r="CH8" i="68"/>
  <c r="CG8" i="68"/>
  <c r="CF8" i="68"/>
  <c r="CE8" i="68"/>
  <c r="CD8" i="68"/>
  <c r="CC8" i="68"/>
  <c r="CB8" i="68"/>
  <c r="CA8" i="68"/>
  <c r="BZ8" i="68"/>
  <c r="BY8" i="68"/>
  <c r="BX8" i="68"/>
  <c r="BW8" i="68"/>
  <c r="BO8" i="68"/>
  <c r="BN8" i="68"/>
  <c r="EB8" i="68" s="1"/>
  <c r="BM8" i="68"/>
  <c r="EA8" i="68" s="1"/>
  <c r="BL8" i="68"/>
  <c r="DZ8" i="68" s="1"/>
  <c r="BK8" i="68"/>
  <c r="DY8" i="68" s="1"/>
  <c r="BJ8" i="68"/>
  <c r="BI8" i="68"/>
  <c r="DW8" i="68" s="1"/>
  <c r="BH8" i="68"/>
  <c r="DV8" i="68" s="1"/>
  <c r="BG8" i="68"/>
  <c r="DU8" i="68" s="1"/>
  <c r="BF8" i="68"/>
  <c r="DT8" i="68" s="1"/>
  <c r="BE8" i="68"/>
  <c r="DS8" i="68" s="1"/>
  <c r="BD8" i="68"/>
  <c r="DR8" i="68" s="1"/>
  <c r="BA8" i="68"/>
  <c r="BB8" i="68" s="1"/>
  <c r="AI8" i="68"/>
  <c r="S8" i="68"/>
  <c r="R8" i="68"/>
  <c r="Q8" i="68"/>
  <c r="P8" i="68"/>
  <c r="O8" i="68"/>
  <c r="M8" i="68"/>
  <c r="K8" i="68"/>
  <c r="J8" i="68"/>
  <c r="H8" i="68"/>
  <c r="G8" i="68"/>
  <c r="E8" i="68"/>
  <c r="D8" i="68"/>
  <c r="C8" i="68"/>
  <c r="BO7" i="68"/>
  <c r="EC7" i="68" s="1"/>
  <c r="BN7" i="68"/>
  <c r="EB7" i="68" s="1"/>
  <c r="BM7" i="68"/>
  <c r="EA7" i="68" s="1"/>
  <c r="BL7" i="68"/>
  <c r="DZ7" i="68" s="1"/>
  <c r="BK7" i="68"/>
  <c r="BJ7" i="68"/>
  <c r="DX7" i="68" s="1"/>
  <c r="BI7" i="68"/>
  <c r="CB7" i="68" s="1"/>
  <c r="BH7" i="68"/>
  <c r="DV7" i="68" s="1"/>
  <c r="BG7" i="68"/>
  <c r="BF7" i="68"/>
  <c r="BY7" i="68" s="1"/>
  <c r="BE7" i="68"/>
  <c r="BX7" i="68" s="1"/>
  <c r="BD7" i="68"/>
  <c r="BW7" i="68" s="1"/>
  <c r="BA7" i="68"/>
  <c r="BB7" i="68" s="1"/>
  <c r="AI7" i="68"/>
  <c r="S7" i="68"/>
  <c r="R7" i="68"/>
  <c r="Q7" i="68"/>
  <c r="P7" i="68"/>
  <c r="O7" i="68"/>
  <c r="M7" i="68"/>
  <c r="K7" i="68"/>
  <c r="J7" i="68"/>
  <c r="H7" i="68"/>
  <c r="CJ7" i="68" s="1" a="1"/>
  <c r="CJ7" i="68" s="1"/>
  <c r="G7" i="68"/>
  <c r="E7" i="68"/>
  <c r="D7" i="68"/>
  <c r="C7" i="68"/>
  <c r="BO6" i="68"/>
  <c r="BN6" i="68"/>
  <c r="BM6" i="68"/>
  <c r="BL6" i="68"/>
  <c r="BK6" i="68"/>
  <c r="BJ6" i="68"/>
  <c r="BI6" i="68"/>
  <c r="BH6" i="68"/>
  <c r="BG6" i="68"/>
  <c r="BF6" i="68"/>
  <c r="BE6" i="68"/>
  <c r="BD6" i="68"/>
  <c r="BA6" i="68"/>
  <c r="BB6" i="68" s="1"/>
  <c r="AI6" i="68"/>
  <c r="S6" i="68"/>
  <c r="R6" i="68"/>
  <c r="Q6" i="68"/>
  <c r="P6" i="68"/>
  <c r="O6" i="68"/>
  <c r="M6" i="68"/>
  <c r="K6" i="68"/>
  <c r="J6" i="68"/>
  <c r="H6" i="68"/>
  <c r="G6" i="68"/>
  <c r="E6" i="68"/>
  <c r="D6" i="68"/>
  <c r="C6" i="68"/>
  <c r="CE13" i="68" l="1"/>
  <c r="CF13" i="68"/>
  <c r="CG13" i="68"/>
  <c r="CA13" i="68"/>
  <c r="CC13" i="68"/>
  <c r="CB13" i="68"/>
  <c r="BX13" i="68"/>
  <c r="CL46" i="68" a="1"/>
  <c r="CL46" i="68" s="1"/>
  <c r="BZ6" i="68"/>
  <c r="DW6" i="68"/>
  <c r="CG6" i="68"/>
  <c r="DV6" i="68"/>
  <c r="CD6" i="68"/>
  <c r="CH6" i="68"/>
  <c r="DS6" i="68"/>
  <c r="DT6" i="68"/>
  <c r="CE6" i="68"/>
  <c r="CF6" i="68"/>
  <c r="CX178" i="68"/>
  <c r="DK178" i="68" s="1"/>
  <c r="CP178" i="68"/>
  <c r="DC178" i="68" s="1"/>
  <c r="CN178" i="68"/>
  <c r="DA178" i="68" s="1"/>
  <c r="CT178" i="68"/>
  <c r="DG178" i="68" s="1"/>
  <c r="CR178" i="68"/>
  <c r="DE178" i="68" s="1"/>
  <c r="CY178" i="68"/>
  <c r="DL178" i="68" s="1"/>
  <c r="CQ178" i="68"/>
  <c r="DD178" i="68" s="1"/>
  <c r="CO178" i="68"/>
  <c r="DB178" i="68" s="1"/>
  <c r="CU178" i="68"/>
  <c r="DH178" i="68" s="1"/>
  <c r="CS178" i="68"/>
  <c r="DF178" i="68" s="1"/>
  <c r="CV178" i="68"/>
  <c r="DI178" i="68" s="1"/>
  <c r="BW62" i="68"/>
  <c r="BX62" i="68"/>
  <c r="BY62" i="68"/>
  <c r="BZ62" i="68"/>
  <c r="CC62" i="68"/>
  <c r="CH62" i="68"/>
  <c r="CG62" i="68"/>
  <c r="CD62" i="68"/>
  <c r="CE62" i="68"/>
  <c r="CF62" i="68"/>
  <c r="BQ45" i="68"/>
  <c r="DZ11" i="68"/>
  <c r="BQ49" i="68"/>
  <c r="DW7" i="68"/>
  <c r="EA118" i="68"/>
  <c r="AJ47" i="68"/>
  <c r="AK47" i="68" s="1"/>
  <c r="AL47" i="68" s="1"/>
  <c r="BQ25" i="68"/>
  <c r="CJ55" i="68" a="1"/>
  <c r="CJ55" i="68" s="1"/>
  <c r="CI94" i="68"/>
  <c r="BQ51" i="68"/>
  <c r="CI100" i="68"/>
  <c r="AJ38" i="68"/>
  <c r="AK38" i="68" s="1"/>
  <c r="AL38" i="68" s="1"/>
  <c r="CD58" i="68"/>
  <c r="CM177" i="68" a="1"/>
  <c r="CM177" i="68" s="1"/>
  <c r="CI10" i="68"/>
  <c r="CI8" i="68"/>
  <c r="BQ8" i="68"/>
  <c r="AJ24" i="68"/>
  <c r="AK24" i="68" s="1"/>
  <c r="AL24" i="68" s="1"/>
  <c r="BQ33" i="68"/>
  <c r="DT59" i="68"/>
  <c r="EB59" i="68"/>
  <c r="BP77" i="68"/>
  <c r="BQ86" i="68"/>
  <c r="EB12" i="68"/>
  <c r="CM26" i="68" a="1"/>
  <c r="CM26" i="68" s="1"/>
  <c r="CI90" i="68"/>
  <c r="CI69" i="68"/>
  <c r="CD54" i="68"/>
  <c r="CI115" i="68"/>
  <c r="CE118" i="68"/>
  <c r="CI176" i="68"/>
  <c r="AI2" i="68"/>
  <c r="DU14" i="68"/>
  <c r="CI140" i="68"/>
  <c r="DZ6" i="68"/>
  <c r="BY12" i="68"/>
  <c r="EC14" i="68"/>
  <c r="AJ25" i="68"/>
  <c r="AK25" i="68" s="1"/>
  <c r="AL25" i="68" s="1"/>
  <c r="DT11" i="68"/>
  <c r="DT54" i="68"/>
  <c r="CG118" i="68"/>
  <c r="DW11" i="68"/>
  <c r="CF58" i="68"/>
  <c r="CH118" i="68"/>
  <c r="BZ12" i="68"/>
  <c r="CM57" i="68" a="1"/>
  <c r="CM57" i="68" s="1"/>
  <c r="BQ24" i="68"/>
  <c r="BQ19" i="68"/>
  <c r="BP35" i="68"/>
  <c r="BP93" i="68"/>
  <c r="DS118" i="68"/>
  <c r="BQ177" i="68"/>
  <c r="CI18" i="68"/>
  <c r="CM56" i="68" a="1"/>
  <c r="CM56" i="68" s="1"/>
  <c r="CE59" i="68"/>
  <c r="BP60" i="68"/>
  <c r="CI113" i="68"/>
  <c r="BP64" i="68"/>
  <c r="CI106" i="68"/>
  <c r="CI51" i="68"/>
  <c r="BP156" i="68"/>
  <c r="CJ177" i="68" a="1"/>
  <c r="CJ177" i="68" s="1"/>
  <c r="CM86" i="68" a="1"/>
  <c r="CM86" i="68" s="1"/>
  <c r="CI97" i="68"/>
  <c r="CI129" i="68"/>
  <c r="CI131" i="68"/>
  <c r="DS14" i="68"/>
  <c r="AJ18" i="68"/>
  <c r="AK18" i="68" s="1"/>
  <c r="AL18" i="68" s="1"/>
  <c r="DU6" i="68"/>
  <c r="DR7" i="68"/>
  <c r="BY14" i="68"/>
  <c r="CJ26" i="68" a="1"/>
  <c r="CJ26" i="68" s="1"/>
  <c r="CI65" i="68"/>
  <c r="CJ75" i="68" a="1"/>
  <c r="CJ75" i="68" s="1"/>
  <c r="DY6" i="68"/>
  <c r="DS7" i="68"/>
  <c r="DS11" i="68"/>
  <c r="CA14" i="68"/>
  <c r="DW78" i="68"/>
  <c r="BP78" i="68"/>
  <c r="BZ118" i="68"/>
  <c r="DU118" i="68"/>
  <c r="CL157" i="68" a="1"/>
  <c r="CL157" i="68" s="1"/>
  <c r="DV11" i="68"/>
  <c r="AJ16" i="68"/>
  <c r="AK16" i="68" s="1"/>
  <c r="AL16" i="68" s="1"/>
  <c r="BQ16" i="68"/>
  <c r="AJ31" i="68"/>
  <c r="AK31" i="68" s="1"/>
  <c r="AL31" i="68" s="1"/>
  <c r="BQ31" i="68"/>
  <c r="CJ32" i="68" a="1"/>
  <c r="CJ32" i="68" s="1"/>
  <c r="AJ52" i="68"/>
  <c r="AK52" i="68" s="1"/>
  <c r="AL52" i="68" s="1"/>
  <c r="BQ52" i="68"/>
  <c r="CI31" i="68"/>
  <c r="CI33" i="68"/>
  <c r="CI34" i="68"/>
  <c r="CI44" i="68"/>
  <c r="CJ49" i="68" a="1"/>
  <c r="CJ49" i="68" s="1"/>
  <c r="CJ78" i="68" a="1"/>
  <c r="CJ78" i="68" s="1"/>
  <c r="AJ8" i="68"/>
  <c r="AK8" i="68" s="1"/>
  <c r="AL8" i="68" s="1"/>
  <c r="EC11" i="68"/>
  <c r="CL31" i="68" a="1"/>
  <c r="CL31" i="68" s="1"/>
  <c r="CL44" i="68" a="1"/>
  <c r="CL44" i="68" s="1"/>
  <c r="DX11" i="68"/>
  <c r="CC11" i="68"/>
  <c r="DR12" i="68"/>
  <c r="BP16" i="68"/>
  <c r="CI24" i="68"/>
  <c r="CI25" i="68"/>
  <c r="CI38" i="68"/>
  <c r="EB54" i="68"/>
  <c r="CG54" i="68"/>
  <c r="CL68" i="68" a="1"/>
  <c r="CL68" i="68" s="1"/>
  <c r="AJ19" i="68"/>
  <c r="AK19" i="68" s="1"/>
  <c r="AL19" i="68" s="1"/>
  <c r="BP18" i="68"/>
  <c r="BQ21" i="68"/>
  <c r="BP33" i="68"/>
  <c r="DR33" i="68"/>
  <c r="CM46" i="68" a="1"/>
  <c r="CM46" i="68" s="1"/>
  <c r="CI116" i="68"/>
  <c r="DW137" i="68"/>
  <c r="BP137" i="68"/>
  <c r="CI78" i="68"/>
  <c r="CI92" i="68"/>
  <c r="CL129" i="68" a="1"/>
  <c r="CL129" i="68" s="1"/>
  <c r="CJ43" i="68" a="1"/>
  <c r="CJ43" i="68" s="1"/>
  <c r="CI57" i="68"/>
  <c r="CL58" i="68" a="1"/>
  <c r="CL58" i="68" s="1"/>
  <c r="CI16" i="68"/>
  <c r="AJ13" i="68"/>
  <c r="AK13" i="68" s="1"/>
  <c r="AL13" i="68" s="1"/>
  <c r="BQ13" i="68"/>
  <c r="CL28" i="68" a="1"/>
  <c r="CL28" i="68" s="1"/>
  <c r="CL10" i="68" a="1"/>
  <c r="CL10" i="68" s="1"/>
  <c r="CL11" i="68" a="1"/>
  <c r="CL11" i="68" s="1"/>
  <c r="CD12" i="68"/>
  <c r="DY12" i="68"/>
  <c r="CI46" i="68"/>
  <c r="CJ69" i="68" a="1"/>
  <c r="CJ69" i="68" s="1"/>
  <c r="CL69" i="68" a="1"/>
  <c r="CL69" i="68" s="1"/>
  <c r="BP119" i="68"/>
  <c r="CM69" i="68" a="1"/>
  <c r="CM69" i="68" s="1"/>
  <c r="CI80" i="68"/>
  <c r="CI101" i="68"/>
  <c r="DR132" i="68"/>
  <c r="BP132" i="68"/>
  <c r="CI139" i="68"/>
  <c r="CI83" i="68"/>
  <c r="DX118" i="68"/>
  <c r="CL133" i="68" a="1"/>
  <c r="CL133" i="68" s="1"/>
  <c r="CI136" i="68"/>
  <c r="CL108" i="68" a="1"/>
  <c r="CL108" i="68" s="1"/>
  <c r="CI32" i="68"/>
  <c r="CI87" i="68"/>
  <c r="CI145" i="68"/>
  <c r="CL132" i="68" a="1"/>
  <c r="CL132" i="68" s="1"/>
  <c r="CI132" i="68"/>
  <c r="CI110" i="68"/>
  <c r="CJ33" i="68" a="1"/>
  <c r="CJ33" i="68" s="1"/>
  <c r="BQ38" i="68"/>
  <c r="CI75" i="68"/>
  <c r="CI77" i="68"/>
  <c r="CI81" i="68"/>
  <c r="CI98" i="68"/>
  <c r="CI108" i="68"/>
  <c r="CL122" i="68" a="1"/>
  <c r="CL122" i="68" s="1"/>
  <c r="CI143" i="68"/>
  <c r="CI22" i="68"/>
  <c r="AJ48" i="68"/>
  <c r="AK48" i="68" s="1"/>
  <c r="AL48" i="68" s="1"/>
  <c r="BP85" i="68"/>
  <c r="BP167" i="68"/>
  <c r="DS167" i="68"/>
  <c r="CL168" i="68" a="1"/>
  <c r="CL168" i="68" s="1"/>
  <c r="AJ45" i="68"/>
  <c r="AK45" i="68" s="1"/>
  <c r="AL45" i="68" s="1"/>
  <c r="CI74" i="68"/>
  <c r="CL121" i="68" a="1"/>
  <c r="CL121" i="68" s="1"/>
  <c r="BP123" i="68"/>
  <c r="CI127" i="68"/>
  <c r="AJ49" i="68"/>
  <c r="AK49" i="68" s="1"/>
  <c r="AL49" i="68" s="1"/>
  <c r="BQ50" i="68"/>
  <c r="CJ63" i="68" a="1"/>
  <c r="CJ63" i="68" s="1"/>
  <c r="CI79" i="68"/>
  <c r="CJ174" i="68" a="1"/>
  <c r="CJ174" i="68" s="1"/>
  <c r="CI53" i="68"/>
  <c r="CB59" i="68"/>
  <c r="CI67" i="68"/>
  <c r="CI72" i="68"/>
  <c r="CI128" i="68"/>
  <c r="CI28" i="68"/>
  <c r="CI49" i="68"/>
  <c r="CD59" i="68"/>
  <c r="CJ64" i="68" a="1"/>
  <c r="CJ64" i="68" s="1"/>
  <c r="CI159" i="68"/>
  <c r="CI52" i="68"/>
  <c r="CI66" i="68"/>
  <c r="CI70" i="68"/>
  <c r="CI93" i="68"/>
  <c r="DR122" i="68"/>
  <c r="BP122" i="68"/>
  <c r="CI155" i="68"/>
  <c r="BQ176" i="68"/>
  <c r="CI114" i="68"/>
  <c r="CI137" i="68"/>
  <c r="CI107" i="68"/>
  <c r="CI121" i="68"/>
  <c r="CI124" i="68"/>
  <c r="BP139" i="68"/>
  <c r="BP147" i="68"/>
  <c r="CI175" i="68"/>
  <c r="BP79" i="68"/>
  <c r="CI104" i="68"/>
  <c r="CI122" i="68"/>
  <c r="CI126" i="68"/>
  <c r="BP106" i="68"/>
  <c r="CI153" i="68"/>
  <c r="CI174" i="68"/>
  <c r="CM139" i="68" a="1"/>
  <c r="CM139" i="68" s="1"/>
  <c r="CK139" i="68" s="1"/>
  <c r="CI147" i="68"/>
  <c r="BP175" i="68"/>
  <c r="BP138" i="68"/>
  <c r="CI138" i="68"/>
  <c r="CI166" i="68"/>
  <c r="CI168" i="68"/>
  <c r="CI177" i="68"/>
  <c r="BP10" i="68"/>
  <c r="EA10" i="68"/>
  <c r="EC10" i="68"/>
  <c r="EB10" i="68"/>
  <c r="DY13" i="68"/>
  <c r="CA6" i="68"/>
  <c r="DX6" i="68"/>
  <c r="CC7" i="68"/>
  <c r="DY10" i="68"/>
  <c r="EA11" i="68"/>
  <c r="BP13" i="68"/>
  <c r="DR13" i="68"/>
  <c r="CI15" i="68"/>
  <c r="BQ18" i="68"/>
  <c r="BP19" i="68"/>
  <c r="DZ20" i="68"/>
  <c r="DX22" i="68"/>
  <c r="BP24" i="68"/>
  <c r="DR30" i="68"/>
  <c r="BP30" i="68"/>
  <c r="DZ44" i="68"/>
  <c r="CC6" i="68"/>
  <c r="CE7" i="68"/>
  <c r="BP8" i="68"/>
  <c r="CJ8" i="68" a="1"/>
  <c r="CJ8" i="68" s="1"/>
  <c r="DZ26" i="68"/>
  <c r="EB31" i="68"/>
  <c r="DY45" i="68"/>
  <c r="EA6" i="68"/>
  <c r="CF7" i="68"/>
  <c r="DX8" i="68"/>
  <c r="DX9" i="68"/>
  <c r="DU13" i="68"/>
  <c r="BQ15" i="68"/>
  <c r="AJ15" i="68"/>
  <c r="AK15" i="68" s="1"/>
  <c r="AL15" i="68" s="1"/>
  <c r="DW15" i="68"/>
  <c r="EA26" i="68"/>
  <c r="BP27" i="68"/>
  <c r="DR27" i="68"/>
  <c r="DU30" i="68"/>
  <c r="DT34" i="68"/>
  <c r="EB40" i="68"/>
  <c r="EB43" i="68"/>
  <c r="EB26" i="68"/>
  <c r="DX27" i="68"/>
  <c r="DS27" i="68"/>
  <c r="EA28" i="68"/>
  <c r="EC29" i="68"/>
  <c r="DV30" i="68"/>
  <c r="BP31" i="68"/>
  <c r="DV37" i="68"/>
  <c r="DR38" i="68"/>
  <c r="BP38" i="68"/>
  <c r="EC46" i="68"/>
  <c r="EB6" i="68"/>
  <c r="CG7" i="68"/>
  <c r="DY9" i="68"/>
  <c r="BP11" i="68"/>
  <c r="DZ14" i="68"/>
  <c r="DT15" i="68"/>
  <c r="DX15" i="68"/>
  <c r="EC6" i="68"/>
  <c r="CH7" i="68"/>
  <c r="DZ9" i="68"/>
  <c r="EC19" i="68"/>
  <c r="DS23" i="68"/>
  <c r="BP23" i="68"/>
  <c r="BP25" i="68"/>
  <c r="DW30" i="68"/>
  <c r="DR34" i="68"/>
  <c r="BP34" i="68"/>
  <c r="CB6" i="68"/>
  <c r="EB11" i="68"/>
  <c r="BP12" i="68"/>
  <c r="DT13" i="68"/>
  <c r="BP7" i="68"/>
  <c r="BX12" i="68"/>
  <c r="CL15" i="68" a="1"/>
  <c r="CL15" i="68" s="1"/>
  <c r="EA15" i="68"/>
  <c r="CI17" i="68"/>
  <c r="DX19" i="68"/>
  <c r="BQ23" i="68"/>
  <c r="AJ23" i="68"/>
  <c r="AK23" i="68" s="1"/>
  <c r="AL23" i="68" s="1"/>
  <c r="EA25" i="68"/>
  <c r="DR39" i="68"/>
  <c r="BP39" i="68"/>
  <c r="DX21" i="68"/>
  <c r="CI26" i="68"/>
  <c r="BP28" i="68"/>
  <c r="DV32" i="68"/>
  <c r="DX61" i="68"/>
  <c r="BP61" i="68"/>
  <c r="BP6" i="68"/>
  <c r="BW11" i="68"/>
  <c r="DU17" i="68"/>
  <c r="DW18" i="68"/>
  <c r="CI20" i="68"/>
  <c r="CJ6" i="68" a="1"/>
  <c r="CJ6" i="68" s="1"/>
  <c r="DT7" i="68"/>
  <c r="CI9" i="68"/>
  <c r="CA12" i="68"/>
  <c r="EA19" i="68"/>
  <c r="BP20" i="68"/>
  <c r="DS20" i="68"/>
  <c r="CJ23" i="68" a="1"/>
  <c r="CJ23" i="68" s="1"/>
  <c r="BP29" i="68"/>
  <c r="DV34" i="68"/>
  <c r="EA35" i="68"/>
  <c r="DR6" i="68"/>
  <c r="DU7" i="68"/>
  <c r="CB12" i="68"/>
  <c r="DZ15" i="68"/>
  <c r="CJ19" i="68" a="1"/>
  <c r="CJ19" i="68" s="1"/>
  <c r="BP26" i="68"/>
  <c r="DR26" i="68"/>
  <c r="CI27" i="68"/>
  <c r="DT31" i="68"/>
  <c r="AJ33" i="68"/>
  <c r="AK33" i="68" s="1"/>
  <c r="AL33" i="68" s="1"/>
  <c r="DW34" i="68"/>
  <c r="BP9" i="68"/>
  <c r="DU11" i="68"/>
  <c r="EC13" i="68"/>
  <c r="DZ18" i="68"/>
  <c r="DU20" i="68"/>
  <c r="DT25" i="68"/>
  <c r="DT29" i="68"/>
  <c r="EC30" i="68"/>
  <c r="DX34" i="68"/>
  <c r="DS34" i="68"/>
  <c r="DT17" i="68"/>
  <c r="BP17" i="68"/>
  <c r="BW6" i="68"/>
  <c r="CM34" i="68" a="1"/>
  <c r="CM34" i="68" s="1"/>
  <c r="CK34" i="68" s="1"/>
  <c r="CJ34" i="68" a="1"/>
  <c r="CJ34" i="68" s="1"/>
  <c r="DX16" i="68"/>
  <c r="DY19" i="68"/>
  <c r="EC8" i="68"/>
  <c r="DR14" i="68"/>
  <c r="BP14" i="68"/>
  <c r="DW14" i="68"/>
  <c r="BZ7" i="68"/>
  <c r="CJ16" i="68" a="1"/>
  <c r="CJ16" i="68" s="1"/>
  <c r="DZ22" i="68"/>
  <c r="DV46" i="68"/>
  <c r="DW10" i="68"/>
  <c r="CH12" i="68"/>
  <c r="DS16" i="68"/>
  <c r="BX6" i="68"/>
  <c r="CJ9" i="68" a="1"/>
  <c r="CJ9" i="68" s="1"/>
  <c r="BY6" i="68"/>
  <c r="CA7" i="68"/>
  <c r="DY7" i="68"/>
  <c r="CG11" i="68"/>
  <c r="DZ12" i="68"/>
  <c r="CE12" i="68"/>
  <c r="CL13" i="68" a="1"/>
  <c r="CL13" i="68" s="1"/>
  <c r="CC14" i="68"/>
  <c r="DY14" i="68"/>
  <c r="EC17" i="68"/>
  <c r="CI19" i="68"/>
  <c r="DR19" i="68"/>
  <c r="DZ23" i="68"/>
  <c r="DV26" i="68"/>
  <c r="EC27" i="68"/>
  <c r="DW40" i="68"/>
  <c r="DW43" i="68"/>
  <c r="CD7" i="68"/>
  <c r="DS9" i="68"/>
  <c r="DY11" i="68"/>
  <c r="EA12" i="68"/>
  <c r="EA14" i="68"/>
  <c r="DS19" i="68"/>
  <c r="CI21" i="68"/>
  <c r="DW21" i="68"/>
  <c r="DX25" i="68"/>
  <c r="DX29" i="68"/>
  <c r="CI30" i="68"/>
  <c r="EC38" i="68"/>
  <c r="CL29" i="68" a="1"/>
  <c r="CL29" i="68" s="1"/>
  <c r="EA38" i="68"/>
  <c r="CI39" i="68"/>
  <c r="DV42" i="68"/>
  <c r="CJ47" i="68" a="1"/>
  <c r="CJ47" i="68" s="1"/>
  <c r="DZ58" i="68"/>
  <c r="CE58" i="68"/>
  <c r="BP63" i="68"/>
  <c r="DY68" i="68"/>
  <c r="BP22" i="68"/>
  <c r="CI23" i="68"/>
  <c r="DR24" i="68"/>
  <c r="CI41" i="68"/>
  <c r="CJ42" i="68" a="1"/>
  <c r="CJ42" i="68" s="1"/>
  <c r="DW42" i="68"/>
  <c r="DZ54" i="68"/>
  <c r="CE54" i="68"/>
  <c r="CC59" i="68"/>
  <c r="DX59" i="68"/>
  <c r="BQ39" i="68"/>
  <c r="AJ39" i="68"/>
  <c r="AK39" i="68" s="1"/>
  <c r="AL39" i="68" s="1"/>
  <c r="DX40" i="68"/>
  <c r="CI45" i="68"/>
  <c r="BP32" i="68"/>
  <c r="DX33" i="68"/>
  <c r="DW48" i="68"/>
  <c r="EB53" i="68"/>
  <c r="BP53" i="68"/>
  <c r="BP15" i="68"/>
  <c r="AJ21" i="68"/>
  <c r="AK21" i="68" s="1"/>
  <c r="AL21" i="68" s="1"/>
  <c r="BP21" i="68"/>
  <c r="DY35" i="68"/>
  <c r="BP44" i="68"/>
  <c r="BP45" i="68"/>
  <c r="DZ35" i="68"/>
  <c r="CI36" i="68"/>
  <c r="CJ39" i="68" a="1"/>
  <c r="CJ39" i="68" s="1"/>
  <c r="EB42" i="68"/>
  <c r="DY44" i="68"/>
  <c r="DW46" i="68"/>
  <c r="DW55" i="68"/>
  <c r="EB58" i="68"/>
  <c r="CG58" i="68"/>
  <c r="DS22" i="68"/>
  <c r="DX23" i="68"/>
  <c r="DY24" i="68"/>
  <c r="DZ28" i="68"/>
  <c r="CI37" i="68"/>
  <c r="CI47" i="68"/>
  <c r="DS51" i="68"/>
  <c r="BP51" i="68"/>
  <c r="EB27" i="68"/>
  <c r="CI29" i="68"/>
  <c r="BP36" i="68"/>
  <c r="DR36" i="68"/>
  <c r="ED36" i="68" s="1"/>
  <c r="CI40" i="68"/>
  <c r="DR54" i="68"/>
  <c r="BW54" i="68"/>
  <c r="BP54" i="68"/>
  <c r="CB54" i="68"/>
  <c r="DW54" i="68"/>
  <c r="DY63" i="68"/>
  <c r="BW58" i="68"/>
  <c r="BP58" i="68"/>
  <c r="DR58" i="68"/>
  <c r="DU59" i="68"/>
  <c r="BZ59" i="68"/>
  <c r="DX55" i="68"/>
  <c r="DS56" i="68"/>
  <c r="DX57" i="68"/>
  <c r="BP59" i="68"/>
  <c r="BW59" i="68"/>
  <c r="DR59" i="68"/>
  <c r="EB34" i="68"/>
  <c r="DZ41" i="68"/>
  <c r="DZ45" i="68"/>
  <c r="BP47" i="68"/>
  <c r="CL52" i="68" a="1"/>
  <c r="CL52" i="68" s="1"/>
  <c r="DY55" i="68"/>
  <c r="BP57" i="68"/>
  <c r="DR57" i="68"/>
  <c r="BP66" i="68"/>
  <c r="DR66" i="68"/>
  <c r="BP43" i="68"/>
  <c r="EC56" i="68"/>
  <c r="EB41" i="68"/>
  <c r="DT47" i="68"/>
  <c r="DY50" i="68"/>
  <c r="DY51" i="68"/>
  <c r="DV56" i="68"/>
  <c r="DZ73" i="68"/>
  <c r="CI13" i="68"/>
  <c r="EB21" i="68"/>
  <c r="CI35" i="68"/>
  <c r="BQ40" i="68"/>
  <c r="DU42" i="68"/>
  <c r="DZ46" i="68"/>
  <c r="DW56" i="68"/>
  <c r="CJ51" i="68" a="1"/>
  <c r="CJ51" i="68" s="1"/>
  <c r="EC53" i="68"/>
  <c r="DS57" i="68"/>
  <c r="DZ57" i="68"/>
  <c r="BX58" i="68"/>
  <c r="DS58" i="68"/>
  <c r="DY61" i="68"/>
  <c r="DZ63" i="68"/>
  <c r="DS66" i="68"/>
  <c r="CI71" i="68"/>
  <c r="EA88" i="68"/>
  <c r="DU47" i="68"/>
  <c r="DT57" i="68"/>
  <c r="DT58" i="68"/>
  <c r="DZ61" i="68"/>
  <c r="BP41" i="68"/>
  <c r="EB44" i="68"/>
  <c r="DV47" i="68"/>
  <c r="DS49" i="68"/>
  <c r="CI56" i="68"/>
  <c r="EC57" i="68"/>
  <c r="DU58" i="68"/>
  <c r="DS70" i="68"/>
  <c r="BP70" i="68"/>
  <c r="EC44" i="68"/>
  <c r="EC45" i="68"/>
  <c r="DR46" i="68"/>
  <c r="DW51" i="68"/>
  <c r="BP52" i="68"/>
  <c r="DS52" i="68"/>
  <c r="BX54" i="68"/>
  <c r="BX59" i="68"/>
  <c r="DS59" i="68"/>
  <c r="CJ66" i="68" a="1"/>
  <c r="CJ66" i="68" s="1"/>
  <c r="EA39" i="68"/>
  <c r="DX41" i="68"/>
  <c r="DX42" i="68"/>
  <c r="CJ45" i="68" a="1"/>
  <c r="CJ45" i="68" s="1"/>
  <c r="DS46" i="68"/>
  <c r="EC54" i="68"/>
  <c r="CL57" i="68" a="1"/>
  <c r="CL57" i="68" s="1"/>
  <c r="CJ57" i="68" a="1"/>
  <c r="CJ57" i="68" s="1"/>
  <c r="DY60" i="68"/>
  <c r="EB65" i="68"/>
  <c r="EC65" i="68"/>
  <c r="BP67" i="68"/>
  <c r="DW35" i="68"/>
  <c r="BP37" i="68"/>
  <c r="AJ40" i="68"/>
  <c r="AK40" i="68" s="1"/>
  <c r="AL40" i="68" s="1"/>
  <c r="DV52" i="68"/>
  <c r="CC54" i="68"/>
  <c r="DX54" i="68"/>
  <c r="BP65" i="68"/>
  <c r="CC12" i="68"/>
  <c r="CG14" i="68"/>
  <c r="DX35" i="68"/>
  <c r="DY38" i="68"/>
  <c r="BP40" i="68"/>
  <c r="DR40" i="68"/>
  <c r="BP48" i="68"/>
  <c r="CL53" i="68" a="1"/>
  <c r="CL53" i="68" s="1"/>
  <c r="CI60" i="68"/>
  <c r="EC60" i="68"/>
  <c r="CI64" i="68"/>
  <c r="EA20" i="68"/>
  <c r="EC21" i="68"/>
  <c r="DS24" i="68"/>
  <c r="DU25" i="68"/>
  <c r="DW26" i="68"/>
  <c r="DS30" i="68"/>
  <c r="DU31" i="68"/>
  <c r="DW32" i="68"/>
  <c r="DY33" i="68"/>
  <c r="DT37" i="68"/>
  <c r="DZ38" i="68"/>
  <c r="CJ40" i="68" a="1"/>
  <c r="CJ40" i="68" s="1"/>
  <c r="DS40" i="68"/>
  <c r="AJ50" i="68"/>
  <c r="AK50" i="68" s="1"/>
  <c r="AL50" i="68" s="1"/>
  <c r="CI50" i="68"/>
  <c r="DU54" i="68"/>
  <c r="CC58" i="68"/>
  <c r="CJ67" i="68" a="1"/>
  <c r="CJ67" i="68" s="1"/>
  <c r="DV67" i="68"/>
  <c r="DR69" i="68"/>
  <c r="BP69" i="68"/>
  <c r="DX71" i="68"/>
  <c r="DY86" i="68"/>
  <c r="DT40" i="68"/>
  <c r="CI48" i="68"/>
  <c r="EC51" i="68"/>
  <c r="CA54" i="68"/>
  <c r="CM55" i="68" a="1"/>
  <c r="CM55" i="68" s="1"/>
  <c r="CL55" i="68" a="1"/>
  <c r="CL55" i="68" s="1"/>
  <c r="DT56" i="68"/>
  <c r="BY58" i="68"/>
  <c r="DV59" i="68"/>
  <c r="DX64" i="68"/>
  <c r="ED64" i="68" s="1"/>
  <c r="DS69" i="68"/>
  <c r="CI43" i="68"/>
  <c r="DT45" i="68"/>
  <c r="DT50" i="68"/>
  <c r="BP50" i="68"/>
  <c r="AJ51" i="68"/>
  <c r="AK51" i="68" s="1"/>
  <c r="AL51" i="68" s="1"/>
  <c r="CL54" i="68" a="1"/>
  <c r="CL54" i="68" s="1"/>
  <c r="BP56" i="68"/>
  <c r="DR56" i="68"/>
  <c r="DU56" i="68"/>
  <c r="BZ58" i="68"/>
  <c r="CI42" i="68"/>
  <c r="DR43" i="68"/>
  <c r="BP46" i="68"/>
  <c r="BQ47" i="68"/>
  <c r="DU50" i="68"/>
  <c r="EA62" i="68"/>
  <c r="BP42" i="68"/>
  <c r="DS43" i="68"/>
  <c r="DS48" i="68"/>
  <c r="CI55" i="68"/>
  <c r="BP49" i="68"/>
  <c r="EC62" i="68"/>
  <c r="DX44" i="68"/>
  <c r="CJ48" i="68" a="1"/>
  <c r="CJ48" i="68" s="1"/>
  <c r="EA53" i="68"/>
  <c r="EA54" i="68"/>
  <c r="DW57" i="68"/>
  <c r="CA59" i="68"/>
  <c r="CI61" i="68"/>
  <c r="CI63" i="68"/>
  <c r="DX63" i="68"/>
  <c r="DY80" i="68"/>
  <c r="DZ80" i="68"/>
  <c r="DT84" i="68"/>
  <c r="DS135" i="68"/>
  <c r="EA80" i="68"/>
  <c r="EC88" i="68"/>
  <c r="DX95" i="68"/>
  <c r="DR118" i="68"/>
  <c r="BP118" i="68"/>
  <c r="BW118" i="68"/>
  <c r="EA60" i="68"/>
  <c r="DZ62" i="68"/>
  <c r="DX70" i="68"/>
  <c r="BP75" i="68"/>
  <c r="DS76" i="68"/>
  <c r="EB80" i="68"/>
  <c r="BP83" i="68"/>
  <c r="CJ84" i="68" a="1"/>
  <c r="CJ84" i="68" s="1"/>
  <c r="EB102" i="68"/>
  <c r="CL70" i="68" a="1"/>
  <c r="CL70" i="68" s="1"/>
  <c r="EB71" i="68"/>
  <c r="DR77" i="68"/>
  <c r="CJ79" i="68" a="1"/>
  <c r="CJ79" i="68" s="1"/>
  <c r="EC71" i="68"/>
  <c r="DU76" i="68"/>
  <c r="DV81" i="68"/>
  <c r="DZ49" i="68"/>
  <c r="BP55" i="68"/>
  <c r="CB58" i="68"/>
  <c r="CH58" i="68"/>
  <c r="CF59" i="68"/>
  <c r="DU66" i="68"/>
  <c r="CI68" i="68"/>
  <c r="DS68" i="68"/>
  <c r="BP71" i="68"/>
  <c r="EA72" i="68"/>
  <c r="CJ76" i="68" a="1"/>
  <c r="CJ76" i="68" s="1"/>
  <c r="DV76" i="68"/>
  <c r="DR83" i="68"/>
  <c r="AJ86" i="68"/>
  <c r="AK86" i="68" s="1"/>
  <c r="AL86" i="68" s="1"/>
  <c r="DS65" i="68"/>
  <c r="DX66" i="68"/>
  <c r="BP86" i="68"/>
  <c r="DR86" i="68"/>
  <c r="EB61" i="68"/>
  <c r="BP62" i="68"/>
  <c r="CI73" i="68"/>
  <c r="EA97" i="68"/>
  <c r="BP97" i="68"/>
  <c r="CJ56" i="68" a="1"/>
  <c r="CJ56" i="68" s="1"/>
  <c r="DV58" i="68"/>
  <c r="EC61" i="68"/>
  <c r="CJ65" i="68" a="1"/>
  <c r="CJ65" i="68" s="1"/>
  <c r="DZ67" i="68"/>
  <c r="DR68" i="68"/>
  <c r="BP68" i="68"/>
  <c r="DY72" i="68"/>
  <c r="DX75" i="68"/>
  <c r="DX78" i="68"/>
  <c r="BP80" i="68"/>
  <c r="CI82" i="68"/>
  <c r="DT86" i="68"/>
  <c r="CI89" i="68"/>
  <c r="DR90" i="68"/>
  <c r="BP90" i="68"/>
  <c r="BQ48" i="68"/>
  <c r="BP73" i="68"/>
  <c r="EC74" i="68"/>
  <c r="DY75" i="68"/>
  <c r="DS80" i="68"/>
  <c r="DX85" i="68"/>
  <c r="CL71" i="68" a="1"/>
  <c r="CL71" i="68" s="1"/>
  <c r="BP74" i="68"/>
  <c r="DY77" i="68"/>
  <c r="DY78" i="68"/>
  <c r="DY85" i="68"/>
  <c r="DT89" i="68"/>
  <c r="CL56" i="68" a="1"/>
  <c r="CL56" i="68" s="1"/>
  <c r="CH59" i="68"/>
  <c r="DR62" i="68"/>
  <c r="EC66" i="68"/>
  <c r="DZ77" i="68"/>
  <c r="DZ85" i="68"/>
  <c r="EA69" i="68"/>
  <c r="DU74" i="68"/>
  <c r="BP81" i="68"/>
  <c r="EA83" i="68"/>
  <c r="DZ56" i="68"/>
  <c r="EB69" i="68"/>
  <c r="BP72" i="68"/>
  <c r="DU84" i="68"/>
  <c r="CI88" i="68"/>
  <c r="DW89" i="68"/>
  <c r="BP92" i="68"/>
  <c r="EB92" i="68"/>
  <c r="DX86" i="68"/>
  <c r="CI86" i="68"/>
  <c r="DX80" i="68"/>
  <c r="EA91" i="68"/>
  <c r="DU98" i="68"/>
  <c r="EB101" i="68"/>
  <c r="CJ89" i="68" a="1"/>
  <c r="CJ89" i="68" s="1"/>
  <c r="DY95" i="68"/>
  <c r="DR100" i="68"/>
  <c r="BP100" i="68"/>
  <c r="BP104" i="68"/>
  <c r="DR104" i="68"/>
  <c r="DS86" i="68"/>
  <c r="EC97" i="68"/>
  <c r="DV99" i="68"/>
  <c r="CJ80" i="68" a="1"/>
  <c r="CJ80" i="68" s="1"/>
  <c r="DR82" i="68"/>
  <c r="ED82" i="68" s="1"/>
  <c r="BP82" i="68"/>
  <c r="DS87" i="68"/>
  <c r="BP87" i="68"/>
  <c r="BP88" i="68"/>
  <c r="CI91" i="68"/>
  <c r="DR113" i="68"/>
  <c r="BP113" i="68"/>
  <c r="BP101" i="68"/>
  <c r="CJ86" i="68" a="1"/>
  <c r="CJ86" i="68" s="1"/>
  <c r="CL86" i="68" a="1"/>
  <c r="CL86" i="68" s="1"/>
  <c r="DR91" i="68"/>
  <c r="BP91" i="68"/>
  <c r="CI102" i="68"/>
  <c r="EC108" i="68"/>
  <c r="EA84" i="68"/>
  <c r="CL87" i="68" a="1"/>
  <c r="CL87" i="68" s="1"/>
  <c r="DS72" i="68"/>
  <c r="CI85" i="68"/>
  <c r="DT91" i="68"/>
  <c r="DY94" i="68"/>
  <c r="EA96" i="68"/>
  <c r="EB99" i="68"/>
  <c r="DU101" i="68"/>
  <c r="DS79" i="68"/>
  <c r="ED79" i="68" s="1"/>
  <c r="DZ83" i="68"/>
  <c r="EA86" i="68"/>
  <c r="DZ94" i="68"/>
  <c r="CJ88" i="68" a="1"/>
  <c r="CJ88" i="68" s="1"/>
  <c r="DV102" i="68"/>
  <c r="DR80" i="68"/>
  <c r="DS85" i="68"/>
  <c r="DZ87" i="68"/>
  <c r="DW91" i="68"/>
  <c r="DS95" i="68"/>
  <c r="BP96" i="68"/>
  <c r="BP111" i="68"/>
  <c r="DR111" i="68"/>
  <c r="CA62" i="68"/>
  <c r="DW73" i="68"/>
  <c r="EA76" i="68"/>
  <c r="DT85" i="68"/>
  <c r="DZ89" i="68"/>
  <c r="DR98" i="68"/>
  <c r="BP98" i="68"/>
  <c r="DW81" i="68"/>
  <c r="DU86" i="68"/>
  <c r="EB90" i="68"/>
  <c r="DY92" i="68"/>
  <c r="DU95" i="68"/>
  <c r="EA103" i="68"/>
  <c r="BP76" i="68"/>
  <c r="EC76" i="68"/>
  <c r="CJ77" i="68" a="1"/>
  <c r="CJ77" i="68" s="1"/>
  <c r="DZ81" i="68"/>
  <c r="DV86" i="68"/>
  <c r="DX88" i="68"/>
  <c r="BP99" i="68"/>
  <c r="CI99" i="68"/>
  <c r="DW110" i="68"/>
  <c r="ED110" i="68" s="1"/>
  <c r="BP110" i="68"/>
  <c r="DT98" i="68"/>
  <c r="EB108" i="68"/>
  <c r="CI103" i="68"/>
  <c r="DU112" i="68"/>
  <c r="DZ129" i="68"/>
  <c r="DW112" i="68"/>
  <c r="DV92" i="68"/>
  <c r="CI96" i="68"/>
  <c r="CI84" i="68"/>
  <c r="DS103" i="68"/>
  <c r="BP103" i="68"/>
  <c r="CI109" i="68"/>
  <c r="DV114" i="68"/>
  <c r="ED114" i="68" s="1"/>
  <c r="BP84" i="68"/>
  <c r="DR84" i="68"/>
  <c r="DR89" i="68"/>
  <c r="BP89" i="68"/>
  <c r="DX93" i="68"/>
  <c r="DT97" i="68"/>
  <c r="DU102" i="68"/>
  <c r="BP102" i="68"/>
  <c r="EC107" i="68"/>
  <c r="BP109" i="68"/>
  <c r="DR109" i="68"/>
  <c r="CL102" i="68" a="1"/>
  <c r="CL102" i="68" s="1"/>
  <c r="BP107" i="68"/>
  <c r="EC113" i="68"/>
  <c r="EA93" i="68"/>
  <c r="DX99" i="68"/>
  <c r="DR101" i="68"/>
  <c r="DX102" i="68"/>
  <c r="DT104" i="68"/>
  <c r="DT109" i="68"/>
  <c r="CI111" i="68"/>
  <c r="BQ125" i="68"/>
  <c r="AJ125" i="68"/>
  <c r="AK125" i="68" s="1"/>
  <c r="AL125" i="68" s="1"/>
  <c r="EC94" i="68"/>
  <c r="BP95" i="68"/>
  <c r="CI105" i="68"/>
  <c r="DV117" i="68"/>
  <c r="EC127" i="68"/>
  <c r="BP127" i="68"/>
  <c r="DZ92" i="68"/>
  <c r="EC100" i="68"/>
  <c r="BP105" i="68"/>
  <c r="DX117" i="68"/>
  <c r="DV125" i="68"/>
  <c r="BP108" i="68"/>
  <c r="DU109" i="68"/>
  <c r="DS121" i="68"/>
  <c r="BP121" i="68"/>
  <c r="DS126" i="68"/>
  <c r="BP126" i="68"/>
  <c r="DY135" i="68"/>
  <c r="DR160" i="68"/>
  <c r="BP160" i="68"/>
  <c r="EB93" i="68"/>
  <c r="BP94" i="68"/>
  <c r="DY118" i="68"/>
  <c r="CD118" i="68"/>
  <c r="DT126" i="68"/>
  <c r="DX109" i="68"/>
  <c r="DW133" i="68"/>
  <c r="BP133" i="68"/>
  <c r="CL93" i="68" a="1"/>
  <c r="CL93" i="68" s="1"/>
  <c r="EB103" i="68"/>
  <c r="DY104" i="68"/>
  <c r="DX105" i="68"/>
  <c r="DY109" i="68"/>
  <c r="BP115" i="68"/>
  <c r="DU115" i="68"/>
  <c r="CL97" i="68" a="1"/>
  <c r="CL97" i="68" s="1"/>
  <c r="DR105" i="68"/>
  <c r="DX106" i="68"/>
  <c r="CL115" i="68" a="1"/>
  <c r="CL115" i="68" s="1"/>
  <c r="DV115" i="68"/>
  <c r="DR96" i="68"/>
  <c r="DW97" i="68"/>
  <c r="DW102" i="68"/>
  <c r="DV103" i="68"/>
  <c r="DZ105" i="68"/>
  <c r="DR108" i="68"/>
  <c r="EA109" i="68"/>
  <c r="EB111" i="68"/>
  <c r="CI76" i="68"/>
  <c r="DV100" i="68"/>
  <c r="EC111" i="68"/>
  <c r="CI125" i="68"/>
  <c r="DR92" i="68"/>
  <c r="DV105" i="68"/>
  <c r="EA107" i="68"/>
  <c r="DR112" i="68"/>
  <c r="BP112" i="68"/>
  <c r="BP117" i="68"/>
  <c r="DR117" i="68"/>
  <c r="CI95" i="68"/>
  <c r="DR99" i="68"/>
  <c r="DZ102" i="68"/>
  <c r="EB106" i="68"/>
  <c r="DS112" i="68"/>
  <c r="DV116" i="68"/>
  <c r="DY129" i="68"/>
  <c r="BP129" i="68"/>
  <c r="BP116" i="68"/>
  <c r="BY118" i="68"/>
  <c r="DZ119" i="68"/>
  <c r="DV126" i="68"/>
  <c r="DY133" i="68"/>
  <c r="BP134" i="68"/>
  <c r="DT134" i="68"/>
  <c r="DT136" i="68"/>
  <c r="DV109" i="68"/>
  <c r="DT116" i="68"/>
  <c r="DV118" i="68"/>
  <c r="DT118" i="68"/>
  <c r="CL136" i="68" a="1"/>
  <c r="CL136" i="68" s="1"/>
  <c r="EB148" i="68"/>
  <c r="CM118" i="68" a="1"/>
  <c r="CM118" i="68" s="1"/>
  <c r="CK118" i="68" s="1"/>
  <c r="CJ118" i="68" a="1"/>
  <c r="CJ118" i="68" s="1"/>
  <c r="CI120" i="68"/>
  <c r="DS122" i="68"/>
  <c r="CJ123" i="68" a="1"/>
  <c r="CJ123" i="68" s="1"/>
  <c r="EB127" i="68"/>
  <c r="DU104" i="68"/>
  <c r="BP114" i="68"/>
  <c r="CI119" i="68"/>
  <c r="CI133" i="68"/>
  <c r="DZ135" i="68"/>
  <c r="BP120" i="68"/>
  <c r="DU121" i="68"/>
  <c r="CI130" i="68"/>
  <c r="DT117" i="68"/>
  <c r="BP131" i="68"/>
  <c r="DR107" i="68"/>
  <c r="DU124" i="68"/>
  <c r="DX132" i="68"/>
  <c r="DY138" i="68"/>
  <c r="DX141" i="68"/>
  <c r="DR106" i="68"/>
  <c r="EA115" i="68"/>
  <c r="DT119" i="68"/>
  <c r="CM124" i="68" a="1"/>
  <c r="CM124" i="68" s="1"/>
  <c r="CK124" i="68" s="1"/>
  <c r="CJ124" i="68" a="1"/>
  <c r="CJ124" i="68" s="1"/>
  <c r="DV124" i="68"/>
  <c r="DV130" i="68"/>
  <c r="BP130" i="68"/>
  <c r="DY132" i="68"/>
  <c r="CI112" i="68"/>
  <c r="DX116" i="68"/>
  <c r="DV120" i="68"/>
  <c r="CI123" i="68"/>
  <c r="CI134" i="68"/>
  <c r="EC115" i="68"/>
  <c r="CA118" i="68"/>
  <c r="EB122" i="68"/>
  <c r="EA138" i="68"/>
  <c r="DS142" i="68"/>
  <c r="DY143" i="68"/>
  <c r="DT145" i="68"/>
  <c r="DS146" i="68"/>
  <c r="BP146" i="68"/>
  <c r="DY152" i="68"/>
  <c r="BP152" i="68"/>
  <c r="DS163" i="68"/>
  <c r="BP163" i="68"/>
  <c r="EA116" i="68"/>
  <c r="DW134" i="68"/>
  <c r="DT142" i="68"/>
  <c r="DU145" i="68"/>
  <c r="EC150" i="68"/>
  <c r="CL145" i="68" a="1"/>
  <c r="CL145" i="68" s="1"/>
  <c r="DV145" i="68"/>
  <c r="DV146" i="68"/>
  <c r="CI141" i="68"/>
  <c r="EB144" i="68"/>
  <c r="DZ154" i="68"/>
  <c r="DZ111" i="68"/>
  <c r="CL119" i="68" a="1"/>
  <c r="CL119" i="68" s="1"/>
  <c r="BP125" i="68"/>
  <c r="BA125" i="68" s="1"/>
  <c r="BB125" i="68" s="1"/>
  <c r="DZ130" i="68"/>
  <c r="CL135" i="68" a="1"/>
  <c r="CL135" i="68" s="1"/>
  <c r="DW135" i="68"/>
  <c r="DX128" i="68"/>
  <c r="EC136" i="68"/>
  <c r="CI144" i="68"/>
  <c r="DT125" i="68"/>
  <c r="DZ132" i="68"/>
  <c r="CL134" i="68" a="1"/>
  <c r="CL134" i="68" s="1"/>
  <c r="DV148" i="68"/>
  <c r="DT149" i="68"/>
  <c r="DU151" i="68"/>
  <c r="DZ140" i="68"/>
  <c r="BP140" i="68"/>
  <c r="DT137" i="68"/>
  <c r="DU138" i="68"/>
  <c r="DT141" i="68"/>
  <c r="EC142" i="68"/>
  <c r="DW158" i="68"/>
  <c r="DX120" i="68"/>
  <c r="EC132" i="68"/>
  <c r="CL142" i="68" a="1"/>
  <c r="CL142" i="68" s="1"/>
  <c r="EC128" i="68"/>
  <c r="DV132" i="68"/>
  <c r="BP144" i="68"/>
  <c r="DS144" i="68"/>
  <c r="EC157" i="68"/>
  <c r="ED157" i="68" s="1"/>
  <c r="DZ120" i="68"/>
  <c r="BP124" i="68"/>
  <c r="BP128" i="68"/>
  <c r="DX129" i="68"/>
  <c r="EB131" i="68"/>
  <c r="ED131" i="68" s="1"/>
  <c r="DS136" i="68"/>
  <c r="CI142" i="68"/>
  <c r="DT144" i="68"/>
  <c r="BP135" i="68"/>
  <c r="DR135" i="68"/>
  <c r="BP141" i="68"/>
  <c r="DR141" i="68"/>
  <c r="DS143" i="68"/>
  <c r="CI149" i="68"/>
  <c r="DW150" i="68"/>
  <c r="DZ152" i="68"/>
  <c r="CL163" i="68" a="1"/>
  <c r="CL163" i="68" s="1"/>
  <c r="DW165" i="68"/>
  <c r="EA152" i="68"/>
  <c r="EB154" i="68"/>
  <c r="DW147" i="68"/>
  <c r="DY150" i="68"/>
  <c r="BP151" i="68"/>
  <c r="CI160" i="68"/>
  <c r="DR142" i="68"/>
  <c r="BP142" i="68"/>
  <c r="BP145" i="68"/>
  <c r="CL146" i="68" a="1"/>
  <c r="CL146" i="68" s="1"/>
  <c r="DS151" i="68"/>
  <c r="CL153" i="68" a="1"/>
  <c r="CL153" i="68" s="1"/>
  <c r="DT153" i="68"/>
  <c r="BP153" i="68"/>
  <c r="BP149" i="68"/>
  <c r="DR149" i="68"/>
  <c r="CI161" i="68"/>
  <c r="CI150" i="68"/>
  <c r="DV144" i="68"/>
  <c r="DX145" i="68"/>
  <c r="CL149" i="68" a="1"/>
  <c r="CL149" i="68" s="1"/>
  <c r="DU113" i="68"/>
  <c r="DS145" i="68"/>
  <c r="DW149" i="68"/>
  <c r="DZ137" i="68"/>
  <c r="EA139" i="68"/>
  <c r="DR158" i="68"/>
  <c r="BP158" i="68"/>
  <c r="DZ134" i="68"/>
  <c r="DV143" i="68"/>
  <c r="DW145" i="68"/>
  <c r="EB146" i="68"/>
  <c r="DS158" i="68"/>
  <c r="DW123" i="68"/>
  <c r="ED123" i="68" s="1"/>
  <c r="EA134" i="68"/>
  <c r="EB137" i="68"/>
  <c r="DT148" i="68"/>
  <c r="CI152" i="68"/>
  <c r="CI117" i="68"/>
  <c r="DW122" i="68"/>
  <c r="EA124" i="68"/>
  <c r="DX133" i="68"/>
  <c r="DR136" i="68"/>
  <c r="BP136" i="68"/>
  <c r="CJ139" i="68" a="1"/>
  <c r="CJ139" i="68" s="1"/>
  <c r="CL140" i="68" a="1"/>
  <c r="CL140" i="68" s="1"/>
  <c r="DS140" i="68"/>
  <c r="CL144" i="68" a="1"/>
  <c r="CL144" i="68" s="1"/>
  <c r="EB145" i="68"/>
  <c r="DR147" i="68"/>
  <c r="DY155" i="68"/>
  <c r="DV150" i="68"/>
  <c r="EC173" i="68"/>
  <c r="EC171" i="68"/>
  <c r="DU139" i="68"/>
  <c r="BP143" i="68"/>
  <c r="CI148" i="68"/>
  <c r="DS149" i="68"/>
  <c r="DX150" i="68"/>
  <c r="CI151" i="68"/>
  <c r="CI158" i="68"/>
  <c r="DT164" i="68"/>
  <c r="DZ150" i="68"/>
  <c r="CI163" i="68"/>
  <c r="DS161" i="68"/>
  <c r="BP161" i="68"/>
  <c r="DV163" i="68"/>
  <c r="CI164" i="68"/>
  <c r="CL158" i="68" a="1"/>
  <c r="CL158" i="68" s="1"/>
  <c r="DT158" i="68"/>
  <c r="DT159" i="68"/>
  <c r="BP166" i="68"/>
  <c r="DS166" i="68"/>
  <c r="EB155" i="68"/>
  <c r="DU156" i="68"/>
  <c r="DU159" i="68"/>
  <c r="DU161" i="68"/>
  <c r="CL166" i="68" a="1"/>
  <c r="CL166" i="68" s="1"/>
  <c r="DU160" i="68"/>
  <c r="CL161" i="68" a="1"/>
  <c r="CL161" i="68" s="1"/>
  <c r="EB173" i="68"/>
  <c r="BP173" i="68"/>
  <c r="BA173" i="68" s="1"/>
  <c r="BB173" i="68" s="1"/>
  <c r="CI135" i="68"/>
  <c r="DW143" i="68"/>
  <c r="BP148" i="68"/>
  <c r="DR148" i="68"/>
  <c r="EA156" i="68"/>
  <c r="DW162" i="68"/>
  <c r="DU167" i="68"/>
  <c r="DV153" i="68"/>
  <c r="BP154" i="68"/>
  <c r="DY159" i="68"/>
  <c r="DX160" i="68"/>
  <c r="DT161" i="68"/>
  <c r="EB163" i="68"/>
  <c r="DR155" i="68"/>
  <c r="BP155" i="68"/>
  <c r="EA158" i="68"/>
  <c r="DZ166" i="68"/>
  <c r="BP150" i="68"/>
  <c r="DR150" i="68"/>
  <c r="BP157" i="68"/>
  <c r="EB158" i="68"/>
  <c r="DS160" i="68"/>
  <c r="CI162" i="68"/>
  <c r="DW118" i="68"/>
  <c r="EC144" i="68"/>
  <c r="DT147" i="68"/>
  <c r="EC161" i="68"/>
  <c r="DT150" i="68"/>
  <c r="EA153" i="68"/>
  <c r="BP159" i="68"/>
  <c r="DU165" i="68"/>
  <c r="DT171" i="68"/>
  <c r="CI146" i="68"/>
  <c r="CL155" i="68" a="1"/>
  <c r="CL155" i="68" s="1"/>
  <c r="DV156" i="68"/>
  <c r="BP162" i="68"/>
  <c r="DR162" i="68"/>
  <c r="DT166" i="68"/>
  <c r="CL164" i="68" a="1"/>
  <c r="CL164" i="68" s="1"/>
  <c r="DV164" i="68"/>
  <c r="DT172" i="68"/>
  <c r="BP172" i="68"/>
  <c r="EB176" i="68"/>
  <c r="BP176" i="68"/>
  <c r="AY176" i="68" s="1"/>
  <c r="CJ171" i="68" a="1"/>
  <c r="CJ171" i="68" s="1"/>
  <c r="DW171" i="68"/>
  <c r="DU174" i="68"/>
  <c r="BP174" i="68"/>
  <c r="EC154" i="68"/>
  <c r="DZ162" i="68"/>
  <c r="EA164" i="68"/>
  <c r="DV168" i="68"/>
  <c r="CI154" i="68"/>
  <c r="EB162" i="68"/>
  <c r="DY162" i="68"/>
  <c r="BP168" i="68"/>
  <c r="DR168" i="68"/>
  <c r="DZ170" i="68"/>
  <c r="CI171" i="68"/>
  <c r="DW169" i="68"/>
  <c r="DX172" i="68"/>
  <c r="CI173" i="68"/>
  <c r="DX169" i="68"/>
  <c r="DR171" i="68"/>
  <c r="BP171" i="68"/>
  <c r="DY172" i="68"/>
  <c r="DZ164" i="68"/>
  <c r="CI165" i="68"/>
  <c r="DZ172" i="68"/>
  <c r="CI157" i="68"/>
  <c r="DV159" i="68"/>
  <c r="DW175" i="68"/>
  <c r="DW173" i="68"/>
  <c r="CI169" i="68"/>
  <c r="DX173" i="68"/>
  <c r="CI156" i="68"/>
  <c r="DX165" i="68"/>
  <c r="EB168" i="68"/>
  <c r="DT170" i="68"/>
  <c r="CI167" i="68"/>
  <c r="CL170" i="68" a="1"/>
  <c r="CL170" i="68" s="1"/>
  <c r="DS164" i="68"/>
  <c r="BP164" i="68"/>
  <c r="DU177" i="68"/>
  <c r="BP177" i="68"/>
  <c r="BP169" i="68"/>
  <c r="EC175" i="68"/>
  <c r="AJ176" i="68"/>
  <c r="AK176" i="68" s="1"/>
  <c r="AL176" i="68" s="1"/>
  <c r="DV177" i="68"/>
  <c r="BP165" i="68"/>
  <c r="CL169" i="68" a="1"/>
  <c r="CL169" i="68" s="1"/>
  <c r="CI170" i="68"/>
  <c r="DS173" i="68"/>
  <c r="DY173" i="68"/>
  <c r="CJ173" i="68" a="1"/>
  <c r="CJ173" i="68" s="1"/>
  <c r="DW163" i="68"/>
  <c r="BP170" i="68"/>
  <c r="CM176" i="68" a="1"/>
  <c r="CM176" i="68" s="1"/>
  <c r="CI172" i="68"/>
  <c r="DT176" i="68"/>
  <c r="DR175" i="68"/>
  <c r="AJ177" i="68"/>
  <c r="AK177" i="68" s="1"/>
  <c r="AL177" i="68" s="1"/>
  <c r="DX168" i="68"/>
  <c r="CL177" i="68" a="1"/>
  <c r="CL177" i="68" s="1"/>
  <c r="DS174" i="68"/>
  <c r="DU175" i="68"/>
  <c r="DW176" i="68"/>
  <c r="DY177" i="68"/>
  <c r="DY176" i="68"/>
  <c r="EA177" i="68"/>
  <c r="BA176" i="68" l="1"/>
  <c r="BB176" i="68" s="1"/>
  <c r="CK46" i="68"/>
  <c r="BP2" i="68"/>
  <c r="BR177" i="68"/>
  <c r="BS177" i="68" s="1"/>
  <c r="BR49" i="68"/>
  <c r="BS49" i="68" s="1"/>
  <c r="DM178" i="68"/>
  <c r="BR86" i="68"/>
  <c r="BS86" i="68" s="1"/>
  <c r="CZ178" i="68"/>
  <c r="CI62" i="68"/>
  <c r="CF2" i="68"/>
  <c r="BR45" i="68"/>
  <c r="BS45" i="68" s="1"/>
  <c r="BR51" i="68"/>
  <c r="BS51" i="68" s="1"/>
  <c r="BR25" i="68"/>
  <c r="BS25" i="68" s="1"/>
  <c r="BR24" i="68"/>
  <c r="BS24" i="68" s="1"/>
  <c r="BR52" i="68"/>
  <c r="BS52" i="68" s="1"/>
  <c r="BR176" i="68"/>
  <c r="BS176" i="68" s="1"/>
  <c r="BR31" i="68"/>
  <c r="BS31" i="68" s="1"/>
  <c r="BR19" i="68"/>
  <c r="BS19" i="68" s="1"/>
  <c r="CK56" i="68"/>
  <c r="CQ56" i="68" s="1"/>
  <c r="DD56" i="68" s="1"/>
  <c r="ED167" i="68"/>
  <c r="ED48" i="68"/>
  <c r="BR33" i="68"/>
  <c r="BS33" i="68" s="1"/>
  <c r="CK69" i="68"/>
  <c r="CV69" i="68" s="1"/>
  <c r="DI69" i="68" s="1"/>
  <c r="CK177" i="68"/>
  <c r="CQ177" i="68" s="1"/>
  <c r="DD177" i="68" s="1"/>
  <c r="ED101" i="68"/>
  <c r="BZ2" i="68"/>
  <c r="BR13" i="68"/>
  <c r="BS13" i="68" s="1"/>
  <c r="ED73" i="68"/>
  <c r="CE2" i="68"/>
  <c r="ED44" i="68"/>
  <c r="ED55" i="68"/>
  <c r="CD2" i="68"/>
  <c r="ED177" i="68"/>
  <c r="ED125" i="68"/>
  <c r="BY2" i="68"/>
  <c r="BX2" i="68"/>
  <c r="BR18" i="68"/>
  <c r="BS18" i="68" s="1"/>
  <c r="CA2" i="68"/>
  <c r="CK86" i="68"/>
  <c r="CS86" i="68" s="1"/>
  <c r="DF86" i="68" s="1"/>
  <c r="ED74" i="68"/>
  <c r="ED65" i="68"/>
  <c r="CG2" i="68"/>
  <c r="BR16" i="68"/>
  <c r="BS16" i="68" s="1"/>
  <c r="ED6" i="68"/>
  <c r="ED72" i="68"/>
  <c r="CK57" i="68"/>
  <c r="CY57" i="68" s="1"/>
  <c r="DL57" i="68" s="1"/>
  <c r="ED156" i="68"/>
  <c r="ED22" i="68"/>
  <c r="ED164" i="68"/>
  <c r="ED61" i="68"/>
  <c r="BR21" i="68"/>
  <c r="BS21" i="68" s="1"/>
  <c r="ED37" i="68"/>
  <c r="ED173" i="68"/>
  <c r="ED136" i="68"/>
  <c r="ED119" i="68"/>
  <c r="ED47" i="68"/>
  <c r="ED98" i="68"/>
  <c r="CK55" i="68"/>
  <c r="CN55" i="68" s="1"/>
  <c r="DA55" i="68" s="1"/>
  <c r="ED20" i="68"/>
  <c r="ED70" i="68"/>
  <c r="ED165" i="68"/>
  <c r="ED137" i="68"/>
  <c r="ED49" i="68"/>
  <c r="ED103" i="68"/>
  <c r="ED88" i="68"/>
  <c r="ED161" i="68"/>
  <c r="BR125" i="68"/>
  <c r="BS125" i="68" s="1"/>
  <c r="BR15" i="68"/>
  <c r="BS15" i="68" s="1"/>
  <c r="ED142" i="68"/>
  <c r="ED166" i="68"/>
  <c r="ED45" i="68"/>
  <c r="CI14" i="68"/>
  <c r="ED75" i="68"/>
  <c r="ED21" i="68"/>
  <c r="ED29" i="68"/>
  <c r="ED108" i="68"/>
  <c r="ED97" i="68"/>
  <c r="ED53" i="68"/>
  <c r="ED140" i="68"/>
  <c r="ED130" i="68"/>
  <c r="ED33" i="68"/>
  <c r="CH2" i="68"/>
  <c r="DT2" i="68"/>
  <c r="ED159" i="68"/>
  <c r="ED169" i="68"/>
  <c r="ED94" i="68"/>
  <c r="BR50" i="68"/>
  <c r="BS50" i="68" s="1"/>
  <c r="ED51" i="68"/>
  <c r="EA2" i="68"/>
  <c r="ED145" i="68"/>
  <c r="DU2" i="68"/>
  <c r="ED124" i="68"/>
  <c r="EB2" i="68"/>
  <c r="DV2" i="68"/>
  <c r="ED128" i="68"/>
  <c r="ED147" i="68"/>
  <c r="ED146" i="68"/>
  <c r="ED171" i="68"/>
  <c r="ED163" i="68"/>
  <c r="ED151" i="68"/>
  <c r="ED85" i="68"/>
  <c r="ED17" i="68"/>
  <c r="ED18" i="68"/>
  <c r="ED170" i="68"/>
  <c r="ED129" i="68"/>
  <c r="ED138" i="68"/>
  <c r="ED78" i="68"/>
  <c r="ED63" i="68"/>
  <c r="ED56" i="68"/>
  <c r="EC2" i="68"/>
  <c r="BR38" i="68"/>
  <c r="BS38" i="68" s="1"/>
  <c r="ED102" i="68"/>
  <c r="ED87" i="68"/>
  <c r="BR40" i="68"/>
  <c r="BS40" i="68" s="1"/>
  <c r="ED16" i="68"/>
  <c r="DZ2" i="68"/>
  <c r="ED105" i="68"/>
  <c r="ED121" i="68"/>
  <c r="ED28" i="68"/>
  <c r="ED10" i="68"/>
  <c r="CC2" i="68"/>
  <c r="ED141" i="68"/>
  <c r="ED132" i="68"/>
  <c r="ED9" i="68"/>
  <c r="CB2" i="68"/>
  <c r="ED27" i="68"/>
  <c r="ED41" i="68"/>
  <c r="ED11" i="68"/>
  <c r="ED135" i="68"/>
  <c r="ED127" i="68"/>
  <c r="ED84" i="68"/>
  <c r="ED60" i="68"/>
  <c r="ED35" i="68"/>
  <c r="ED15" i="68"/>
  <c r="ED83" i="68"/>
  <c r="ED43" i="68"/>
  <c r="ED12" i="68"/>
  <c r="ED25" i="68"/>
  <c r="DW2" i="68"/>
  <c r="ED81" i="68"/>
  <c r="ED67" i="68"/>
  <c r="ED42" i="68"/>
  <c r="ED122" i="68"/>
  <c r="DY2" i="68"/>
  <c r="ED95" i="68"/>
  <c r="CI7" i="68"/>
  <c r="BW2" i="68"/>
  <c r="ED158" i="68"/>
  <c r="ED134" i="68"/>
  <c r="ED120" i="68"/>
  <c r="ED162" i="68"/>
  <c r="ED139" i="68"/>
  <c r="ED143" i="68"/>
  <c r="ED174" i="68"/>
  <c r="ED175" i="68"/>
  <c r="ED153" i="68"/>
  <c r="ED148" i="68"/>
  <c r="ED154" i="68"/>
  <c r="ED116" i="68"/>
  <c r="ED104" i="68"/>
  <c r="ED176" i="68"/>
  <c r="ED168" i="68"/>
  <c r="ED172" i="68"/>
  <c r="ED155" i="68"/>
  <c r="CN139" i="68"/>
  <c r="CT139" i="68"/>
  <c r="DG139" i="68" s="1"/>
  <c r="CS139" i="68"/>
  <c r="DF139" i="68" s="1"/>
  <c r="CR139" i="68"/>
  <c r="DE139" i="68" s="1"/>
  <c r="CQ139" i="68"/>
  <c r="DD139" i="68" s="1"/>
  <c r="CO139" i="68"/>
  <c r="DB139" i="68" s="1"/>
  <c r="CU139" i="68"/>
  <c r="DH139" i="68" s="1"/>
  <c r="CY139" i="68"/>
  <c r="DL139" i="68" s="1"/>
  <c r="CX139" i="68"/>
  <c r="DK139" i="68" s="1"/>
  <c r="CW139" i="68"/>
  <c r="DJ139" i="68" s="1"/>
  <c r="CV139" i="68"/>
  <c r="DI139" i="68" s="1"/>
  <c r="CP139" i="68"/>
  <c r="DC139" i="68" s="1"/>
  <c r="ED31" i="68"/>
  <c r="ED8" i="68"/>
  <c r="CI54" i="68"/>
  <c r="ED24" i="68"/>
  <c r="ED13" i="68"/>
  <c r="ED50" i="68"/>
  <c r="ED52" i="68"/>
  <c r="ED54" i="68"/>
  <c r="DX2" i="68"/>
  <c r="BR8" i="68"/>
  <c r="BS8" i="68" s="1"/>
  <c r="ED149" i="68"/>
  <c r="ED111" i="68"/>
  <c r="ED91" i="68"/>
  <c r="BR47" i="68"/>
  <c r="BS47" i="68" s="1"/>
  <c r="ED58" i="68"/>
  <c r="CU34" i="68"/>
  <c r="DH34" i="68" s="1"/>
  <c r="CY34" i="68"/>
  <c r="DL34" i="68" s="1"/>
  <c r="CW34" i="68"/>
  <c r="DJ34" i="68" s="1"/>
  <c r="CV34" i="68"/>
  <c r="DI34" i="68" s="1"/>
  <c r="CT34" i="68"/>
  <c r="DG34" i="68" s="1"/>
  <c r="CR34" i="68"/>
  <c r="DE34" i="68" s="1"/>
  <c r="CP34" i="68"/>
  <c r="DC34" i="68" s="1"/>
  <c r="CX34" i="68"/>
  <c r="DK34" i="68" s="1"/>
  <c r="CO34" i="68"/>
  <c r="DB34" i="68" s="1"/>
  <c r="CS34" i="68"/>
  <c r="DF34" i="68" s="1"/>
  <c r="CQ34" i="68"/>
  <c r="DD34" i="68" s="1"/>
  <c r="CN34" i="68"/>
  <c r="CI11" i="68"/>
  <c r="ED144" i="68"/>
  <c r="CO118" i="68"/>
  <c r="DB118" i="68" s="1"/>
  <c r="CX118" i="68"/>
  <c r="DK118" i="68" s="1"/>
  <c r="CQ118" i="68"/>
  <c r="DD118" i="68" s="1"/>
  <c r="CS118" i="68"/>
  <c r="DF118" i="68" s="1"/>
  <c r="CW118" i="68"/>
  <c r="DJ118" i="68" s="1"/>
  <c r="CY118" i="68"/>
  <c r="DL118" i="68" s="1"/>
  <c r="CV118" i="68"/>
  <c r="DI118" i="68" s="1"/>
  <c r="CU118" i="68"/>
  <c r="DH118" i="68" s="1"/>
  <c r="CT118" i="68"/>
  <c r="DG118" i="68" s="1"/>
  <c r="CR118" i="68"/>
  <c r="DE118" i="68" s="1"/>
  <c r="CP118" i="68"/>
  <c r="DC118" i="68" s="1"/>
  <c r="CN118" i="68"/>
  <c r="ED112" i="68"/>
  <c r="ED77" i="68"/>
  <c r="BR23" i="68"/>
  <c r="BS23" i="68" s="1"/>
  <c r="ED100" i="68"/>
  <c r="BR39" i="68"/>
  <c r="BS39" i="68" s="1"/>
  <c r="ED23" i="68"/>
  <c r="ED113" i="68"/>
  <c r="CI58" i="68"/>
  <c r="ED39" i="68"/>
  <c r="BR48" i="68"/>
  <c r="BS48" i="68" s="1"/>
  <c r="ED66" i="68"/>
  <c r="ED107" i="68"/>
  <c r="ED99" i="68"/>
  <c r="ED93" i="68"/>
  <c r="ED86" i="68"/>
  <c r="ED26" i="68"/>
  <c r="ED106" i="68"/>
  <c r="ED90" i="68"/>
  <c r="ED76" i="68"/>
  <c r="ED71" i="68"/>
  <c r="ED46" i="68"/>
  <c r="ED14" i="68"/>
  <c r="ED160" i="68"/>
  <c r="CI118" i="68"/>
  <c r="ED32" i="68"/>
  <c r="ED34" i="68"/>
  <c r="ED89" i="68"/>
  <c r="ED62" i="68"/>
  <c r="ED68" i="68"/>
  <c r="ED57" i="68"/>
  <c r="ED59" i="68"/>
  <c r="ED38" i="68"/>
  <c r="ED150" i="68"/>
  <c r="ED118" i="68"/>
  <c r="ED69" i="68"/>
  <c r="CI6" i="68"/>
  <c r="DS2" i="68"/>
  <c r="ED152" i="68"/>
  <c r="CY124" i="68"/>
  <c r="DL124" i="68" s="1"/>
  <c r="CT124" i="68"/>
  <c r="DG124" i="68" s="1"/>
  <c r="CX124" i="68"/>
  <c r="DK124" i="68" s="1"/>
  <c r="CW124" i="68"/>
  <c r="DJ124" i="68" s="1"/>
  <c r="CV124" i="68"/>
  <c r="DI124" i="68" s="1"/>
  <c r="CP124" i="68"/>
  <c r="DC124" i="68" s="1"/>
  <c r="CU124" i="68"/>
  <c r="DH124" i="68" s="1"/>
  <c r="CQ124" i="68"/>
  <c r="DD124" i="68" s="1"/>
  <c r="CO124" i="68"/>
  <c r="DB124" i="68" s="1"/>
  <c r="CN124" i="68"/>
  <c r="CS124" i="68"/>
  <c r="DF124" i="68" s="1"/>
  <c r="CR124" i="68"/>
  <c r="DE124" i="68" s="1"/>
  <c r="ED40" i="68"/>
  <c r="CI59" i="68"/>
  <c r="ED7" i="68"/>
  <c r="ED92" i="68"/>
  <c r="DR2" i="68"/>
  <c r="ED109" i="68"/>
  <c r="ED80" i="68"/>
  <c r="CI12" i="68"/>
  <c r="ED30" i="68"/>
  <c r="ED117" i="68"/>
  <c r="ED96" i="68"/>
  <c r="ED115" i="68"/>
  <c r="ED133" i="68"/>
  <c r="ED126" i="68"/>
  <c r="ED19" i="68"/>
  <c r="CS57" i="68" l="1"/>
  <c r="DF57" i="68" s="1"/>
  <c r="CY56" i="68"/>
  <c r="DL56" i="68" s="1"/>
  <c r="CO56" i="68"/>
  <c r="DB56" i="68" s="1"/>
  <c r="CP56" i="68"/>
  <c r="DC56" i="68" s="1"/>
  <c r="CT56" i="68"/>
  <c r="DG56" i="68" s="1"/>
  <c r="CN56" i="68"/>
  <c r="DA56" i="68" s="1"/>
  <c r="CV57" i="68"/>
  <c r="DI57" i="68" s="1"/>
  <c r="CU86" i="68"/>
  <c r="DH86" i="68" s="1"/>
  <c r="CW86" i="68"/>
  <c r="DJ86" i="68" s="1"/>
  <c r="CT86" i="68"/>
  <c r="DG86" i="68" s="1"/>
  <c r="CR86" i="68"/>
  <c r="DE86" i="68" s="1"/>
  <c r="CV86" i="68"/>
  <c r="DI86" i="68" s="1"/>
  <c r="CX86" i="68"/>
  <c r="DK86" i="68" s="1"/>
  <c r="CY55" i="68"/>
  <c r="DL55" i="68" s="1"/>
  <c r="CW55" i="68"/>
  <c r="DJ55" i="68" s="1"/>
  <c r="CN86" i="68"/>
  <c r="DA86" i="68" s="1"/>
  <c r="CO86" i="68"/>
  <c r="DB86" i="68" s="1"/>
  <c r="CY86" i="68"/>
  <c r="DL86" i="68" s="1"/>
  <c r="CU69" i="68"/>
  <c r="DH69" i="68" s="1"/>
  <c r="CR69" i="68"/>
  <c r="DE69" i="68" s="1"/>
  <c r="CR177" i="68"/>
  <c r="DE177" i="68" s="1"/>
  <c r="CR56" i="68"/>
  <c r="DE56" i="68" s="1"/>
  <c r="CP86" i="68"/>
  <c r="DC86" i="68" s="1"/>
  <c r="CU56" i="68"/>
  <c r="DH56" i="68" s="1"/>
  <c r="CQ86" i="68"/>
  <c r="DD86" i="68" s="1"/>
  <c r="CW56" i="68"/>
  <c r="DJ56" i="68" s="1"/>
  <c r="CV56" i="68"/>
  <c r="DI56" i="68" s="1"/>
  <c r="CQ69" i="68"/>
  <c r="DD69" i="68" s="1"/>
  <c r="CX56" i="68"/>
  <c r="DK56" i="68" s="1"/>
  <c r="CY177" i="68"/>
  <c r="DL177" i="68" s="1"/>
  <c r="CS56" i="68"/>
  <c r="DF56" i="68" s="1"/>
  <c r="CP69" i="68"/>
  <c r="DC69" i="68" s="1"/>
  <c r="CN69" i="68"/>
  <c r="DA69" i="68" s="1"/>
  <c r="CS69" i="68"/>
  <c r="DF69" i="68" s="1"/>
  <c r="CY69" i="68"/>
  <c r="DL69" i="68" s="1"/>
  <c r="CU177" i="68"/>
  <c r="DH177" i="68" s="1"/>
  <c r="CX69" i="68"/>
  <c r="DK69" i="68" s="1"/>
  <c r="CT69" i="68"/>
  <c r="DG69" i="68" s="1"/>
  <c r="CX177" i="68"/>
  <c r="DK177" i="68" s="1"/>
  <c r="CO69" i="68"/>
  <c r="DB69" i="68" s="1"/>
  <c r="CW69" i="68"/>
  <c r="DJ69" i="68" s="1"/>
  <c r="CO177" i="68"/>
  <c r="DB177" i="68" s="1"/>
  <c r="CW177" i="68"/>
  <c r="DJ177" i="68" s="1"/>
  <c r="CT177" i="68"/>
  <c r="DG177" i="68" s="1"/>
  <c r="CP177" i="68"/>
  <c r="DC177" i="68" s="1"/>
  <c r="CV177" i="68"/>
  <c r="DI177" i="68" s="1"/>
  <c r="CN177" i="68"/>
  <c r="DA177" i="68" s="1"/>
  <c r="CS177" i="68"/>
  <c r="DF177" i="68" s="1"/>
  <c r="CX57" i="68"/>
  <c r="DK57" i="68" s="1"/>
  <c r="CI2" i="68"/>
  <c r="CT57" i="68"/>
  <c r="DG57" i="68" s="1"/>
  <c r="CP57" i="68"/>
  <c r="DC57" i="68" s="1"/>
  <c r="CW57" i="68"/>
  <c r="DJ57" i="68" s="1"/>
  <c r="CU57" i="68"/>
  <c r="DH57" i="68" s="1"/>
  <c r="CQ57" i="68"/>
  <c r="DD57" i="68" s="1"/>
  <c r="CR57" i="68"/>
  <c r="DE57" i="68" s="1"/>
  <c r="CN57" i="68"/>
  <c r="CO57" i="68"/>
  <c r="DB57" i="68" s="1"/>
  <c r="CU55" i="68"/>
  <c r="DH55" i="68" s="1"/>
  <c r="CO55" i="68"/>
  <c r="DB55" i="68" s="1"/>
  <c r="CT55" i="68"/>
  <c r="DG55" i="68" s="1"/>
  <c r="CR55" i="68"/>
  <c r="DE55" i="68" s="1"/>
  <c r="CP55" i="68"/>
  <c r="DC55" i="68" s="1"/>
  <c r="CX55" i="68"/>
  <c r="DK55" i="68" s="1"/>
  <c r="CV55" i="68"/>
  <c r="DI55" i="68" s="1"/>
  <c r="CS55" i="68"/>
  <c r="DF55" i="68" s="1"/>
  <c r="CQ55" i="68"/>
  <c r="DD55" i="68" s="1"/>
  <c r="CZ124" i="68"/>
  <c r="DA124" i="68"/>
  <c r="CZ118" i="68"/>
  <c r="DA118" i="68"/>
  <c r="CZ139" i="68"/>
  <c r="DA139" i="68"/>
  <c r="BP1" i="68"/>
  <c r="CZ34" i="68"/>
  <c r="DA34" i="68"/>
  <c r="ED2" i="68"/>
  <c r="CZ56" i="68" l="1"/>
  <c r="CZ86" i="68"/>
  <c r="CZ69" i="68"/>
  <c r="CZ177" i="68"/>
  <c r="CZ57" i="68"/>
  <c r="DM118" i="68"/>
  <c r="DM139" i="68"/>
  <c r="DA57" i="68"/>
  <c r="DM124" i="68"/>
  <c r="DM55" i="68"/>
  <c r="DM34" i="68"/>
  <c r="DM177" i="68"/>
  <c r="DM86" i="68"/>
  <c r="DM69" i="68"/>
  <c r="DM56" i="68"/>
  <c r="CZ55" i="68"/>
  <c r="DM57" i="68" l="1"/>
  <c r="K14" i="34" l="1"/>
  <c r="K6" i="34"/>
  <c r="J33" i="34"/>
  <c r="J43" i="34" l="1"/>
  <c r="J34" i="34"/>
  <c r="C17" i="52"/>
  <c r="F8" i="52"/>
  <c r="J13" i="52"/>
  <c r="I13" i="52"/>
  <c r="K13" i="52" s="1"/>
  <c r="E13" i="52"/>
  <c r="F13" i="52" s="1"/>
  <c r="E12" i="52"/>
  <c r="F12" i="52" s="1"/>
  <c r="C14" i="52"/>
  <c r="C15" i="52" s="1"/>
  <c r="J42" i="34" l="1"/>
  <c r="J24" i="34"/>
  <c r="J3" i="34" s="1"/>
  <c r="F14" i="52"/>
  <c r="F15" i="52" s="1"/>
  <c r="H3" i="34" l="1"/>
  <c r="J2" i="34" s="1"/>
  <c r="W54" i="8" l="1"/>
  <c r="V54" i="8"/>
  <c r="U54" i="8"/>
  <c r="M54" i="8"/>
  <c r="K54" i="8"/>
  <c r="Y54" i="8" l="1"/>
  <c r="CM7" i="68" a="1"/>
  <c r="CM7" i="68" s="1"/>
  <c r="O54" i="8"/>
  <c r="G46" i="34"/>
  <c r="E45" i="34"/>
  <c r="CL7" i="68" l="1" a="1"/>
  <c r="CL7" i="68" s="1"/>
  <c r="CK7" i="68" s="1"/>
  <c r="CS7" i="68" s="1"/>
  <c r="DF7" i="68" s="1"/>
  <c r="AA1" i="11"/>
  <c r="AC1" i="11"/>
  <c r="AE2" i="11"/>
  <c r="CP7" i="68" l="1"/>
  <c r="DC7" i="68" s="1"/>
  <c r="CV7" i="68"/>
  <c r="DI7" i="68" s="1"/>
  <c r="CN7" i="68"/>
  <c r="DA7" i="68" s="1"/>
  <c r="CY7" i="68"/>
  <c r="DL7" i="68" s="1"/>
  <c r="CX7" i="68"/>
  <c r="DK7" i="68" s="1"/>
  <c r="CT7" i="68"/>
  <c r="DG7" i="68" s="1"/>
  <c r="CQ7" i="68"/>
  <c r="DD7" i="68" s="1"/>
  <c r="CR7" i="68"/>
  <c r="DE7" i="68" s="1"/>
  <c r="CU7" i="68"/>
  <c r="DH7" i="68" s="1"/>
  <c r="CW7" i="68"/>
  <c r="DJ7" i="68" s="1"/>
  <c r="CO7" i="68"/>
  <c r="DB7" i="68" s="1"/>
  <c r="CZ7" i="68" l="1"/>
  <c r="DM7" i="68"/>
  <c r="N2" i="11"/>
  <c r="S2" i="11"/>
  <c r="AH1" i="11" l="1"/>
  <c r="AG1" i="11"/>
  <c r="A185" i="3" l="1"/>
  <c r="G185" i="3"/>
  <c r="L185" i="3"/>
  <c r="M185" i="3"/>
  <c r="W185" i="3"/>
  <c r="A184" i="3"/>
  <c r="G184" i="3"/>
  <c r="L184" i="3"/>
  <c r="M184" i="3"/>
  <c r="W184" i="3"/>
  <c r="A183" i="3"/>
  <c r="G183" i="3"/>
  <c r="L183" i="3"/>
  <c r="M183" i="3"/>
  <c r="W183" i="3"/>
  <c r="A182" i="3"/>
  <c r="G182" i="3"/>
  <c r="L182" i="3"/>
  <c r="M182" i="3"/>
  <c r="W182" i="3"/>
  <c r="AN182" i="3" s="1"/>
  <c r="AO182" i="3" s="1"/>
  <c r="AP182" i="3" s="1"/>
  <c r="BV182" i="3" s="1"/>
  <c r="A181" i="3"/>
  <c r="G181" i="3"/>
  <c r="L181" i="3"/>
  <c r="M181" i="3"/>
  <c r="W181" i="3"/>
  <c r="A180" i="3"/>
  <c r="G180" i="3"/>
  <c r="L180" i="3"/>
  <c r="M180" i="3"/>
  <c r="W180" i="3"/>
  <c r="A179" i="3"/>
  <c r="G179" i="3"/>
  <c r="L179" i="3"/>
  <c r="M179" i="3"/>
  <c r="W179" i="3"/>
  <c r="A178" i="3"/>
  <c r="G178" i="3"/>
  <c r="L178" i="3"/>
  <c r="M178" i="3"/>
  <c r="W178" i="3"/>
  <c r="AN178" i="3" s="1"/>
  <c r="AO178" i="3" s="1"/>
  <c r="AP178" i="3" s="1"/>
  <c r="BV178" i="3" s="1"/>
  <c r="W177" i="3"/>
  <c r="AN177" i="3" s="1"/>
  <c r="AO177" i="3" s="1"/>
  <c r="AP177" i="3" s="1"/>
  <c r="BF177" i="3" s="1"/>
  <c r="W176" i="3"/>
  <c r="AN176" i="3" s="1"/>
  <c r="AO176" i="3" s="1"/>
  <c r="AP176" i="3" s="1"/>
  <c r="BV176" i="3" s="1"/>
  <c r="W175" i="3"/>
  <c r="AN175" i="3" s="1"/>
  <c r="AO175" i="3" s="1"/>
  <c r="AP175" i="3" s="1"/>
  <c r="BV175" i="3" s="1"/>
  <c r="W174" i="3"/>
  <c r="AN174" i="3" s="1"/>
  <c r="AO174" i="3" s="1"/>
  <c r="AP174" i="3" s="1"/>
  <c r="BV174" i="3" s="1"/>
  <c r="W173" i="3"/>
  <c r="AN173" i="3" s="1"/>
  <c r="AO173" i="3" s="1"/>
  <c r="AP173" i="3" s="1"/>
  <c r="BV173" i="3" s="1"/>
  <c r="W172" i="3"/>
  <c r="AN172" i="3" s="1"/>
  <c r="AO172" i="3" s="1"/>
  <c r="AP172" i="3" s="1"/>
  <c r="BV172" i="3" s="1"/>
  <c r="W171" i="3"/>
  <c r="AN171" i="3" s="1"/>
  <c r="AO171" i="3" s="1"/>
  <c r="AP171" i="3" s="1"/>
  <c r="BV171" i="3" s="1"/>
  <c r="W170" i="3"/>
  <c r="AN170" i="3" s="1"/>
  <c r="AO170" i="3" s="1"/>
  <c r="AP170" i="3" s="1"/>
  <c r="BV170" i="3" s="1"/>
  <c r="W169" i="3"/>
  <c r="AN169" i="3" s="1"/>
  <c r="AO169" i="3" s="1"/>
  <c r="AP169" i="3" s="1"/>
  <c r="BV169" i="3" s="1"/>
  <c r="W168" i="3"/>
  <c r="AN168" i="3" s="1"/>
  <c r="AO168" i="3" s="1"/>
  <c r="AP168" i="3" s="1"/>
  <c r="BV168" i="3" s="1"/>
  <c r="W167" i="3"/>
  <c r="AN167" i="3" s="1"/>
  <c r="AO167" i="3" s="1"/>
  <c r="AP167" i="3" s="1"/>
  <c r="BV167" i="3" s="1"/>
  <c r="W166" i="3"/>
  <c r="AN166" i="3" s="1"/>
  <c r="AO166" i="3" s="1"/>
  <c r="AP166" i="3" s="1"/>
  <c r="BV166" i="3" s="1"/>
  <c r="W165" i="3"/>
  <c r="AN165" i="3" s="1"/>
  <c r="AO165" i="3" s="1"/>
  <c r="AP165" i="3" s="1"/>
  <c r="BV165" i="3" s="1"/>
  <c r="W164" i="3"/>
  <c r="AN164" i="3" s="1"/>
  <c r="AO164" i="3" s="1"/>
  <c r="AP164" i="3" s="1"/>
  <c r="BV164" i="3" s="1"/>
  <c r="W163" i="3"/>
  <c r="AN163" i="3" s="1"/>
  <c r="AO163" i="3" s="1"/>
  <c r="AP163" i="3" s="1"/>
  <c r="BV163" i="3" s="1"/>
  <c r="W162" i="3"/>
  <c r="AN162" i="3" s="1"/>
  <c r="AO162" i="3" s="1"/>
  <c r="AP162" i="3" s="1"/>
  <c r="BV162" i="3" s="1"/>
  <c r="W161" i="3"/>
  <c r="AN161" i="3" s="1"/>
  <c r="AO161" i="3" s="1"/>
  <c r="AP161" i="3" s="1"/>
  <c r="BV161" i="3" s="1"/>
  <c r="W160" i="3"/>
  <c r="AN160" i="3" s="1"/>
  <c r="AO160" i="3" s="1"/>
  <c r="AP160" i="3" s="1"/>
  <c r="BV160" i="3" s="1"/>
  <c r="W159" i="3"/>
  <c r="AN159" i="3" s="1"/>
  <c r="AO159" i="3" s="1"/>
  <c r="AP159" i="3" s="1"/>
  <c r="BV159" i="3" s="1"/>
  <c r="W158" i="3"/>
  <c r="AN158" i="3" s="1"/>
  <c r="AO158" i="3" s="1"/>
  <c r="AP158" i="3" s="1"/>
  <c r="BV158" i="3" s="1"/>
  <c r="W157" i="3"/>
  <c r="AN157" i="3" s="1"/>
  <c r="AO157" i="3" s="1"/>
  <c r="AP157" i="3" s="1"/>
  <c r="BV157" i="3" s="1"/>
  <c r="W156" i="3"/>
  <c r="AN156" i="3" s="1"/>
  <c r="AO156" i="3" s="1"/>
  <c r="AP156" i="3" s="1"/>
  <c r="BV156" i="3" s="1"/>
  <c r="W155" i="3"/>
  <c r="AN155" i="3" s="1"/>
  <c r="AO155" i="3" s="1"/>
  <c r="AP155" i="3" s="1"/>
  <c r="BV155" i="3" s="1"/>
  <c r="W154" i="3"/>
  <c r="AN154" i="3" s="1"/>
  <c r="AO154" i="3" s="1"/>
  <c r="AP154" i="3" s="1"/>
  <c r="BV154" i="3" s="1"/>
  <c r="W153" i="3"/>
  <c r="AN153" i="3" s="1"/>
  <c r="AO153" i="3" s="1"/>
  <c r="AP153" i="3" s="1"/>
  <c r="BV153" i="3" s="1"/>
  <c r="W152" i="3"/>
  <c r="AN152" i="3" s="1"/>
  <c r="AO152" i="3" s="1"/>
  <c r="AP152" i="3" s="1"/>
  <c r="BV152" i="3" s="1"/>
  <c r="W151" i="3"/>
  <c r="AN151" i="3" s="1"/>
  <c r="AO151" i="3" s="1"/>
  <c r="AP151" i="3" s="1"/>
  <c r="BV151" i="3" s="1"/>
  <c r="W150" i="3"/>
  <c r="AN150" i="3" s="1"/>
  <c r="AO150" i="3" s="1"/>
  <c r="AP150" i="3" s="1"/>
  <c r="BV150" i="3" s="1"/>
  <c r="W149" i="3"/>
  <c r="AN149" i="3" s="1"/>
  <c r="AO149" i="3" s="1"/>
  <c r="AP149" i="3" s="1"/>
  <c r="BV149" i="3" s="1"/>
  <c r="W148" i="3"/>
  <c r="AN148" i="3" s="1"/>
  <c r="AO148" i="3" s="1"/>
  <c r="AP148" i="3" s="1"/>
  <c r="BV148" i="3" s="1"/>
  <c r="W147" i="3"/>
  <c r="AN147" i="3" s="1"/>
  <c r="AO147" i="3" s="1"/>
  <c r="AP147" i="3" s="1"/>
  <c r="BV147" i="3" s="1"/>
  <c r="W146" i="3"/>
  <c r="AN146" i="3" s="1"/>
  <c r="AO146" i="3" s="1"/>
  <c r="AP146" i="3" s="1"/>
  <c r="BV146" i="3" s="1"/>
  <c r="W145" i="3"/>
  <c r="AN145" i="3" s="1"/>
  <c r="AO145" i="3" s="1"/>
  <c r="AP145" i="3" s="1"/>
  <c r="BV145" i="3" s="1"/>
  <c r="W144" i="3"/>
  <c r="AN144" i="3" s="1"/>
  <c r="AO144" i="3" s="1"/>
  <c r="AP144" i="3" s="1"/>
  <c r="BV144" i="3" s="1"/>
  <c r="W143" i="3"/>
  <c r="AN143" i="3" s="1"/>
  <c r="AO143" i="3" s="1"/>
  <c r="AP143" i="3" s="1"/>
  <c r="BV143" i="3" s="1"/>
  <c r="W142" i="3"/>
  <c r="AN142" i="3" s="1"/>
  <c r="AO142" i="3" s="1"/>
  <c r="AP142" i="3" s="1"/>
  <c r="BV142" i="3" s="1"/>
  <c r="W141" i="3"/>
  <c r="AN141" i="3" s="1"/>
  <c r="AO141" i="3" s="1"/>
  <c r="AP141" i="3" s="1"/>
  <c r="BV141" i="3" s="1"/>
  <c r="W140" i="3"/>
  <c r="AN140" i="3" s="1"/>
  <c r="AO140" i="3" s="1"/>
  <c r="AP140" i="3" s="1"/>
  <c r="BV140" i="3" s="1"/>
  <c r="W139" i="3"/>
  <c r="AN139" i="3" s="1"/>
  <c r="AO139" i="3" s="1"/>
  <c r="AP139" i="3" s="1"/>
  <c r="BV139" i="3" s="1"/>
  <c r="W138" i="3"/>
  <c r="AN138" i="3" s="1"/>
  <c r="AO138" i="3" s="1"/>
  <c r="AP138" i="3" s="1"/>
  <c r="BV138" i="3" s="1"/>
  <c r="W137" i="3"/>
  <c r="AN137" i="3" s="1"/>
  <c r="AO137" i="3" s="1"/>
  <c r="AP137" i="3" s="1"/>
  <c r="BV137" i="3" s="1"/>
  <c r="W136" i="3"/>
  <c r="AN136" i="3" s="1"/>
  <c r="AO136" i="3" s="1"/>
  <c r="AP136" i="3" s="1"/>
  <c r="BV136" i="3" s="1"/>
  <c r="W135" i="3"/>
  <c r="AN135" i="3" s="1"/>
  <c r="AO135" i="3" s="1"/>
  <c r="AP135" i="3" s="1"/>
  <c r="BV135" i="3" s="1"/>
  <c r="W134" i="3"/>
  <c r="AN134" i="3" s="1"/>
  <c r="AO134" i="3" s="1"/>
  <c r="AP134" i="3" s="1"/>
  <c r="BV134" i="3" s="1"/>
  <c r="W133" i="3"/>
  <c r="AN133" i="3" s="1"/>
  <c r="AO133" i="3" s="1"/>
  <c r="AP133" i="3" s="1"/>
  <c r="BV133" i="3" s="1"/>
  <c r="W132" i="3"/>
  <c r="AN132" i="3" s="1"/>
  <c r="AO132" i="3" s="1"/>
  <c r="AP132" i="3" s="1"/>
  <c r="BV132" i="3" s="1"/>
  <c r="W131" i="3"/>
  <c r="AN131" i="3" s="1"/>
  <c r="AO131" i="3" s="1"/>
  <c r="AP131" i="3" s="1"/>
  <c r="BV131" i="3" s="1"/>
  <c r="W130" i="3"/>
  <c r="AN130" i="3" s="1"/>
  <c r="AO130" i="3" s="1"/>
  <c r="AP130" i="3" s="1"/>
  <c r="BV130" i="3" s="1"/>
  <c r="W129" i="3"/>
  <c r="AN129" i="3" s="1"/>
  <c r="AO129" i="3" s="1"/>
  <c r="AP129" i="3" s="1"/>
  <c r="BV129" i="3" s="1"/>
  <c r="W128" i="3"/>
  <c r="AN128" i="3" s="1"/>
  <c r="AO128" i="3" s="1"/>
  <c r="AP128" i="3" s="1"/>
  <c r="BV128" i="3" s="1"/>
  <c r="W127" i="3"/>
  <c r="AN127" i="3" s="1"/>
  <c r="AO127" i="3" s="1"/>
  <c r="AP127" i="3" s="1"/>
  <c r="BV127" i="3" s="1"/>
  <c r="W126" i="3"/>
  <c r="AN126" i="3" s="1"/>
  <c r="AO126" i="3" s="1"/>
  <c r="AP126" i="3" s="1"/>
  <c r="BV126" i="3" s="1"/>
  <c r="W125" i="3"/>
  <c r="AN125" i="3" s="1"/>
  <c r="AO125" i="3" s="1"/>
  <c r="AP125" i="3" s="1"/>
  <c r="BV125" i="3" s="1"/>
  <c r="W124" i="3"/>
  <c r="AN124" i="3" s="1"/>
  <c r="AO124" i="3" s="1"/>
  <c r="AP124" i="3" s="1"/>
  <c r="BV124" i="3" s="1"/>
  <c r="W123" i="3"/>
  <c r="AN123" i="3" s="1"/>
  <c r="AO123" i="3" s="1"/>
  <c r="AP123" i="3" s="1"/>
  <c r="BV123" i="3" s="1"/>
  <c r="W122" i="3"/>
  <c r="AN122" i="3" s="1"/>
  <c r="AO122" i="3" s="1"/>
  <c r="AP122" i="3" s="1"/>
  <c r="BV122" i="3" s="1"/>
  <c r="W121" i="3"/>
  <c r="AN121" i="3" s="1"/>
  <c r="AO121" i="3" s="1"/>
  <c r="AP121" i="3" s="1"/>
  <c r="BV121" i="3" s="1"/>
  <c r="W120" i="3"/>
  <c r="AN120" i="3" s="1"/>
  <c r="AO120" i="3" s="1"/>
  <c r="AP120" i="3" s="1"/>
  <c r="BV120" i="3" s="1"/>
  <c r="W119" i="3"/>
  <c r="AN119" i="3" s="1"/>
  <c r="AO119" i="3" s="1"/>
  <c r="AP119" i="3" s="1"/>
  <c r="BV119" i="3" s="1"/>
  <c r="W118" i="3"/>
  <c r="AN118" i="3" s="1"/>
  <c r="AO118" i="3" s="1"/>
  <c r="AP118" i="3" s="1"/>
  <c r="BV118" i="3" s="1"/>
  <c r="W117" i="3"/>
  <c r="AN117" i="3" s="1"/>
  <c r="AO117" i="3" s="1"/>
  <c r="AP117" i="3" s="1"/>
  <c r="BV117" i="3" s="1"/>
  <c r="W116" i="3"/>
  <c r="AN116" i="3" s="1"/>
  <c r="AO116" i="3" s="1"/>
  <c r="AP116" i="3" s="1"/>
  <c r="BV116" i="3" s="1"/>
  <c r="W115" i="3"/>
  <c r="AN115" i="3" s="1"/>
  <c r="AO115" i="3" s="1"/>
  <c r="AP115" i="3" s="1"/>
  <c r="BV115" i="3" s="1"/>
  <c r="W114" i="3"/>
  <c r="AN114" i="3" s="1"/>
  <c r="AO114" i="3" s="1"/>
  <c r="AP114" i="3" s="1"/>
  <c r="BV114" i="3" s="1"/>
  <c r="W113" i="3"/>
  <c r="AN113" i="3" s="1"/>
  <c r="AO113" i="3" s="1"/>
  <c r="AP113" i="3" s="1"/>
  <c r="BV113" i="3" s="1"/>
  <c r="W112" i="3"/>
  <c r="AN112" i="3" s="1"/>
  <c r="AO112" i="3" s="1"/>
  <c r="AP112" i="3" s="1"/>
  <c r="BV112" i="3" s="1"/>
  <c r="W111" i="3"/>
  <c r="AN111" i="3" s="1"/>
  <c r="AO111" i="3" s="1"/>
  <c r="AP111" i="3" s="1"/>
  <c r="BV111" i="3" s="1"/>
  <c r="W110" i="3"/>
  <c r="AN110" i="3" s="1"/>
  <c r="AO110" i="3" s="1"/>
  <c r="AP110" i="3" s="1"/>
  <c r="BV110" i="3" s="1"/>
  <c r="W109" i="3"/>
  <c r="AN109" i="3" s="1"/>
  <c r="AO109" i="3" s="1"/>
  <c r="AP109" i="3" s="1"/>
  <c r="BV109" i="3" s="1"/>
  <c r="W108" i="3"/>
  <c r="AN108" i="3" s="1"/>
  <c r="AO108" i="3" s="1"/>
  <c r="AP108" i="3" s="1"/>
  <c r="BV108" i="3" s="1"/>
  <c r="W107" i="3"/>
  <c r="AN107" i="3" s="1"/>
  <c r="AO107" i="3" s="1"/>
  <c r="AP107" i="3" s="1"/>
  <c r="BV107" i="3" s="1"/>
  <c r="W106" i="3"/>
  <c r="AN106" i="3" s="1"/>
  <c r="AO106" i="3" s="1"/>
  <c r="AP106" i="3" s="1"/>
  <c r="BV106" i="3" s="1"/>
  <c r="W105" i="3"/>
  <c r="AN105" i="3" s="1"/>
  <c r="AO105" i="3" s="1"/>
  <c r="AP105" i="3" s="1"/>
  <c r="BV105" i="3" s="1"/>
  <c r="W104" i="3"/>
  <c r="AN104" i="3" s="1"/>
  <c r="AO104" i="3" s="1"/>
  <c r="AP104" i="3" s="1"/>
  <c r="BV104" i="3" s="1"/>
  <c r="W103" i="3"/>
  <c r="AN103" i="3" s="1"/>
  <c r="AO103" i="3" s="1"/>
  <c r="AP103" i="3" s="1"/>
  <c r="BV103" i="3" s="1"/>
  <c r="W102" i="3"/>
  <c r="AN102" i="3" s="1"/>
  <c r="AO102" i="3" s="1"/>
  <c r="AP102" i="3" s="1"/>
  <c r="BV102" i="3" s="1"/>
  <c r="W101" i="3"/>
  <c r="AN101" i="3" s="1"/>
  <c r="AO101" i="3" s="1"/>
  <c r="AP101" i="3" s="1"/>
  <c r="BV101" i="3" s="1"/>
  <c r="W100" i="3"/>
  <c r="AN100" i="3" s="1"/>
  <c r="AO100" i="3" s="1"/>
  <c r="AP100" i="3" s="1"/>
  <c r="BV100" i="3" s="1"/>
  <c r="W99" i="3"/>
  <c r="AN99" i="3" s="1"/>
  <c r="AO99" i="3" s="1"/>
  <c r="AP99" i="3" s="1"/>
  <c r="BV99" i="3" s="1"/>
  <c r="W98" i="3"/>
  <c r="AN98" i="3" s="1"/>
  <c r="AO98" i="3" s="1"/>
  <c r="AP98" i="3" s="1"/>
  <c r="BV98" i="3" s="1"/>
  <c r="W97" i="3"/>
  <c r="AN97" i="3" s="1"/>
  <c r="AO97" i="3" s="1"/>
  <c r="AP97" i="3" s="1"/>
  <c r="BV97" i="3" s="1"/>
  <c r="W96" i="3"/>
  <c r="AN96" i="3" s="1"/>
  <c r="AO96" i="3" s="1"/>
  <c r="AP96" i="3" s="1"/>
  <c r="BV96" i="3" s="1"/>
  <c r="W95" i="3"/>
  <c r="AN95" i="3" s="1"/>
  <c r="AO95" i="3" s="1"/>
  <c r="AP95" i="3" s="1"/>
  <c r="BV95" i="3" s="1"/>
  <c r="W94" i="3"/>
  <c r="AN94" i="3" s="1"/>
  <c r="AO94" i="3" s="1"/>
  <c r="AP94" i="3" s="1"/>
  <c r="BV94" i="3" s="1"/>
  <c r="W93" i="3"/>
  <c r="AN93" i="3" s="1"/>
  <c r="AO93" i="3" s="1"/>
  <c r="AP93" i="3" s="1"/>
  <c r="BV93" i="3" s="1"/>
  <c r="W92" i="3"/>
  <c r="AN92" i="3" s="1"/>
  <c r="AO92" i="3" s="1"/>
  <c r="AP92" i="3" s="1"/>
  <c r="BV92" i="3" s="1"/>
  <c r="W91" i="3"/>
  <c r="AN91" i="3" s="1"/>
  <c r="AO91" i="3" s="1"/>
  <c r="AP91" i="3" s="1"/>
  <c r="BV91" i="3" s="1"/>
  <c r="W90" i="3"/>
  <c r="AN90" i="3" s="1"/>
  <c r="AO90" i="3" s="1"/>
  <c r="AP90" i="3" s="1"/>
  <c r="BV90" i="3" s="1"/>
  <c r="W89" i="3"/>
  <c r="AN89" i="3" s="1"/>
  <c r="AO89" i="3" s="1"/>
  <c r="AP89" i="3" s="1"/>
  <c r="BV89" i="3" s="1"/>
  <c r="W88" i="3"/>
  <c r="AN88" i="3" s="1"/>
  <c r="AO88" i="3" s="1"/>
  <c r="AP88" i="3" s="1"/>
  <c r="BV88" i="3" s="1"/>
  <c r="W87" i="3"/>
  <c r="AN87" i="3" s="1"/>
  <c r="AO87" i="3" s="1"/>
  <c r="AP87" i="3" s="1"/>
  <c r="BV87" i="3" s="1"/>
  <c r="W86" i="3"/>
  <c r="AN86" i="3" s="1"/>
  <c r="AO86" i="3" s="1"/>
  <c r="AP86" i="3" s="1"/>
  <c r="BV86" i="3" s="1"/>
  <c r="W85" i="3"/>
  <c r="AN85" i="3" s="1"/>
  <c r="AO85" i="3" s="1"/>
  <c r="AP85" i="3" s="1"/>
  <c r="BV85" i="3" s="1"/>
  <c r="W84" i="3"/>
  <c r="AN84" i="3" s="1"/>
  <c r="AO84" i="3" s="1"/>
  <c r="AP84" i="3" s="1"/>
  <c r="BV84" i="3" s="1"/>
  <c r="W83" i="3"/>
  <c r="AN83" i="3" s="1"/>
  <c r="AO83" i="3" s="1"/>
  <c r="AP83" i="3" s="1"/>
  <c r="BV83" i="3" s="1"/>
  <c r="W82" i="3"/>
  <c r="AN82" i="3" s="1"/>
  <c r="AO82" i="3" s="1"/>
  <c r="AP82" i="3" s="1"/>
  <c r="BV82" i="3" s="1"/>
  <c r="W81" i="3"/>
  <c r="AN81" i="3" s="1"/>
  <c r="AO81" i="3" s="1"/>
  <c r="AP81" i="3" s="1"/>
  <c r="BV81" i="3" s="1"/>
  <c r="W80" i="3"/>
  <c r="AN80" i="3" s="1"/>
  <c r="AO80" i="3" s="1"/>
  <c r="AP80" i="3" s="1"/>
  <c r="BV80" i="3" s="1"/>
  <c r="W79" i="3"/>
  <c r="AN79" i="3" s="1"/>
  <c r="AO79" i="3" s="1"/>
  <c r="AP79" i="3" s="1"/>
  <c r="BV79" i="3" s="1"/>
  <c r="W78" i="3"/>
  <c r="AN78" i="3" s="1"/>
  <c r="AO78" i="3" s="1"/>
  <c r="AP78" i="3" s="1"/>
  <c r="BV78" i="3" s="1"/>
  <c r="W77" i="3"/>
  <c r="AN77" i="3" s="1"/>
  <c r="AO77" i="3" s="1"/>
  <c r="AP77" i="3" s="1"/>
  <c r="BV77" i="3" s="1"/>
  <c r="W76" i="3"/>
  <c r="AN76" i="3" s="1"/>
  <c r="AO76" i="3" s="1"/>
  <c r="AP76" i="3" s="1"/>
  <c r="BV76" i="3" s="1"/>
  <c r="W75" i="3"/>
  <c r="AN75" i="3" s="1"/>
  <c r="AO75" i="3" s="1"/>
  <c r="AP75" i="3" s="1"/>
  <c r="BV75" i="3" s="1"/>
  <c r="W74" i="3"/>
  <c r="AN74" i="3" s="1"/>
  <c r="AO74" i="3" s="1"/>
  <c r="AP74" i="3" s="1"/>
  <c r="BV74" i="3" s="1"/>
  <c r="W73" i="3"/>
  <c r="AN73" i="3" s="1"/>
  <c r="AO73" i="3" s="1"/>
  <c r="AP73" i="3" s="1"/>
  <c r="BV73" i="3" s="1"/>
  <c r="W72" i="3"/>
  <c r="AN72" i="3" s="1"/>
  <c r="AO72" i="3" s="1"/>
  <c r="AP72" i="3" s="1"/>
  <c r="BV72" i="3" s="1"/>
  <c r="W71" i="3"/>
  <c r="AN71" i="3" s="1"/>
  <c r="AO71" i="3" s="1"/>
  <c r="AP71" i="3" s="1"/>
  <c r="BV71" i="3" s="1"/>
  <c r="W70" i="3"/>
  <c r="AN70" i="3" s="1"/>
  <c r="AO70" i="3" s="1"/>
  <c r="AP70" i="3" s="1"/>
  <c r="BV70" i="3" s="1"/>
  <c r="W69" i="3"/>
  <c r="AN69" i="3" s="1"/>
  <c r="AO69" i="3" s="1"/>
  <c r="AP69" i="3" s="1"/>
  <c r="BV69" i="3" s="1"/>
  <c r="W68" i="3"/>
  <c r="AN68" i="3" s="1"/>
  <c r="AO68" i="3" s="1"/>
  <c r="AP68" i="3" s="1"/>
  <c r="BV68" i="3" s="1"/>
  <c r="W67" i="3"/>
  <c r="AN67" i="3" s="1"/>
  <c r="AO67" i="3" s="1"/>
  <c r="AP67" i="3" s="1"/>
  <c r="BV67" i="3" s="1"/>
  <c r="W66" i="3"/>
  <c r="AN66" i="3" s="1"/>
  <c r="AO66" i="3" s="1"/>
  <c r="AP66" i="3" s="1"/>
  <c r="BV66" i="3" s="1"/>
  <c r="W65" i="3"/>
  <c r="AN65" i="3" s="1"/>
  <c r="AO65" i="3" s="1"/>
  <c r="AP65" i="3" s="1"/>
  <c r="BV65" i="3" s="1"/>
  <c r="W64" i="3"/>
  <c r="AN64" i="3" s="1"/>
  <c r="AO64" i="3" s="1"/>
  <c r="AP64" i="3" s="1"/>
  <c r="BV64" i="3" s="1"/>
  <c r="W63" i="3"/>
  <c r="AN63" i="3" s="1"/>
  <c r="AO63" i="3" s="1"/>
  <c r="AP63" i="3" s="1"/>
  <c r="BV63" i="3" s="1"/>
  <c r="W62" i="3"/>
  <c r="AN62" i="3" s="1"/>
  <c r="AO62" i="3" s="1"/>
  <c r="AP62" i="3" s="1"/>
  <c r="BV62" i="3" s="1"/>
  <c r="W61" i="3"/>
  <c r="AN61" i="3" s="1"/>
  <c r="AO61" i="3" s="1"/>
  <c r="AP61" i="3" s="1"/>
  <c r="BV61" i="3" s="1"/>
  <c r="W60" i="3"/>
  <c r="AN60" i="3" s="1"/>
  <c r="AO60" i="3" s="1"/>
  <c r="AP60" i="3" s="1"/>
  <c r="BV60" i="3" s="1"/>
  <c r="W59" i="3"/>
  <c r="AN59" i="3" s="1"/>
  <c r="AO59" i="3" s="1"/>
  <c r="AP59" i="3" s="1"/>
  <c r="BV59" i="3" s="1"/>
  <c r="W58" i="3"/>
  <c r="AN58" i="3" s="1"/>
  <c r="AO58" i="3" s="1"/>
  <c r="AP58" i="3" s="1"/>
  <c r="BV58" i="3" s="1"/>
  <c r="W57" i="3"/>
  <c r="AN57" i="3" s="1"/>
  <c r="AO57" i="3" s="1"/>
  <c r="AP57" i="3" s="1"/>
  <c r="BV57" i="3" s="1"/>
  <c r="W56" i="3"/>
  <c r="AN56" i="3" s="1"/>
  <c r="AO56" i="3" s="1"/>
  <c r="AP56" i="3" s="1"/>
  <c r="BV56" i="3" s="1"/>
  <c r="W55" i="3"/>
  <c r="AN55" i="3" s="1"/>
  <c r="AO55" i="3" s="1"/>
  <c r="AP55" i="3" s="1"/>
  <c r="BV55" i="3" s="1"/>
  <c r="W54" i="3"/>
  <c r="AN54" i="3" s="1"/>
  <c r="AO54" i="3" s="1"/>
  <c r="AP54" i="3" s="1"/>
  <c r="BV54" i="3" s="1"/>
  <c r="W53" i="3"/>
  <c r="AN53" i="3" s="1"/>
  <c r="AO53" i="3" s="1"/>
  <c r="AP53" i="3" s="1"/>
  <c r="BV53" i="3" s="1"/>
  <c r="W52" i="3"/>
  <c r="AN52" i="3" s="1"/>
  <c r="AO52" i="3" s="1"/>
  <c r="AP52" i="3" s="1"/>
  <c r="BV52" i="3" s="1"/>
  <c r="W51" i="3"/>
  <c r="AN51" i="3" s="1"/>
  <c r="AO51" i="3" s="1"/>
  <c r="AP51" i="3" s="1"/>
  <c r="BV51" i="3" s="1"/>
  <c r="W50" i="3"/>
  <c r="AN50" i="3" s="1"/>
  <c r="AO50" i="3" s="1"/>
  <c r="AP50" i="3" s="1"/>
  <c r="BV50" i="3" s="1"/>
  <c r="W49" i="3"/>
  <c r="AN49" i="3" s="1"/>
  <c r="AO49" i="3" s="1"/>
  <c r="AP49" i="3" s="1"/>
  <c r="BV49" i="3" s="1"/>
  <c r="W48" i="3"/>
  <c r="AN48" i="3" s="1"/>
  <c r="AO48" i="3" s="1"/>
  <c r="AP48" i="3" s="1"/>
  <c r="BV48" i="3" s="1"/>
  <c r="W47" i="3"/>
  <c r="AN47" i="3" s="1"/>
  <c r="AO47" i="3" s="1"/>
  <c r="AP47" i="3" s="1"/>
  <c r="BV47" i="3" s="1"/>
  <c r="W46" i="3"/>
  <c r="AN46" i="3" s="1"/>
  <c r="AO46" i="3" s="1"/>
  <c r="AP46" i="3" s="1"/>
  <c r="BV46" i="3" s="1"/>
  <c r="W45" i="3"/>
  <c r="AN45" i="3" s="1"/>
  <c r="AO45" i="3" s="1"/>
  <c r="AP45" i="3" s="1"/>
  <c r="BV45" i="3" s="1"/>
  <c r="W44" i="3"/>
  <c r="AN44" i="3" s="1"/>
  <c r="AO44" i="3" s="1"/>
  <c r="AP44" i="3" s="1"/>
  <c r="BV44" i="3" s="1"/>
  <c r="W43" i="3"/>
  <c r="AN43" i="3" s="1"/>
  <c r="AO43" i="3" s="1"/>
  <c r="AP43" i="3" s="1"/>
  <c r="BV43" i="3" s="1"/>
  <c r="W42" i="3"/>
  <c r="AN42" i="3" s="1"/>
  <c r="AO42" i="3" s="1"/>
  <c r="AP42" i="3" s="1"/>
  <c r="BV42" i="3" s="1"/>
  <c r="W41" i="3"/>
  <c r="AN41" i="3" s="1"/>
  <c r="AO41" i="3" s="1"/>
  <c r="AP41" i="3" s="1"/>
  <c r="BV41" i="3" s="1"/>
  <c r="W40" i="3"/>
  <c r="AN40" i="3" s="1"/>
  <c r="AO40" i="3" s="1"/>
  <c r="AP40" i="3" s="1"/>
  <c r="BV40" i="3" s="1"/>
  <c r="W39" i="3"/>
  <c r="AN39" i="3" s="1"/>
  <c r="AO39" i="3" s="1"/>
  <c r="AP39" i="3" s="1"/>
  <c r="BV39" i="3" s="1"/>
  <c r="W38" i="3"/>
  <c r="AN38" i="3" s="1"/>
  <c r="AO38" i="3" s="1"/>
  <c r="AP38" i="3" s="1"/>
  <c r="BV38" i="3" s="1"/>
  <c r="W37" i="3"/>
  <c r="AN37" i="3" s="1"/>
  <c r="AO37" i="3" s="1"/>
  <c r="AP37" i="3" s="1"/>
  <c r="BV37" i="3" s="1"/>
  <c r="W36" i="3"/>
  <c r="AN36" i="3" s="1"/>
  <c r="AO36" i="3" s="1"/>
  <c r="AP36" i="3" s="1"/>
  <c r="BV36" i="3" s="1"/>
  <c r="W35" i="3"/>
  <c r="AN35" i="3" s="1"/>
  <c r="AO35" i="3" s="1"/>
  <c r="AP35" i="3" s="1"/>
  <c r="BV35" i="3" s="1"/>
  <c r="W34" i="3"/>
  <c r="AN34" i="3" s="1"/>
  <c r="AO34" i="3" s="1"/>
  <c r="AP34" i="3" s="1"/>
  <c r="BV34" i="3" s="1"/>
  <c r="W33" i="3"/>
  <c r="AN33" i="3" s="1"/>
  <c r="AO33" i="3" s="1"/>
  <c r="AP33" i="3" s="1"/>
  <c r="BV33" i="3" s="1"/>
  <c r="W32" i="3"/>
  <c r="AN32" i="3" s="1"/>
  <c r="AO32" i="3" s="1"/>
  <c r="AP32" i="3" s="1"/>
  <c r="BV32" i="3" s="1"/>
  <c r="W31" i="3"/>
  <c r="AN31" i="3" s="1"/>
  <c r="AO31" i="3" s="1"/>
  <c r="AP31" i="3" s="1"/>
  <c r="BV31" i="3" s="1"/>
  <c r="W30" i="3"/>
  <c r="AN30" i="3" s="1"/>
  <c r="AO30" i="3" s="1"/>
  <c r="AP30" i="3" s="1"/>
  <c r="BV30" i="3" s="1"/>
  <c r="W29" i="3"/>
  <c r="AN29" i="3" s="1"/>
  <c r="AO29" i="3" s="1"/>
  <c r="AP29" i="3" s="1"/>
  <c r="BV29" i="3" s="1"/>
  <c r="W28" i="3"/>
  <c r="AN28" i="3" s="1"/>
  <c r="AO28" i="3" s="1"/>
  <c r="AP28" i="3" s="1"/>
  <c r="BV28" i="3" s="1"/>
  <c r="W27" i="3"/>
  <c r="AN27" i="3" s="1"/>
  <c r="AO27" i="3" s="1"/>
  <c r="AP27" i="3" s="1"/>
  <c r="BV27" i="3" s="1"/>
  <c r="W26" i="3"/>
  <c r="AN26" i="3" s="1"/>
  <c r="AO26" i="3" s="1"/>
  <c r="AP26" i="3" s="1"/>
  <c r="BV26" i="3" s="1"/>
  <c r="W25" i="3"/>
  <c r="AN25" i="3" s="1"/>
  <c r="AO25" i="3" s="1"/>
  <c r="AP25" i="3" s="1"/>
  <c r="BV25" i="3" s="1"/>
  <c r="W24" i="3"/>
  <c r="AN24" i="3" s="1"/>
  <c r="AO24" i="3" s="1"/>
  <c r="AP24" i="3" s="1"/>
  <c r="BV24" i="3" s="1"/>
  <c r="W23" i="3"/>
  <c r="AN23" i="3" s="1"/>
  <c r="AO23" i="3" s="1"/>
  <c r="AP23" i="3" s="1"/>
  <c r="BV23" i="3" s="1"/>
  <c r="W22" i="3"/>
  <c r="AN22" i="3" s="1"/>
  <c r="AO22" i="3" s="1"/>
  <c r="AP22" i="3" s="1"/>
  <c r="BV22" i="3" s="1"/>
  <c r="W21" i="3"/>
  <c r="AN21" i="3" s="1"/>
  <c r="AO21" i="3" s="1"/>
  <c r="AP21" i="3" s="1"/>
  <c r="BV21" i="3" s="1"/>
  <c r="W20" i="3"/>
  <c r="AN20" i="3" s="1"/>
  <c r="AO20" i="3" s="1"/>
  <c r="AP20" i="3" s="1"/>
  <c r="BV20" i="3" s="1"/>
  <c r="W19" i="3"/>
  <c r="AN19" i="3" s="1"/>
  <c r="AO19" i="3" s="1"/>
  <c r="AP19" i="3" s="1"/>
  <c r="BV19" i="3" s="1"/>
  <c r="W18" i="3"/>
  <c r="AN18" i="3" s="1"/>
  <c r="AO18" i="3" s="1"/>
  <c r="AP18" i="3" s="1"/>
  <c r="BV18" i="3" s="1"/>
  <c r="W17" i="3"/>
  <c r="AN17" i="3" s="1"/>
  <c r="AO17" i="3" s="1"/>
  <c r="AP17" i="3" s="1"/>
  <c r="BV17" i="3" s="1"/>
  <c r="W16" i="3"/>
  <c r="AN16" i="3" s="1"/>
  <c r="AO16" i="3" s="1"/>
  <c r="AP16" i="3" s="1"/>
  <c r="BV16" i="3" s="1"/>
  <c r="W15" i="3"/>
  <c r="AN15" i="3" s="1"/>
  <c r="AO15" i="3" s="1"/>
  <c r="AP15" i="3" s="1"/>
  <c r="BV15" i="3" s="1"/>
  <c r="W14" i="3"/>
  <c r="AN14" i="3" s="1"/>
  <c r="AO14" i="3" s="1"/>
  <c r="AP14" i="3" s="1"/>
  <c r="BV14" i="3" s="1"/>
  <c r="W13" i="3"/>
  <c r="AN13" i="3" s="1"/>
  <c r="AO13" i="3" s="1"/>
  <c r="AP13" i="3" s="1"/>
  <c r="BV13" i="3" s="1"/>
  <c r="W12" i="3"/>
  <c r="AN12" i="3" s="1"/>
  <c r="AO12" i="3" s="1"/>
  <c r="AP12" i="3" s="1"/>
  <c r="BV12" i="3" s="1"/>
  <c r="W11" i="3"/>
  <c r="AN11" i="3" s="1"/>
  <c r="AO11" i="3" s="1"/>
  <c r="AP11" i="3" s="1"/>
  <c r="BV11" i="3" s="1"/>
  <c r="W10" i="3"/>
  <c r="AN10" i="3" s="1"/>
  <c r="AO10" i="3" s="1"/>
  <c r="AP10" i="3" s="1"/>
  <c r="BV10" i="3" s="1"/>
  <c r="W9" i="3"/>
  <c r="AN9" i="3" s="1"/>
  <c r="AO9" i="3" s="1"/>
  <c r="AP9" i="3" s="1"/>
  <c r="BV9" i="3" s="1"/>
  <c r="W8" i="3"/>
  <c r="AN8" i="3" s="1"/>
  <c r="AO8" i="3" s="1"/>
  <c r="AP8" i="3" s="1"/>
  <c r="BV8" i="3" s="1"/>
  <c r="W7" i="3"/>
  <c r="AN7" i="3" s="1"/>
  <c r="AO7" i="3" s="1"/>
  <c r="AP7" i="3" s="1"/>
  <c r="BV7" i="3" s="1"/>
  <c r="A177" i="3"/>
  <c r="G177" i="3"/>
  <c r="L177" i="3"/>
  <c r="M177" i="3"/>
  <c r="W6" i="3"/>
  <c r="AN6" i="3" s="1"/>
  <c r="AO6" i="3" s="1"/>
  <c r="AP6" i="3" s="1"/>
  <c r="BV6" i="3" s="1"/>
  <c r="AA174" i="39"/>
  <c r="AA173" i="39"/>
  <c r="AA172" i="39"/>
  <c r="AA171" i="39"/>
  <c r="AA170" i="39"/>
  <c r="AA169" i="39"/>
  <c r="AA168" i="39"/>
  <c r="AA167" i="39"/>
  <c r="AA166" i="39"/>
  <c r="AA165" i="39"/>
  <c r="AA164" i="39"/>
  <c r="AA163" i="39"/>
  <c r="AA162" i="39"/>
  <c r="AA161" i="39"/>
  <c r="AA160" i="39"/>
  <c r="AA159" i="39"/>
  <c r="AA158" i="39"/>
  <c r="AA157" i="39"/>
  <c r="AA156" i="39"/>
  <c r="AA155" i="39"/>
  <c r="AA154" i="39"/>
  <c r="AA153" i="39"/>
  <c r="AA152" i="39"/>
  <c r="AA151" i="39"/>
  <c r="AA150" i="39"/>
  <c r="AA149" i="39"/>
  <c r="AA148" i="39"/>
  <c r="AA147" i="39"/>
  <c r="AA146" i="39"/>
  <c r="AA145" i="39"/>
  <c r="AA144" i="39"/>
  <c r="AA143" i="39"/>
  <c r="AA142" i="39"/>
  <c r="AA141" i="39"/>
  <c r="AA140" i="39"/>
  <c r="AA139" i="39"/>
  <c r="AA138" i="39"/>
  <c r="AA137" i="39"/>
  <c r="AA136" i="39"/>
  <c r="AA135" i="39"/>
  <c r="AA134" i="39"/>
  <c r="AA133" i="39"/>
  <c r="AA132" i="39"/>
  <c r="AA131" i="39"/>
  <c r="AA130" i="39"/>
  <c r="AA129" i="39"/>
  <c r="AA128" i="39"/>
  <c r="AA127" i="39"/>
  <c r="AA126" i="39"/>
  <c r="AA125" i="39"/>
  <c r="AA124" i="39"/>
  <c r="AA123" i="39"/>
  <c r="AA122" i="39"/>
  <c r="AA121" i="39"/>
  <c r="AA120" i="39"/>
  <c r="AA119" i="39"/>
  <c r="AA118" i="39"/>
  <c r="AA117" i="39"/>
  <c r="AA116" i="39"/>
  <c r="AA115" i="39"/>
  <c r="AA114" i="39"/>
  <c r="AA113" i="39"/>
  <c r="AA112" i="39"/>
  <c r="AA111" i="39"/>
  <c r="AA110" i="39"/>
  <c r="AA109" i="39"/>
  <c r="AA108" i="39"/>
  <c r="AA107" i="39"/>
  <c r="AA106" i="39"/>
  <c r="AA105" i="39"/>
  <c r="AA104" i="39"/>
  <c r="AA103" i="39"/>
  <c r="AA102" i="39"/>
  <c r="AA101" i="39"/>
  <c r="AA100" i="39"/>
  <c r="AA99" i="39"/>
  <c r="AA98" i="39"/>
  <c r="AA97" i="39"/>
  <c r="AA96" i="39"/>
  <c r="AA95" i="39"/>
  <c r="AA94" i="39"/>
  <c r="AA93" i="39"/>
  <c r="AA92" i="39"/>
  <c r="AA91" i="39"/>
  <c r="AA90" i="39"/>
  <c r="AA89" i="39"/>
  <c r="AA88" i="39"/>
  <c r="AA87" i="39"/>
  <c r="AA86" i="39"/>
  <c r="AA85" i="39"/>
  <c r="AA84" i="39"/>
  <c r="AA83" i="39"/>
  <c r="AA82" i="39"/>
  <c r="AA81" i="39"/>
  <c r="AA80" i="39"/>
  <c r="AA79" i="39"/>
  <c r="AA78" i="39"/>
  <c r="AA77" i="39"/>
  <c r="AA76" i="39"/>
  <c r="AA75" i="39"/>
  <c r="AA74" i="39"/>
  <c r="AA73" i="39"/>
  <c r="AA72" i="39"/>
  <c r="AA71" i="39"/>
  <c r="AA70" i="39"/>
  <c r="AA69" i="39"/>
  <c r="AA68" i="39"/>
  <c r="AA67" i="39"/>
  <c r="AA66" i="39"/>
  <c r="AA65" i="39"/>
  <c r="AA64" i="39"/>
  <c r="AA63" i="39"/>
  <c r="AA62" i="39"/>
  <c r="AA61" i="39"/>
  <c r="AA60" i="39"/>
  <c r="AA59" i="39"/>
  <c r="AA58" i="39"/>
  <c r="AA57" i="39"/>
  <c r="AA56" i="39"/>
  <c r="AA55" i="39"/>
  <c r="AA54" i="39"/>
  <c r="AA53" i="39"/>
  <c r="AA52" i="39"/>
  <c r="AA51" i="39"/>
  <c r="AA50" i="39"/>
  <c r="AA49" i="39"/>
  <c r="AA48" i="39"/>
  <c r="AA47" i="39"/>
  <c r="AA46" i="39"/>
  <c r="AA45" i="39"/>
  <c r="AA44" i="39"/>
  <c r="AA43" i="39"/>
  <c r="AA42" i="39"/>
  <c r="AA41" i="39"/>
  <c r="AA40" i="39"/>
  <c r="AA39" i="39"/>
  <c r="AA38" i="39"/>
  <c r="AA37" i="39"/>
  <c r="AA36" i="39"/>
  <c r="AA35" i="39"/>
  <c r="AA34" i="39"/>
  <c r="AA33" i="39"/>
  <c r="AA32" i="39"/>
  <c r="AA31" i="39"/>
  <c r="AA30" i="39"/>
  <c r="AA29" i="39"/>
  <c r="AA28" i="39"/>
  <c r="AA27" i="39"/>
  <c r="AA26" i="39"/>
  <c r="AA25" i="39"/>
  <c r="AA24" i="39"/>
  <c r="AA23" i="39"/>
  <c r="AA22" i="39"/>
  <c r="AA21" i="39"/>
  <c r="AA20" i="39"/>
  <c r="AA19" i="39"/>
  <c r="AA18" i="39"/>
  <c r="AA17" i="39"/>
  <c r="AA16" i="39"/>
  <c r="AA15" i="39"/>
  <c r="AA14" i="39"/>
  <c r="AA13" i="39"/>
  <c r="AA12" i="39"/>
  <c r="AA11" i="39"/>
  <c r="AA10" i="39"/>
  <c r="AA9" i="39"/>
  <c r="AA8" i="39"/>
  <c r="AA7" i="39"/>
  <c r="AA6" i="39"/>
  <c r="AA5" i="39"/>
  <c r="AA4" i="39"/>
  <c r="BE177" i="3" l="1"/>
  <c r="BD177" i="3"/>
  <c r="BV177" i="3"/>
  <c r="BU177" i="3"/>
  <c r="BT177" i="3"/>
  <c r="BF182" i="3"/>
  <c r="BT116" i="3"/>
  <c r="BT100" i="3"/>
  <c r="BT20" i="3"/>
  <c r="BT178" i="3"/>
  <c r="BU153" i="3"/>
  <c r="BT68" i="3"/>
  <c r="BF178" i="3"/>
  <c r="BT148" i="3"/>
  <c r="BU57" i="3"/>
  <c r="BU137" i="3"/>
  <c r="BT52" i="3"/>
  <c r="BT132" i="3"/>
  <c r="BU41" i="3"/>
  <c r="BT182" i="3"/>
  <c r="BU121" i="3"/>
  <c r="BT36" i="3"/>
  <c r="BU25" i="3"/>
  <c r="BU105" i="3"/>
  <c r="BU89" i="3"/>
  <c r="BU169" i="3"/>
  <c r="BT84" i="3"/>
  <c r="BT164" i="3"/>
  <c r="BU73" i="3"/>
  <c r="BU9" i="3"/>
  <c r="BU174" i="3"/>
  <c r="BT169" i="3"/>
  <c r="BU158" i="3"/>
  <c r="BT153" i="3"/>
  <c r="BU142" i="3"/>
  <c r="BT137" i="3"/>
  <c r="BU126" i="3"/>
  <c r="BT121" i="3"/>
  <c r="BU110" i="3"/>
  <c r="BT105" i="3"/>
  <c r="BU94" i="3"/>
  <c r="BT89" i="3"/>
  <c r="BU78" i="3"/>
  <c r="BT73" i="3"/>
  <c r="BU62" i="3"/>
  <c r="BT57" i="3"/>
  <c r="BU46" i="3"/>
  <c r="BT41" i="3"/>
  <c r="BW41" i="3" s="1"/>
  <c r="BU30" i="3"/>
  <c r="BT25" i="3"/>
  <c r="BU14" i="3"/>
  <c r="BT9" i="3"/>
  <c r="BE182" i="3"/>
  <c r="BT174" i="3"/>
  <c r="BU163" i="3"/>
  <c r="BT158" i="3"/>
  <c r="BU147" i="3"/>
  <c r="BT142" i="3"/>
  <c r="BU131" i="3"/>
  <c r="BT126" i="3"/>
  <c r="BU115" i="3"/>
  <c r="BT110" i="3"/>
  <c r="BU99" i="3"/>
  <c r="BT94" i="3"/>
  <c r="BU83" i="3"/>
  <c r="BT78" i="3"/>
  <c r="BU67" i="3"/>
  <c r="BT62" i="3"/>
  <c r="BU51" i="3"/>
  <c r="BT46" i="3"/>
  <c r="BU35" i="3"/>
  <c r="BT30" i="3"/>
  <c r="BU19" i="3"/>
  <c r="BT14" i="3"/>
  <c r="BU178" i="3"/>
  <c r="BW178" i="3" s="1"/>
  <c r="AA179" i="3"/>
  <c r="AN179" i="3"/>
  <c r="BD182" i="3"/>
  <c r="BU168" i="3"/>
  <c r="BT163" i="3"/>
  <c r="BU152" i="3"/>
  <c r="BT147" i="3"/>
  <c r="BU136" i="3"/>
  <c r="BT131" i="3"/>
  <c r="BU120" i="3"/>
  <c r="BT115" i="3"/>
  <c r="BU104" i="3"/>
  <c r="BT99" i="3"/>
  <c r="BU88" i="3"/>
  <c r="BT83" i="3"/>
  <c r="BU72" i="3"/>
  <c r="BT67" i="3"/>
  <c r="BU56" i="3"/>
  <c r="BT51" i="3"/>
  <c r="BU40" i="3"/>
  <c r="BT35" i="3"/>
  <c r="BU24" i="3"/>
  <c r="BT19" i="3"/>
  <c r="BU8" i="3"/>
  <c r="BU173" i="3"/>
  <c r="BT168" i="3"/>
  <c r="BU157" i="3"/>
  <c r="BT152" i="3"/>
  <c r="BW152" i="3" s="1"/>
  <c r="BU141" i="3"/>
  <c r="BT136" i="3"/>
  <c r="BU125" i="3"/>
  <c r="BT120" i="3"/>
  <c r="BU109" i="3"/>
  <c r="BT104" i="3"/>
  <c r="BU93" i="3"/>
  <c r="BT88" i="3"/>
  <c r="BU77" i="3"/>
  <c r="BT72" i="3"/>
  <c r="BU61" i="3"/>
  <c r="BT56" i="3"/>
  <c r="BU45" i="3"/>
  <c r="BT40" i="3"/>
  <c r="BU29" i="3"/>
  <c r="BT24" i="3"/>
  <c r="BU13" i="3"/>
  <c r="BT8" i="3"/>
  <c r="AA185" i="3"/>
  <c r="AC185" i="3" s="1"/>
  <c r="AD185" i="3" s="1"/>
  <c r="AN185" i="3"/>
  <c r="BT173" i="3"/>
  <c r="BU162" i="3"/>
  <c r="BT157" i="3"/>
  <c r="BU146" i="3"/>
  <c r="BT141" i="3"/>
  <c r="BU130" i="3"/>
  <c r="BT125" i="3"/>
  <c r="BU114" i="3"/>
  <c r="BT109" i="3"/>
  <c r="BU98" i="3"/>
  <c r="BT93" i="3"/>
  <c r="BU82" i="3"/>
  <c r="BT77" i="3"/>
  <c r="BU66" i="3"/>
  <c r="BT61" i="3"/>
  <c r="BU50" i="3"/>
  <c r="BW50" i="3" s="1"/>
  <c r="BT45" i="3"/>
  <c r="BU34" i="3"/>
  <c r="BT29" i="3"/>
  <c r="BU18" i="3"/>
  <c r="BT13" i="3"/>
  <c r="BE178" i="3"/>
  <c r="BU167" i="3"/>
  <c r="BT162" i="3"/>
  <c r="BU151" i="3"/>
  <c r="BT146" i="3"/>
  <c r="BU135" i="3"/>
  <c r="BT130" i="3"/>
  <c r="BU119" i="3"/>
  <c r="BT114" i="3"/>
  <c r="BU103" i="3"/>
  <c r="BT98" i="3"/>
  <c r="BU87" i="3"/>
  <c r="BT82" i="3"/>
  <c r="BU71" i="3"/>
  <c r="BT66" i="3"/>
  <c r="BU55" i="3"/>
  <c r="BT50" i="3"/>
  <c r="BU39" i="3"/>
  <c r="BT34" i="3"/>
  <c r="BU23" i="3"/>
  <c r="BT18" i="3"/>
  <c r="BU7" i="3"/>
  <c r="BD178" i="3"/>
  <c r="BU172" i="3"/>
  <c r="BT167" i="3"/>
  <c r="BU156" i="3"/>
  <c r="BT151" i="3"/>
  <c r="BU140" i="3"/>
  <c r="BT135" i="3"/>
  <c r="BU124" i="3"/>
  <c r="BT119" i="3"/>
  <c r="BU108" i="3"/>
  <c r="BT103" i="3"/>
  <c r="BU92" i="3"/>
  <c r="BT87" i="3"/>
  <c r="BU76" i="3"/>
  <c r="BT71" i="3"/>
  <c r="BU60" i="3"/>
  <c r="BT55" i="3"/>
  <c r="BU44" i="3"/>
  <c r="BT39" i="3"/>
  <c r="BU28" i="3"/>
  <c r="BT23" i="3"/>
  <c r="BU12" i="3"/>
  <c r="BT7" i="3"/>
  <c r="BT172" i="3"/>
  <c r="BU161" i="3"/>
  <c r="BT156" i="3"/>
  <c r="BU145" i="3"/>
  <c r="BT140" i="3"/>
  <c r="BU129" i="3"/>
  <c r="BT124" i="3"/>
  <c r="BU113" i="3"/>
  <c r="BT108" i="3"/>
  <c r="BU97" i="3"/>
  <c r="BT92" i="3"/>
  <c r="BU81" i="3"/>
  <c r="BT76" i="3"/>
  <c r="BU65" i="3"/>
  <c r="BT60" i="3"/>
  <c r="BU49" i="3"/>
  <c r="BT44" i="3"/>
  <c r="BU33" i="3"/>
  <c r="BT28" i="3"/>
  <c r="BU17" i="3"/>
  <c r="BT12" i="3"/>
  <c r="AA181" i="3"/>
  <c r="AC181" i="3" s="1"/>
  <c r="AD181" i="3" s="1"/>
  <c r="AN181" i="3"/>
  <c r="BU166" i="3"/>
  <c r="BT161" i="3"/>
  <c r="BU150" i="3"/>
  <c r="BT145" i="3"/>
  <c r="BU134" i="3"/>
  <c r="BT129" i="3"/>
  <c r="BU118" i="3"/>
  <c r="BT113" i="3"/>
  <c r="BU102" i="3"/>
  <c r="BT97" i="3"/>
  <c r="BU86" i="3"/>
  <c r="BT81" i="3"/>
  <c r="BU70" i="3"/>
  <c r="BT65" i="3"/>
  <c r="BU54" i="3"/>
  <c r="BT49" i="3"/>
  <c r="BU38" i="3"/>
  <c r="BT33" i="3"/>
  <c r="BU22" i="3"/>
  <c r="BT17" i="3"/>
  <c r="BU6" i="3"/>
  <c r="AA184" i="3"/>
  <c r="AC184" i="3" s="1"/>
  <c r="AD184" i="3" s="1"/>
  <c r="AN184" i="3"/>
  <c r="BU171" i="3"/>
  <c r="BT166" i="3"/>
  <c r="BU155" i="3"/>
  <c r="BT150" i="3"/>
  <c r="BU139" i="3"/>
  <c r="BT134" i="3"/>
  <c r="BU123" i="3"/>
  <c r="BT118" i="3"/>
  <c r="BU107" i="3"/>
  <c r="BT102" i="3"/>
  <c r="BU91" i="3"/>
  <c r="BT86" i="3"/>
  <c r="BU75" i="3"/>
  <c r="BT70" i="3"/>
  <c r="BU59" i="3"/>
  <c r="BT54" i="3"/>
  <c r="BU43" i="3"/>
  <c r="BT38" i="3"/>
  <c r="BU27" i="3"/>
  <c r="BT22" i="3"/>
  <c r="BU11" i="3"/>
  <c r="BT6" i="3"/>
  <c r="BU176" i="3"/>
  <c r="BT171" i="3"/>
  <c r="BU160" i="3"/>
  <c r="BT155" i="3"/>
  <c r="BU144" i="3"/>
  <c r="BT139" i="3"/>
  <c r="BU128" i="3"/>
  <c r="BT123" i="3"/>
  <c r="BU112" i="3"/>
  <c r="BT107" i="3"/>
  <c r="BU96" i="3"/>
  <c r="BT91" i="3"/>
  <c r="BU80" i="3"/>
  <c r="BT75" i="3"/>
  <c r="BU64" i="3"/>
  <c r="BT59" i="3"/>
  <c r="BU48" i="3"/>
  <c r="BT43" i="3"/>
  <c r="BU32" i="3"/>
  <c r="BT27" i="3"/>
  <c r="BU16" i="3"/>
  <c r="BT11" i="3"/>
  <c r="BT176" i="3"/>
  <c r="BU165" i="3"/>
  <c r="BT160" i="3"/>
  <c r="BU149" i="3"/>
  <c r="BT144" i="3"/>
  <c r="BU133" i="3"/>
  <c r="BT128" i="3"/>
  <c r="BU117" i="3"/>
  <c r="BT112" i="3"/>
  <c r="BU101" i="3"/>
  <c r="BT96" i="3"/>
  <c r="BU85" i="3"/>
  <c r="BT80" i="3"/>
  <c r="BU69" i="3"/>
  <c r="BT64" i="3"/>
  <c r="BU53" i="3"/>
  <c r="BT48" i="3"/>
  <c r="BU37" i="3"/>
  <c r="BT32" i="3"/>
  <c r="BU21" i="3"/>
  <c r="BT16" i="3"/>
  <c r="BU170" i="3"/>
  <c r="BT165" i="3"/>
  <c r="BU154" i="3"/>
  <c r="BT149" i="3"/>
  <c r="BU138" i="3"/>
  <c r="BT133" i="3"/>
  <c r="BU122" i="3"/>
  <c r="BT117" i="3"/>
  <c r="BU106" i="3"/>
  <c r="BT101" i="3"/>
  <c r="BU90" i="3"/>
  <c r="BT85" i="3"/>
  <c r="BU74" i="3"/>
  <c r="BT69" i="3"/>
  <c r="BU58" i="3"/>
  <c r="BT53" i="3"/>
  <c r="BU42" i="3"/>
  <c r="BT37" i="3"/>
  <c r="BU26" i="3"/>
  <c r="BT21" i="3"/>
  <c r="BU10" i="3"/>
  <c r="AA180" i="3"/>
  <c r="AC180" i="3" s="1"/>
  <c r="AD180" i="3" s="1"/>
  <c r="AN180" i="3"/>
  <c r="BU175" i="3"/>
  <c r="BT170" i="3"/>
  <c r="BU159" i="3"/>
  <c r="BT154" i="3"/>
  <c r="BU143" i="3"/>
  <c r="BT138" i="3"/>
  <c r="BU127" i="3"/>
  <c r="BT122" i="3"/>
  <c r="BU111" i="3"/>
  <c r="BT106" i="3"/>
  <c r="BU95" i="3"/>
  <c r="BT90" i="3"/>
  <c r="BU79" i="3"/>
  <c r="BT74" i="3"/>
  <c r="BU63" i="3"/>
  <c r="BT58" i="3"/>
  <c r="BU47" i="3"/>
  <c r="BT42" i="3"/>
  <c r="BU31" i="3"/>
  <c r="BT26" i="3"/>
  <c r="BU15" i="3"/>
  <c r="BT10" i="3"/>
  <c r="BU182" i="3"/>
  <c r="BW182" i="3" s="1"/>
  <c r="AA183" i="3"/>
  <c r="AC183" i="3" s="1"/>
  <c r="AD183" i="3" s="1"/>
  <c r="AN183" i="3"/>
  <c r="BT175" i="3"/>
  <c r="BU164" i="3"/>
  <c r="BT159" i="3"/>
  <c r="BU148" i="3"/>
  <c r="BT143" i="3"/>
  <c r="BU132" i="3"/>
  <c r="BT127" i="3"/>
  <c r="BU116" i="3"/>
  <c r="BT111" i="3"/>
  <c r="BU100" i="3"/>
  <c r="BW100" i="3" s="1"/>
  <c r="BT95" i="3"/>
  <c r="BU84" i="3"/>
  <c r="BT79" i="3"/>
  <c r="BU68" i="3"/>
  <c r="BT63" i="3"/>
  <c r="BU52" i="3"/>
  <c r="BT47" i="3"/>
  <c r="BU36" i="3"/>
  <c r="BT31" i="3"/>
  <c r="BU20" i="3"/>
  <c r="BT15" i="3"/>
  <c r="AA182" i="3"/>
  <c r="AC182" i="3" s="1"/>
  <c r="AD182" i="3" s="1"/>
  <c r="AA178" i="3"/>
  <c r="AC178" i="3" s="1"/>
  <c r="AD178" i="3" s="1"/>
  <c r="AA177" i="3"/>
  <c r="AC177" i="3" s="1"/>
  <c r="AD177" i="3" s="1"/>
  <c r="BG177" i="3" l="1"/>
  <c r="BW103" i="3"/>
  <c r="BW116" i="3"/>
  <c r="BW177" i="3"/>
  <c r="AJ87" i="68"/>
  <c r="AK87" i="68" s="1"/>
  <c r="AL87" i="68" s="1"/>
  <c r="BW57" i="3"/>
  <c r="BW119" i="3"/>
  <c r="BW52" i="3"/>
  <c r="BW27" i="3"/>
  <c r="BW155" i="3"/>
  <c r="BW71" i="3"/>
  <c r="BW36" i="3"/>
  <c r="BW130" i="3"/>
  <c r="BW20" i="3"/>
  <c r="BW64" i="3"/>
  <c r="BW11" i="3"/>
  <c r="BW77" i="3"/>
  <c r="BW163" i="3"/>
  <c r="BW169" i="3"/>
  <c r="BW87" i="3"/>
  <c r="BW65" i="3"/>
  <c r="BW170" i="3"/>
  <c r="BW18" i="3"/>
  <c r="BW146" i="3"/>
  <c r="BW40" i="3"/>
  <c r="BW168" i="3"/>
  <c r="BG182" i="3"/>
  <c r="BW117" i="3"/>
  <c r="BW80" i="3"/>
  <c r="BW124" i="3"/>
  <c r="BW9" i="3"/>
  <c r="BW137" i="3"/>
  <c r="BW25" i="3"/>
  <c r="BW93" i="3"/>
  <c r="BW28" i="3"/>
  <c r="BW101" i="3"/>
  <c r="BW29" i="3"/>
  <c r="BW157" i="3"/>
  <c r="BW46" i="3"/>
  <c r="BW174" i="3"/>
  <c r="BW121" i="3"/>
  <c r="BW31" i="3"/>
  <c r="BW159" i="3"/>
  <c r="BW33" i="3"/>
  <c r="BW160" i="3"/>
  <c r="BW61" i="3"/>
  <c r="BW83" i="3"/>
  <c r="BW14" i="3"/>
  <c r="BW142" i="3"/>
  <c r="BW138" i="3"/>
  <c r="BW70" i="3"/>
  <c r="BW153" i="3"/>
  <c r="BW95" i="3"/>
  <c r="BW26" i="3"/>
  <c r="BW154" i="3"/>
  <c r="BW90" i="3"/>
  <c r="BW139" i="3"/>
  <c r="BW86" i="3"/>
  <c r="BW22" i="3"/>
  <c r="BW150" i="3"/>
  <c r="BW97" i="3"/>
  <c r="BW55" i="3"/>
  <c r="BW24" i="3"/>
  <c r="BW35" i="3"/>
  <c r="BW110" i="3"/>
  <c r="BG178" i="3"/>
  <c r="BW164" i="3"/>
  <c r="BW68" i="3"/>
  <c r="BW161" i="3"/>
  <c r="BW133" i="3"/>
  <c r="BW91" i="3"/>
  <c r="BW7" i="3"/>
  <c r="BW135" i="3"/>
  <c r="AC179" i="3"/>
  <c r="AD179" i="3" s="1"/>
  <c r="BW148" i="3"/>
  <c r="BW84" i="3"/>
  <c r="BW89" i="3"/>
  <c r="BW105" i="3"/>
  <c r="BW32" i="3"/>
  <c r="BW76" i="3"/>
  <c r="BW151" i="3"/>
  <c r="BW85" i="3"/>
  <c r="BW118" i="3"/>
  <c r="BW125" i="3"/>
  <c r="BW15" i="3"/>
  <c r="BW108" i="3"/>
  <c r="BW132" i="3"/>
  <c r="BW51" i="3"/>
  <c r="BW47" i="3"/>
  <c r="BW175" i="3"/>
  <c r="BW166" i="3"/>
  <c r="BW49" i="3"/>
  <c r="BW82" i="3"/>
  <c r="BW34" i="3"/>
  <c r="BW162" i="3"/>
  <c r="BW104" i="3"/>
  <c r="BW56" i="3"/>
  <c r="BW115" i="3"/>
  <c r="BW62" i="3"/>
  <c r="BW16" i="3"/>
  <c r="BW144" i="3"/>
  <c r="BW60" i="3"/>
  <c r="BW73" i="3"/>
  <c r="BW106" i="3"/>
  <c r="BW42" i="3"/>
  <c r="BW38" i="3"/>
  <c r="BW102" i="3"/>
  <c r="BW111" i="3"/>
  <c r="BW53" i="3"/>
  <c r="BW96" i="3"/>
  <c r="BW43" i="3"/>
  <c r="BW171" i="3"/>
  <c r="BW113" i="3"/>
  <c r="BW12" i="3"/>
  <c r="BW140" i="3"/>
  <c r="BW45" i="3"/>
  <c r="BW173" i="3"/>
  <c r="BW109" i="3"/>
  <c r="BW67" i="3"/>
  <c r="BW126" i="3"/>
  <c r="BW63" i="3"/>
  <c r="BW122" i="3"/>
  <c r="BW58" i="3"/>
  <c r="BW21" i="3"/>
  <c r="BW149" i="3"/>
  <c r="BW107" i="3"/>
  <c r="BW54" i="3"/>
  <c r="BW23" i="3"/>
  <c r="BW98" i="3"/>
  <c r="BW120" i="3"/>
  <c r="BW72" i="3"/>
  <c r="BW131" i="3"/>
  <c r="BW78" i="3"/>
  <c r="BW127" i="3"/>
  <c r="BW69" i="3"/>
  <c r="BW112" i="3"/>
  <c r="BW59" i="3"/>
  <c r="BW129" i="3"/>
  <c r="BW156" i="3"/>
  <c r="BW79" i="3"/>
  <c r="BW10" i="3"/>
  <c r="BW74" i="3"/>
  <c r="BW37" i="3"/>
  <c r="BW165" i="3"/>
  <c r="BW123" i="3"/>
  <c r="BW6" i="3"/>
  <c r="BW134" i="3"/>
  <c r="BW81" i="3"/>
  <c r="BW39" i="3"/>
  <c r="BW167" i="3"/>
  <c r="BW114" i="3"/>
  <c r="BW66" i="3"/>
  <c r="BW8" i="3"/>
  <c r="BW136" i="3"/>
  <c r="BW88" i="3"/>
  <c r="BW19" i="3"/>
  <c r="BW147" i="3"/>
  <c r="BW94" i="3"/>
  <c r="BW143" i="3"/>
  <c r="BW48" i="3"/>
  <c r="BW176" i="3"/>
  <c r="BW128" i="3"/>
  <c r="BW75" i="3"/>
  <c r="BW17" i="3"/>
  <c r="BW145" i="3"/>
  <c r="BW92" i="3"/>
  <c r="BW44" i="3"/>
  <c r="BW172" i="3"/>
  <c r="BW13" i="3"/>
  <c r="BW141" i="3"/>
  <c r="BW99" i="3"/>
  <c r="BW30" i="3"/>
  <c r="BW158" i="3"/>
  <c r="AO183" i="3"/>
  <c r="BD183" i="3"/>
  <c r="BT183" i="3"/>
  <c r="AO179" i="3"/>
  <c r="BT179" i="3"/>
  <c r="BD179" i="3"/>
  <c r="AO184" i="3"/>
  <c r="BD184" i="3"/>
  <c r="BT184" i="3"/>
  <c r="AO185" i="3"/>
  <c r="BD185" i="3"/>
  <c r="BT185" i="3"/>
  <c r="AO181" i="3"/>
  <c r="BD181" i="3"/>
  <c r="BT181" i="3"/>
  <c r="AO180" i="3"/>
  <c r="BD180" i="3"/>
  <c r="BT180" i="3"/>
  <c r="E42" i="34"/>
  <c r="G42" i="34" s="1"/>
  <c r="E33" i="34"/>
  <c r="G33" i="34" s="1"/>
  <c r="E53" i="34"/>
  <c r="G53" i="34" s="1"/>
  <c r="G47" i="34"/>
  <c r="E48" i="34"/>
  <c r="G48" i="34" s="1"/>
  <c r="E50" i="34"/>
  <c r="E24" i="34"/>
  <c r="E34" i="34" s="1"/>
  <c r="G44" i="34"/>
  <c r="G51" i="34"/>
  <c r="G52" i="34"/>
  <c r="A2" i="9" l="1" a="1"/>
  <c r="A2" i="9" s="1"/>
  <c r="AP180" i="3"/>
  <c r="BE180" i="3"/>
  <c r="BU180" i="3"/>
  <c r="AP181" i="3"/>
  <c r="BE181" i="3"/>
  <c r="BU181" i="3"/>
  <c r="AP185" i="3"/>
  <c r="BE185" i="3"/>
  <c r="BU185" i="3"/>
  <c r="AP184" i="3"/>
  <c r="BE184" i="3"/>
  <c r="BU184" i="3"/>
  <c r="AP179" i="3"/>
  <c r="BU179" i="3"/>
  <c r="BE179" i="3"/>
  <c r="AP183" i="3"/>
  <c r="BE183" i="3"/>
  <c r="BU183" i="3"/>
  <c r="G6" i="34"/>
  <c r="BF184" i="3" l="1"/>
  <c r="BG184" i="3" s="1"/>
  <c r="BV184" i="3"/>
  <c r="BW184" i="3" s="1"/>
  <c r="BF183" i="3"/>
  <c r="BG183" i="3" s="1"/>
  <c r="BV183" i="3"/>
  <c r="BW183" i="3" s="1"/>
  <c r="BV185" i="3"/>
  <c r="BW185" i="3" s="1"/>
  <c r="BF185" i="3"/>
  <c r="BG185" i="3" s="1"/>
  <c r="BF181" i="3"/>
  <c r="BG181" i="3" s="1"/>
  <c r="BV181" i="3"/>
  <c r="BW181" i="3" s="1"/>
  <c r="BV179" i="3"/>
  <c r="BW179" i="3" s="1"/>
  <c r="BF179" i="3"/>
  <c r="BG179" i="3" s="1"/>
  <c r="BF180" i="3"/>
  <c r="BG180" i="3" s="1"/>
  <c r="BV180" i="3"/>
  <c r="BW180" i="3" s="1"/>
  <c r="BQ87" i="68" l="1"/>
  <c r="BR87" i="68" s="1"/>
  <c r="BS87" i="68" s="1"/>
  <c r="C123" i="3" l="1"/>
  <c r="A123" i="3"/>
  <c r="G123" i="3"/>
  <c r="M123" i="3"/>
  <c r="AA123" i="3"/>
  <c r="AC123" i="3" s="1"/>
  <c r="AD123" i="3" s="1"/>
  <c r="BD123" i="3"/>
  <c r="BE123" i="3"/>
  <c r="BF123" i="3"/>
  <c r="C122" i="3"/>
  <c r="A122" i="3"/>
  <c r="G122" i="3"/>
  <c r="M122" i="3"/>
  <c r="AA122" i="3"/>
  <c r="AC122" i="3" s="1"/>
  <c r="AD122" i="3" s="1"/>
  <c r="BD122" i="3"/>
  <c r="BE122" i="3"/>
  <c r="BF122" i="3"/>
  <c r="C116" i="3"/>
  <c r="G116" i="3"/>
  <c r="A116" i="3"/>
  <c r="M116" i="3"/>
  <c r="AA116" i="3"/>
  <c r="AC116" i="3" s="1"/>
  <c r="AD116" i="3" s="1"/>
  <c r="BD116" i="3"/>
  <c r="BE116" i="3"/>
  <c r="BF116" i="3"/>
  <c r="BG123" i="3" l="1"/>
  <c r="BG122" i="3"/>
  <c r="BG116" i="3"/>
  <c r="BF73" i="3" l="1"/>
  <c r="BE73" i="3"/>
  <c r="BD73" i="3"/>
  <c r="BF26" i="3"/>
  <c r="BE26" i="3"/>
  <c r="BD26" i="3"/>
  <c r="BF92" i="3"/>
  <c r="BE92" i="3"/>
  <c r="BD92" i="3"/>
  <c r="BF151" i="3"/>
  <c r="BE151" i="3"/>
  <c r="BD151" i="3"/>
  <c r="BF17" i="3"/>
  <c r="BE17" i="3"/>
  <c r="BD17" i="3"/>
  <c r="BF58" i="3"/>
  <c r="BE58" i="3"/>
  <c r="BD58" i="3"/>
  <c r="BF80" i="3"/>
  <c r="BE80" i="3"/>
  <c r="BD80" i="3"/>
  <c r="BF16" i="3"/>
  <c r="BE16" i="3"/>
  <c r="BD16" i="3"/>
  <c r="BF61" i="3"/>
  <c r="BE61" i="3"/>
  <c r="BD61" i="3"/>
  <c r="BF59" i="3"/>
  <c r="BE59" i="3"/>
  <c r="BD59" i="3"/>
  <c r="BF124" i="3"/>
  <c r="BE124" i="3"/>
  <c r="BD124" i="3"/>
  <c r="BF101" i="3"/>
  <c r="BE101" i="3"/>
  <c r="BD101" i="3"/>
  <c r="BF38" i="3"/>
  <c r="BE38" i="3"/>
  <c r="BD38" i="3"/>
  <c r="BF96" i="3"/>
  <c r="BE96" i="3"/>
  <c r="BD96" i="3"/>
  <c r="BF60" i="3"/>
  <c r="BE60" i="3"/>
  <c r="BD60" i="3"/>
  <c r="BF30" i="3"/>
  <c r="BE30" i="3"/>
  <c r="BD30" i="3"/>
  <c r="BF43" i="3"/>
  <c r="BE43" i="3"/>
  <c r="BD43" i="3"/>
  <c r="BF135" i="3"/>
  <c r="BE135" i="3"/>
  <c r="BD135" i="3"/>
  <c r="BF114" i="3"/>
  <c r="BE114" i="3"/>
  <c r="BD114" i="3"/>
  <c r="BF108" i="3"/>
  <c r="BE108" i="3"/>
  <c r="BD108" i="3"/>
  <c r="BF136" i="3"/>
  <c r="BE136" i="3"/>
  <c r="BD136" i="3"/>
  <c r="BF110" i="3"/>
  <c r="BE110" i="3"/>
  <c r="BD110" i="3"/>
  <c r="BF77" i="3"/>
  <c r="BE77" i="3"/>
  <c r="BD77" i="3"/>
  <c r="BF41" i="3"/>
  <c r="BE41" i="3"/>
  <c r="BD41" i="3"/>
  <c r="BF33" i="3"/>
  <c r="BE33" i="3"/>
  <c r="BD33" i="3"/>
  <c r="BF12" i="3"/>
  <c r="BE12" i="3"/>
  <c r="BD12" i="3"/>
  <c r="BF95" i="3"/>
  <c r="BE95" i="3"/>
  <c r="BD95" i="3"/>
  <c r="BF100" i="3"/>
  <c r="BE100" i="3"/>
  <c r="BD100" i="3"/>
  <c r="BF18" i="3"/>
  <c r="BE18" i="3"/>
  <c r="BD18" i="3"/>
  <c r="BF37" i="3"/>
  <c r="BE37" i="3"/>
  <c r="BD37" i="3"/>
  <c r="BF10" i="3"/>
  <c r="BE10" i="3"/>
  <c r="BD10" i="3"/>
  <c r="BF40" i="3"/>
  <c r="BE40" i="3"/>
  <c r="BD40" i="3"/>
  <c r="BF98" i="3"/>
  <c r="BE98" i="3"/>
  <c r="BD98" i="3"/>
  <c r="BF23" i="3"/>
  <c r="BE23" i="3"/>
  <c r="BD23" i="3"/>
  <c r="BF87" i="3"/>
  <c r="BE87" i="3"/>
  <c r="BD87" i="3"/>
  <c r="BF67" i="3"/>
  <c r="BE67" i="3"/>
  <c r="BD67" i="3"/>
  <c r="BF162" i="3"/>
  <c r="BE162" i="3"/>
  <c r="BD162" i="3"/>
  <c r="BF51" i="3"/>
  <c r="BE51" i="3"/>
  <c r="BD51" i="3"/>
  <c r="BF28" i="3"/>
  <c r="BE28" i="3"/>
  <c r="BD28" i="3"/>
  <c r="BF47" i="3"/>
  <c r="BE47" i="3"/>
  <c r="BD47" i="3"/>
  <c r="BF42" i="3"/>
  <c r="BE42" i="3"/>
  <c r="BD42" i="3"/>
  <c r="BF99" i="3"/>
  <c r="BE99" i="3"/>
  <c r="BD99" i="3"/>
  <c r="BF137" i="3"/>
  <c r="BE137" i="3"/>
  <c r="BD137" i="3"/>
  <c r="BF94" i="3"/>
  <c r="BE94" i="3"/>
  <c r="BD94" i="3"/>
  <c r="BF7" i="3"/>
  <c r="BE7" i="3"/>
  <c r="BD7" i="3"/>
  <c r="BF76" i="3"/>
  <c r="BE76" i="3"/>
  <c r="BD76" i="3"/>
  <c r="BF75" i="3"/>
  <c r="BE75" i="3"/>
  <c r="BD75" i="3"/>
  <c r="BF56" i="3"/>
  <c r="BE56" i="3"/>
  <c r="BD56" i="3"/>
  <c r="BF78" i="3"/>
  <c r="BE78" i="3"/>
  <c r="BD78" i="3"/>
  <c r="BF6" i="3"/>
  <c r="BE6" i="3"/>
  <c r="BD6" i="3"/>
  <c r="BF21" i="3"/>
  <c r="BE21" i="3"/>
  <c r="BD21" i="3"/>
  <c r="BF161" i="3"/>
  <c r="BE161" i="3"/>
  <c r="BD161" i="3"/>
  <c r="BF69" i="3"/>
  <c r="BE69" i="3"/>
  <c r="BD69" i="3"/>
  <c r="BF163" i="3"/>
  <c r="BE163" i="3"/>
  <c r="BD163" i="3"/>
  <c r="BF107" i="3"/>
  <c r="BE107" i="3"/>
  <c r="BD107" i="3"/>
  <c r="BF115" i="3"/>
  <c r="BE115" i="3"/>
  <c r="BD115" i="3"/>
  <c r="BF133" i="3"/>
  <c r="BE133" i="3"/>
  <c r="BD133" i="3"/>
  <c r="BF140" i="3"/>
  <c r="BE140" i="3"/>
  <c r="BD140" i="3"/>
  <c r="BF105" i="3"/>
  <c r="BE105" i="3"/>
  <c r="BD105" i="3"/>
  <c r="BF11" i="3"/>
  <c r="BE11" i="3"/>
  <c r="BD11" i="3"/>
  <c r="BF171" i="3"/>
  <c r="BE171" i="3"/>
  <c r="BD171" i="3"/>
  <c r="BF134" i="3"/>
  <c r="BE134" i="3"/>
  <c r="BD134" i="3"/>
  <c r="BF19" i="3"/>
  <c r="BE19" i="3"/>
  <c r="BD19" i="3"/>
  <c r="BF126" i="3"/>
  <c r="BE126" i="3"/>
  <c r="BD126" i="3"/>
  <c r="BF127" i="3"/>
  <c r="BE127" i="3"/>
  <c r="BD127" i="3"/>
  <c r="BF68" i="3"/>
  <c r="BE68" i="3"/>
  <c r="BD68" i="3"/>
  <c r="BF148" i="3"/>
  <c r="BE148" i="3"/>
  <c r="BD148" i="3"/>
  <c r="BF159" i="3"/>
  <c r="BE159" i="3"/>
  <c r="BD159" i="3"/>
  <c r="BF155" i="3"/>
  <c r="BE155" i="3"/>
  <c r="BD155" i="3"/>
  <c r="BF154" i="3"/>
  <c r="BE154" i="3"/>
  <c r="BD154" i="3"/>
  <c r="BF153" i="3"/>
  <c r="BE153" i="3"/>
  <c r="BD153" i="3"/>
  <c r="BF146" i="3"/>
  <c r="BE146" i="3"/>
  <c r="BD146" i="3"/>
  <c r="BF145" i="3"/>
  <c r="BE145" i="3"/>
  <c r="BD145" i="3"/>
  <c r="BF113" i="3"/>
  <c r="BE113" i="3"/>
  <c r="BD113" i="3"/>
  <c r="BF112" i="3"/>
  <c r="BE112" i="3"/>
  <c r="BD112" i="3"/>
  <c r="BF158" i="3"/>
  <c r="BE158" i="3"/>
  <c r="BD158" i="3"/>
  <c r="BF91" i="3"/>
  <c r="BE91" i="3"/>
  <c r="BD91" i="3"/>
  <c r="BF82" i="3"/>
  <c r="BE82" i="3"/>
  <c r="BD82" i="3"/>
  <c r="BF157" i="3"/>
  <c r="BE157" i="3"/>
  <c r="BD157" i="3"/>
  <c r="BF79" i="3"/>
  <c r="BE79" i="3"/>
  <c r="BD79" i="3"/>
  <c r="BF156" i="3"/>
  <c r="BE156" i="3"/>
  <c r="BD156" i="3"/>
  <c r="BF70" i="3"/>
  <c r="BE70" i="3"/>
  <c r="BD70" i="3"/>
  <c r="BF54" i="3"/>
  <c r="BE54" i="3"/>
  <c r="BD54" i="3"/>
  <c r="BF63" i="3"/>
  <c r="BE63" i="3"/>
  <c r="BD63" i="3"/>
  <c r="BF150" i="3"/>
  <c r="BE150" i="3"/>
  <c r="BD150" i="3"/>
  <c r="BF74" i="3"/>
  <c r="BE74" i="3"/>
  <c r="BD74" i="3"/>
  <c r="BF139" i="3"/>
  <c r="BE139" i="3"/>
  <c r="BD139" i="3"/>
  <c r="BF52" i="3"/>
  <c r="BE52" i="3"/>
  <c r="BD52" i="3"/>
  <c r="BF160" i="3"/>
  <c r="BE160" i="3"/>
  <c r="BD160" i="3"/>
  <c r="BF85" i="3"/>
  <c r="BE85" i="3"/>
  <c r="BD85" i="3"/>
  <c r="BF65" i="3"/>
  <c r="BE65" i="3"/>
  <c r="BD65" i="3"/>
  <c r="BF22" i="3"/>
  <c r="BE22" i="3"/>
  <c r="BD22" i="3"/>
  <c r="BF138" i="3"/>
  <c r="BE138" i="3"/>
  <c r="BD138" i="3"/>
  <c r="BF121" i="3"/>
  <c r="BE121" i="3"/>
  <c r="BD121" i="3"/>
  <c r="BF152" i="3"/>
  <c r="BE152" i="3"/>
  <c r="BD152" i="3"/>
  <c r="BF35" i="3"/>
  <c r="BE35" i="3"/>
  <c r="BD35" i="3"/>
  <c r="BF176" i="3"/>
  <c r="BE176" i="3"/>
  <c r="BD176" i="3"/>
  <c r="BF175" i="3"/>
  <c r="BE175" i="3"/>
  <c r="BD175" i="3"/>
  <c r="BF174" i="3"/>
  <c r="BE174" i="3"/>
  <c r="BD174" i="3"/>
  <c r="BF173" i="3"/>
  <c r="BE173" i="3"/>
  <c r="BD173" i="3"/>
  <c r="BF172" i="3"/>
  <c r="BE172" i="3"/>
  <c r="BD172" i="3"/>
  <c r="BF118" i="3"/>
  <c r="BE118" i="3"/>
  <c r="BD118" i="3"/>
  <c r="BF144" i="3"/>
  <c r="BE144" i="3"/>
  <c r="BD144" i="3"/>
  <c r="BF84" i="3"/>
  <c r="BE84" i="3"/>
  <c r="BD84" i="3"/>
  <c r="BF93" i="3"/>
  <c r="BE93" i="3"/>
  <c r="BD93" i="3"/>
  <c r="BF53" i="3"/>
  <c r="BE53" i="3"/>
  <c r="BD53" i="3"/>
  <c r="BF109" i="3"/>
  <c r="BE109" i="3"/>
  <c r="BD109" i="3"/>
  <c r="BF111" i="3"/>
  <c r="BE111" i="3"/>
  <c r="BD111" i="3"/>
  <c r="BF36" i="3"/>
  <c r="BE36" i="3"/>
  <c r="BD36" i="3"/>
  <c r="BF66" i="3"/>
  <c r="BE66" i="3"/>
  <c r="BD66" i="3"/>
  <c r="BF89" i="3"/>
  <c r="BE89" i="3"/>
  <c r="BD89" i="3"/>
  <c r="BF46" i="3"/>
  <c r="BE46" i="3"/>
  <c r="BD46" i="3"/>
  <c r="BF147" i="3"/>
  <c r="BE147" i="3"/>
  <c r="BD147" i="3"/>
  <c r="BF103" i="3"/>
  <c r="BE103" i="3"/>
  <c r="BD103" i="3"/>
  <c r="BF34" i="3"/>
  <c r="BE34" i="3"/>
  <c r="BD34" i="3"/>
  <c r="BF13" i="3"/>
  <c r="BE13" i="3"/>
  <c r="BD13" i="3"/>
  <c r="BF48" i="3"/>
  <c r="BE48" i="3"/>
  <c r="BD48" i="3"/>
  <c r="BF32" i="3"/>
  <c r="BE32" i="3"/>
  <c r="BD32" i="3"/>
  <c r="BF15" i="3"/>
  <c r="BE15" i="3"/>
  <c r="BD15" i="3"/>
  <c r="BF97" i="3"/>
  <c r="BE97" i="3"/>
  <c r="BD97" i="3"/>
  <c r="BF62" i="3"/>
  <c r="BE62" i="3"/>
  <c r="BD62" i="3"/>
  <c r="BF128" i="3"/>
  <c r="BE128" i="3"/>
  <c r="BD128" i="3"/>
  <c r="BF27" i="3"/>
  <c r="BE27" i="3"/>
  <c r="BD27" i="3"/>
  <c r="BF106" i="3"/>
  <c r="BE106" i="3"/>
  <c r="BD106" i="3"/>
  <c r="BF24" i="3"/>
  <c r="BE24" i="3"/>
  <c r="BD24" i="3"/>
  <c r="BF29" i="3"/>
  <c r="BE29" i="3"/>
  <c r="BD29" i="3"/>
  <c r="BF90" i="3"/>
  <c r="BE90" i="3"/>
  <c r="BD90" i="3"/>
  <c r="BF120" i="3"/>
  <c r="BE120" i="3"/>
  <c r="BD120" i="3"/>
  <c r="BF55" i="3"/>
  <c r="BE55" i="3"/>
  <c r="BD55" i="3"/>
  <c r="BF14" i="3"/>
  <c r="BE14" i="3"/>
  <c r="BD14" i="3"/>
  <c r="BF86" i="3"/>
  <c r="BE86" i="3"/>
  <c r="BD86" i="3"/>
  <c r="BF88" i="3"/>
  <c r="BE88" i="3"/>
  <c r="BD88" i="3"/>
  <c r="BF64" i="3"/>
  <c r="BE64" i="3"/>
  <c r="BD64" i="3"/>
  <c r="BF119" i="3"/>
  <c r="BE119" i="3"/>
  <c r="BD119" i="3"/>
  <c r="BF25" i="3"/>
  <c r="BE25" i="3"/>
  <c r="BD25" i="3"/>
  <c r="BF39" i="3"/>
  <c r="BE39" i="3"/>
  <c r="BD39" i="3"/>
  <c r="BF149" i="3"/>
  <c r="BE149" i="3"/>
  <c r="BD149" i="3"/>
  <c r="BF170" i="3"/>
  <c r="BE170" i="3"/>
  <c r="BD170" i="3"/>
  <c r="BF169" i="3"/>
  <c r="BE169" i="3"/>
  <c r="BD169" i="3"/>
  <c r="BF168" i="3"/>
  <c r="BE168" i="3"/>
  <c r="BD168" i="3"/>
  <c r="BF167" i="3"/>
  <c r="BE167" i="3"/>
  <c r="BD167" i="3"/>
  <c r="BF166" i="3"/>
  <c r="BE166" i="3"/>
  <c r="BD166" i="3"/>
  <c r="BF165" i="3"/>
  <c r="BE165" i="3"/>
  <c r="BD165" i="3"/>
  <c r="BF164" i="3"/>
  <c r="BE164" i="3"/>
  <c r="BD164" i="3"/>
  <c r="BF44" i="3"/>
  <c r="BE44" i="3"/>
  <c r="BD44" i="3"/>
  <c r="BF20" i="3"/>
  <c r="BE20" i="3"/>
  <c r="BD20" i="3"/>
  <c r="BF132" i="3"/>
  <c r="BE132" i="3"/>
  <c r="BD132" i="3"/>
  <c r="BF50" i="3"/>
  <c r="BE50" i="3"/>
  <c r="BD50" i="3"/>
  <c r="BF9" i="3"/>
  <c r="BE9" i="3"/>
  <c r="BD9" i="3"/>
  <c r="BF143" i="3"/>
  <c r="BE143" i="3"/>
  <c r="BD143" i="3"/>
  <c r="BF142" i="3"/>
  <c r="BE142" i="3"/>
  <c r="BD142" i="3"/>
  <c r="BF141" i="3"/>
  <c r="BE141" i="3"/>
  <c r="BD141" i="3"/>
  <c r="BF131" i="3"/>
  <c r="BE131" i="3"/>
  <c r="BD131" i="3"/>
  <c r="BF129" i="3"/>
  <c r="BE129" i="3"/>
  <c r="BD129" i="3"/>
  <c r="BF45" i="3"/>
  <c r="BE45" i="3"/>
  <c r="BD45" i="3"/>
  <c r="BF117" i="3"/>
  <c r="BE117" i="3"/>
  <c r="BD117" i="3"/>
  <c r="BF8" i="3"/>
  <c r="BE8" i="3"/>
  <c r="BD8" i="3"/>
  <c r="BF31" i="3"/>
  <c r="BE31" i="3"/>
  <c r="BD31" i="3"/>
  <c r="BF71" i="3"/>
  <c r="BE71" i="3"/>
  <c r="BD71" i="3"/>
  <c r="BF102" i="3"/>
  <c r="BE102" i="3"/>
  <c r="BD102" i="3"/>
  <c r="BF104" i="3"/>
  <c r="BE104" i="3"/>
  <c r="BD104" i="3"/>
  <c r="BF81" i="3"/>
  <c r="BE81" i="3"/>
  <c r="BD81" i="3"/>
  <c r="BF130" i="3"/>
  <c r="BE130" i="3"/>
  <c r="BD130" i="3"/>
  <c r="BF83" i="3"/>
  <c r="BE83" i="3"/>
  <c r="BD83" i="3"/>
  <c r="BF125" i="3"/>
  <c r="BE125" i="3"/>
  <c r="BD125" i="3"/>
  <c r="BF72" i="3"/>
  <c r="BE72" i="3"/>
  <c r="BD72" i="3"/>
  <c r="BF49" i="3"/>
  <c r="BE49" i="3"/>
  <c r="BD49" i="3"/>
  <c r="BF57" i="3"/>
  <c r="BE57" i="3"/>
  <c r="BD57" i="3"/>
  <c r="BG151" i="3" l="1"/>
  <c r="BG33" i="3"/>
  <c r="BG38" i="3"/>
  <c r="BG73" i="3"/>
  <c r="BG42" i="3"/>
  <c r="BG170" i="3"/>
  <c r="BG29" i="3"/>
  <c r="BG27" i="3"/>
  <c r="BG139" i="3"/>
  <c r="BG108" i="3"/>
  <c r="BG147" i="3"/>
  <c r="BG54" i="3"/>
  <c r="BG91" i="3"/>
  <c r="BG159" i="3"/>
  <c r="BG105" i="3"/>
  <c r="BG94" i="3"/>
  <c r="BG22" i="3"/>
  <c r="BG153" i="3"/>
  <c r="BG9" i="3"/>
  <c r="BG16" i="3"/>
  <c r="BG71" i="3"/>
  <c r="BG99" i="3"/>
  <c r="BG49" i="3"/>
  <c r="BG45" i="3"/>
  <c r="BG141" i="3"/>
  <c r="BG163" i="3"/>
  <c r="BG120" i="3"/>
  <c r="BG13" i="3"/>
  <c r="BG168" i="3"/>
  <c r="BG40" i="3"/>
  <c r="BG95" i="3"/>
  <c r="BQ173" i="68" s="1"/>
  <c r="BR173" i="68" s="1"/>
  <c r="BS173" i="68" s="1"/>
  <c r="BG46" i="3"/>
  <c r="BG36" i="3"/>
  <c r="BG176" i="3"/>
  <c r="BG52" i="3"/>
  <c r="BG115" i="3"/>
  <c r="BG32" i="3"/>
  <c r="BG84" i="3"/>
  <c r="BG19" i="3"/>
  <c r="BG23" i="3"/>
  <c r="BG83" i="3"/>
  <c r="BG165" i="3"/>
  <c r="BG25" i="3"/>
  <c r="BG103" i="3"/>
  <c r="BG53" i="3"/>
  <c r="BG150" i="3"/>
  <c r="BG79" i="3"/>
  <c r="BG127" i="3"/>
  <c r="BG21" i="3"/>
  <c r="BG37" i="3"/>
  <c r="BG59" i="3"/>
  <c r="BG102" i="3"/>
  <c r="BG86" i="3"/>
  <c r="BG75" i="3"/>
  <c r="BG135" i="3"/>
  <c r="BG61" i="3"/>
  <c r="BG8" i="3"/>
  <c r="BG149" i="3"/>
  <c r="BG118" i="3"/>
  <c r="BG70" i="3"/>
  <c r="BG158" i="3"/>
  <c r="BG145" i="3"/>
  <c r="BG58" i="3"/>
  <c r="BG15" i="3"/>
  <c r="BG85" i="3"/>
  <c r="BG126" i="3"/>
  <c r="BG171" i="3"/>
  <c r="BG87" i="3"/>
  <c r="BG129" i="3"/>
  <c r="BG44" i="3"/>
  <c r="BG161" i="3"/>
  <c r="BG77" i="3"/>
  <c r="BG60" i="3"/>
  <c r="BG81" i="3"/>
  <c r="BG64" i="3"/>
  <c r="BG109" i="3"/>
  <c r="BG174" i="3"/>
  <c r="BG82" i="3"/>
  <c r="BG154" i="3"/>
  <c r="BG78" i="3"/>
  <c r="BG18" i="3"/>
  <c r="BG124" i="3"/>
  <c r="BG152" i="3"/>
  <c r="BG43" i="3"/>
  <c r="BG143" i="3"/>
  <c r="BG166" i="3"/>
  <c r="BG62" i="3"/>
  <c r="BG172" i="3"/>
  <c r="BG68" i="3"/>
  <c r="BG76" i="3"/>
  <c r="BG47" i="3"/>
  <c r="BG162" i="3"/>
  <c r="BG90" i="3"/>
  <c r="BG160" i="3"/>
  <c r="BG107" i="3"/>
  <c r="BG69" i="3"/>
  <c r="BG114" i="3"/>
  <c r="BG92" i="3"/>
  <c r="BG132" i="3"/>
  <c r="BG89" i="3"/>
  <c r="BG112" i="3"/>
  <c r="BG28" i="3"/>
  <c r="BG26" i="3"/>
  <c r="BG57" i="3"/>
  <c r="BG72" i="3"/>
  <c r="BG20" i="3"/>
  <c r="BG88" i="3"/>
  <c r="BG14" i="3"/>
  <c r="BG66" i="3"/>
  <c r="BG35" i="3"/>
  <c r="BG121" i="3"/>
  <c r="BG113" i="3"/>
  <c r="BG11" i="3"/>
  <c r="BG140" i="3"/>
  <c r="BG51" i="3"/>
  <c r="BG41" i="3"/>
  <c r="BG110" i="3"/>
  <c r="BG125" i="3"/>
  <c r="BG55" i="3"/>
  <c r="BG138" i="3"/>
  <c r="BG133" i="3"/>
  <c r="BG136" i="3"/>
  <c r="BG80" i="3"/>
  <c r="BG17" i="3"/>
  <c r="BG96" i="3"/>
  <c r="BG31" i="3"/>
  <c r="BG164" i="3"/>
  <c r="BG128" i="3"/>
  <c r="BG111" i="3"/>
  <c r="BG74" i="3"/>
  <c r="BG146" i="3"/>
  <c r="BG6" i="3"/>
  <c r="BG67" i="3"/>
  <c r="BG167" i="3"/>
  <c r="BG93" i="3"/>
  <c r="BG155" i="3"/>
  <c r="BG98" i="3"/>
  <c r="BG130" i="3"/>
  <c r="BG104" i="3"/>
  <c r="BG24" i="3"/>
  <c r="BG65" i="3"/>
  <c r="BG142" i="3"/>
  <c r="BG34" i="3"/>
  <c r="BG157" i="3"/>
  <c r="BG137" i="3"/>
  <c r="BG101" i="3"/>
  <c r="BG117" i="3"/>
  <c r="BG175" i="3"/>
  <c r="BG131" i="3"/>
  <c r="BG48" i="3"/>
  <c r="BG156" i="3"/>
  <c r="BG7" i="3"/>
  <c r="BG119" i="3"/>
  <c r="BG97" i="3"/>
  <c r="BG63" i="3"/>
  <c r="BG134" i="3"/>
  <c r="BG56" i="3"/>
  <c r="BG12" i="3"/>
  <c r="BG169" i="3"/>
  <c r="BG144" i="3"/>
  <c r="BG148" i="3"/>
  <c r="BG10" i="3"/>
  <c r="BG50" i="3"/>
  <c r="BG39" i="3"/>
  <c r="BG106" i="3"/>
  <c r="BG173" i="3"/>
  <c r="BG100" i="3"/>
  <c r="BG30" i="3"/>
  <c r="BQ57" i="68" l="1"/>
  <c r="BR57" i="68" s="1"/>
  <c r="BS57" i="68" s="1"/>
  <c r="BQ46" i="68"/>
  <c r="BR46" i="68" s="1"/>
  <c r="BS46" i="68" s="1"/>
  <c r="BQ65" i="68"/>
  <c r="BR65" i="68" s="1"/>
  <c r="BS65" i="68" s="1"/>
  <c r="BQ41" i="68"/>
  <c r="BR41" i="68" s="1"/>
  <c r="BS41" i="68" s="1"/>
  <c r="BQ127" i="68"/>
  <c r="BR127" i="68" s="1"/>
  <c r="BS127" i="68" s="1"/>
  <c r="BQ78" i="68"/>
  <c r="BR78" i="68" s="1"/>
  <c r="BS78" i="68" s="1"/>
  <c r="BQ27" i="68"/>
  <c r="BR27" i="68" s="1"/>
  <c r="BS27" i="68" s="1"/>
  <c r="BQ98" i="68"/>
  <c r="BR98" i="68" s="1"/>
  <c r="BS98" i="68" s="1"/>
  <c r="BQ115" i="68"/>
  <c r="BR115" i="68" s="1"/>
  <c r="BS115" i="68" s="1"/>
  <c r="BQ135" i="68"/>
  <c r="BR135" i="68" s="1"/>
  <c r="BS135" i="68" s="1"/>
  <c r="BQ128" i="68"/>
  <c r="BR128" i="68" s="1"/>
  <c r="BS128" i="68" s="1"/>
  <c r="BQ54" i="68"/>
  <c r="BR54" i="68" s="1"/>
  <c r="BS54" i="68" s="1"/>
  <c r="BQ147" i="68"/>
  <c r="BR147" i="68" s="1"/>
  <c r="BS147" i="68" s="1"/>
  <c r="BQ174" i="68"/>
  <c r="BR174" i="68" s="1"/>
  <c r="BS174" i="68" s="1"/>
  <c r="BQ142" i="68"/>
  <c r="BR142" i="68" s="1"/>
  <c r="BS142" i="68" s="1"/>
  <c r="BQ111" i="68"/>
  <c r="BR111" i="68" s="1"/>
  <c r="BS111" i="68" s="1"/>
  <c r="BQ124" i="68"/>
  <c r="BR124" i="68" s="1"/>
  <c r="BS124" i="68" s="1"/>
  <c r="BQ106" i="68"/>
  <c r="BR106" i="68" s="1"/>
  <c r="BS106" i="68" s="1"/>
  <c r="BQ32" i="68"/>
  <c r="BR32" i="68" s="1"/>
  <c r="BS32" i="68" s="1"/>
  <c r="BQ71" i="68"/>
  <c r="BR71" i="68" s="1"/>
  <c r="BS71" i="68" s="1"/>
  <c r="BQ139" i="68"/>
  <c r="BR139" i="68" s="1"/>
  <c r="BS139" i="68" s="1"/>
  <c r="BQ137" i="68"/>
  <c r="BR137" i="68" s="1"/>
  <c r="BS137" i="68" s="1"/>
  <c r="BQ163" i="68"/>
  <c r="BR163" i="68" s="1"/>
  <c r="BS163" i="68" s="1"/>
  <c r="BQ12" i="68"/>
  <c r="BR12" i="68" s="1"/>
  <c r="BS12" i="68" s="1"/>
  <c r="BQ97" i="68"/>
  <c r="BR97" i="68" s="1"/>
  <c r="BS97" i="68" s="1"/>
  <c r="BQ61" i="68"/>
  <c r="BR61" i="68" s="1"/>
  <c r="BS61" i="68" s="1"/>
  <c r="BQ159" i="68"/>
  <c r="BR159" i="68" s="1"/>
  <c r="BS159" i="68" s="1"/>
  <c r="BQ126" i="68"/>
  <c r="BR126" i="68" s="1"/>
  <c r="BS126" i="68" s="1"/>
  <c r="BQ117" i="68"/>
  <c r="BR117" i="68" s="1"/>
  <c r="BS117" i="68" s="1"/>
  <c r="BQ89" i="68"/>
  <c r="BR89" i="68" s="1"/>
  <c r="BS89" i="68" s="1"/>
  <c r="BQ149" i="68"/>
  <c r="BR149" i="68" s="1"/>
  <c r="BS149" i="68" s="1"/>
  <c r="BQ166" i="68"/>
  <c r="BR166" i="68" s="1"/>
  <c r="BS166" i="68" s="1"/>
  <c r="BQ64" i="68"/>
  <c r="BR64" i="68" s="1"/>
  <c r="BS64" i="68" s="1"/>
  <c r="BQ152" i="68"/>
  <c r="BR152" i="68" s="1"/>
  <c r="BS152" i="68" s="1"/>
  <c r="BQ68" i="68"/>
  <c r="BR68" i="68" s="1"/>
  <c r="BS68" i="68" s="1"/>
  <c r="BQ144" i="68"/>
  <c r="BR144" i="68" s="1"/>
  <c r="BS144" i="68" s="1"/>
  <c r="BQ136" i="68"/>
  <c r="BR136" i="68" s="1"/>
  <c r="BS136" i="68" s="1"/>
  <c r="BQ107" i="68"/>
  <c r="BR107" i="68" s="1"/>
  <c r="BS107" i="68" s="1"/>
  <c r="BQ9" i="68"/>
  <c r="BR9" i="68" s="1"/>
  <c r="BS9" i="68" s="1"/>
  <c r="BQ123" i="68"/>
  <c r="BR123" i="68" s="1"/>
  <c r="BS123" i="68" s="1"/>
  <c r="BQ69" i="68"/>
  <c r="BR69" i="68" s="1"/>
  <c r="BS69" i="68" s="1"/>
  <c r="BQ131" i="68"/>
  <c r="BR131" i="68" s="1"/>
  <c r="BS131" i="68" s="1"/>
  <c r="BQ110" i="68"/>
  <c r="BR110" i="68" s="1"/>
  <c r="BS110" i="68" s="1"/>
  <c r="BQ35" i="68"/>
  <c r="BR35" i="68" s="1"/>
  <c r="BS35" i="68" s="1"/>
  <c r="BQ94" i="68"/>
  <c r="BR94" i="68" s="1"/>
  <c r="BS94" i="68" s="1"/>
  <c r="BQ91" i="68"/>
  <c r="BR91" i="68" s="1"/>
  <c r="BS91" i="68" s="1"/>
  <c r="BQ148" i="68"/>
  <c r="BR148" i="68" s="1"/>
  <c r="BS148" i="68" s="1"/>
  <c r="BQ172" i="68"/>
  <c r="BR172" i="68" s="1"/>
  <c r="BS172" i="68" s="1"/>
  <c r="BQ120" i="68"/>
  <c r="BR120" i="68" s="1"/>
  <c r="BS120" i="68" s="1"/>
  <c r="BQ112" i="68"/>
  <c r="BR112" i="68" s="1"/>
  <c r="BS112" i="68" s="1"/>
  <c r="BQ130" i="68"/>
  <c r="BR130" i="68" s="1"/>
  <c r="BS130" i="68" s="1"/>
  <c r="BQ10" i="68"/>
  <c r="BR10" i="68" s="1"/>
  <c r="BS10" i="68" s="1"/>
  <c r="BQ108" i="68"/>
  <c r="BR108" i="68" s="1"/>
  <c r="BS108" i="68" s="1"/>
  <c r="BQ100" i="68"/>
  <c r="BR100" i="68" s="1"/>
  <c r="BS100" i="68" s="1"/>
  <c r="BQ132" i="68"/>
  <c r="BR132" i="68" s="1"/>
  <c r="BS132" i="68" s="1"/>
  <c r="BQ171" i="68"/>
  <c r="BR171" i="68" s="1"/>
  <c r="BS171" i="68" s="1"/>
  <c r="BQ63" i="68"/>
  <c r="BR63" i="68" s="1"/>
  <c r="BS63" i="68" s="1"/>
  <c r="BQ175" i="68"/>
  <c r="BR175" i="68" s="1"/>
  <c r="BS175" i="68" s="1"/>
  <c r="BQ26" i="68"/>
  <c r="BR26" i="68" s="1"/>
  <c r="BS26" i="68" s="1"/>
  <c r="BQ20" i="68"/>
  <c r="BR20" i="68" s="1"/>
  <c r="BS20" i="68" s="1"/>
  <c r="BQ66" i="68"/>
  <c r="BR66" i="68" s="1"/>
  <c r="BS66" i="68" s="1"/>
  <c r="BQ58" i="68"/>
  <c r="BR58" i="68" s="1"/>
  <c r="BS58" i="68" s="1"/>
  <c r="BQ119" i="68"/>
  <c r="BR119" i="68" s="1"/>
  <c r="BS119" i="68" s="1"/>
  <c r="BQ95" i="68"/>
  <c r="BR95" i="68" s="1"/>
  <c r="BS95" i="68" s="1"/>
  <c r="BQ101" i="68"/>
  <c r="BR101" i="68" s="1"/>
  <c r="BS101" i="68" s="1"/>
  <c r="BQ75" i="68"/>
  <c r="BR75" i="68" s="1"/>
  <c r="BS75" i="68" s="1"/>
  <c r="BQ76" i="68"/>
  <c r="BR76" i="68" s="1"/>
  <c r="BS76" i="68" s="1"/>
  <c r="BQ114" i="68"/>
  <c r="BR114" i="68" s="1"/>
  <c r="BS114" i="68" s="1"/>
  <c r="BQ84" i="68"/>
  <c r="BR84" i="68" s="1"/>
  <c r="BS84" i="68" s="1"/>
  <c r="BQ109" i="68"/>
  <c r="BR109" i="68" s="1"/>
  <c r="BS109" i="68" s="1"/>
  <c r="BQ56" i="68"/>
  <c r="BR56" i="68" s="1"/>
  <c r="BS56" i="68" s="1"/>
  <c r="BQ102" i="68"/>
  <c r="BR102" i="68" s="1"/>
  <c r="BS102" i="68" s="1"/>
  <c r="BQ80" i="68"/>
  <c r="BR80" i="68" s="1"/>
  <c r="BS80" i="68" s="1"/>
  <c r="BQ168" i="68"/>
  <c r="BR168" i="68" s="1"/>
  <c r="BS168" i="68" s="1"/>
  <c r="BQ43" i="68"/>
  <c r="BR43" i="68" s="1"/>
  <c r="BS43" i="68" s="1"/>
  <c r="BQ161" i="68"/>
  <c r="BR161" i="68" s="1"/>
  <c r="BS161" i="68" s="1"/>
  <c r="BQ118" i="68"/>
  <c r="BR118" i="68" s="1"/>
  <c r="BS118" i="68" s="1"/>
  <c r="BQ17" i="68"/>
  <c r="BR17" i="68" s="1"/>
  <c r="BS17" i="68" s="1"/>
  <c r="BQ62" i="68"/>
  <c r="BR62" i="68" s="1"/>
  <c r="BS62" i="68" s="1"/>
  <c r="BQ103" i="68"/>
  <c r="BR103" i="68" s="1"/>
  <c r="BS103" i="68" s="1"/>
  <c r="BQ37" i="68"/>
  <c r="BR37" i="68" s="1"/>
  <c r="BS37" i="68" s="1"/>
  <c r="BQ60" i="68"/>
  <c r="BR60" i="68" s="1"/>
  <c r="BS60" i="68" s="1"/>
  <c r="BQ143" i="68"/>
  <c r="BR143" i="68" s="1"/>
  <c r="BS143" i="68" s="1"/>
  <c r="BQ156" i="68"/>
  <c r="BR156" i="68" s="1"/>
  <c r="BS156" i="68" s="1"/>
  <c r="BQ160" i="68"/>
  <c r="BR160" i="68" s="1"/>
  <c r="BS160" i="68" s="1"/>
  <c r="BQ73" i="68"/>
  <c r="BR73" i="68" s="1"/>
  <c r="BS73" i="68" s="1"/>
  <c r="BQ96" i="68"/>
  <c r="BR96" i="68" s="1"/>
  <c r="BS96" i="68" s="1"/>
  <c r="BQ28" i="68"/>
  <c r="BR28" i="68" s="1"/>
  <c r="BS28" i="68" s="1"/>
  <c r="BQ14" i="68"/>
  <c r="BR14" i="68" s="1"/>
  <c r="BS14" i="68" s="1"/>
  <c r="BQ53" i="68"/>
  <c r="BR53" i="68" s="1"/>
  <c r="BS53" i="68" s="1"/>
  <c r="BQ92" i="68"/>
  <c r="BR92" i="68" s="1"/>
  <c r="BS92" i="68" s="1"/>
  <c r="BQ34" i="68"/>
  <c r="BR34" i="68" s="1"/>
  <c r="BS34" i="68" s="1"/>
  <c r="BQ29" i="68"/>
  <c r="BR29" i="68" s="1"/>
  <c r="BS29" i="68" s="1"/>
  <c r="BQ88" i="68"/>
  <c r="BR88" i="68" s="1"/>
  <c r="BS88" i="68" s="1"/>
  <c r="BQ169" i="68"/>
  <c r="BR169" i="68" s="1"/>
  <c r="BS169" i="68" s="1"/>
  <c r="BQ99" i="68"/>
  <c r="BR99" i="68" s="1"/>
  <c r="BS99" i="68" s="1"/>
  <c r="BQ145" i="68"/>
  <c r="BR145" i="68" s="1"/>
  <c r="BS145" i="68" s="1"/>
  <c r="BQ170" i="68"/>
  <c r="BR170" i="68" s="1"/>
  <c r="BS170" i="68" s="1"/>
  <c r="BQ11" i="68"/>
  <c r="BR11" i="68" s="1"/>
  <c r="BS11" i="68" s="1"/>
  <c r="BQ42" i="68"/>
  <c r="BR42" i="68" s="1"/>
  <c r="BS42" i="68" s="1"/>
  <c r="BQ134" i="68"/>
  <c r="BR134" i="68" s="1"/>
  <c r="BS134" i="68" s="1"/>
  <c r="BQ129" i="68"/>
  <c r="BR129" i="68" s="1"/>
  <c r="BS129" i="68" s="1"/>
  <c r="BQ105" i="68"/>
  <c r="BR105" i="68" s="1"/>
  <c r="BS105" i="68" s="1"/>
  <c r="BQ90" i="68"/>
  <c r="BR90" i="68" s="1"/>
  <c r="BS90" i="68" s="1"/>
  <c r="BQ122" i="68"/>
  <c r="BR122" i="68" s="1"/>
  <c r="BS122" i="68" s="1"/>
  <c r="BQ165" i="68"/>
  <c r="BR165" i="68" s="1"/>
  <c r="BS165" i="68" s="1"/>
  <c r="BQ141" i="68"/>
  <c r="BR141" i="68" s="1"/>
  <c r="BS141" i="68" s="1"/>
  <c r="BQ72" i="68"/>
  <c r="BR72" i="68" s="1"/>
  <c r="BS72" i="68" s="1"/>
  <c r="BQ153" i="68"/>
  <c r="BR153" i="68" s="1"/>
  <c r="BS153" i="68" s="1"/>
  <c r="BQ81" i="68"/>
  <c r="BR81" i="68" s="1"/>
  <c r="BS81" i="68" s="1"/>
  <c r="BQ155" i="68"/>
  <c r="BR155" i="68" s="1"/>
  <c r="BS155" i="68" s="1"/>
  <c r="BQ82" i="68"/>
  <c r="BR82" i="68" s="1"/>
  <c r="BS82" i="68" s="1"/>
  <c r="BQ85" i="68"/>
  <c r="BR85" i="68" s="1"/>
  <c r="BS85" i="68" s="1"/>
  <c r="BQ140" i="68"/>
  <c r="BR140" i="68" s="1"/>
  <c r="BS140" i="68" s="1"/>
  <c r="BQ167" i="68"/>
  <c r="BR167" i="68" s="1"/>
  <c r="BS167" i="68" s="1"/>
  <c r="BQ36" i="68"/>
  <c r="BR36" i="68" s="1"/>
  <c r="BS36" i="68" s="1"/>
  <c r="BQ113" i="68"/>
  <c r="BR113" i="68" s="1"/>
  <c r="BS113" i="68" s="1"/>
  <c r="BQ22" i="68"/>
  <c r="BR22" i="68" s="1"/>
  <c r="BS22" i="68" s="1"/>
  <c r="BQ59" i="68"/>
  <c r="BR59" i="68" s="1"/>
  <c r="BS59" i="68" s="1"/>
  <c r="BQ151" i="68"/>
  <c r="BR151" i="68" s="1"/>
  <c r="BS151" i="68" s="1"/>
  <c r="BQ121" i="68"/>
  <c r="BR121" i="68" s="1"/>
  <c r="BS121" i="68" s="1"/>
  <c r="BQ116" i="68"/>
  <c r="BR116" i="68" s="1"/>
  <c r="BS116" i="68" s="1"/>
  <c r="BQ154" i="68"/>
  <c r="BR154" i="68" s="1"/>
  <c r="BS154" i="68" s="1"/>
  <c r="BQ77" i="68"/>
  <c r="BR77" i="68" s="1"/>
  <c r="BS77" i="68" s="1"/>
  <c r="BQ164" i="68"/>
  <c r="BR164" i="68" s="1"/>
  <c r="BS164" i="68" s="1"/>
  <c r="BQ104" i="68"/>
  <c r="BR104" i="68" s="1"/>
  <c r="BS104" i="68" s="1"/>
  <c r="BQ44" i="68"/>
  <c r="BR44" i="68" s="1"/>
  <c r="BS44" i="68" s="1"/>
  <c r="BQ67" i="68"/>
  <c r="BR67" i="68" s="1"/>
  <c r="BS67" i="68" s="1"/>
  <c r="BQ74" i="68"/>
  <c r="BR74" i="68" s="1"/>
  <c r="BS74" i="68" s="1"/>
  <c r="BQ138" i="68"/>
  <c r="BR138" i="68" s="1"/>
  <c r="BS138" i="68" s="1"/>
  <c r="BQ30" i="68"/>
  <c r="BR30" i="68" s="1"/>
  <c r="BS30" i="68" s="1"/>
  <c r="BQ150" i="68"/>
  <c r="BR150" i="68" s="1"/>
  <c r="BS150" i="68" s="1"/>
  <c r="BQ162" i="68"/>
  <c r="BR162" i="68" s="1"/>
  <c r="BS162" i="68" s="1"/>
  <c r="BQ83" i="68"/>
  <c r="BR83" i="68" s="1"/>
  <c r="BS83" i="68" s="1"/>
  <c r="BQ79" i="68"/>
  <c r="BR79" i="68" s="1"/>
  <c r="BS79" i="68" s="1"/>
  <c r="BQ70" i="68"/>
  <c r="BR70" i="68" s="1"/>
  <c r="BS70" i="68" s="1"/>
  <c r="BQ55" i="68"/>
  <c r="BR55" i="68" s="1"/>
  <c r="BS55" i="68" s="1"/>
  <c r="BQ146" i="68"/>
  <c r="BR146" i="68" s="1"/>
  <c r="BS146" i="68" s="1"/>
  <c r="BQ158" i="68"/>
  <c r="BR158" i="68" s="1"/>
  <c r="BS158" i="68" s="1"/>
  <c r="BQ93" i="68"/>
  <c r="BR93" i="68" s="1"/>
  <c r="BS93" i="68" s="1"/>
  <c r="BQ133" i="68"/>
  <c r="BR133" i="68" s="1"/>
  <c r="BS133" i="68" s="1"/>
  <c r="BQ157" i="68"/>
  <c r="BR157" i="68" s="1"/>
  <c r="BS157" i="68" s="1"/>
  <c r="BQ7" i="68"/>
  <c r="BR7" i="68" s="1"/>
  <c r="BS7" i="68" s="1"/>
  <c r="BQ6" i="68"/>
  <c r="AA49" i="3"/>
  <c r="AA72" i="3"/>
  <c r="AA125" i="3"/>
  <c r="AA83" i="3"/>
  <c r="AA130" i="3"/>
  <c r="AA81" i="3"/>
  <c r="AA104" i="3"/>
  <c r="AA102" i="3"/>
  <c r="AA71" i="3"/>
  <c r="AA31" i="3"/>
  <c r="AA8" i="3"/>
  <c r="AA117" i="3"/>
  <c r="AA45" i="3"/>
  <c r="AA129" i="3"/>
  <c r="AA131" i="3"/>
  <c r="AA141" i="3"/>
  <c r="AA142" i="3"/>
  <c r="AA143" i="3"/>
  <c r="AA9" i="3"/>
  <c r="AA50" i="3"/>
  <c r="AA132" i="3"/>
  <c r="AA20" i="3"/>
  <c r="AA44" i="3"/>
  <c r="AA164" i="3"/>
  <c r="AA165" i="3"/>
  <c r="AA166" i="3"/>
  <c r="AA167" i="3"/>
  <c r="AA168" i="3"/>
  <c r="AA169" i="3"/>
  <c r="AA170" i="3"/>
  <c r="AA149" i="3"/>
  <c r="AA39" i="3"/>
  <c r="AA25" i="3"/>
  <c r="AA119" i="3"/>
  <c r="AA64" i="3"/>
  <c r="AA88" i="3"/>
  <c r="AA86" i="3"/>
  <c r="AA14" i="3"/>
  <c r="AA55" i="3"/>
  <c r="AA120" i="3"/>
  <c r="AA90" i="3"/>
  <c r="AA29" i="3"/>
  <c r="AA24" i="3"/>
  <c r="AA106" i="3"/>
  <c r="AA27" i="3"/>
  <c r="AA128" i="3"/>
  <c r="AA62" i="3"/>
  <c r="AA97" i="3"/>
  <c r="AA15" i="3"/>
  <c r="AA32" i="3"/>
  <c r="AA48" i="3"/>
  <c r="AA13" i="3"/>
  <c r="AA34" i="3"/>
  <c r="AA103" i="3"/>
  <c r="AA147" i="3"/>
  <c r="AA46" i="3"/>
  <c r="AA89" i="3"/>
  <c r="AA66" i="3"/>
  <c r="AA36" i="3"/>
  <c r="AA111" i="3"/>
  <c r="AA109" i="3"/>
  <c r="AA53" i="3"/>
  <c r="AA93" i="3"/>
  <c r="AA84" i="3"/>
  <c r="AA144" i="3"/>
  <c r="AA118" i="3"/>
  <c r="AA172" i="3"/>
  <c r="AA173" i="3"/>
  <c r="AA174" i="3"/>
  <c r="AA175" i="3"/>
  <c r="AA176" i="3"/>
  <c r="AA35" i="3"/>
  <c r="AA152" i="3"/>
  <c r="AA121" i="3"/>
  <c r="AA138" i="3"/>
  <c r="AA22" i="3"/>
  <c r="AA65" i="3"/>
  <c r="AA85" i="3"/>
  <c r="AA160" i="3"/>
  <c r="AA52" i="3"/>
  <c r="AA139" i="3"/>
  <c r="AA74" i="3"/>
  <c r="AA150" i="3"/>
  <c r="AA63" i="3"/>
  <c r="AA54" i="3"/>
  <c r="AA70" i="3"/>
  <c r="AA156" i="3"/>
  <c r="AA79" i="3"/>
  <c r="AA157" i="3"/>
  <c r="AA82" i="3"/>
  <c r="AA91" i="3"/>
  <c r="AA158" i="3"/>
  <c r="AA112" i="3"/>
  <c r="AA113" i="3"/>
  <c r="AA145" i="3"/>
  <c r="AA146" i="3"/>
  <c r="AA153" i="3"/>
  <c r="AA154" i="3"/>
  <c r="AA155" i="3"/>
  <c r="AA159" i="3"/>
  <c r="AA148" i="3"/>
  <c r="AA68" i="3"/>
  <c r="AA127" i="3"/>
  <c r="AA126" i="3"/>
  <c r="AA19" i="3"/>
  <c r="AA134" i="3"/>
  <c r="AA171" i="3"/>
  <c r="AA11" i="3"/>
  <c r="AA105" i="3"/>
  <c r="AA140" i="3"/>
  <c r="AA133" i="3"/>
  <c r="AA115" i="3"/>
  <c r="AA107" i="3"/>
  <c r="AA163" i="3"/>
  <c r="AA69" i="3"/>
  <c r="AA161" i="3"/>
  <c r="AA21" i="3"/>
  <c r="AA6" i="3"/>
  <c r="AA78" i="3"/>
  <c r="AA56" i="3"/>
  <c r="AA75" i="3"/>
  <c r="AA76" i="3"/>
  <c r="AA7" i="3"/>
  <c r="AA94" i="3"/>
  <c r="AA137" i="3"/>
  <c r="AA99" i="3"/>
  <c r="AA42" i="3"/>
  <c r="AA47" i="3"/>
  <c r="AA28" i="3"/>
  <c r="AA51" i="3"/>
  <c r="AA162" i="3"/>
  <c r="AA67" i="3"/>
  <c r="AA87" i="3"/>
  <c r="AA23" i="3"/>
  <c r="AA98" i="3"/>
  <c r="AA40" i="3"/>
  <c r="AA10" i="3"/>
  <c r="AA37" i="3"/>
  <c r="AA18" i="3"/>
  <c r="AA100" i="3"/>
  <c r="AA95" i="3"/>
  <c r="AJ173" i="68" s="1"/>
  <c r="AK173" i="68" s="1"/>
  <c r="AL173" i="68" s="1"/>
  <c r="AA12" i="3"/>
  <c r="AA33" i="3"/>
  <c r="AA41" i="3"/>
  <c r="AA77" i="3"/>
  <c r="AA110" i="3"/>
  <c r="AA136" i="3"/>
  <c r="AA108" i="3"/>
  <c r="AA114" i="3"/>
  <c r="AA135" i="3"/>
  <c r="AA43" i="3"/>
  <c r="AA30" i="3"/>
  <c r="AA60" i="3"/>
  <c r="AA96" i="3"/>
  <c r="AA38" i="3"/>
  <c r="AA101" i="3"/>
  <c r="AA124" i="3"/>
  <c r="AA59" i="3"/>
  <c r="AA61" i="3"/>
  <c r="AA16" i="3"/>
  <c r="AA80" i="3"/>
  <c r="AA58" i="3"/>
  <c r="AA17" i="3"/>
  <c r="AA151" i="3"/>
  <c r="AA92" i="3"/>
  <c r="AA26" i="3"/>
  <c r="AA73" i="3"/>
  <c r="AA57" i="3"/>
  <c r="M49" i="3"/>
  <c r="M72" i="3"/>
  <c r="M125" i="3"/>
  <c r="M83" i="3"/>
  <c r="M130" i="3"/>
  <c r="M81" i="3"/>
  <c r="M104" i="3"/>
  <c r="M102" i="3"/>
  <c r="M71" i="3"/>
  <c r="M31" i="3"/>
  <c r="M8" i="3"/>
  <c r="M117" i="3"/>
  <c r="M45" i="3"/>
  <c r="M129" i="3"/>
  <c r="M131" i="3"/>
  <c r="M141" i="3"/>
  <c r="M142" i="3"/>
  <c r="M143" i="3"/>
  <c r="M9" i="3"/>
  <c r="M50" i="3"/>
  <c r="M132" i="3"/>
  <c r="M20" i="3"/>
  <c r="M44" i="3"/>
  <c r="M164" i="3"/>
  <c r="M165" i="3"/>
  <c r="M166" i="3"/>
  <c r="M167" i="3"/>
  <c r="M168" i="3"/>
  <c r="M169" i="3"/>
  <c r="M170" i="3"/>
  <c r="M149" i="3"/>
  <c r="M39" i="3"/>
  <c r="M25" i="3"/>
  <c r="M119" i="3"/>
  <c r="M64" i="3"/>
  <c r="M88" i="3"/>
  <c r="M86" i="3"/>
  <c r="M14" i="3"/>
  <c r="M55" i="3"/>
  <c r="M120" i="3"/>
  <c r="M90" i="3"/>
  <c r="M29" i="3"/>
  <c r="M24" i="3"/>
  <c r="M106" i="3"/>
  <c r="M27" i="3"/>
  <c r="M128" i="3"/>
  <c r="M62" i="3"/>
  <c r="M97" i="3"/>
  <c r="M15" i="3"/>
  <c r="M32" i="3"/>
  <c r="M48" i="3"/>
  <c r="M13" i="3"/>
  <c r="M34" i="3"/>
  <c r="M103" i="3"/>
  <c r="M147" i="3"/>
  <c r="M46" i="3"/>
  <c r="M89" i="3"/>
  <c r="M66" i="3"/>
  <c r="M36" i="3"/>
  <c r="M111" i="3"/>
  <c r="M109" i="3"/>
  <c r="M53" i="3"/>
  <c r="M93" i="3"/>
  <c r="M84" i="3"/>
  <c r="M144" i="3"/>
  <c r="M118" i="3"/>
  <c r="M172" i="3"/>
  <c r="M173" i="3"/>
  <c r="M174" i="3"/>
  <c r="M175" i="3"/>
  <c r="M176" i="3"/>
  <c r="M35" i="3"/>
  <c r="M152" i="3"/>
  <c r="M121" i="3"/>
  <c r="M138" i="3"/>
  <c r="M22" i="3"/>
  <c r="M65" i="3"/>
  <c r="M85" i="3"/>
  <c r="M160" i="3"/>
  <c r="M52" i="3"/>
  <c r="M139" i="3"/>
  <c r="M74" i="3"/>
  <c r="M150" i="3"/>
  <c r="M63" i="3"/>
  <c r="M54" i="3"/>
  <c r="M70" i="3"/>
  <c r="M156" i="3"/>
  <c r="M79" i="3"/>
  <c r="M157" i="3"/>
  <c r="M82" i="3"/>
  <c r="M91" i="3"/>
  <c r="M158" i="3"/>
  <c r="M112" i="3"/>
  <c r="M113" i="3"/>
  <c r="M145" i="3"/>
  <c r="M146" i="3"/>
  <c r="M153" i="3"/>
  <c r="M154" i="3"/>
  <c r="M155" i="3"/>
  <c r="M159" i="3"/>
  <c r="M148" i="3"/>
  <c r="M68" i="3"/>
  <c r="M127" i="3"/>
  <c r="M126" i="3"/>
  <c r="M19" i="3"/>
  <c r="M134" i="3"/>
  <c r="M171" i="3"/>
  <c r="M11" i="3"/>
  <c r="M105" i="3"/>
  <c r="M140" i="3"/>
  <c r="M133" i="3"/>
  <c r="M115" i="3"/>
  <c r="M107" i="3"/>
  <c r="M163" i="3"/>
  <c r="M69" i="3"/>
  <c r="M161" i="3"/>
  <c r="M21" i="3"/>
  <c r="M6" i="3"/>
  <c r="M78" i="3"/>
  <c r="M56" i="3"/>
  <c r="M75" i="3"/>
  <c r="M76" i="3"/>
  <c r="M7" i="3"/>
  <c r="M94" i="3"/>
  <c r="M137" i="3"/>
  <c r="M99" i="3"/>
  <c r="M42" i="3"/>
  <c r="M47" i="3"/>
  <c r="M28" i="3"/>
  <c r="M51" i="3"/>
  <c r="M162" i="3"/>
  <c r="M67" i="3"/>
  <c r="M87" i="3"/>
  <c r="M23" i="3"/>
  <c r="M98" i="3"/>
  <c r="M40" i="3"/>
  <c r="M10" i="3"/>
  <c r="M37" i="3"/>
  <c r="M18" i="3"/>
  <c r="M100" i="3"/>
  <c r="M95" i="3"/>
  <c r="M12" i="3"/>
  <c r="M33" i="3"/>
  <c r="M41" i="3"/>
  <c r="M77" i="3"/>
  <c r="M110" i="3"/>
  <c r="M136" i="3"/>
  <c r="M108" i="3"/>
  <c r="M114" i="3"/>
  <c r="M135" i="3"/>
  <c r="M43" i="3"/>
  <c r="M30" i="3"/>
  <c r="M60" i="3"/>
  <c r="M96" i="3"/>
  <c r="M38" i="3"/>
  <c r="M101" i="3"/>
  <c r="M124" i="3"/>
  <c r="M59" i="3"/>
  <c r="M61" i="3"/>
  <c r="M16" i="3"/>
  <c r="M80" i="3"/>
  <c r="M58" i="3"/>
  <c r="M17" i="3"/>
  <c r="M151" i="3"/>
  <c r="M92" i="3"/>
  <c r="M26" i="3"/>
  <c r="M73" i="3"/>
  <c r="M57" i="3"/>
  <c r="L49" i="3"/>
  <c r="L72" i="3"/>
  <c r="L125" i="3"/>
  <c r="L83" i="3"/>
  <c r="L130" i="3"/>
  <c r="L81" i="3"/>
  <c r="L104" i="3"/>
  <c r="L102" i="3"/>
  <c r="L71" i="3"/>
  <c r="L31" i="3"/>
  <c r="L8" i="3"/>
  <c r="L117" i="3"/>
  <c r="L45" i="3"/>
  <c r="L129" i="3"/>
  <c r="L131" i="3"/>
  <c r="L141" i="3"/>
  <c r="L142" i="3"/>
  <c r="L143" i="3"/>
  <c r="L9" i="3"/>
  <c r="L50" i="3"/>
  <c r="L132" i="3"/>
  <c r="L20" i="3"/>
  <c r="L44" i="3"/>
  <c r="L164" i="3"/>
  <c r="L165" i="3"/>
  <c r="L166" i="3"/>
  <c r="L167" i="3"/>
  <c r="L168" i="3"/>
  <c r="L169" i="3"/>
  <c r="L170" i="3"/>
  <c r="L149" i="3"/>
  <c r="L39" i="3"/>
  <c r="L25" i="3"/>
  <c r="L119" i="3"/>
  <c r="L64" i="3"/>
  <c r="L88" i="3"/>
  <c r="L86" i="3"/>
  <c r="L14" i="3"/>
  <c r="L55" i="3"/>
  <c r="L120" i="3"/>
  <c r="L90" i="3"/>
  <c r="L29" i="3"/>
  <c r="L24" i="3"/>
  <c r="L106" i="3"/>
  <c r="L27" i="3"/>
  <c r="L128" i="3"/>
  <c r="L62" i="3"/>
  <c r="L97" i="3"/>
  <c r="L15" i="3"/>
  <c r="L32" i="3"/>
  <c r="L48" i="3"/>
  <c r="L13" i="3"/>
  <c r="L34" i="3"/>
  <c r="L103" i="3"/>
  <c r="L147" i="3"/>
  <c r="L46" i="3"/>
  <c r="L89" i="3"/>
  <c r="L66" i="3"/>
  <c r="L36" i="3"/>
  <c r="L111" i="3"/>
  <c r="L109" i="3"/>
  <c r="L53" i="3"/>
  <c r="L93" i="3"/>
  <c r="L84" i="3"/>
  <c r="L144" i="3"/>
  <c r="L118" i="3"/>
  <c r="L172" i="3"/>
  <c r="L173" i="3"/>
  <c r="L174" i="3"/>
  <c r="L175" i="3"/>
  <c r="L176" i="3"/>
  <c r="L35" i="3"/>
  <c r="L152" i="3"/>
  <c r="L121" i="3"/>
  <c r="L138" i="3"/>
  <c r="L22" i="3"/>
  <c r="L65" i="3"/>
  <c r="L85" i="3"/>
  <c r="L160" i="3"/>
  <c r="L52" i="3"/>
  <c r="L139" i="3"/>
  <c r="L74" i="3"/>
  <c r="L150" i="3"/>
  <c r="L63" i="3"/>
  <c r="L54" i="3"/>
  <c r="L70" i="3"/>
  <c r="L156" i="3"/>
  <c r="L79" i="3"/>
  <c r="L157" i="3"/>
  <c r="L82" i="3"/>
  <c r="L91" i="3"/>
  <c r="L158" i="3"/>
  <c r="L112" i="3"/>
  <c r="L113" i="3"/>
  <c r="L145" i="3"/>
  <c r="L146" i="3"/>
  <c r="L153" i="3"/>
  <c r="L154" i="3"/>
  <c r="L155" i="3"/>
  <c r="L159" i="3"/>
  <c r="L148" i="3"/>
  <c r="L68" i="3"/>
  <c r="L127" i="3"/>
  <c r="L126" i="3"/>
  <c r="L19" i="3"/>
  <c r="L134" i="3"/>
  <c r="L171" i="3"/>
  <c r="L11" i="3"/>
  <c r="L105" i="3"/>
  <c r="L140" i="3"/>
  <c r="L133" i="3"/>
  <c r="L115" i="3"/>
  <c r="L107" i="3"/>
  <c r="L163" i="3"/>
  <c r="L69" i="3"/>
  <c r="L161" i="3"/>
  <c r="L21" i="3"/>
  <c r="L6" i="3"/>
  <c r="L78" i="3"/>
  <c r="L56" i="3"/>
  <c r="L75" i="3"/>
  <c r="L76" i="3"/>
  <c r="L7" i="3"/>
  <c r="L94" i="3"/>
  <c r="L137" i="3"/>
  <c r="L99" i="3"/>
  <c r="L42" i="3"/>
  <c r="L47" i="3"/>
  <c r="L28" i="3"/>
  <c r="L51" i="3"/>
  <c r="L162" i="3"/>
  <c r="L67" i="3"/>
  <c r="L87" i="3"/>
  <c r="L23" i="3"/>
  <c r="L98" i="3"/>
  <c r="L40" i="3"/>
  <c r="L10" i="3"/>
  <c r="L37" i="3"/>
  <c r="L18" i="3"/>
  <c r="L100" i="3"/>
  <c r="L95" i="3"/>
  <c r="L12" i="3"/>
  <c r="L33" i="3"/>
  <c r="L41" i="3"/>
  <c r="L77" i="3"/>
  <c r="L110" i="3"/>
  <c r="L136" i="3"/>
  <c r="L108" i="3"/>
  <c r="L114" i="3"/>
  <c r="L135" i="3"/>
  <c r="L43" i="3"/>
  <c r="L30" i="3"/>
  <c r="L60" i="3"/>
  <c r="L96" i="3"/>
  <c r="L38" i="3"/>
  <c r="L101" i="3"/>
  <c r="L124" i="3"/>
  <c r="L59" i="3"/>
  <c r="L61" i="3"/>
  <c r="L16" i="3"/>
  <c r="L80" i="3"/>
  <c r="L58" i="3"/>
  <c r="L151" i="3"/>
  <c r="L92" i="3"/>
  <c r="L26" i="3"/>
  <c r="L73" i="3"/>
  <c r="L57" i="3"/>
  <c r="G49" i="3"/>
  <c r="G72" i="3"/>
  <c r="G125" i="3"/>
  <c r="G83" i="3"/>
  <c r="G130" i="3"/>
  <c r="G81" i="3"/>
  <c r="G104" i="3"/>
  <c r="G102" i="3"/>
  <c r="G71" i="3"/>
  <c r="G31" i="3"/>
  <c r="G8" i="3"/>
  <c r="G117" i="3"/>
  <c r="G45" i="3"/>
  <c r="G129" i="3"/>
  <c r="G131" i="3"/>
  <c r="G141" i="3"/>
  <c r="G142" i="3"/>
  <c r="G143" i="3"/>
  <c r="G9" i="3"/>
  <c r="G50" i="3"/>
  <c r="G132" i="3"/>
  <c r="G20" i="3"/>
  <c r="G44" i="3"/>
  <c r="G164" i="3"/>
  <c r="G165" i="3"/>
  <c r="G166" i="3"/>
  <c r="G167" i="3"/>
  <c r="G168" i="3"/>
  <c r="G169" i="3"/>
  <c r="G170" i="3"/>
  <c r="G149" i="3"/>
  <c r="G39" i="3"/>
  <c r="G25" i="3"/>
  <c r="G119" i="3"/>
  <c r="G64" i="3"/>
  <c r="G88" i="3"/>
  <c r="G86" i="3"/>
  <c r="G14" i="3"/>
  <c r="G55" i="3"/>
  <c r="G120" i="3"/>
  <c r="G90" i="3"/>
  <c r="G29" i="3"/>
  <c r="G24" i="3"/>
  <c r="G106" i="3"/>
  <c r="G27" i="3"/>
  <c r="G128" i="3"/>
  <c r="G62" i="3"/>
  <c r="G97" i="3"/>
  <c r="G15" i="3"/>
  <c r="G32" i="3"/>
  <c r="G48" i="3"/>
  <c r="G13" i="3"/>
  <c r="G34" i="3"/>
  <c r="G103" i="3"/>
  <c r="G147" i="3"/>
  <c r="G46" i="3"/>
  <c r="G89" i="3"/>
  <c r="G66" i="3"/>
  <c r="G36" i="3"/>
  <c r="G111" i="3"/>
  <c r="G109" i="3"/>
  <c r="G53" i="3"/>
  <c r="G93" i="3"/>
  <c r="G84" i="3"/>
  <c r="G144" i="3"/>
  <c r="G118" i="3"/>
  <c r="G172" i="3"/>
  <c r="G173" i="3"/>
  <c r="G174" i="3"/>
  <c r="G175" i="3"/>
  <c r="G176" i="3"/>
  <c r="G35" i="3"/>
  <c r="G152" i="3"/>
  <c r="G121" i="3"/>
  <c r="G138" i="3"/>
  <c r="G22" i="3"/>
  <c r="G65" i="3"/>
  <c r="G85" i="3"/>
  <c r="G160" i="3"/>
  <c r="G52" i="3"/>
  <c r="G139" i="3"/>
  <c r="G74" i="3"/>
  <c r="G150" i="3"/>
  <c r="G63" i="3"/>
  <c r="G54" i="3"/>
  <c r="G70" i="3"/>
  <c r="G156" i="3"/>
  <c r="G79" i="3"/>
  <c r="G157" i="3"/>
  <c r="G82" i="3"/>
  <c r="G91" i="3"/>
  <c r="G158" i="3"/>
  <c r="G112" i="3"/>
  <c r="G113" i="3"/>
  <c r="G145" i="3"/>
  <c r="G146" i="3"/>
  <c r="G153" i="3"/>
  <c r="G154" i="3"/>
  <c r="G155" i="3"/>
  <c r="G159" i="3"/>
  <c r="G148" i="3"/>
  <c r="G68" i="3"/>
  <c r="G127" i="3"/>
  <c r="G126" i="3"/>
  <c r="G19" i="3"/>
  <c r="G134" i="3"/>
  <c r="G171" i="3"/>
  <c r="G11" i="3"/>
  <c r="G105" i="3"/>
  <c r="G140" i="3"/>
  <c r="G133" i="3"/>
  <c r="G115" i="3"/>
  <c r="G107" i="3"/>
  <c r="G163" i="3"/>
  <c r="G69" i="3"/>
  <c r="G161" i="3"/>
  <c r="G21" i="3"/>
  <c r="G6" i="3"/>
  <c r="G78" i="3"/>
  <c r="G56" i="3"/>
  <c r="G75" i="3"/>
  <c r="G76" i="3"/>
  <c r="G7" i="3"/>
  <c r="G94" i="3"/>
  <c r="G137" i="3"/>
  <c r="G99" i="3"/>
  <c r="G42" i="3"/>
  <c r="G47" i="3"/>
  <c r="G28" i="3"/>
  <c r="G51" i="3"/>
  <c r="G162" i="3"/>
  <c r="G67" i="3"/>
  <c r="G87" i="3"/>
  <c r="G23" i="3"/>
  <c r="G98" i="3"/>
  <c r="G40" i="3"/>
  <c r="G10" i="3"/>
  <c r="G37" i="3"/>
  <c r="G18" i="3"/>
  <c r="G100" i="3"/>
  <c r="G95" i="3"/>
  <c r="G12" i="3"/>
  <c r="G33" i="3"/>
  <c r="G41" i="3"/>
  <c r="G77" i="3"/>
  <c r="G110" i="3"/>
  <c r="G136" i="3"/>
  <c r="G108" i="3"/>
  <c r="G114" i="3"/>
  <c r="G135" i="3"/>
  <c r="G43" i="3"/>
  <c r="G30" i="3"/>
  <c r="G60" i="3"/>
  <c r="G96" i="3"/>
  <c r="G38" i="3"/>
  <c r="G101" i="3"/>
  <c r="G124" i="3"/>
  <c r="G59" i="3"/>
  <c r="G61" i="3"/>
  <c r="G16" i="3"/>
  <c r="G80" i="3"/>
  <c r="G58" i="3"/>
  <c r="G17" i="3"/>
  <c r="G151" i="3"/>
  <c r="G92" i="3"/>
  <c r="G26" i="3"/>
  <c r="G73" i="3"/>
  <c r="G57" i="3"/>
  <c r="AJ172" i="68" l="1"/>
  <c r="AK172" i="68" s="1"/>
  <c r="AL172" i="68" s="1"/>
  <c r="AJ85" i="68"/>
  <c r="AK85" i="68" s="1"/>
  <c r="AL85" i="68" s="1"/>
  <c r="AJ90" i="68"/>
  <c r="AK90" i="68" s="1"/>
  <c r="AL90" i="68" s="1"/>
  <c r="AJ89" i="68"/>
  <c r="AK89" i="68" s="1"/>
  <c r="AL89" i="68" s="1"/>
  <c r="AJ94" i="68"/>
  <c r="AK94" i="68" s="1"/>
  <c r="AL94" i="68" s="1"/>
  <c r="AJ137" i="68"/>
  <c r="AK137" i="68" s="1"/>
  <c r="AL137" i="68" s="1"/>
  <c r="AJ99" i="68"/>
  <c r="AK99" i="68" s="1"/>
  <c r="AL99" i="68" s="1"/>
  <c r="AJ105" i="68"/>
  <c r="AK105" i="68" s="1"/>
  <c r="AL105" i="68" s="1"/>
  <c r="AJ143" i="68"/>
  <c r="AK143" i="68" s="1"/>
  <c r="AL143" i="68" s="1"/>
  <c r="AJ82" i="68"/>
  <c r="AK82" i="68" s="1"/>
  <c r="AL82" i="68" s="1"/>
  <c r="AJ88" i="68"/>
  <c r="AK88" i="68" s="1"/>
  <c r="AL88" i="68" s="1"/>
  <c r="AJ152" i="68"/>
  <c r="AK152" i="68" s="1"/>
  <c r="AL152" i="68" s="1"/>
  <c r="AJ114" i="68"/>
  <c r="AK114" i="68" s="1"/>
  <c r="AL114" i="68" s="1"/>
  <c r="AJ80" i="68"/>
  <c r="AK80" i="68" s="1"/>
  <c r="AL80" i="68" s="1"/>
  <c r="AJ78" i="68"/>
  <c r="AK78" i="68" s="1"/>
  <c r="AL78" i="68" s="1"/>
  <c r="AJ92" i="68"/>
  <c r="AK92" i="68" s="1"/>
  <c r="AL92" i="68" s="1"/>
  <c r="AJ17" i="68"/>
  <c r="AK17" i="68" s="1"/>
  <c r="AL17" i="68" s="1"/>
  <c r="AJ158" i="68"/>
  <c r="AK158" i="68" s="1"/>
  <c r="AL158" i="68" s="1"/>
  <c r="AJ60" i="68"/>
  <c r="AK60" i="68" s="1"/>
  <c r="AL60" i="68" s="1"/>
  <c r="AJ118" i="68"/>
  <c r="AK118" i="68" s="1"/>
  <c r="AL118" i="68" s="1"/>
  <c r="AJ140" i="68"/>
  <c r="AK140" i="68" s="1"/>
  <c r="AL140" i="68" s="1"/>
  <c r="AJ133" i="68"/>
  <c r="AK133" i="68" s="1"/>
  <c r="AL133" i="68" s="1"/>
  <c r="AJ126" i="68"/>
  <c r="AK126" i="68" s="1"/>
  <c r="AL126" i="68" s="1"/>
  <c r="AJ120" i="68"/>
  <c r="AK120" i="68" s="1"/>
  <c r="AL120" i="68" s="1"/>
  <c r="AJ73" i="68"/>
  <c r="AK73" i="68" s="1"/>
  <c r="AL73" i="68" s="1"/>
  <c r="AJ154" i="68"/>
  <c r="AK154" i="68" s="1"/>
  <c r="AL154" i="68" s="1"/>
  <c r="AJ145" i="68"/>
  <c r="AK145" i="68" s="1"/>
  <c r="AL145" i="68" s="1"/>
  <c r="AJ101" i="68"/>
  <c r="AK101" i="68" s="1"/>
  <c r="AL101" i="68" s="1"/>
  <c r="AJ162" i="68"/>
  <c r="AK162" i="68" s="1"/>
  <c r="AL162" i="68" s="1"/>
  <c r="AJ67" i="68"/>
  <c r="AK67" i="68" s="1"/>
  <c r="AL67" i="68" s="1"/>
  <c r="AJ153" i="68"/>
  <c r="AK153" i="68" s="1"/>
  <c r="AL153" i="68" s="1"/>
  <c r="AJ113" i="68"/>
  <c r="AK113" i="68" s="1"/>
  <c r="AL113" i="68" s="1"/>
  <c r="AJ63" i="68"/>
  <c r="AK63" i="68" s="1"/>
  <c r="AL63" i="68" s="1"/>
  <c r="AJ62" i="68"/>
  <c r="AK62" i="68" s="1"/>
  <c r="AL62" i="68" s="1"/>
  <c r="AJ9" i="68"/>
  <c r="AK9" i="68" s="1"/>
  <c r="AL9" i="68" s="1"/>
  <c r="AJ166" i="68"/>
  <c r="AK166" i="68" s="1"/>
  <c r="AL166" i="68" s="1"/>
  <c r="AJ157" i="68"/>
  <c r="AK157" i="68" s="1"/>
  <c r="AL157" i="68" s="1"/>
  <c r="AJ108" i="68"/>
  <c r="AK108" i="68" s="1"/>
  <c r="AL108" i="68" s="1"/>
  <c r="AJ58" i="68"/>
  <c r="AK58" i="68" s="1"/>
  <c r="AL58" i="68" s="1"/>
  <c r="AJ57" i="68"/>
  <c r="AK57" i="68" s="1"/>
  <c r="AL57" i="68" s="1"/>
  <c r="AJ132" i="68"/>
  <c r="AK132" i="68" s="1"/>
  <c r="AL132" i="68" s="1"/>
  <c r="AJ10" i="68"/>
  <c r="AK10" i="68" s="1"/>
  <c r="AL10" i="68" s="1"/>
  <c r="AJ164" i="68"/>
  <c r="AK164" i="68" s="1"/>
  <c r="AL164" i="68" s="1"/>
  <c r="AJ84" i="68"/>
  <c r="AK84" i="68" s="1"/>
  <c r="AL84" i="68" s="1"/>
  <c r="AJ42" i="68"/>
  <c r="AK42" i="68" s="1"/>
  <c r="AL42" i="68" s="1"/>
  <c r="AJ72" i="68"/>
  <c r="AK72" i="68" s="1"/>
  <c r="AL72" i="68" s="1"/>
  <c r="AJ116" i="68"/>
  <c r="AK116" i="68" s="1"/>
  <c r="AL116" i="68" s="1"/>
  <c r="AJ151" i="68"/>
  <c r="AK151" i="68" s="1"/>
  <c r="AL151" i="68" s="1"/>
  <c r="AJ109" i="68"/>
  <c r="AK109" i="68" s="1"/>
  <c r="AL109" i="68" s="1"/>
  <c r="AJ100" i="68"/>
  <c r="AK100" i="68" s="1"/>
  <c r="AL100" i="68" s="1"/>
  <c r="AJ136" i="68"/>
  <c r="AK136" i="68" s="1"/>
  <c r="AL136" i="68" s="1"/>
  <c r="AJ79" i="68"/>
  <c r="AK79" i="68" s="1"/>
  <c r="AL79" i="68" s="1"/>
  <c r="AJ66" i="68"/>
  <c r="AK66" i="68" s="1"/>
  <c r="AL66" i="68" s="1"/>
  <c r="AJ75" i="68"/>
  <c r="AK75" i="68" s="1"/>
  <c r="AL75" i="68" s="1"/>
  <c r="AJ165" i="68"/>
  <c r="AK165" i="68" s="1"/>
  <c r="AL165" i="68" s="1"/>
  <c r="AJ121" i="68"/>
  <c r="AK121" i="68" s="1"/>
  <c r="AL121" i="68" s="1"/>
  <c r="AJ150" i="68"/>
  <c r="AK150" i="68" s="1"/>
  <c r="AL150" i="68" s="1"/>
  <c r="AJ70" i="68"/>
  <c r="AK70" i="68" s="1"/>
  <c r="AL70" i="68" s="1"/>
  <c r="AJ56" i="68"/>
  <c r="AK56" i="68" s="1"/>
  <c r="AL56" i="68" s="1"/>
  <c r="AJ131" i="68"/>
  <c r="AK131" i="68" s="1"/>
  <c r="AL131" i="68" s="1"/>
  <c r="AJ22" i="68"/>
  <c r="AK22" i="68" s="1"/>
  <c r="AL22" i="68" s="1"/>
  <c r="AJ163" i="68"/>
  <c r="AK163" i="68" s="1"/>
  <c r="AL163" i="68" s="1"/>
  <c r="AJ175" i="68"/>
  <c r="AK175" i="68" s="1"/>
  <c r="AL175" i="68" s="1"/>
  <c r="AJ169" i="68"/>
  <c r="AK169" i="68" s="1"/>
  <c r="AL169" i="68" s="1"/>
  <c r="AJ35" i="68"/>
  <c r="AK35" i="68" s="1"/>
  <c r="AL35" i="68" s="1"/>
  <c r="AJ128" i="68"/>
  <c r="AK128" i="68" s="1"/>
  <c r="AL128" i="68" s="1"/>
  <c r="AJ61" i="68"/>
  <c r="AK61" i="68" s="1"/>
  <c r="AL61" i="68" s="1"/>
  <c r="AJ28" i="68"/>
  <c r="AK28" i="68" s="1"/>
  <c r="AL28" i="68" s="1"/>
  <c r="AJ32" i="68"/>
  <c r="AK32" i="68" s="1"/>
  <c r="AL32" i="68" s="1"/>
  <c r="AJ106" i="68"/>
  <c r="AK106" i="68" s="1"/>
  <c r="AL106" i="68" s="1"/>
  <c r="AJ102" i="68"/>
  <c r="AK102" i="68" s="1"/>
  <c r="AL102" i="68" s="1"/>
  <c r="AJ64" i="68"/>
  <c r="AK64" i="68" s="1"/>
  <c r="AL64" i="68" s="1"/>
  <c r="AJ168" i="68"/>
  <c r="AK168" i="68" s="1"/>
  <c r="AL168" i="68" s="1"/>
  <c r="AJ93" i="68"/>
  <c r="AK93" i="68" s="1"/>
  <c r="AL93" i="68" s="1"/>
  <c r="AJ43" i="68"/>
  <c r="AK43" i="68" s="1"/>
  <c r="AL43" i="68" s="1"/>
  <c r="AJ71" i="68"/>
  <c r="AK71" i="68" s="1"/>
  <c r="AL71" i="68" s="1"/>
  <c r="AJ26" i="68"/>
  <c r="AK26" i="68" s="1"/>
  <c r="AL26" i="68" s="1"/>
  <c r="AJ156" i="68"/>
  <c r="AK156" i="68" s="1"/>
  <c r="AL156" i="68" s="1"/>
  <c r="AJ55" i="68"/>
  <c r="AK55" i="68" s="1"/>
  <c r="AL55" i="68" s="1"/>
  <c r="AJ144" i="68"/>
  <c r="AK144" i="68" s="1"/>
  <c r="AL144" i="68" s="1"/>
  <c r="AJ65" i="68"/>
  <c r="AK65" i="68" s="1"/>
  <c r="AL65" i="68" s="1"/>
  <c r="AJ74" i="68"/>
  <c r="AK74" i="68" s="1"/>
  <c r="AL74" i="68" s="1"/>
  <c r="AJ27" i="68"/>
  <c r="AK27" i="68" s="1"/>
  <c r="AL27" i="68" s="1"/>
  <c r="AJ149" i="68"/>
  <c r="AK149" i="68" s="1"/>
  <c r="AL149" i="68" s="1"/>
  <c r="AJ142" i="68"/>
  <c r="AK142" i="68" s="1"/>
  <c r="AL142" i="68" s="1"/>
  <c r="AJ130" i="68"/>
  <c r="AK130" i="68" s="1"/>
  <c r="AL130" i="68" s="1"/>
  <c r="AJ81" i="68"/>
  <c r="AK81" i="68" s="1"/>
  <c r="AL81" i="68" s="1"/>
  <c r="AJ41" i="68"/>
  <c r="AK41" i="68" s="1"/>
  <c r="AL41" i="68" s="1"/>
  <c r="AJ77" i="68"/>
  <c r="AK77" i="68" s="1"/>
  <c r="AL77" i="68" s="1"/>
  <c r="AJ91" i="68"/>
  <c r="AK91" i="68" s="1"/>
  <c r="AL91" i="68" s="1"/>
  <c r="AJ122" i="68"/>
  <c r="AK122" i="68" s="1"/>
  <c r="AL122" i="68" s="1"/>
  <c r="AJ59" i="68"/>
  <c r="AK59" i="68" s="1"/>
  <c r="AL59" i="68" s="1"/>
  <c r="AJ53" i="68"/>
  <c r="AK53" i="68" s="1"/>
  <c r="AL53" i="68" s="1"/>
  <c r="AJ139" i="68"/>
  <c r="AK139" i="68" s="1"/>
  <c r="AL139" i="68" s="1"/>
  <c r="AJ129" i="68"/>
  <c r="AK129" i="68" s="1"/>
  <c r="AL129" i="68" s="1"/>
  <c r="AJ124" i="68"/>
  <c r="AK124" i="68" s="1"/>
  <c r="AL124" i="68" s="1"/>
  <c r="AJ36" i="68"/>
  <c r="AK36" i="68" s="1"/>
  <c r="AL36" i="68" s="1"/>
  <c r="AJ160" i="68"/>
  <c r="AK160" i="68" s="1"/>
  <c r="AL160" i="68" s="1"/>
  <c r="AJ135" i="68"/>
  <c r="AK135" i="68" s="1"/>
  <c r="AL135" i="68" s="1"/>
  <c r="AJ167" i="68"/>
  <c r="AK167" i="68" s="1"/>
  <c r="AL167" i="68" s="1"/>
  <c r="AJ159" i="68"/>
  <c r="AK159" i="68" s="1"/>
  <c r="AL159" i="68" s="1"/>
  <c r="AJ83" i="68"/>
  <c r="AK83" i="68" s="1"/>
  <c r="AL83" i="68" s="1"/>
  <c r="AJ12" i="68"/>
  <c r="AK12" i="68" s="1"/>
  <c r="AL12" i="68" s="1"/>
  <c r="AJ134" i="68"/>
  <c r="AK134" i="68" s="1"/>
  <c r="AL134" i="68" s="1"/>
  <c r="AJ127" i="68"/>
  <c r="AK127" i="68" s="1"/>
  <c r="AL127" i="68" s="1"/>
  <c r="AJ98" i="68"/>
  <c r="AK98" i="68" s="1"/>
  <c r="AL98" i="68" s="1"/>
  <c r="AJ76" i="68"/>
  <c r="AK76" i="68" s="1"/>
  <c r="AL76" i="68" s="1"/>
  <c r="AJ96" i="68"/>
  <c r="AK96" i="68" s="1"/>
  <c r="AL96" i="68" s="1"/>
  <c r="AJ14" i="68"/>
  <c r="AK14" i="68" s="1"/>
  <c r="AL14" i="68" s="1"/>
  <c r="AJ155" i="68"/>
  <c r="AK155" i="68" s="1"/>
  <c r="AL155" i="68" s="1"/>
  <c r="AJ148" i="68"/>
  <c r="AK148" i="68" s="1"/>
  <c r="AL148" i="68" s="1"/>
  <c r="AJ141" i="68"/>
  <c r="AK141" i="68" s="1"/>
  <c r="AL141" i="68" s="1"/>
  <c r="AJ69" i="68"/>
  <c r="AK69" i="68" s="1"/>
  <c r="AL69" i="68" s="1"/>
  <c r="AJ11" i="68"/>
  <c r="AK11" i="68" s="1"/>
  <c r="AL11" i="68" s="1"/>
  <c r="AJ170" i="68"/>
  <c r="AK170" i="68" s="1"/>
  <c r="AL170" i="68" s="1"/>
  <c r="AJ95" i="68"/>
  <c r="AK95" i="68" s="1"/>
  <c r="AL95" i="68" s="1"/>
  <c r="AJ29" i="68"/>
  <c r="AK29" i="68" s="1"/>
  <c r="AL29" i="68" s="1"/>
  <c r="AJ174" i="68"/>
  <c r="AK174" i="68" s="1"/>
  <c r="AL174" i="68" s="1"/>
  <c r="AJ117" i="68"/>
  <c r="AK117" i="68" s="1"/>
  <c r="AL117" i="68" s="1"/>
  <c r="AJ54" i="68"/>
  <c r="AK54" i="68" s="1"/>
  <c r="AL54" i="68" s="1"/>
  <c r="AJ97" i="68"/>
  <c r="AK97" i="68" s="1"/>
  <c r="AL97" i="68" s="1"/>
  <c r="AJ123" i="68"/>
  <c r="AK123" i="68" s="1"/>
  <c r="AL123" i="68" s="1"/>
  <c r="AJ44" i="68"/>
  <c r="AK44" i="68" s="1"/>
  <c r="AL44" i="68" s="1"/>
  <c r="AJ104" i="68"/>
  <c r="AK104" i="68" s="1"/>
  <c r="AL104" i="68" s="1"/>
  <c r="AJ147" i="68"/>
  <c r="AK147" i="68" s="1"/>
  <c r="AL147" i="68" s="1"/>
  <c r="AJ119" i="68"/>
  <c r="AK119" i="68" s="1"/>
  <c r="AL119" i="68" s="1"/>
  <c r="AJ34" i="68"/>
  <c r="AK34" i="68" s="1"/>
  <c r="AL34" i="68" s="1"/>
  <c r="AJ110" i="68"/>
  <c r="AK110" i="68" s="1"/>
  <c r="AL110" i="68" s="1"/>
  <c r="AJ115" i="68"/>
  <c r="AK115" i="68" s="1"/>
  <c r="AL115" i="68" s="1"/>
  <c r="AJ107" i="68"/>
  <c r="AK107" i="68" s="1"/>
  <c r="AL107" i="68" s="1"/>
  <c r="AJ161" i="68"/>
  <c r="AK161" i="68" s="1"/>
  <c r="AL161" i="68" s="1"/>
  <c r="AJ46" i="68"/>
  <c r="AK46" i="68" s="1"/>
  <c r="AL46" i="68" s="1"/>
  <c r="AJ112" i="68"/>
  <c r="AK112" i="68" s="1"/>
  <c r="AL112" i="68" s="1"/>
  <c r="AJ171" i="68"/>
  <c r="AK171" i="68" s="1"/>
  <c r="AL171" i="68" s="1"/>
  <c r="AJ103" i="68"/>
  <c r="AK103" i="68" s="1"/>
  <c r="AL103" i="68" s="1"/>
  <c r="AJ20" i="68"/>
  <c r="AK20" i="68" s="1"/>
  <c r="AL20" i="68" s="1"/>
  <c r="AJ111" i="68"/>
  <c r="AK111" i="68" s="1"/>
  <c r="AL111" i="68" s="1"/>
  <c r="AJ37" i="68"/>
  <c r="AK37" i="68" s="1"/>
  <c r="AL37" i="68" s="1"/>
  <c r="AJ68" i="68"/>
  <c r="AK68" i="68" s="1"/>
  <c r="AL68" i="68" s="1"/>
  <c r="AJ146" i="68"/>
  <c r="AK146" i="68" s="1"/>
  <c r="AL146" i="68" s="1"/>
  <c r="AJ30" i="68"/>
  <c r="AK30" i="68" s="1"/>
  <c r="AL30" i="68" s="1"/>
  <c r="AJ138" i="68"/>
  <c r="AK138" i="68" s="1"/>
  <c r="AL138" i="68" s="1"/>
  <c r="AJ7" i="68"/>
  <c r="AK7" i="68" s="1"/>
  <c r="AL7" i="68" s="1"/>
  <c r="AJ6" i="68"/>
  <c r="BR6" i="68"/>
  <c r="BS6" i="68" s="1"/>
  <c r="BQ2" i="68"/>
  <c r="BR2" i="68" s="1"/>
  <c r="AA2" i="3"/>
  <c r="C49" i="3"/>
  <c r="C72" i="3"/>
  <c r="C125" i="3"/>
  <c r="C83" i="3"/>
  <c r="C130" i="3"/>
  <c r="C81" i="3"/>
  <c r="C104" i="3"/>
  <c r="C102" i="3"/>
  <c r="C71" i="3"/>
  <c r="C31" i="3"/>
  <c r="C8" i="3"/>
  <c r="C117" i="3"/>
  <c r="C45" i="3"/>
  <c r="C129" i="3"/>
  <c r="C131" i="3"/>
  <c r="C141" i="3"/>
  <c r="C142" i="3"/>
  <c r="C143" i="3"/>
  <c r="C9" i="3"/>
  <c r="C50" i="3"/>
  <c r="C132" i="3"/>
  <c r="C20" i="3"/>
  <c r="C44" i="3"/>
  <c r="C164" i="3"/>
  <c r="C165" i="3"/>
  <c r="C166" i="3"/>
  <c r="C167" i="3"/>
  <c r="C168" i="3"/>
  <c r="C169" i="3"/>
  <c r="C170" i="3"/>
  <c r="C149" i="3"/>
  <c r="C39" i="3"/>
  <c r="C25" i="3"/>
  <c r="C119" i="3"/>
  <c r="C64" i="3"/>
  <c r="C88" i="3"/>
  <c r="C86" i="3"/>
  <c r="C14" i="3"/>
  <c r="C55" i="3"/>
  <c r="C120" i="3"/>
  <c r="C90" i="3"/>
  <c r="C29" i="3"/>
  <c r="C24" i="3"/>
  <c r="C106" i="3"/>
  <c r="C27" i="3"/>
  <c r="C128" i="3"/>
  <c r="C62" i="3"/>
  <c r="C97" i="3"/>
  <c r="C15" i="3"/>
  <c r="C32" i="3"/>
  <c r="C48" i="3"/>
  <c r="C13" i="3"/>
  <c r="C34" i="3"/>
  <c r="C103" i="3"/>
  <c r="C147" i="3"/>
  <c r="C46" i="3"/>
  <c r="C89" i="3"/>
  <c r="C66" i="3"/>
  <c r="C36" i="3"/>
  <c r="C111" i="3"/>
  <c r="C109" i="3"/>
  <c r="C53" i="3"/>
  <c r="C93" i="3"/>
  <c r="C84" i="3"/>
  <c r="C144" i="3"/>
  <c r="C118" i="3"/>
  <c r="C172" i="3"/>
  <c r="C173" i="3"/>
  <c r="C174" i="3"/>
  <c r="C175" i="3"/>
  <c r="C176" i="3"/>
  <c r="C35" i="3"/>
  <c r="C152" i="3"/>
  <c r="C121" i="3"/>
  <c r="C138" i="3"/>
  <c r="C22" i="3"/>
  <c r="C65" i="3"/>
  <c r="C85" i="3"/>
  <c r="C160" i="3"/>
  <c r="C52" i="3"/>
  <c r="C139" i="3"/>
  <c r="C74" i="3"/>
  <c r="C150" i="3"/>
  <c r="C63" i="3"/>
  <c r="C54" i="3"/>
  <c r="C70" i="3"/>
  <c r="C156" i="3"/>
  <c r="C79" i="3"/>
  <c r="C157" i="3"/>
  <c r="C82" i="3"/>
  <c r="C91" i="3"/>
  <c r="C158" i="3"/>
  <c r="C112" i="3"/>
  <c r="C113" i="3"/>
  <c r="C145" i="3"/>
  <c r="C146" i="3"/>
  <c r="C153" i="3"/>
  <c r="C154" i="3"/>
  <c r="C155" i="3"/>
  <c r="C159" i="3"/>
  <c r="C148" i="3"/>
  <c r="C68" i="3"/>
  <c r="C127" i="3"/>
  <c r="C126" i="3"/>
  <c r="C19" i="3"/>
  <c r="C134" i="3"/>
  <c r="C171" i="3"/>
  <c r="C11" i="3"/>
  <c r="C105" i="3"/>
  <c r="C140" i="3"/>
  <c r="C133" i="3"/>
  <c r="C115" i="3"/>
  <c r="C107" i="3"/>
  <c r="C163" i="3"/>
  <c r="C69" i="3"/>
  <c r="C161" i="3"/>
  <c r="C21" i="3"/>
  <c r="C6" i="3"/>
  <c r="C78" i="3"/>
  <c r="C56" i="3"/>
  <c r="C75" i="3"/>
  <c r="C76" i="3"/>
  <c r="C7" i="3"/>
  <c r="C94" i="3"/>
  <c r="C137" i="3"/>
  <c r="C99" i="3"/>
  <c r="C42" i="3"/>
  <c r="C47" i="3"/>
  <c r="C28" i="3"/>
  <c r="C51" i="3"/>
  <c r="C162" i="3"/>
  <c r="C67" i="3"/>
  <c r="C87" i="3"/>
  <c r="C23" i="3"/>
  <c r="C98" i="3"/>
  <c r="C40" i="3"/>
  <c r="C10" i="3"/>
  <c r="C37" i="3"/>
  <c r="C18" i="3"/>
  <c r="C100" i="3"/>
  <c r="C95" i="3"/>
  <c r="C12" i="3"/>
  <c r="C33" i="3"/>
  <c r="C41" i="3"/>
  <c r="C77" i="3"/>
  <c r="C110" i="3"/>
  <c r="C136" i="3"/>
  <c r="C108" i="3"/>
  <c r="C114" i="3"/>
  <c r="C135" i="3"/>
  <c r="C43" i="3"/>
  <c r="C30" i="3"/>
  <c r="C60" i="3"/>
  <c r="C96" i="3"/>
  <c r="C38" i="3"/>
  <c r="C101" i="3"/>
  <c r="C124" i="3"/>
  <c r="C59" i="3"/>
  <c r="C61" i="3"/>
  <c r="C16" i="3"/>
  <c r="C80" i="3"/>
  <c r="C58" i="3"/>
  <c r="C17" i="3"/>
  <c r="C151" i="3"/>
  <c r="C92" i="3"/>
  <c r="C26" i="3"/>
  <c r="C73" i="3"/>
  <c r="C57" i="3"/>
  <c r="AK6" i="68" l="1"/>
  <c r="AL6" i="68" s="1"/>
  <c r="AJ2" i="68"/>
  <c r="AK2" i="68" s="1"/>
  <c r="A73" i="3"/>
  <c r="A26" i="3"/>
  <c r="A92" i="3"/>
  <c r="A151" i="3"/>
  <c r="A17" i="3"/>
  <c r="A58" i="3"/>
  <c r="A80" i="3"/>
  <c r="A16" i="3"/>
  <c r="A61" i="3"/>
  <c r="A59" i="3"/>
  <c r="A124" i="3"/>
  <c r="A101" i="3"/>
  <c r="A38" i="3"/>
  <c r="A96" i="3"/>
  <c r="A60" i="3"/>
  <c r="A30" i="3"/>
  <c r="A43" i="3"/>
  <c r="A135" i="3"/>
  <c r="A114" i="3"/>
  <c r="A108" i="3"/>
  <c r="A136" i="3"/>
  <c r="A110" i="3"/>
  <c r="A77" i="3"/>
  <c r="A41" i="3"/>
  <c r="A33" i="3"/>
  <c r="A12" i="3"/>
  <c r="A95" i="3"/>
  <c r="A100" i="3"/>
  <c r="A18" i="3"/>
  <c r="A37" i="3"/>
  <c r="A10" i="3"/>
  <c r="A40" i="3"/>
  <c r="A98" i="3"/>
  <c r="A23" i="3"/>
  <c r="A87" i="3"/>
  <c r="A67" i="3"/>
  <c r="A162" i="3"/>
  <c r="A51" i="3"/>
  <c r="A28" i="3"/>
  <c r="A47" i="3"/>
  <c r="A42" i="3"/>
  <c r="A99" i="3"/>
  <c r="A137" i="3"/>
  <c r="A94" i="3"/>
  <c r="A7" i="3"/>
  <c r="A76" i="3"/>
  <c r="A75" i="3"/>
  <c r="A56" i="3"/>
  <c r="A78" i="3"/>
  <c r="A6" i="3"/>
  <c r="A21" i="3"/>
  <c r="A161" i="3"/>
  <c r="A69" i="3"/>
  <c r="A163" i="3"/>
  <c r="A107" i="3"/>
  <c r="A115" i="3"/>
  <c r="A133" i="3"/>
  <c r="A140" i="3"/>
  <c r="A105" i="3"/>
  <c r="A11" i="3"/>
  <c r="A171" i="3"/>
  <c r="A134" i="3"/>
  <c r="A19" i="3"/>
  <c r="A126" i="3"/>
  <c r="A127" i="3"/>
  <c r="A68" i="3"/>
  <c r="A148" i="3"/>
  <c r="A159" i="3"/>
  <c r="A155" i="3"/>
  <c r="A154" i="3"/>
  <c r="A153" i="3"/>
  <c r="A146" i="3"/>
  <c r="A145" i="3"/>
  <c r="A113" i="3"/>
  <c r="A112" i="3"/>
  <c r="A158" i="3"/>
  <c r="A91" i="3"/>
  <c r="A82" i="3"/>
  <c r="A157" i="3"/>
  <c r="A79" i="3"/>
  <c r="A156" i="3"/>
  <c r="A70" i="3"/>
  <c r="A54" i="3"/>
  <c r="A63" i="3"/>
  <c r="A150" i="3"/>
  <c r="A74" i="3"/>
  <c r="A139" i="3"/>
  <c r="A52" i="3"/>
  <c r="A160" i="3"/>
  <c r="A85" i="3"/>
  <c r="A65" i="3"/>
  <c r="A22" i="3"/>
  <c r="A138" i="3"/>
  <c r="A121" i="3"/>
  <c r="A152" i="3"/>
  <c r="A35" i="3"/>
  <c r="A176" i="3"/>
  <c r="A175" i="3"/>
  <c r="A174" i="3"/>
  <c r="A173" i="3"/>
  <c r="A172" i="3"/>
  <c r="A118" i="3"/>
  <c r="A144" i="3"/>
  <c r="A84" i="3"/>
  <c r="A93" i="3"/>
  <c r="A53" i="3"/>
  <c r="A109" i="3"/>
  <c r="A111" i="3"/>
  <c r="A36" i="3"/>
  <c r="A66" i="3"/>
  <c r="A89" i="3"/>
  <c r="A46" i="3"/>
  <c r="A147" i="3"/>
  <c r="A103" i="3"/>
  <c r="A34" i="3"/>
  <c r="A13" i="3"/>
  <c r="A48" i="3"/>
  <c r="A32" i="3"/>
  <c r="A15" i="3"/>
  <c r="A97" i="3"/>
  <c r="A62" i="3"/>
  <c r="A128" i="3"/>
  <c r="A27" i="3"/>
  <c r="A106" i="3"/>
  <c r="A24" i="3"/>
  <c r="A29" i="3"/>
  <c r="A90" i="3"/>
  <c r="A120" i="3"/>
  <c r="A55" i="3"/>
  <c r="A14" i="3"/>
  <c r="A86" i="3"/>
  <c r="A88" i="3"/>
  <c r="A64" i="3"/>
  <c r="A119" i="3"/>
  <c r="A25" i="3"/>
  <c r="A39" i="3"/>
  <c r="A149" i="3"/>
  <c r="A170" i="3"/>
  <c r="A169" i="3"/>
  <c r="A168" i="3"/>
  <c r="A167" i="3"/>
  <c r="A166" i="3"/>
  <c r="A165" i="3"/>
  <c r="A164" i="3"/>
  <c r="A44" i="3"/>
  <c r="A20" i="3"/>
  <c r="A132" i="3"/>
  <c r="A50" i="3"/>
  <c r="A9" i="3"/>
  <c r="A143" i="3"/>
  <c r="A142" i="3"/>
  <c r="A141" i="3"/>
  <c r="A131" i="3"/>
  <c r="A129" i="3"/>
  <c r="A45" i="3"/>
  <c r="A117" i="3"/>
  <c r="A8" i="3"/>
  <c r="A31" i="3"/>
  <c r="A71" i="3"/>
  <c r="A102" i="3"/>
  <c r="A104" i="3"/>
  <c r="A81" i="3"/>
  <c r="A130" i="3"/>
  <c r="A83" i="3"/>
  <c r="A125" i="3"/>
  <c r="A72" i="3"/>
  <c r="A49" i="3"/>
  <c r="A57" i="3"/>
  <c r="AC26" i="3" l="1"/>
  <c r="AD26" i="3" l="1"/>
  <c r="AC73" i="3"/>
  <c r="AD73" i="3" l="1"/>
  <c r="AC165" i="3"/>
  <c r="AC56" i="3"/>
  <c r="AC175" i="3"/>
  <c r="AC152" i="3"/>
  <c r="AC8" i="3"/>
  <c r="AC35" i="3"/>
  <c r="AC98" i="3"/>
  <c r="AC156" i="3"/>
  <c r="AC44" i="3"/>
  <c r="AC23" i="3"/>
  <c r="AC70" i="3"/>
  <c r="AC103" i="3"/>
  <c r="AC151" i="3"/>
  <c r="AC159" i="3"/>
  <c r="AC50" i="3"/>
  <c r="AC157" i="3"/>
  <c r="AC89" i="3"/>
  <c r="AC40" i="3"/>
  <c r="AC79" i="3"/>
  <c r="AC120" i="3"/>
  <c r="AC164" i="3"/>
  <c r="AC31" i="3"/>
  <c r="AC78" i="3"/>
  <c r="AC54" i="3"/>
  <c r="AC67" i="3"/>
  <c r="AC88" i="3"/>
  <c r="AC43" i="3"/>
  <c r="AC17" i="3"/>
  <c r="AC155" i="3"/>
  <c r="AC64" i="3"/>
  <c r="AC9" i="3"/>
  <c r="AC30" i="3"/>
  <c r="AC126" i="3"/>
  <c r="AC46" i="3"/>
  <c r="AC114" i="3"/>
  <c r="AC108" i="3"/>
  <c r="AC163" i="3"/>
  <c r="AC144" i="3"/>
  <c r="AC6" i="3"/>
  <c r="AC20" i="3"/>
  <c r="AC150" i="3"/>
  <c r="AC32" i="3"/>
  <c r="AC60" i="3"/>
  <c r="AC55" i="3"/>
  <c r="AC135" i="3"/>
  <c r="AC154" i="3"/>
  <c r="AC143" i="3"/>
  <c r="AC107" i="3"/>
  <c r="AC47" i="3"/>
  <c r="AC84" i="3"/>
  <c r="AC97" i="3"/>
  <c r="AC141" i="3"/>
  <c r="AC61" i="3"/>
  <c r="AC133" i="3"/>
  <c r="AC62" i="3"/>
  <c r="AC68" i="3"/>
  <c r="AC14" i="3"/>
  <c r="AC136" i="3"/>
  <c r="AC48" i="3"/>
  <c r="AC74" i="3"/>
  <c r="AC28" i="3"/>
  <c r="AC142" i="3"/>
  <c r="AC39" i="3"/>
  <c r="AC19" i="3"/>
  <c r="AC90" i="3"/>
  <c r="AC176" i="3"/>
  <c r="AC87" i="3"/>
  <c r="AC174" i="3"/>
  <c r="AC63" i="3"/>
  <c r="AC69" i="3"/>
  <c r="AC58" i="3"/>
  <c r="AC153" i="3"/>
  <c r="AC146" i="3"/>
  <c r="AC33" i="3"/>
  <c r="AC93" i="3"/>
  <c r="AC131" i="3"/>
  <c r="AC59" i="3"/>
  <c r="AC85" i="3"/>
  <c r="AC124" i="3"/>
  <c r="AC95" i="3"/>
  <c r="AC137" i="3"/>
  <c r="AC105" i="3"/>
  <c r="AC112" i="3"/>
  <c r="AC65" i="3"/>
  <c r="AC109" i="3"/>
  <c r="AC27" i="3"/>
  <c r="AC169" i="3"/>
  <c r="AC45" i="3"/>
  <c r="AC75" i="3"/>
  <c r="AC127" i="3"/>
  <c r="AC21" i="3"/>
  <c r="AC34" i="3"/>
  <c r="AC132" i="3"/>
  <c r="AC13" i="3"/>
  <c r="AC162" i="3"/>
  <c r="AC172" i="3"/>
  <c r="AC118" i="3"/>
  <c r="AC80" i="3"/>
  <c r="AC15" i="3"/>
  <c r="AC16" i="3"/>
  <c r="AC52" i="3"/>
  <c r="AC145" i="3"/>
  <c r="AC99" i="3"/>
  <c r="AC113" i="3"/>
  <c r="AC128" i="3"/>
  <c r="AC129" i="3"/>
  <c r="AC94" i="3"/>
  <c r="AC22" i="3"/>
  <c r="AC106" i="3"/>
  <c r="AC117" i="3"/>
  <c r="AC10" i="3"/>
  <c r="AC147" i="3"/>
  <c r="AC161" i="3"/>
  <c r="AC110" i="3"/>
  <c r="AC119" i="3"/>
  <c r="AC139" i="3"/>
  <c r="AC41" i="3"/>
  <c r="AC42" i="3"/>
  <c r="AC160" i="3"/>
  <c r="AC149" i="3"/>
  <c r="AC12" i="3"/>
  <c r="AC140" i="3"/>
  <c r="AC53" i="3"/>
  <c r="AC170" i="3"/>
  <c r="AC101" i="3"/>
  <c r="AC100" i="3"/>
  <c r="AC11" i="3"/>
  <c r="AC158" i="3"/>
  <c r="AC111" i="3"/>
  <c r="AC168" i="3"/>
  <c r="AC38" i="3"/>
  <c r="AC18" i="3"/>
  <c r="AC7" i="3"/>
  <c r="AC171" i="3"/>
  <c r="AC91" i="3"/>
  <c r="AC138" i="3"/>
  <c r="AC36" i="3"/>
  <c r="AC24" i="3"/>
  <c r="AC167" i="3"/>
  <c r="AC92" i="3"/>
  <c r="AC148" i="3"/>
  <c r="AC86" i="3"/>
  <c r="AC173" i="3"/>
  <c r="AC51" i="3"/>
  <c r="AC77" i="3"/>
  <c r="AC25" i="3"/>
  <c r="AC115" i="3"/>
  <c r="AC96" i="3"/>
  <c r="AC37" i="3"/>
  <c r="AC76" i="3"/>
  <c r="AC134" i="3"/>
  <c r="AC82" i="3"/>
  <c r="AC121" i="3"/>
  <c r="AC66" i="3"/>
  <c r="AC29" i="3"/>
  <c r="AC166" i="3"/>
  <c r="AD149" i="3" l="1"/>
  <c r="AD21" i="3"/>
  <c r="AD150" i="3"/>
  <c r="AD44" i="3"/>
  <c r="AD175" i="3"/>
  <c r="AD160" i="3"/>
  <c r="AD31" i="3"/>
  <c r="AD157" i="3"/>
  <c r="AD166" i="3"/>
  <c r="AD76" i="3"/>
  <c r="AD51" i="3"/>
  <c r="AD138" i="3"/>
  <c r="AD168" i="3"/>
  <c r="AD56" i="3"/>
  <c r="AD170" i="3"/>
  <c r="AD106" i="3"/>
  <c r="AD145" i="3"/>
  <c r="AD172" i="3"/>
  <c r="AD75" i="3"/>
  <c r="AD109" i="3"/>
  <c r="AD124" i="3"/>
  <c r="AD97" i="3"/>
  <c r="AD135" i="3"/>
  <c r="AD6" i="3"/>
  <c r="AD126" i="3"/>
  <c r="AD164" i="3"/>
  <c r="AD23" i="3"/>
  <c r="AD134" i="3"/>
  <c r="AD77" i="3"/>
  <c r="AD36" i="3"/>
  <c r="AD38" i="3"/>
  <c r="AD101" i="3"/>
  <c r="AD161" i="3"/>
  <c r="AD169" i="3"/>
  <c r="AD117" i="3"/>
  <c r="AD99" i="3"/>
  <c r="AD118" i="3"/>
  <c r="AD127" i="3"/>
  <c r="AD27" i="3"/>
  <c r="AD95" i="3"/>
  <c r="AD141" i="3"/>
  <c r="AD154" i="3"/>
  <c r="AD20" i="3"/>
  <c r="AD46" i="3"/>
  <c r="AD42" i="3"/>
  <c r="AD147" i="3"/>
  <c r="AD146" i="3"/>
  <c r="AD87" i="3"/>
  <c r="AD142" i="3"/>
  <c r="AD68" i="3"/>
  <c r="AD43" i="3"/>
  <c r="AD50" i="3"/>
  <c r="AD29" i="3"/>
  <c r="AD37" i="3"/>
  <c r="AD173" i="3"/>
  <c r="AD91" i="3"/>
  <c r="AD111" i="3"/>
  <c r="AD41" i="3"/>
  <c r="AD10" i="3"/>
  <c r="AD153" i="3"/>
  <c r="AD176" i="3"/>
  <c r="AD28" i="3"/>
  <c r="AD159" i="3"/>
  <c r="AD98" i="3"/>
  <c r="AD33" i="3"/>
  <c r="AD174" i="3"/>
  <c r="AD39" i="3"/>
  <c r="AD14" i="3"/>
  <c r="AD17" i="3"/>
  <c r="AD156" i="3"/>
  <c r="AD53" i="3"/>
  <c r="AD22" i="3"/>
  <c r="AD52" i="3"/>
  <c r="AD162" i="3"/>
  <c r="AD65" i="3"/>
  <c r="AD85" i="3"/>
  <c r="AD84" i="3"/>
  <c r="AD55" i="3"/>
  <c r="AD144" i="3"/>
  <c r="AD30" i="3"/>
  <c r="AD88" i="3"/>
  <c r="AD120" i="3"/>
  <c r="AD113" i="3"/>
  <c r="AD80" i="3"/>
  <c r="AD61" i="3"/>
  <c r="AD143" i="3"/>
  <c r="AD114" i="3"/>
  <c r="AD155" i="3"/>
  <c r="AD78" i="3"/>
  <c r="AD89" i="3"/>
  <c r="AD66" i="3"/>
  <c r="AD96" i="3"/>
  <c r="AD86" i="3"/>
  <c r="AD139" i="3"/>
  <c r="AD74" i="3"/>
  <c r="AD151" i="3"/>
  <c r="AD94" i="3"/>
  <c r="AD16" i="3"/>
  <c r="AD13" i="3"/>
  <c r="AD112" i="3"/>
  <c r="AD59" i="3"/>
  <c r="AD90" i="3"/>
  <c r="AD121" i="3"/>
  <c r="AD119" i="3"/>
  <c r="AD129" i="3"/>
  <c r="AD131" i="3"/>
  <c r="AD69" i="3"/>
  <c r="AD48" i="3"/>
  <c r="AD103" i="3"/>
  <c r="AD8" i="3"/>
  <c r="AD165" i="3"/>
  <c r="AD12" i="3"/>
  <c r="AD128" i="3"/>
  <c r="AD15" i="3"/>
  <c r="AD105" i="3"/>
  <c r="AD19" i="3"/>
  <c r="AD133" i="3"/>
  <c r="AD107" i="3"/>
  <c r="AD108" i="3"/>
  <c r="AD64" i="3"/>
  <c r="AD54" i="3"/>
  <c r="AD40" i="3"/>
  <c r="AD137" i="3"/>
  <c r="AD171" i="3"/>
  <c r="AD158" i="3"/>
  <c r="AD58" i="3"/>
  <c r="AD35" i="3"/>
  <c r="AD140" i="3"/>
  <c r="AD62" i="3"/>
  <c r="AD47" i="3"/>
  <c r="AD60" i="3"/>
  <c r="AD163" i="3"/>
  <c r="AD9" i="3"/>
  <c r="AD67" i="3"/>
  <c r="AD79" i="3"/>
  <c r="AD115" i="3"/>
  <c r="AD148" i="3"/>
  <c r="AD167" i="3"/>
  <c r="AD7" i="3"/>
  <c r="AD11" i="3"/>
  <c r="AD132" i="3"/>
  <c r="AD82" i="3"/>
  <c r="AD25" i="3"/>
  <c r="AD92" i="3"/>
  <c r="AD24" i="3"/>
  <c r="AD18" i="3"/>
  <c r="AD100" i="3"/>
  <c r="AD110" i="3"/>
  <c r="AD34" i="3"/>
  <c r="AD45" i="3"/>
  <c r="AD93" i="3"/>
  <c r="AD63" i="3"/>
  <c r="AD136" i="3"/>
  <c r="AD32" i="3"/>
  <c r="AD70" i="3"/>
  <c r="AD152" i="3"/>
  <c r="E200" i="9" l="1" a="1"/>
  <c r="E200" i="9" s="1"/>
  <c r="E199" i="9" a="1"/>
  <c r="E199" i="9" s="1"/>
  <c r="E198" i="9" a="1"/>
  <c r="E198" i="9" s="1"/>
  <c r="E197" i="9" a="1"/>
  <c r="E197" i="9" s="1"/>
  <c r="E196" i="9" a="1"/>
  <c r="E196" i="9" s="1"/>
  <c r="E195" i="9" a="1"/>
  <c r="E195" i="9" s="1"/>
  <c r="E194" i="9" a="1"/>
  <c r="E194" i="9" s="1"/>
  <c r="E193" i="9" a="1"/>
  <c r="E193" i="9" s="1"/>
  <c r="E192" i="9" a="1"/>
  <c r="E192" i="9" s="1"/>
  <c r="E191" i="9" a="1"/>
  <c r="E191" i="9" s="1"/>
  <c r="E190" i="9" a="1"/>
  <c r="E190" i="9" s="1"/>
  <c r="E189" i="9" a="1"/>
  <c r="E189" i="9" s="1"/>
  <c r="E188" i="9" a="1"/>
  <c r="E188" i="9" s="1"/>
  <c r="E187" i="9" a="1"/>
  <c r="E187" i="9" s="1"/>
  <c r="E186" i="9" a="1"/>
  <c r="E186" i="9" s="1"/>
  <c r="E185" i="9" a="1"/>
  <c r="E185" i="9" s="1"/>
  <c r="E184" i="9" a="1"/>
  <c r="E184" i="9" s="1"/>
  <c r="E183" i="9" a="1"/>
  <c r="E183" i="9" s="1"/>
  <c r="E182" i="9" a="1"/>
  <c r="E182" i="9" s="1"/>
  <c r="E181" i="9" a="1"/>
  <c r="E181" i="9" s="1"/>
  <c r="E180" i="9" a="1"/>
  <c r="E180" i="9" s="1"/>
  <c r="E179" i="9" a="1"/>
  <c r="E179" i="9" s="1"/>
  <c r="E178" i="9" a="1"/>
  <c r="E178" i="9" s="1"/>
  <c r="E177" i="9" a="1"/>
  <c r="E177" i="9" s="1"/>
  <c r="E176" i="9" a="1"/>
  <c r="E176" i="9" s="1"/>
  <c r="E175" i="9" a="1"/>
  <c r="E175" i="9" s="1"/>
  <c r="E174" i="9" a="1"/>
  <c r="E174" i="9" s="1"/>
  <c r="E173" i="9" a="1"/>
  <c r="E173" i="9" s="1"/>
  <c r="E172" i="9" a="1"/>
  <c r="E172" i="9" s="1"/>
  <c r="E171" i="9" a="1"/>
  <c r="E171" i="9" s="1"/>
  <c r="E170" i="9" a="1"/>
  <c r="E170" i="9" s="1"/>
  <c r="E169" i="9" a="1"/>
  <c r="E169" i="9" s="1"/>
  <c r="E168" i="9" a="1"/>
  <c r="E168" i="9" s="1"/>
  <c r="E167" i="9" a="1"/>
  <c r="E167" i="9" s="1"/>
  <c r="E166" i="9" a="1"/>
  <c r="E166" i="9" s="1"/>
  <c r="E165" i="9" a="1"/>
  <c r="E165" i="9" s="1"/>
  <c r="E164" i="9" a="1"/>
  <c r="E164" i="9" s="1"/>
  <c r="E163" i="9" a="1"/>
  <c r="E163" i="9" s="1"/>
  <c r="E162" i="9" a="1"/>
  <c r="E162" i="9" s="1"/>
  <c r="E161" i="9" a="1"/>
  <c r="E161" i="9" s="1"/>
  <c r="E160" i="9" a="1"/>
  <c r="E160" i="9" s="1"/>
  <c r="E159" i="9" a="1"/>
  <c r="E159" i="9" s="1"/>
  <c r="E158" i="9" a="1"/>
  <c r="E158" i="9" s="1"/>
  <c r="E157" i="9" a="1"/>
  <c r="E157" i="9" s="1"/>
  <c r="E156" i="9" a="1"/>
  <c r="E156" i="9" s="1"/>
  <c r="E155" i="9" a="1"/>
  <c r="E155" i="9" s="1"/>
  <c r="E154" i="9" a="1"/>
  <c r="E154" i="9" s="1"/>
  <c r="E153" i="9" a="1"/>
  <c r="E153" i="9" s="1"/>
  <c r="E152" i="9" a="1"/>
  <c r="E152" i="9" s="1"/>
  <c r="E151" i="9" a="1"/>
  <c r="E151" i="9" s="1"/>
  <c r="E150" i="9" a="1"/>
  <c r="E150" i="9" s="1"/>
  <c r="E149" i="9" a="1"/>
  <c r="E149" i="9" s="1"/>
  <c r="E148" i="9" a="1"/>
  <c r="E148" i="9" s="1"/>
  <c r="E147" i="9" a="1"/>
  <c r="E147" i="9" s="1"/>
  <c r="E146" i="9" a="1"/>
  <c r="E146" i="9" s="1"/>
  <c r="E145" i="9" a="1"/>
  <c r="E145" i="9" s="1"/>
  <c r="E144" i="9" a="1"/>
  <c r="E144" i="9" s="1"/>
  <c r="E143" i="9" a="1"/>
  <c r="E143" i="9" s="1"/>
  <c r="E142" i="9" a="1"/>
  <c r="E142" i="9" s="1"/>
  <c r="E141" i="9" a="1"/>
  <c r="E141" i="9" s="1"/>
  <c r="E140" i="9" a="1"/>
  <c r="E140" i="9" s="1"/>
  <c r="E139" i="9" a="1"/>
  <c r="E139" i="9" s="1"/>
  <c r="E138" i="9" a="1"/>
  <c r="E138" i="9" s="1"/>
  <c r="E137" i="9" a="1"/>
  <c r="E137" i="9" s="1"/>
  <c r="E136" i="9" a="1"/>
  <c r="E136" i="9" s="1"/>
  <c r="E135" i="9" a="1"/>
  <c r="E135" i="9" s="1"/>
  <c r="E134" i="9" a="1"/>
  <c r="E134" i="9" s="1"/>
  <c r="E133" i="9" a="1"/>
  <c r="E133" i="9" s="1"/>
  <c r="E132" i="9" a="1"/>
  <c r="E132" i="9" s="1"/>
  <c r="E131" i="9" a="1"/>
  <c r="E131" i="9" s="1"/>
  <c r="E130" i="9" a="1"/>
  <c r="E130" i="9" s="1"/>
  <c r="E129" i="9" a="1"/>
  <c r="E129" i="9" s="1"/>
  <c r="E128" i="9" a="1"/>
  <c r="E128" i="9" s="1"/>
  <c r="E127" i="9" a="1"/>
  <c r="E127" i="9" s="1"/>
  <c r="E126" i="9" a="1"/>
  <c r="E126" i="9" s="1"/>
  <c r="E125" i="9" a="1"/>
  <c r="E125" i="9" s="1"/>
  <c r="E124" i="9" a="1"/>
  <c r="E124" i="9" s="1"/>
  <c r="E123" i="9" a="1"/>
  <c r="E123" i="9" s="1"/>
  <c r="E122" i="9" a="1"/>
  <c r="E122" i="9" s="1"/>
  <c r="E121" i="9" a="1"/>
  <c r="E121" i="9" s="1"/>
  <c r="E120" i="9" a="1"/>
  <c r="E120" i="9" s="1"/>
  <c r="E119" i="9" a="1"/>
  <c r="E119" i="9" s="1"/>
  <c r="E118" i="9" a="1"/>
  <c r="E118" i="9" s="1"/>
  <c r="E117" i="9" a="1"/>
  <c r="E117" i="9" s="1"/>
  <c r="E116" i="9" a="1"/>
  <c r="E116" i="9" s="1"/>
  <c r="E115" i="9" a="1"/>
  <c r="E115" i="9" s="1"/>
  <c r="E114" i="9" a="1"/>
  <c r="E114" i="9" s="1"/>
  <c r="E113" i="9" a="1"/>
  <c r="E113" i="9" s="1"/>
  <c r="E112" i="9" a="1"/>
  <c r="E112" i="9" s="1"/>
  <c r="E111" i="9" a="1"/>
  <c r="E111" i="9" s="1"/>
  <c r="E110" i="9" a="1"/>
  <c r="E110" i="9" s="1"/>
  <c r="E109" i="9" a="1"/>
  <c r="E109" i="9" s="1"/>
  <c r="E108" i="9" a="1"/>
  <c r="E108" i="9" s="1"/>
  <c r="E107" i="9" a="1"/>
  <c r="E107" i="9" s="1"/>
  <c r="E106" i="9" a="1"/>
  <c r="E106" i="9" s="1"/>
  <c r="E105" i="9" a="1"/>
  <c r="E105" i="9" s="1"/>
  <c r="E104" i="9" a="1"/>
  <c r="E104" i="9" s="1"/>
  <c r="E103" i="9" a="1"/>
  <c r="E103" i="9" s="1"/>
  <c r="E102" i="9" a="1"/>
  <c r="E102" i="9" s="1"/>
  <c r="E101" i="9" a="1"/>
  <c r="E101" i="9" s="1"/>
  <c r="E100" i="9" a="1"/>
  <c r="E100" i="9" s="1"/>
  <c r="E99" i="9" a="1"/>
  <c r="E99" i="9" s="1"/>
  <c r="E98" i="9" a="1"/>
  <c r="E98" i="9" s="1"/>
  <c r="E97" i="9" a="1"/>
  <c r="E97" i="9" s="1"/>
  <c r="E96" i="9" a="1"/>
  <c r="E96" i="9" s="1"/>
  <c r="E95" i="9" a="1"/>
  <c r="E95" i="9" s="1"/>
  <c r="E94" i="9" a="1"/>
  <c r="E94" i="9" s="1"/>
  <c r="E93" i="9" a="1"/>
  <c r="E93" i="9" s="1"/>
  <c r="E92" i="9" a="1"/>
  <c r="E92" i="9" s="1"/>
  <c r="E91" i="9" a="1"/>
  <c r="E91" i="9" s="1"/>
  <c r="E90" i="9" a="1"/>
  <c r="E90" i="9" s="1"/>
  <c r="E89" i="9" a="1"/>
  <c r="E89" i="9" s="1"/>
  <c r="E88" i="9" a="1"/>
  <c r="E88" i="9" s="1"/>
  <c r="E87" i="9" a="1"/>
  <c r="E87" i="9" s="1"/>
  <c r="E86" i="9" a="1"/>
  <c r="E86" i="9" s="1"/>
  <c r="E85" i="9" a="1"/>
  <c r="E85" i="9" s="1"/>
  <c r="E84" i="9" a="1"/>
  <c r="E84" i="9" s="1"/>
  <c r="E83" i="9" a="1"/>
  <c r="E83" i="9" s="1"/>
  <c r="E82" i="9" a="1"/>
  <c r="E82" i="9" s="1"/>
  <c r="E81" i="9" a="1"/>
  <c r="E81" i="9" s="1"/>
  <c r="E80" i="9" a="1"/>
  <c r="E80" i="9" s="1"/>
  <c r="E79" i="9" a="1"/>
  <c r="E79" i="9" s="1"/>
  <c r="E78" i="9" a="1"/>
  <c r="E78" i="9" s="1"/>
  <c r="E77" i="9" a="1"/>
  <c r="E77" i="9" s="1"/>
  <c r="E76" i="9" a="1"/>
  <c r="E76" i="9" s="1"/>
  <c r="E75" i="9" a="1"/>
  <c r="E75" i="9" s="1"/>
  <c r="E74" i="9" a="1"/>
  <c r="E74" i="9" s="1"/>
  <c r="E73" i="9" a="1"/>
  <c r="E73" i="9" s="1"/>
  <c r="E72" i="9" a="1"/>
  <c r="E72" i="9" s="1"/>
  <c r="E71" i="9" a="1"/>
  <c r="E71" i="9" s="1"/>
  <c r="E70" i="9" a="1"/>
  <c r="E70" i="9" s="1"/>
  <c r="E69" i="9" a="1"/>
  <c r="E69" i="9" s="1"/>
  <c r="E68" i="9" a="1"/>
  <c r="E68" i="9" s="1"/>
  <c r="E67" i="9" a="1"/>
  <c r="E67" i="9" s="1"/>
  <c r="E66" i="9" a="1"/>
  <c r="E66" i="9" s="1"/>
  <c r="E65" i="9" a="1"/>
  <c r="E65" i="9" s="1"/>
  <c r="E64" i="9" a="1"/>
  <c r="E64" i="9" s="1"/>
  <c r="E63" i="9" a="1"/>
  <c r="E63" i="9" s="1"/>
  <c r="E62" i="9" a="1"/>
  <c r="E62" i="9" s="1"/>
  <c r="E61" i="9" a="1"/>
  <c r="E61" i="9" s="1"/>
  <c r="E60" i="9" a="1"/>
  <c r="E60" i="9" s="1"/>
  <c r="E59" i="9" a="1"/>
  <c r="E59" i="9" s="1"/>
  <c r="E58" i="9" a="1"/>
  <c r="E58" i="9" s="1"/>
  <c r="E57" i="9" a="1"/>
  <c r="E57" i="9" s="1"/>
  <c r="E56" i="9" a="1"/>
  <c r="E56" i="9" s="1"/>
  <c r="E55" i="9" a="1"/>
  <c r="E55" i="9" s="1"/>
  <c r="E54" i="9" a="1"/>
  <c r="E54" i="9" s="1"/>
  <c r="E53" i="9" a="1"/>
  <c r="E53" i="9" s="1"/>
  <c r="E52" i="9" a="1"/>
  <c r="E52" i="9" s="1"/>
  <c r="E51" i="9" a="1"/>
  <c r="E51" i="9" s="1"/>
  <c r="E50" i="9" a="1"/>
  <c r="E50" i="9" s="1"/>
  <c r="E49" i="9" a="1"/>
  <c r="E49" i="9" s="1"/>
  <c r="E48" i="9" a="1"/>
  <c r="E48" i="9" s="1"/>
  <c r="E47" i="9" a="1"/>
  <c r="E47" i="9" s="1"/>
  <c r="E46" i="9" a="1"/>
  <c r="E46" i="9" s="1"/>
  <c r="E45" i="9" a="1"/>
  <c r="E45" i="9" s="1"/>
  <c r="E44" i="9" a="1"/>
  <c r="E44" i="9" s="1"/>
  <c r="E43" i="9" a="1"/>
  <c r="E43" i="9" s="1"/>
  <c r="E42" i="9" a="1"/>
  <c r="E42" i="9" s="1"/>
  <c r="E41" i="9" a="1"/>
  <c r="E41" i="9" s="1"/>
  <c r="E40" i="9" a="1"/>
  <c r="E40" i="9" s="1"/>
  <c r="E39" i="9" a="1"/>
  <c r="E39" i="9" s="1"/>
  <c r="E38" i="9" a="1"/>
  <c r="E38" i="9" s="1"/>
  <c r="E37" i="9" a="1"/>
  <c r="E37" i="9" s="1"/>
  <c r="E36" i="9" a="1"/>
  <c r="E36" i="9" s="1"/>
  <c r="E35" i="9" a="1"/>
  <c r="E35" i="9" s="1"/>
  <c r="E34" i="9" a="1"/>
  <c r="E34" i="9" s="1"/>
  <c r="E33" i="9" a="1"/>
  <c r="E33" i="9" s="1"/>
  <c r="E32" i="9" a="1"/>
  <c r="E32" i="9" s="1"/>
  <c r="E31" i="9" a="1"/>
  <c r="E31" i="9" s="1"/>
  <c r="E30" i="9" a="1"/>
  <c r="E30" i="9" s="1"/>
  <c r="E29" i="9" a="1"/>
  <c r="E29" i="9" s="1"/>
  <c r="E28" i="9" a="1"/>
  <c r="E28" i="9" s="1"/>
  <c r="E27" i="9" a="1"/>
  <c r="E27" i="9" s="1"/>
  <c r="E26" i="9" a="1"/>
  <c r="E26" i="9" s="1"/>
  <c r="E25" i="9" a="1"/>
  <c r="E25" i="9" s="1"/>
  <c r="E24" i="9" a="1"/>
  <c r="E24" i="9" s="1"/>
  <c r="E23" i="9" a="1"/>
  <c r="E23" i="9" s="1"/>
  <c r="E22" i="9" a="1"/>
  <c r="E22" i="9" s="1"/>
  <c r="E21" i="9" a="1"/>
  <c r="E21" i="9" s="1"/>
  <c r="E20" i="9" a="1"/>
  <c r="E20" i="9" s="1"/>
  <c r="E19" i="9" a="1"/>
  <c r="E19" i="9" s="1"/>
  <c r="E18" i="9" a="1"/>
  <c r="E18" i="9" s="1"/>
  <c r="E17" i="9" a="1"/>
  <c r="E17" i="9" s="1"/>
  <c r="E16" i="9" a="1"/>
  <c r="E16" i="9" s="1"/>
  <c r="E15" i="9" a="1"/>
  <c r="E15" i="9" s="1"/>
  <c r="E14" i="9" a="1"/>
  <c r="E14" i="9" s="1"/>
  <c r="E13" i="9" a="1"/>
  <c r="E13" i="9" s="1"/>
  <c r="E12" i="9" a="1"/>
  <c r="E12" i="9" s="1"/>
  <c r="E11" i="9" a="1"/>
  <c r="E11" i="9" s="1"/>
  <c r="E10" i="9" a="1"/>
  <c r="E10" i="9" s="1"/>
  <c r="E9" i="9" a="1"/>
  <c r="E9" i="9" s="1"/>
  <c r="E8" i="9" a="1"/>
  <c r="E8" i="9" s="1"/>
  <c r="E7" i="9" a="1"/>
  <c r="E7" i="9" s="1"/>
  <c r="E6" i="9" a="1"/>
  <c r="E6" i="9" s="1"/>
  <c r="E5" i="9" a="1"/>
  <c r="E5" i="9" s="1"/>
  <c r="E4" i="9" a="1"/>
  <c r="E4" i="9" s="1"/>
  <c r="W193" i="8"/>
  <c r="W192" i="8"/>
  <c r="W191" i="8"/>
  <c r="Y191" i="8" s="1"/>
  <c r="W187" i="8"/>
  <c r="W186" i="8"/>
  <c r="W177" i="8"/>
  <c r="W176" i="8"/>
  <c r="W175" i="8"/>
  <c r="Y175" i="8" s="1"/>
  <c r="W171" i="8"/>
  <c r="W170" i="8"/>
  <c r="W161" i="8"/>
  <c r="W160" i="8"/>
  <c r="W159" i="8"/>
  <c r="W155" i="8"/>
  <c r="W154" i="8"/>
  <c r="W145" i="8"/>
  <c r="W144" i="8"/>
  <c r="W143" i="8"/>
  <c r="W139" i="8"/>
  <c r="W138" i="8"/>
  <c r="W129" i="8"/>
  <c r="W128" i="8"/>
  <c r="W127" i="8"/>
  <c r="W123" i="8"/>
  <c r="W122" i="8"/>
  <c r="W113" i="8"/>
  <c r="W112" i="8"/>
  <c r="W111" i="8"/>
  <c r="W107" i="8"/>
  <c r="W106" i="8"/>
  <c r="W97" i="8"/>
  <c r="W96" i="8"/>
  <c r="W95" i="8"/>
  <c r="W91" i="8"/>
  <c r="W90" i="8"/>
  <c r="W81" i="8"/>
  <c r="W80" i="8"/>
  <c r="W79" i="8"/>
  <c r="W75" i="8"/>
  <c r="W74" i="8"/>
  <c r="W65" i="8"/>
  <c r="W64" i="8"/>
  <c r="W63" i="8"/>
  <c r="W59" i="8"/>
  <c r="W58" i="8"/>
  <c r="W48" i="8"/>
  <c r="W47" i="8"/>
  <c r="W46" i="8"/>
  <c r="W42" i="8"/>
  <c r="W41" i="8"/>
  <c r="W32" i="8"/>
  <c r="W31" i="8"/>
  <c r="W30" i="8"/>
  <c r="W26" i="8"/>
  <c r="W25" i="8"/>
  <c r="W16" i="8"/>
  <c r="W15" i="8"/>
  <c r="W14" i="8"/>
  <c r="W10" i="8"/>
  <c r="W9" i="8"/>
  <c r="W201" i="8"/>
  <c r="V201" i="8"/>
  <c r="U201" i="8"/>
  <c r="W200" i="8"/>
  <c r="V200" i="8"/>
  <c r="U200" i="8"/>
  <c r="W199" i="8"/>
  <c r="V199" i="8"/>
  <c r="U199" i="8"/>
  <c r="W198" i="8"/>
  <c r="V198" i="8"/>
  <c r="U198" i="8"/>
  <c r="W197" i="8"/>
  <c r="V197" i="8"/>
  <c r="U197" i="8"/>
  <c r="W196" i="8"/>
  <c r="V196" i="8"/>
  <c r="U196" i="8"/>
  <c r="W195" i="8"/>
  <c r="V195" i="8"/>
  <c r="U195" i="8"/>
  <c r="W194" i="8"/>
  <c r="V194" i="8"/>
  <c r="U194" i="8"/>
  <c r="V193" i="8"/>
  <c r="U193" i="8"/>
  <c r="V192" i="8"/>
  <c r="U192" i="8"/>
  <c r="V191" i="8"/>
  <c r="U191" i="8"/>
  <c r="W190" i="8"/>
  <c r="V190" i="8"/>
  <c r="U190" i="8"/>
  <c r="W189" i="8"/>
  <c r="V189" i="8"/>
  <c r="U189" i="8"/>
  <c r="W188" i="8"/>
  <c r="V188" i="8"/>
  <c r="U188" i="8"/>
  <c r="V187" i="8"/>
  <c r="U187" i="8"/>
  <c r="V186" i="8"/>
  <c r="U186" i="8"/>
  <c r="W185" i="8"/>
  <c r="Y185" i="8" s="1"/>
  <c r="V185" i="8"/>
  <c r="U185" i="8"/>
  <c r="W184" i="8"/>
  <c r="V184" i="8"/>
  <c r="U184" i="8"/>
  <c r="W183" i="8"/>
  <c r="V183" i="8"/>
  <c r="U183" i="8"/>
  <c r="W182" i="8"/>
  <c r="V182" i="8"/>
  <c r="U182" i="8"/>
  <c r="W181" i="8"/>
  <c r="V181" i="8"/>
  <c r="U181" i="8"/>
  <c r="W180" i="8"/>
  <c r="V180" i="8"/>
  <c r="U180" i="8"/>
  <c r="W179" i="8"/>
  <c r="Y179" i="8" s="1"/>
  <c r="V179" i="8"/>
  <c r="U179" i="8"/>
  <c r="W178" i="8"/>
  <c r="V178" i="8"/>
  <c r="U178" i="8"/>
  <c r="V177" i="8"/>
  <c r="U177" i="8"/>
  <c r="V176" i="8"/>
  <c r="U176" i="8"/>
  <c r="V175" i="8"/>
  <c r="U175" i="8"/>
  <c r="W174" i="8"/>
  <c r="V174" i="8"/>
  <c r="U174" i="8"/>
  <c r="W173" i="8"/>
  <c r="V173" i="8"/>
  <c r="U173" i="8"/>
  <c r="W172" i="8"/>
  <c r="V172" i="8"/>
  <c r="U172" i="8"/>
  <c r="V171" i="8"/>
  <c r="U171" i="8"/>
  <c r="V170" i="8"/>
  <c r="U170" i="8"/>
  <c r="W169" i="8"/>
  <c r="V169" i="8"/>
  <c r="U169" i="8"/>
  <c r="W168" i="8"/>
  <c r="V168" i="8"/>
  <c r="U168" i="8"/>
  <c r="W167" i="8"/>
  <c r="V167" i="8"/>
  <c r="U167" i="8"/>
  <c r="W166" i="8"/>
  <c r="V166" i="8"/>
  <c r="U166" i="8"/>
  <c r="W165" i="8"/>
  <c r="V165" i="8"/>
  <c r="U165" i="8"/>
  <c r="W164" i="8"/>
  <c r="V164" i="8"/>
  <c r="U164" i="8"/>
  <c r="W163" i="8"/>
  <c r="V163" i="8"/>
  <c r="U163" i="8"/>
  <c r="W162" i="8"/>
  <c r="V162" i="8"/>
  <c r="U162" i="8"/>
  <c r="V161" i="8"/>
  <c r="U161" i="8"/>
  <c r="V160" i="8"/>
  <c r="U160" i="8"/>
  <c r="V159" i="8"/>
  <c r="U159" i="8"/>
  <c r="W158" i="8"/>
  <c r="V158" i="8"/>
  <c r="U158" i="8"/>
  <c r="W157" i="8"/>
  <c r="V157" i="8"/>
  <c r="U157" i="8"/>
  <c r="W156" i="8"/>
  <c r="V156" i="8"/>
  <c r="U156" i="8"/>
  <c r="V155" i="8"/>
  <c r="U155" i="8"/>
  <c r="V154" i="8"/>
  <c r="U154" i="8"/>
  <c r="W153" i="8"/>
  <c r="V153" i="8"/>
  <c r="U153" i="8"/>
  <c r="W152" i="8"/>
  <c r="V152" i="8"/>
  <c r="U152" i="8"/>
  <c r="W151" i="8"/>
  <c r="V151" i="8"/>
  <c r="U151" i="8"/>
  <c r="W150" i="8"/>
  <c r="V150" i="8"/>
  <c r="U150" i="8"/>
  <c r="W149" i="8"/>
  <c r="Y149" i="8" s="1"/>
  <c r="V149" i="8"/>
  <c r="U149" i="8"/>
  <c r="W148" i="8"/>
  <c r="V148" i="8"/>
  <c r="U148" i="8"/>
  <c r="W147" i="8"/>
  <c r="V147" i="8"/>
  <c r="U147" i="8"/>
  <c r="W146" i="8"/>
  <c r="V146" i="8"/>
  <c r="U146" i="8"/>
  <c r="V145" i="8"/>
  <c r="U145" i="8"/>
  <c r="V144" i="8"/>
  <c r="U144" i="8"/>
  <c r="V143" i="8"/>
  <c r="U143" i="8"/>
  <c r="W142" i="8"/>
  <c r="V142" i="8"/>
  <c r="U142" i="8"/>
  <c r="W141" i="8"/>
  <c r="V141" i="8"/>
  <c r="U141" i="8"/>
  <c r="W140" i="8"/>
  <c r="V140" i="8"/>
  <c r="U140" i="8"/>
  <c r="V139" i="8"/>
  <c r="U139" i="8"/>
  <c r="V138" i="8"/>
  <c r="U138" i="8"/>
  <c r="W137" i="8"/>
  <c r="V137" i="8"/>
  <c r="U137" i="8"/>
  <c r="W136" i="8"/>
  <c r="V136" i="8"/>
  <c r="U136" i="8"/>
  <c r="W135" i="8"/>
  <c r="V135" i="8"/>
  <c r="U135" i="8"/>
  <c r="W134" i="8"/>
  <c r="V134" i="8"/>
  <c r="U134" i="8"/>
  <c r="W133" i="8"/>
  <c r="V133" i="8"/>
  <c r="U133" i="8"/>
  <c r="W132" i="8"/>
  <c r="V132" i="8"/>
  <c r="U132" i="8"/>
  <c r="W131" i="8"/>
  <c r="V131" i="8"/>
  <c r="U131" i="8"/>
  <c r="W130" i="8"/>
  <c r="V130" i="8"/>
  <c r="U130" i="8"/>
  <c r="V129" i="8"/>
  <c r="U129" i="8"/>
  <c r="V128" i="8"/>
  <c r="U128" i="8"/>
  <c r="V127" i="8"/>
  <c r="U127" i="8"/>
  <c r="W126" i="8"/>
  <c r="V126" i="8"/>
  <c r="U126" i="8"/>
  <c r="W125" i="8"/>
  <c r="V125" i="8"/>
  <c r="U125" i="8"/>
  <c r="W124" i="8"/>
  <c r="V124" i="8"/>
  <c r="U124" i="8"/>
  <c r="V123" i="8"/>
  <c r="U123" i="8"/>
  <c r="V122" i="8"/>
  <c r="U122" i="8"/>
  <c r="W121" i="8"/>
  <c r="V121" i="8"/>
  <c r="U121" i="8"/>
  <c r="W120" i="8"/>
  <c r="V120" i="8"/>
  <c r="U120" i="8"/>
  <c r="W119" i="8"/>
  <c r="Y119" i="8" s="1"/>
  <c r="V119" i="8"/>
  <c r="U119" i="8"/>
  <c r="W118" i="8"/>
  <c r="V118" i="8"/>
  <c r="U118" i="8"/>
  <c r="W117" i="8"/>
  <c r="V117" i="8"/>
  <c r="U117" i="8"/>
  <c r="W116" i="8"/>
  <c r="V116" i="8"/>
  <c r="U116" i="8"/>
  <c r="W115" i="8"/>
  <c r="V115" i="8"/>
  <c r="U115" i="8"/>
  <c r="W114" i="8"/>
  <c r="V114" i="8"/>
  <c r="U114" i="8"/>
  <c r="V113" i="8"/>
  <c r="U113" i="8"/>
  <c r="V112" i="8"/>
  <c r="U112" i="8"/>
  <c r="V111" i="8"/>
  <c r="U111" i="8"/>
  <c r="W110" i="8"/>
  <c r="V110" i="8"/>
  <c r="U110" i="8"/>
  <c r="W109" i="8"/>
  <c r="V109" i="8"/>
  <c r="U109" i="8"/>
  <c r="W108" i="8"/>
  <c r="V108" i="8"/>
  <c r="U108" i="8"/>
  <c r="V107" i="8"/>
  <c r="U107" i="8"/>
  <c r="V106" i="8"/>
  <c r="U106" i="8"/>
  <c r="W105" i="8"/>
  <c r="V105" i="8"/>
  <c r="U105" i="8"/>
  <c r="W104" i="8"/>
  <c r="V104" i="8"/>
  <c r="U104" i="8"/>
  <c r="W103" i="8"/>
  <c r="V103" i="8"/>
  <c r="U103" i="8"/>
  <c r="W102" i="8"/>
  <c r="V102" i="8"/>
  <c r="U102" i="8"/>
  <c r="W101" i="8"/>
  <c r="V101" i="8"/>
  <c r="U101" i="8"/>
  <c r="W100" i="8"/>
  <c r="V100" i="8"/>
  <c r="U100" i="8"/>
  <c r="W99" i="8"/>
  <c r="V99" i="8"/>
  <c r="U99" i="8"/>
  <c r="W98" i="8"/>
  <c r="V98" i="8"/>
  <c r="U98" i="8"/>
  <c r="V97" i="8"/>
  <c r="U97" i="8"/>
  <c r="V96" i="8"/>
  <c r="U96" i="8"/>
  <c r="V95" i="8"/>
  <c r="U95" i="8"/>
  <c r="W94" i="8"/>
  <c r="V94" i="8"/>
  <c r="U94" i="8"/>
  <c r="W93" i="8"/>
  <c r="V93" i="8"/>
  <c r="U93" i="8"/>
  <c r="W92" i="8"/>
  <c r="V92" i="8"/>
  <c r="U92" i="8"/>
  <c r="V91" i="8"/>
  <c r="U91" i="8"/>
  <c r="V90" i="8"/>
  <c r="U90" i="8"/>
  <c r="W89" i="8"/>
  <c r="V89" i="8"/>
  <c r="U89" i="8"/>
  <c r="W88" i="8"/>
  <c r="V88" i="8"/>
  <c r="U88" i="8"/>
  <c r="W87" i="8"/>
  <c r="V87" i="8"/>
  <c r="U87" i="8"/>
  <c r="W86" i="8"/>
  <c r="V86" i="8"/>
  <c r="U86" i="8"/>
  <c r="W85" i="8"/>
  <c r="V85" i="8"/>
  <c r="U85" i="8"/>
  <c r="W84" i="8"/>
  <c r="V84" i="8"/>
  <c r="U84" i="8"/>
  <c r="W83" i="8"/>
  <c r="V83" i="8"/>
  <c r="U83" i="8"/>
  <c r="W82" i="8"/>
  <c r="V82" i="8"/>
  <c r="U82" i="8"/>
  <c r="V81" i="8"/>
  <c r="U81" i="8"/>
  <c r="V80" i="8"/>
  <c r="U80" i="8"/>
  <c r="V79" i="8"/>
  <c r="U79" i="8"/>
  <c r="W78" i="8"/>
  <c r="V78" i="8"/>
  <c r="U78" i="8"/>
  <c r="W77" i="8"/>
  <c r="V77" i="8"/>
  <c r="U77" i="8"/>
  <c r="W76" i="8"/>
  <c r="V76" i="8"/>
  <c r="U76" i="8"/>
  <c r="V75" i="8"/>
  <c r="U75" i="8"/>
  <c r="V74" i="8"/>
  <c r="U74" i="8"/>
  <c r="W73" i="8"/>
  <c r="V73" i="8"/>
  <c r="U73" i="8"/>
  <c r="W72" i="8"/>
  <c r="V72" i="8"/>
  <c r="U72" i="8"/>
  <c r="W71" i="8"/>
  <c r="V71" i="8"/>
  <c r="U71" i="8"/>
  <c r="W70" i="8"/>
  <c r="V70" i="8"/>
  <c r="U70" i="8"/>
  <c r="W69" i="8"/>
  <c r="V69" i="8"/>
  <c r="U69" i="8"/>
  <c r="W68" i="8"/>
  <c r="V68" i="8"/>
  <c r="U68" i="8"/>
  <c r="W67" i="8"/>
  <c r="V67" i="8"/>
  <c r="U67" i="8"/>
  <c r="W66" i="8"/>
  <c r="V66" i="8"/>
  <c r="U66" i="8"/>
  <c r="V65" i="8"/>
  <c r="U65" i="8"/>
  <c r="V64" i="8"/>
  <c r="U64" i="8"/>
  <c r="V63" i="8"/>
  <c r="U63" i="8"/>
  <c r="W62" i="8"/>
  <c r="V62" i="8"/>
  <c r="U62" i="8"/>
  <c r="W61" i="8"/>
  <c r="V61" i="8"/>
  <c r="U61" i="8"/>
  <c r="W60" i="8"/>
  <c r="V60" i="8"/>
  <c r="U60" i="8"/>
  <c r="V59" i="8"/>
  <c r="U59" i="8"/>
  <c r="V58" i="8"/>
  <c r="U58" i="8"/>
  <c r="W57" i="8"/>
  <c r="V57" i="8"/>
  <c r="U57" i="8"/>
  <c r="W56" i="8"/>
  <c r="V56" i="8"/>
  <c r="U56" i="8"/>
  <c r="W55" i="8"/>
  <c r="V55" i="8"/>
  <c r="U55" i="8"/>
  <c r="W53" i="8"/>
  <c r="V53" i="8"/>
  <c r="U53" i="8"/>
  <c r="W52" i="8"/>
  <c r="V52" i="8"/>
  <c r="U52" i="8"/>
  <c r="W51" i="8"/>
  <c r="V51" i="8"/>
  <c r="U51" i="8"/>
  <c r="W50" i="8"/>
  <c r="V50" i="8"/>
  <c r="U50" i="8"/>
  <c r="W49" i="8"/>
  <c r="V49" i="8"/>
  <c r="U49" i="8"/>
  <c r="V48" i="8"/>
  <c r="U48" i="8"/>
  <c r="V47" i="8"/>
  <c r="U47" i="8"/>
  <c r="V46" i="8"/>
  <c r="U46" i="8"/>
  <c r="W45" i="8"/>
  <c r="V45" i="8"/>
  <c r="U45" i="8"/>
  <c r="W44" i="8"/>
  <c r="V44" i="8"/>
  <c r="U44" i="8"/>
  <c r="W43" i="8"/>
  <c r="V43" i="8"/>
  <c r="U43" i="8"/>
  <c r="V42" i="8"/>
  <c r="U42" i="8"/>
  <c r="V41" i="8"/>
  <c r="U41" i="8"/>
  <c r="W40" i="8"/>
  <c r="V40" i="8"/>
  <c r="U40" i="8"/>
  <c r="W39" i="8"/>
  <c r="V39" i="8"/>
  <c r="U39" i="8"/>
  <c r="W38" i="8"/>
  <c r="V38" i="8"/>
  <c r="U38" i="8"/>
  <c r="W37" i="8"/>
  <c r="V37" i="8"/>
  <c r="U37" i="8"/>
  <c r="W36" i="8"/>
  <c r="V36" i="8"/>
  <c r="U36" i="8"/>
  <c r="W35" i="8"/>
  <c r="V35" i="8"/>
  <c r="U35" i="8"/>
  <c r="W34" i="8"/>
  <c r="V34" i="8"/>
  <c r="U34" i="8"/>
  <c r="W33" i="8"/>
  <c r="V33" i="8"/>
  <c r="U33" i="8"/>
  <c r="V32" i="8"/>
  <c r="U32" i="8"/>
  <c r="V31" i="8"/>
  <c r="U31" i="8"/>
  <c r="V30" i="8"/>
  <c r="U30" i="8"/>
  <c r="W29" i="8"/>
  <c r="V29" i="8"/>
  <c r="U29" i="8"/>
  <c r="W28" i="8"/>
  <c r="V28" i="8"/>
  <c r="U28" i="8"/>
  <c r="W27" i="8"/>
  <c r="V27" i="8"/>
  <c r="U27" i="8"/>
  <c r="V26" i="8"/>
  <c r="U26" i="8"/>
  <c r="V25" i="8"/>
  <c r="U25" i="8"/>
  <c r="W24" i="8"/>
  <c r="V24" i="8"/>
  <c r="U24" i="8"/>
  <c r="W23" i="8"/>
  <c r="V23" i="8"/>
  <c r="U23" i="8"/>
  <c r="W22" i="8"/>
  <c r="V22" i="8"/>
  <c r="U22" i="8"/>
  <c r="W21" i="8"/>
  <c r="V21" i="8"/>
  <c r="U21" i="8"/>
  <c r="W20" i="8"/>
  <c r="V20" i="8"/>
  <c r="U20" i="8"/>
  <c r="W19" i="8"/>
  <c r="V19" i="8"/>
  <c r="U19" i="8"/>
  <c r="W18" i="8"/>
  <c r="V18" i="8"/>
  <c r="U18" i="8"/>
  <c r="W17" i="8"/>
  <c r="V17" i="8"/>
  <c r="U17" i="8"/>
  <c r="V16" i="8"/>
  <c r="U16" i="8"/>
  <c r="V15" i="8"/>
  <c r="U15" i="8"/>
  <c r="V14" i="8"/>
  <c r="U14" i="8"/>
  <c r="W13" i="8"/>
  <c r="V13" i="8"/>
  <c r="U13" i="8"/>
  <c r="W12" i="8"/>
  <c r="V12" i="8"/>
  <c r="U12" i="8"/>
  <c r="W11" i="8"/>
  <c r="V11" i="8"/>
  <c r="U11" i="8"/>
  <c r="V10" i="8"/>
  <c r="U10" i="8"/>
  <c r="V9" i="8"/>
  <c r="U9" i="8"/>
  <c r="W8" i="8"/>
  <c r="V8" i="8"/>
  <c r="U8" i="8"/>
  <c r="W7" i="8"/>
  <c r="V7" i="8"/>
  <c r="U7" i="8"/>
  <c r="W6" i="8"/>
  <c r="V6" i="8"/>
  <c r="U6" i="8"/>
  <c r="M201" i="8"/>
  <c r="M200" i="8"/>
  <c r="M199" i="8"/>
  <c r="M198" i="8"/>
  <c r="M197" i="8"/>
  <c r="M196" i="8"/>
  <c r="M195" i="8"/>
  <c r="M194" i="8"/>
  <c r="O194" i="8" s="1"/>
  <c r="M193" i="8"/>
  <c r="O193" i="8" s="1"/>
  <c r="M192" i="8"/>
  <c r="M191" i="8"/>
  <c r="M190" i="8"/>
  <c r="M189" i="8"/>
  <c r="M188" i="8"/>
  <c r="M187" i="8"/>
  <c r="M186" i="8"/>
  <c r="M185" i="8"/>
  <c r="M184" i="8"/>
  <c r="M183" i="8"/>
  <c r="M182" i="8"/>
  <c r="M181" i="8"/>
  <c r="M180" i="8"/>
  <c r="M179" i="8"/>
  <c r="M178" i="8"/>
  <c r="O178" i="8" s="1"/>
  <c r="M177" i="8"/>
  <c r="O177" i="8" s="1"/>
  <c r="M176" i="8"/>
  <c r="M175" i="8"/>
  <c r="M174" i="8"/>
  <c r="M173" i="8"/>
  <c r="M172" i="8"/>
  <c r="M171" i="8"/>
  <c r="M170" i="8"/>
  <c r="M169" i="8"/>
  <c r="M168" i="8"/>
  <c r="M167" i="8"/>
  <c r="M166" i="8"/>
  <c r="M165" i="8"/>
  <c r="M164" i="8"/>
  <c r="M163" i="8"/>
  <c r="M162" i="8"/>
  <c r="O162" i="8" s="1"/>
  <c r="M161" i="8"/>
  <c r="O161" i="8" s="1"/>
  <c r="M160" i="8"/>
  <c r="M159" i="8"/>
  <c r="M158" i="8"/>
  <c r="M157" i="8"/>
  <c r="M156" i="8"/>
  <c r="M155" i="8"/>
  <c r="M154" i="8"/>
  <c r="M153" i="8"/>
  <c r="M152" i="8"/>
  <c r="M151" i="8"/>
  <c r="M150" i="8"/>
  <c r="M149" i="8"/>
  <c r="M148" i="8"/>
  <c r="M147" i="8"/>
  <c r="M146" i="8"/>
  <c r="O146" i="8" s="1"/>
  <c r="M145" i="8"/>
  <c r="O145" i="8" s="1"/>
  <c r="M144" i="8"/>
  <c r="M143" i="8"/>
  <c r="M142" i="8"/>
  <c r="M141" i="8"/>
  <c r="M140" i="8"/>
  <c r="M139" i="8"/>
  <c r="M138" i="8"/>
  <c r="M137" i="8"/>
  <c r="M136" i="8"/>
  <c r="M135" i="8"/>
  <c r="M134" i="8"/>
  <c r="M133" i="8"/>
  <c r="M132" i="8"/>
  <c r="M131" i="8"/>
  <c r="M130" i="8"/>
  <c r="O130" i="8" s="1"/>
  <c r="M129" i="8"/>
  <c r="O129" i="8" s="1"/>
  <c r="M128" i="8"/>
  <c r="M127" i="8"/>
  <c r="M126" i="8"/>
  <c r="M125" i="8"/>
  <c r="M124" i="8"/>
  <c r="M123" i="8"/>
  <c r="M122" i="8"/>
  <c r="M121" i="8"/>
  <c r="M120" i="8"/>
  <c r="M119" i="8"/>
  <c r="M118" i="8"/>
  <c r="M117" i="8"/>
  <c r="M116" i="8"/>
  <c r="M115" i="8"/>
  <c r="M114" i="8"/>
  <c r="O114" i="8" s="1"/>
  <c r="M113" i="8"/>
  <c r="O113" i="8" s="1"/>
  <c r="M112" i="8"/>
  <c r="M111" i="8"/>
  <c r="M110" i="8"/>
  <c r="M109" i="8"/>
  <c r="M108" i="8"/>
  <c r="M107" i="8"/>
  <c r="M106" i="8"/>
  <c r="M105" i="8"/>
  <c r="M104" i="8"/>
  <c r="M103" i="8"/>
  <c r="M102" i="8"/>
  <c r="M101" i="8"/>
  <c r="M100" i="8"/>
  <c r="M99" i="8"/>
  <c r="M98" i="8"/>
  <c r="M97" i="8"/>
  <c r="M96" i="8"/>
  <c r="M95" i="8"/>
  <c r="M94" i="8"/>
  <c r="M93" i="8"/>
  <c r="M92" i="8"/>
  <c r="M91" i="8"/>
  <c r="M90" i="8"/>
  <c r="M89" i="8"/>
  <c r="M88" i="8"/>
  <c r="M87" i="8"/>
  <c r="M86" i="8"/>
  <c r="M85" i="8"/>
  <c r="M84" i="8"/>
  <c r="M83" i="8"/>
  <c r="M82" i="8"/>
  <c r="M81" i="8"/>
  <c r="M80" i="8"/>
  <c r="M79" i="8"/>
  <c r="M78" i="8"/>
  <c r="M77" i="8"/>
  <c r="M76" i="8"/>
  <c r="M75" i="8"/>
  <c r="M74" i="8"/>
  <c r="M73" i="8"/>
  <c r="M72" i="8"/>
  <c r="M71" i="8"/>
  <c r="M70" i="8"/>
  <c r="M69" i="8"/>
  <c r="M68" i="8"/>
  <c r="M67" i="8"/>
  <c r="M66" i="8"/>
  <c r="M65" i="8"/>
  <c r="M64" i="8"/>
  <c r="M63" i="8"/>
  <c r="M62" i="8"/>
  <c r="M61" i="8"/>
  <c r="M60" i="8"/>
  <c r="M59" i="8"/>
  <c r="M58" i="8"/>
  <c r="M57" i="8"/>
  <c r="M56" i="8"/>
  <c r="M55" i="8"/>
  <c r="M53" i="8"/>
  <c r="M52" i="8"/>
  <c r="M51" i="8"/>
  <c r="M50" i="8"/>
  <c r="M49" i="8"/>
  <c r="M48" i="8"/>
  <c r="M47" i="8"/>
  <c r="M46" i="8"/>
  <c r="M45" i="8"/>
  <c r="M44" i="8"/>
  <c r="M43" i="8"/>
  <c r="M42" i="8"/>
  <c r="M41" i="8"/>
  <c r="M40" i="8"/>
  <c r="M39" i="8"/>
  <c r="M38" i="8"/>
  <c r="M37" i="8"/>
  <c r="M36" i="8"/>
  <c r="M35" i="8"/>
  <c r="M34" i="8"/>
  <c r="M33" i="8"/>
  <c r="M32" i="8"/>
  <c r="M31" i="8"/>
  <c r="M30" i="8"/>
  <c r="M29" i="8"/>
  <c r="M28" i="8"/>
  <c r="M27" i="8"/>
  <c r="M26" i="8"/>
  <c r="M25" i="8"/>
  <c r="M24" i="8"/>
  <c r="M23" i="8"/>
  <c r="M22" i="8"/>
  <c r="M21" i="8"/>
  <c r="M20" i="8"/>
  <c r="M19" i="8"/>
  <c r="M18" i="8"/>
  <c r="M17" i="8"/>
  <c r="M16" i="8"/>
  <c r="M15" i="8"/>
  <c r="M14" i="8"/>
  <c r="M13" i="8"/>
  <c r="M12" i="8"/>
  <c r="M11" i="8"/>
  <c r="M10" i="8"/>
  <c r="M9" i="8"/>
  <c r="M8" i="8"/>
  <c r="M7" i="8"/>
  <c r="M6" i="8"/>
  <c r="L201" i="8"/>
  <c r="K201" i="8"/>
  <c r="L200" i="8"/>
  <c r="K200" i="8"/>
  <c r="L199" i="8"/>
  <c r="K199" i="8"/>
  <c r="L198" i="8"/>
  <c r="K198" i="8"/>
  <c r="L197" i="8"/>
  <c r="K197" i="8"/>
  <c r="L196" i="8"/>
  <c r="K196" i="8"/>
  <c r="L195" i="8"/>
  <c r="K195" i="8"/>
  <c r="L194" i="8"/>
  <c r="K194" i="8"/>
  <c r="L193" i="8"/>
  <c r="K193" i="8"/>
  <c r="L192" i="8"/>
  <c r="K192" i="8"/>
  <c r="L191" i="8"/>
  <c r="K191" i="8"/>
  <c r="L190" i="8"/>
  <c r="K190" i="8"/>
  <c r="L189" i="8"/>
  <c r="K189" i="8"/>
  <c r="L188" i="8"/>
  <c r="K188" i="8"/>
  <c r="L187" i="8"/>
  <c r="K187" i="8"/>
  <c r="L186" i="8"/>
  <c r="K186" i="8"/>
  <c r="L185" i="8"/>
  <c r="K185" i="8"/>
  <c r="L184" i="8"/>
  <c r="O184" i="8" s="1"/>
  <c r="K184" i="8"/>
  <c r="L183" i="8"/>
  <c r="O183" i="8" s="1"/>
  <c r="K183" i="8"/>
  <c r="L182" i="8"/>
  <c r="O182" i="8" s="1"/>
  <c r="K182" i="8"/>
  <c r="L181" i="8"/>
  <c r="K181" i="8"/>
  <c r="L180" i="8"/>
  <c r="K180" i="8"/>
  <c r="L179" i="8"/>
  <c r="K179" i="8"/>
  <c r="L178" i="8"/>
  <c r="K178" i="8"/>
  <c r="L177" i="8"/>
  <c r="K177" i="8"/>
  <c r="L176" i="8"/>
  <c r="K176" i="8"/>
  <c r="L175" i="8"/>
  <c r="K175" i="8"/>
  <c r="L174" i="8"/>
  <c r="K174" i="8"/>
  <c r="L173" i="8"/>
  <c r="K173" i="8"/>
  <c r="L172" i="8"/>
  <c r="K172" i="8"/>
  <c r="L171" i="8"/>
  <c r="K171" i="8"/>
  <c r="L170" i="8"/>
  <c r="K170" i="8"/>
  <c r="L169" i="8"/>
  <c r="K169" i="8"/>
  <c r="L168" i="8"/>
  <c r="K168" i="8"/>
  <c r="L167" i="8"/>
  <c r="K167" i="8"/>
  <c r="L166" i="8"/>
  <c r="K166" i="8"/>
  <c r="L165" i="8"/>
  <c r="K165" i="8"/>
  <c r="L164" i="8"/>
  <c r="K164" i="8"/>
  <c r="L163" i="8"/>
  <c r="K163" i="8"/>
  <c r="L162" i="8"/>
  <c r="K162" i="8"/>
  <c r="L161" i="8"/>
  <c r="K161" i="8"/>
  <c r="L160" i="8"/>
  <c r="K160" i="8"/>
  <c r="L159" i="8"/>
  <c r="K159" i="8"/>
  <c r="L158" i="8"/>
  <c r="K158" i="8"/>
  <c r="L157" i="8"/>
  <c r="K157" i="8"/>
  <c r="L156" i="8"/>
  <c r="K156" i="8"/>
  <c r="L155" i="8"/>
  <c r="K155" i="8"/>
  <c r="L154" i="8"/>
  <c r="K154" i="8"/>
  <c r="L153" i="8"/>
  <c r="K153" i="8"/>
  <c r="L152" i="8"/>
  <c r="O152" i="8" s="1"/>
  <c r="K152" i="8"/>
  <c r="L151" i="8"/>
  <c r="O151" i="8" s="1"/>
  <c r="K151" i="8"/>
  <c r="L150" i="8"/>
  <c r="O150" i="8" s="1"/>
  <c r="K150" i="8"/>
  <c r="L149" i="8"/>
  <c r="K149" i="8"/>
  <c r="L148" i="8"/>
  <c r="K148" i="8"/>
  <c r="L147" i="8"/>
  <c r="K147" i="8"/>
  <c r="L146" i="8"/>
  <c r="K146" i="8"/>
  <c r="L145" i="8"/>
  <c r="K145" i="8"/>
  <c r="L144" i="8"/>
  <c r="K144" i="8"/>
  <c r="L143" i="8"/>
  <c r="K143" i="8"/>
  <c r="L142" i="8"/>
  <c r="K142" i="8"/>
  <c r="L141" i="8"/>
  <c r="K141" i="8"/>
  <c r="L140" i="8"/>
  <c r="K140" i="8"/>
  <c r="L139" i="8"/>
  <c r="K139" i="8"/>
  <c r="L138" i="8"/>
  <c r="K138" i="8"/>
  <c r="L137" i="8"/>
  <c r="K137" i="8"/>
  <c r="L136" i="8"/>
  <c r="O136" i="8" s="1"/>
  <c r="K136" i="8"/>
  <c r="L135" i="8"/>
  <c r="K135" i="8"/>
  <c r="L134" i="8"/>
  <c r="K134" i="8"/>
  <c r="L133" i="8"/>
  <c r="K133" i="8"/>
  <c r="L132" i="8"/>
  <c r="K132" i="8"/>
  <c r="L131" i="8"/>
  <c r="K131" i="8"/>
  <c r="L130" i="8"/>
  <c r="K130" i="8"/>
  <c r="L129" i="8"/>
  <c r="K129" i="8"/>
  <c r="L128" i="8"/>
  <c r="K128" i="8"/>
  <c r="L127" i="8"/>
  <c r="K127" i="8"/>
  <c r="L126" i="8"/>
  <c r="K126" i="8"/>
  <c r="L125" i="8"/>
  <c r="K125" i="8"/>
  <c r="L124" i="8"/>
  <c r="K124" i="8"/>
  <c r="L123" i="8"/>
  <c r="K123" i="8"/>
  <c r="L122" i="8"/>
  <c r="K122" i="8"/>
  <c r="L121" i="8"/>
  <c r="K121" i="8"/>
  <c r="L120" i="8"/>
  <c r="O120" i="8" s="1"/>
  <c r="K120" i="8"/>
  <c r="L119" i="8"/>
  <c r="K119" i="8"/>
  <c r="L118" i="8"/>
  <c r="O118" i="8" s="1"/>
  <c r="K118" i="8"/>
  <c r="L117" i="8"/>
  <c r="K117" i="8"/>
  <c r="L116" i="8"/>
  <c r="K116" i="8"/>
  <c r="L115" i="8"/>
  <c r="K115" i="8"/>
  <c r="L114" i="8"/>
  <c r="K114" i="8"/>
  <c r="L113" i="8"/>
  <c r="K113" i="8"/>
  <c r="L112" i="8"/>
  <c r="K112" i="8"/>
  <c r="L111" i="8"/>
  <c r="K111" i="8"/>
  <c r="L110" i="8"/>
  <c r="K110" i="8"/>
  <c r="L109" i="8"/>
  <c r="K109" i="8"/>
  <c r="L108" i="8"/>
  <c r="K108" i="8"/>
  <c r="L107" i="8"/>
  <c r="K107" i="8"/>
  <c r="L106" i="8"/>
  <c r="K106" i="8"/>
  <c r="L105" i="8"/>
  <c r="K105" i="8"/>
  <c r="L104" i="8"/>
  <c r="K104" i="8"/>
  <c r="K103" i="8"/>
  <c r="K102" i="8"/>
  <c r="K101" i="8"/>
  <c r="K100" i="8"/>
  <c r="K99" i="8"/>
  <c r="K98" i="8"/>
  <c r="L97" i="8"/>
  <c r="K97" i="8"/>
  <c r="L96" i="8"/>
  <c r="K96" i="8"/>
  <c r="L95" i="8"/>
  <c r="K95" i="8"/>
  <c r="L94" i="8"/>
  <c r="K94" i="8"/>
  <c r="L93" i="8"/>
  <c r="K93" i="8"/>
  <c r="L92" i="8"/>
  <c r="K92" i="8"/>
  <c r="L91" i="8"/>
  <c r="K91" i="8"/>
  <c r="K90" i="8"/>
  <c r="K89" i="8"/>
  <c r="K88" i="8"/>
  <c r="K87" i="8"/>
  <c r="K86" i="8"/>
  <c r="K85" i="8"/>
  <c r="K84" i="8"/>
  <c r="K83" i="8"/>
  <c r="K82" i="8"/>
  <c r="K81" i="8"/>
  <c r="K80" i="8"/>
  <c r="K79" i="8"/>
  <c r="K78" i="8"/>
  <c r="K77" i="8"/>
  <c r="K76" i="8"/>
  <c r="K75" i="8"/>
  <c r="K74" i="8"/>
  <c r="K73" i="8"/>
  <c r="K72" i="8"/>
  <c r="K71" i="8"/>
  <c r="K70" i="8"/>
  <c r="K69" i="8"/>
  <c r="K68" i="8"/>
  <c r="K67" i="8"/>
  <c r="K66" i="8"/>
  <c r="K65" i="8"/>
  <c r="K64" i="8"/>
  <c r="K63" i="8"/>
  <c r="K62" i="8"/>
  <c r="K61" i="8"/>
  <c r="K60" i="8"/>
  <c r="K59" i="8"/>
  <c r="K58" i="8"/>
  <c r="K57" i="8"/>
  <c r="K56" i="8"/>
  <c r="K55" i="8"/>
  <c r="K53" i="8"/>
  <c r="L52" i="8"/>
  <c r="K52" i="8"/>
  <c r="L51" i="8"/>
  <c r="K51" i="8"/>
  <c r="L50" i="8"/>
  <c r="K50" i="8"/>
  <c r="L49" i="8"/>
  <c r="K49" i="8"/>
  <c r="L48" i="8"/>
  <c r="K48" i="8"/>
  <c r="L47" i="8"/>
  <c r="K47" i="8"/>
  <c r="L46" i="8"/>
  <c r="K46" i="8"/>
  <c r="L45" i="8"/>
  <c r="K45" i="8"/>
  <c r="L44" i="8"/>
  <c r="K44" i="8"/>
  <c r="L43" i="8"/>
  <c r="K43" i="8"/>
  <c r="L42" i="8"/>
  <c r="K42" i="8"/>
  <c r="L41" i="8"/>
  <c r="K41" i="8"/>
  <c r="L40" i="8"/>
  <c r="K40" i="8"/>
  <c r="L39" i="8"/>
  <c r="K39" i="8"/>
  <c r="L38" i="8"/>
  <c r="K38" i="8"/>
  <c r="L37" i="8"/>
  <c r="K37" i="8"/>
  <c r="L36" i="8"/>
  <c r="K36" i="8"/>
  <c r="L35" i="8"/>
  <c r="K35" i="8"/>
  <c r="L34" i="8"/>
  <c r="K34" i="8"/>
  <c r="L33" i="8"/>
  <c r="K33" i="8"/>
  <c r="L32" i="8"/>
  <c r="K32" i="8"/>
  <c r="L31" i="8"/>
  <c r="K31" i="8"/>
  <c r="L30" i="8"/>
  <c r="K30" i="8"/>
  <c r="L29" i="8"/>
  <c r="K29" i="8"/>
  <c r="L28" i="8"/>
  <c r="K28" i="8"/>
  <c r="L27" i="8"/>
  <c r="K27" i="8"/>
  <c r="L26" i="8"/>
  <c r="K26" i="8"/>
  <c r="L25" i="8"/>
  <c r="K25" i="8"/>
  <c r="L24" i="8"/>
  <c r="K24" i="8"/>
  <c r="L23" i="8"/>
  <c r="K23" i="8"/>
  <c r="L22" i="8"/>
  <c r="K22" i="8"/>
  <c r="L21" i="8"/>
  <c r="K21" i="8"/>
  <c r="L20" i="8"/>
  <c r="K20" i="8"/>
  <c r="L19" i="8"/>
  <c r="K19" i="8"/>
  <c r="L18" i="8"/>
  <c r="K18" i="8"/>
  <c r="L17" i="8"/>
  <c r="K17" i="8"/>
  <c r="L16" i="8"/>
  <c r="K16" i="8"/>
  <c r="L15" i="8"/>
  <c r="K15" i="8"/>
  <c r="L14" i="8"/>
  <c r="K14" i="8"/>
  <c r="L13" i="8"/>
  <c r="K13" i="8"/>
  <c r="L12" i="8"/>
  <c r="K12" i="8"/>
  <c r="L11" i="8"/>
  <c r="K11" i="8"/>
  <c r="L10" i="8"/>
  <c r="K10" i="8"/>
  <c r="L9" i="8"/>
  <c r="K9" i="8"/>
  <c r="L8" i="8"/>
  <c r="K8" i="8"/>
  <c r="L7" i="8"/>
  <c r="K7" i="8"/>
  <c r="L6" i="8"/>
  <c r="K6" i="8"/>
  <c r="O119" i="8"/>
  <c r="O107" i="8" l="1"/>
  <c r="O104" i="8"/>
  <c r="CJ13" i="68" s="1" a="1"/>
  <c r="CJ13" i="68" s="1"/>
  <c r="Y66" i="8"/>
  <c r="Y41" i="8"/>
  <c r="O98" i="8"/>
  <c r="O91" i="8"/>
  <c r="Y117" i="8"/>
  <c r="Y147" i="8"/>
  <c r="Y165" i="8"/>
  <c r="Y200" i="8"/>
  <c r="Y110" i="8"/>
  <c r="Y164" i="8"/>
  <c r="Y118" i="8"/>
  <c r="Y148" i="8"/>
  <c r="Y178" i="8"/>
  <c r="Y201" i="8"/>
  <c r="Y166" i="8"/>
  <c r="Y104" i="8"/>
  <c r="CM13" i="68" s="1" a="1"/>
  <c r="CM13" i="68" s="1"/>
  <c r="CK13" i="68" s="1"/>
  <c r="Y140" i="8"/>
  <c r="Y134" i="8"/>
  <c r="O106" i="8"/>
  <c r="CL26" i="68" s="1" a="1"/>
  <c r="CL26" i="68" s="1"/>
  <c r="CK26" i="68" s="1"/>
  <c r="Y194" i="8"/>
  <c r="Y74" i="8"/>
  <c r="Y75" i="8"/>
  <c r="Y127" i="8"/>
  <c r="Y176" i="8"/>
  <c r="Y174" i="8"/>
  <c r="Y198" i="8"/>
  <c r="Y128" i="8"/>
  <c r="Y177" i="8"/>
  <c r="Y16" i="8"/>
  <c r="Y129" i="8"/>
  <c r="Y98" i="8"/>
  <c r="Y121" i="8"/>
  <c r="Y151" i="8"/>
  <c r="Y157" i="8"/>
  <c r="Y181" i="8"/>
  <c r="O23" i="8"/>
  <c r="O56" i="8"/>
  <c r="Y26" i="8"/>
  <c r="Y69" i="8"/>
  <c r="Y89" i="8"/>
  <c r="Y37" i="8"/>
  <c r="Y13" i="8"/>
  <c r="Y87" i="8"/>
  <c r="O24" i="8"/>
  <c r="Y52" i="8"/>
  <c r="Y33" i="8"/>
  <c r="Y93" i="8"/>
  <c r="Y70" i="8"/>
  <c r="O40" i="8"/>
  <c r="O72" i="8"/>
  <c r="O90" i="8"/>
  <c r="Y57" i="8"/>
  <c r="Y7" i="8"/>
  <c r="Y43" i="8"/>
  <c r="Y35" i="8"/>
  <c r="Y125" i="8"/>
  <c r="Y143" i="8"/>
  <c r="Y11" i="8"/>
  <c r="Y72" i="8"/>
  <c r="Y102" i="8"/>
  <c r="Y162" i="8"/>
  <c r="Y154" i="8"/>
  <c r="Y24" i="8"/>
  <c r="Y107" i="8"/>
  <c r="Y132" i="8"/>
  <c r="Y61" i="8"/>
  <c r="Y85" i="8"/>
  <c r="Y68" i="8"/>
  <c r="Y78" i="8"/>
  <c r="Y108" i="8"/>
  <c r="Y46" i="8"/>
  <c r="Y47" i="8"/>
  <c r="Y95" i="8"/>
  <c r="Y18" i="8"/>
  <c r="Y96" i="8"/>
  <c r="Y168" i="8"/>
  <c r="Y55" i="8"/>
  <c r="Y115" i="8"/>
  <c r="Y123" i="8"/>
  <c r="Y21" i="8"/>
  <c r="Y51" i="8"/>
  <c r="Y34" i="8"/>
  <c r="Y88" i="8"/>
  <c r="Y94" i="8"/>
  <c r="Y124" i="8"/>
  <c r="O10" i="8"/>
  <c r="O21" i="8"/>
  <c r="O53" i="8"/>
  <c r="O16" i="8"/>
  <c r="O32" i="8"/>
  <c r="O48" i="8"/>
  <c r="O65" i="8"/>
  <c r="O81" i="8"/>
  <c r="O97" i="8"/>
  <c r="O22" i="8"/>
  <c r="O55" i="8"/>
  <c r="O17" i="8"/>
  <c r="O33" i="8"/>
  <c r="O49" i="8"/>
  <c r="O66" i="8"/>
  <c r="O82" i="8"/>
  <c r="Y8" i="8"/>
  <c r="Y38" i="8"/>
  <c r="Y44" i="8"/>
  <c r="Y99" i="8"/>
  <c r="Y152" i="8"/>
  <c r="Y158" i="8"/>
  <c r="Y182" i="8"/>
  <c r="Y188" i="8"/>
  <c r="Y42" i="8"/>
  <c r="Y144" i="8"/>
  <c r="Y193" i="8"/>
  <c r="Y27" i="8"/>
  <c r="Y141" i="8"/>
  <c r="Y195" i="8"/>
  <c r="Y39" i="8"/>
  <c r="Y45" i="8"/>
  <c r="Y76" i="8"/>
  <c r="Y100" i="8"/>
  <c r="Y130" i="8"/>
  <c r="Y153" i="8"/>
  <c r="Y183" i="8"/>
  <c r="Y189" i="8"/>
  <c r="Y48" i="8"/>
  <c r="Y106" i="8"/>
  <c r="Y155" i="8"/>
  <c r="Y79" i="8"/>
  <c r="Y20" i="8"/>
  <c r="Y50" i="8"/>
  <c r="Y82" i="8"/>
  <c r="O73" i="8"/>
  <c r="O89" i="8"/>
  <c r="O105" i="8"/>
  <c r="CJ46" i="68" s="1" a="1"/>
  <c r="CJ46" i="68" s="1"/>
  <c r="O121" i="8"/>
  <c r="O137" i="8"/>
  <c r="O153" i="8"/>
  <c r="O185" i="8"/>
  <c r="O201" i="8"/>
  <c r="Y58" i="8"/>
  <c r="Y159" i="8"/>
  <c r="Y192" i="8"/>
  <c r="Y105" i="8"/>
  <c r="Y135" i="8"/>
  <c r="O8" i="8"/>
  <c r="Y22" i="8"/>
  <c r="Y136" i="8"/>
  <c r="Y142" i="8"/>
  <c r="Y172" i="8"/>
  <c r="Y196" i="8"/>
  <c r="Y9" i="8"/>
  <c r="Y59" i="8"/>
  <c r="Y160" i="8"/>
  <c r="Y145" i="8"/>
  <c r="Y97" i="8"/>
  <c r="O57" i="8"/>
  <c r="Y28" i="8"/>
  <c r="Y83" i="8"/>
  <c r="Y111" i="8"/>
  <c r="Y17" i="8"/>
  <c r="Y40" i="8"/>
  <c r="Y71" i="8"/>
  <c r="Y77" i="8"/>
  <c r="Y101" i="8"/>
  <c r="Y131" i="8"/>
  <c r="Y184" i="8"/>
  <c r="Y190" i="8"/>
  <c r="Y10" i="8"/>
  <c r="Y63" i="8"/>
  <c r="Y112" i="8"/>
  <c r="Y161" i="8"/>
  <c r="Y14" i="8"/>
  <c r="Y64" i="8"/>
  <c r="Y113" i="8"/>
  <c r="Y170" i="8"/>
  <c r="Y91" i="8"/>
  <c r="O42" i="8"/>
  <c r="O59" i="8"/>
  <c r="O155" i="8"/>
  <c r="O171" i="8"/>
  <c r="Y23" i="8"/>
  <c r="Y29" i="8"/>
  <c r="Y53" i="8"/>
  <c r="Y60" i="8"/>
  <c r="Y84" i="8"/>
  <c r="Y114" i="8"/>
  <c r="Y137" i="8"/>
  <c r="Y167" i="8"/>
  <c r="Y173" i="8"/>
  <c r="Y197" i="8"/>
  <c r="Y15" i="8"/>
  <c r="Y65" i="8"/>
  <c r="Y122" i="8"/>
  <c r="Y171" i="8"/>
  <c r="Y6" i="8"/>
  <c r="Y12" i="8"/>
  <c r="Y36" i="8"/>
  <c r="Y67" i="8"/>
  <c r="Y120" i="8"/>
  <c r="Y126" i="8"/>
  <c r="Y150" i="8"/>
  <c r="Y156" i="8"/>
  <c r="Y180" i="8"/>
  <c r="Y25" i="8"/>
  <c r="Y19" i="8"/>
  <c r="Y49" i="8"/>
  <c r="Y73" i="8"/>
  <c r="Y103" i="8"/>
  <c r="Y109" i="8"/>
  <c r="Y133" i="8"/>
  <c r="Y163" i="8"/>
  <c r="Y30" i="8"/>
  <c r="Y80" i="8"/>
  <c r="Y186" i="8"/>
  <c r="Y31" i="8"/>
  <c r="Y81" i="8"/>
  <c r="Y138" i="8"/>
  <c r="Y187" i="8"/>
  <c r="Y56" i="8"/>
  <c r="Y62" i="8"/>
  <c r="Y86" i="8"/>
  <c r="Y92" i="8"/>
  <c r="Y116" i="8"/>
  <c r="Y146" i="8"/>
  <c r="Y169" i="8"/>
  <c r="Y199" i="8"/>
  <c r="Y32" i="8"/>
  <c r="Y90" i="8"/>
  <c r="Y139" i="8"/>
  <c r="O7" i="8"/>
  <c r="O13" i="8"/>
  <c r="O29" i="8"/>
  <c r="O142" i="8"/>
  <c r="O46" i="8"/>
  <c r="O111" i="8"/>
  <c r="O191" i="8"/>
  <c r="O15" i="8"/>
  <c r="O31" i="8"/>
  <c r="O80" i="8"/>
  <c r="O9" i="8"/>
  <c r="O25" i="8"/>
  <c r="O41" i="8"/>
  <c r="O58" i="8"/>
  <c r="O74" i="8"/>
  <c r="O122" i="8"/>
  <c r="O138" i="8"/>
  <c r="O154" i="8"/>
  <c r="O170" i="8"/>
  <c r="O186" i="8"/>
  <c r="O45" i="8"/>
  <c r="O62" i="8"/>
  <c r="O78" i="8"/>
  <c r="O94" i="8"/>
  <c r="O110" i="8"/>
  <c r="O126" i="8"/>
  <c r="O158" i="8"/>
  <c r="O174" i="8"/>
  <c r="O190" i="8"/>
  <c r="O14" i="8"/>
  <c r="O30" i="8"/>
  <c r="O63" i="8"/>
  <c r="O79" i="8"/>
  <c r="O95" i="8"/>
  <c r="O127" i="8"/>
  <c r="O143" i="8"/>
  <c r="O159" i="8"/>
  <c r="O175" i="8"/>
  <c r="O47" i="8"/>
  <c r="O64" i="8"/>
  <c r="O96" i="8"/>
  <c r="O112" i="8"/>
  <c r="O128" i="8"/>
  <c r="O144" i="8"/>
  <c r="O160" i="8"/>
  <c r="O176" i="8"/>
  <c r="O192" i="8"/>
  <c r="O169" i="8"/>
  <c r="O86" i="8"/>
  <c r="O87" i="8"/>
  <c r="O39" i="8"/>
  <c r="O88" i="8"/>
  <c r="O26" i="8"/>
  <c r="O75" i="8"/>
  <c r="O123" i="8"/>
  <c r="O139" i="8"/>
  <c r="O187" i="8"/>
  <c r="O70" i="8"/>
  <c r="O198" i="8"/>
  <c r="O6" i="8"/>
  <c r="O38" i="8"/>
  <c r="O71" i="8"/>
  <c r="O103" i="8"/>
  <c r="O135" i="8"/>
  <c r="O167" i="8"/>
  <c r="O199" i="8"/>
  <c r="O200" i="8"/>
  <c r="O37" i="8"/>
  <c r="O102" i="8"/>
  <c r="O134" i="8"/>
  <c r="O166" i="8"/>
  <c r="O168" i="8"/>
  <c r="O18" i="8"/>
  <c r="O67" i="8"/>
  <c r="O99" i="8"/>
  <c r="O147" i="8"/>
  <c r="O163" i="8"/>
  <c r="O195" i="8"/>
  <c r="O11" i="8"/>
  <c r="O19" i="8"/>
  <c r="O27" i="8"/>
  <c r="O35" i="8"/>
  <c r="O43" i="8"/>
  <c r="O51" i="8"/>
  <c r="O60" i="8"/>
  <c r="O68" i="8"/>
  <c r="O76" i="8"/>
  <c r="O84" i="8"/>
  <c r="O92" i="8"/>
  <c r="O100" i="8"/>
  <c r="O108" i="8"/>
  <c r="CL176" i="68" s="1" a="1"/>
  <c r="CL176" i="68" s="1"/>
  <c r="CK176" i="68" s="1"/>
  <c r="O116" i="8"/>
  <c r="O124" i="8"/>
  <c r="O132" i="8"/>
  <c r="O140" i="8"/>
  <c r="O148" i="8"/>
  <c r="O156" i="8"/>
  <c r="O164" i="8"/>
  <c r="O172" i="8"/>
  <c r="O180" i="8"/>
  <c r="O188" i="8"/>
  <c r="O196" i="8"/>
  <c r="O50" i="8"/>
  <c r="O131" i="8"/>
  <c r="O179" i="8"/>
  <c r="O34" i="8"/>
  <c r="O83" i="8"/>
  <c r="O12" i="8"/>
  <c r="O20" i="8"/>
  <c r="O28" i="8"/>
  <c r="O36" i="8"/>
  <c r="O44" i="8"/>
  <c r="O52" i="8"/>
  <c r="O61" i="8"/>
  <c r="O69" i="8"/>
  <c r="O77" i="8"/>
  <c r="O85" i="8"/>
  <c r="O93" i="8"/>
  <c r="O101" i="8"/>
  <c r="O109" i="8"/>
  <c r="O117" i="8"/>
  <c r="O125" i="8"/>
  <c r="O133" i="8"/>
  <c r="O141" i="8"/>
  <c r="O149" i="8"/>
  <c r="O157" i="8"/>
  <c r="O165" i="8"/>
  <c r="O173" i="8"/>
  <c r="O181" i="8"/>
  <c r="O189" i="8"/>
  <c r="O197" i="8"/>
  <c r="O115" i="8"/>
  <c r="CL181" i="68" l="1" a="1"/>
  <c r="CL181" i="68" s="1"/>
  <c r="CK181" i="68" s="1"/>
  <c r="CL182" i="68" a="1"/>
  <c r="CL182" i="68" s="1"/>
  <c r="CK182" i="68" s="1"/>
  <c r="CV26" i="68"/>
  <c r="DI26" i="68" s="1"/>
  <c r="CN26" i="68"/>
  <c r="CR26" i="68"/>
  <c r="DE26" i="68" s="1"/>
  <c r="CW26" i="68"/>
  <c r="DJ26" i="68" s="1"/>
  <c r="CT26" i="68"/>
  <c r="DG26" i="68" s="1"/>
  <c r="CS26" i="68"/>
  <c r="DF26" i="68" s="1"/>
  <c r="CY26" i="68"/>
  <c r="DL26" i="68" s="1"/>
  <c r="CQ26" i="68"/>
  <c r="DD26" i="68" s="1"/>
  <c r="CO26" i="68"/>
  <c r="DB26" i="68" s="1"/>
  <c r="CU26" i="68"/>
  <c r="DH26" i="68" s="1"/>
  <c r="CP26" i="68"/>
  <c r="DC26" i="68" s="1"/>
  <c r="CX26" i="68"/>
  <c r="DK26" i="68" s="1"/>
  <c r="CP176" i="68"/>
  <c r="DC176" i="68" s="1"/>
  <c r="CV176" i="68"/>
  <c r="DI176" i="68" s="1"/>
  <c r="CQ176" i="68"/>
  <c r="DD176" i="68" s="1"/>
  <c r="CX176" i="68"/>
  <c r="DK176" i="68" s="1"/>
  <c r="CO176" i="68"/>
  <c r="DB176" i="68" s="1"/>
  <c r="CR176" i="68"/>
  <c r="DE176" i="68" s="1"/>
  <c r="CN176" i="68"/>
  <c r="CY176" i="68"/>
  <c r="DL176" i="68" s="1"/>
  <c r="CW176" i="68"/>
  <c r="DJ176" i="68" s="1"/>
  <c r="CU176" i="68"/>
  <c r="DH176" i="68" s="1"/>
  <c r="CT176" i="68"/>
  <c r="DG176" i="68" s="1"/>
  <c r="CS176" i="68"/>
  <c r="DF176" i="68" s="1"/>
  <c r="CS46" i="68"/>
  <c r="DF46" i="68" s="1"/>
  <c r="CO46" i="68"/>
  <c r="DB46" i="68" s="1"/>
  <c r="CP46" i="68"/>
  <c r="DC46" i="68" s="1"/>
  <c r="CW46" i="68"/>
  <c r="DJ46" i="68" s="1"/>
  <c r="CX46" i="68"/>
  <c r="DK46" i="68" s="1"/>
  <c r="CY46" i="68"/>
  <c r="DL46" i="68" s="1"/>
  <c r="CR46" i="68"/>
  <c r="DE46" i="68" s="1"/>
  <c r="CV46" i="68"/>
  <c r="DI46" i="68" s="1"/>
  <c r="CN46" i="68"/>
  <c r="CU46" i="68"/>
  <c r="DH46" i="68" s="1"/>
  <c r="CT46" i="68"/>
  <c r="DG46" i="68" s="1"/>
  <c r="CQ46" i="68"/>
  <c r="DD46" i="68" s="1"/>
  <c r="CP13" i="68"/>
  <c r="DC13" i="68" s="1"/>
  <c r="CY13" i="68"/>
  <c r="DL13" i="68" s="1"/>
  <c r="CS13" i="68"/>
  <c r="DF13" i="68" s="1"/>
  <c r="CT13" i="68"/>
  <c r="DG13" i="68" s="1"/>
  <c r="CN13" i="68"/>
  <c r="CX13" i="68"/>
  <c r="DK13" i="68" s="1"/>
  <c r="CR13" i="68"/>
  <c r="DE13" i="68" s="1"/>
  <c r="CO13" i="68"/>
  <c r="DB13" i="68" s="1"/>
  <c r="CU13" i="68"/>
  <c r="DH13" i="68" s="1"/>
  <c r="CW13" i="68"/>
  <c r="DJ13" i="68" s="1"/>
  <c r="CV13" i="68"/>
  <c r="DI13" i="68" s="1"/>
  <c r="CQ13" i="68"/>
  <c r="DD13" i="68" s="1"/>
  <c r="CJ169" i="68" a="1"/>
  <c r="CJ169" i="68" s="1"/>
  <c r="CM18" i="68" a="1"/>
  <c r="CM18" i="68" s="1"/>
  <c r="CM11" i="68" a="1"/>
  <c r="CM11" i="68" s="1"/>
  <c r="CK11" i="68" s="1"/>
  <c r="CJ140" i="68" a="1"/>
  <c r="CJ140" i="68" s="1"/>
  <c r="CM88" i="68" a="1"/>
  <c r="CM88" i="68" s="1"/>
  <c r="CL6" i="68" a="1"/>
  <c r="CL6" i="68" s="1"/>
  <c r="CJ11" i="68" a="1"/>
  <c r="CJ11" i="68" s="1"/>
  <c r="CM19" i="68" a="1"/>
  <c r="CM19" i="68" s="1"/>
  <c r="CM174" i="68" a="1"/>
  <c r="CM174" i="68" s="1"/>
  <c r="CM6" i="68" a="1"/>
  <c r="CM6" i="68" s="1"/>
  <c r="CM22" i="68" a="1"/>
  <c r="CM22" i="68" s="1"/>
  <c r="CK22" i="68" s="1"/>
  <c r="CM21" i="68" a="1"/>
  <c r="CM21" i="68" s="1"/>
  <c r="CK21" i="68" s="1"/>
  <c r="CM67" i="68" a="1"/>
  <c r="CM67" i="68" s="1"/>
  <c r="CM80" i="68" a="1"/>
  <c r="CM80" i="68" s="1"/>
  <c r="CM32" i="68" a="1"/>
  <c r="CM32" i="68" s="1"/>
  <c r="CL175" i="68" a="1"/>
  <c r="CL175" i="68" s="1"/>
  <c r="CJ151" i="68" a="1"/>
  <c r="CJ151" i="68" s="1"/>
  <c r="CM142" i="68" a="1"/>
  <c r="CM142" i="68" s="1"/>
  <c r="CK142" i="68" s="1"/>
  <c r="CJ21" i="68" a="1"/>
  <c r="CJ21" i="68" s="1"/>
  <c r="CM70" i="68" a="1"/>
  <c r="CM70" i="68" s="1"/>
  <c r="CK70" i="68" s="1"/>
  <c r="CM71" i="68" a="1"/>
  <c r="CM71" i="68" s="1"/>
  <c r="CK71" i="68" s="1"/>
  <c r="CJ142" i="68" a="1"/>
  <c r="CJ142" i="68" s="1"/>
  <c r="CJ54" i="68" a="1"/>
  <c r="CJ54" i="68" s="1"/>
  <c r="CL67" i="68" a="1"/>
  <c r="CL67" i="68" s="1"/>
  <c r="CL47" i="68" a="1"/>
  <c r="CL47" i="68" s="1"/>
  <c r="CJ152" i="68" a="1"/>
  <c r="CJ152" i="68" s="1"/>
  <c r="CJ100" i="68" a="1"/>
  <c r="CJ100" i="68" s="1"/>
  <c r="CM153" i="68" a="1"/>
  <c r="CM153" i="68" s="1"/>
  <c r="CK153" i="68" s="1"/>
  <c r="CL32" i="68" a="1"/>
  <c r="CL32" i="68" s="1"/>
  <c r="CJ35" i="68" a="1"/>
  <c r="CJ35" i="68" s="1"/>
  <c r="CM20" i="68" a="1"/>
  <c r="CM20" i="68" s="1"/>
  <c r="CM136" i="68" a="1"/>
  <c r="CM136" i="68" s="1"/>
  <c r="CK136" i="68" s="1"/>
  <c r="CJ170" i="68" a="1"/>
  <c r="CJ170" i="68" s="1"/>
  <c r="CJ153" i="68" a="1"/>
  <c r="CJ153" i="68" s="1"/>
  <c r="CL84" i="68" a="1"/>
  <c r="CL84" i="68" s="1"/>
  <c r="CL18" i="68" a="1"/>
  <c r="CL18" i="68" s="1"/>
  <c r="CJ22" i="68" a="1"/>
  <c r="CJ22" i="68" s="1"/>
  <c r="CL19" i="68" a="1"/>
  <c r="CL19" i="68" s="1"/>
  <c r="CL43" i="68" a="1"/>
  <c r="CL43" i="68" s="1"/>
  <c r="CM41" i="68" a="1"/>
  <c r="CM41" i="68" s="1"/>
  <c r="CM54" i="68" a="1"/>
  <c r="CM54" i="68" s="1"/>
  <c r="CK54" i="68" s="1"/>
  <c r="CM59" i="68" a="1"/>
  <c r="CM59" i="68" s="1"/>
  <c r="CK59" i="68" s="1"/>
  <c r="CM51" i="68" a="1"/>
  <c r="CM51" i="68" s="1"/>
  <c r="CL90" i="68" a="1"/>
  <c r="CL90" i="68" s="1"/>
  <c r="CL171" i="68" a="1"/>
  <c r="CL171" i="68" s="1"/>
  <c r="CJ53" i="68" a="1"/>
  <c r="CJ53" i="68" s="1"/>
  <c r="CM35" i="68" a="1"/>
  <c r="CM35" i="68" s="1"/>
  <c r="CK35" i="68" s="1"/>
  <c r="CM164" i="68" a="1"/>
  <c r="CM164" i="68" s="1"/>
  <c r="CK164" i="68" s="1"/>
  <c r="CL123" i="68" a="1"/>
  <c r="CL123" i="68" s="1"/>
  <c r="CM79" i="68" a="1"/>
  <c r="CM79" i="68" s="1"/>
  <c r="CJ71" i="68" a="1"/>
  <c r="CJ71" i="68" s="1"/>
  <c r="CJ91" i="68" a="1"/>
  <c r="CJ91" i="68" s="1"/>
  <c r="CJ17" i="68" a="1"/>
  <c r="CJ17" i="68" s="1"/>
  <c r="CM66" i="68" a="1"/>
  <c r="CM66" i="68" s="1"/>
  <c r="CM47" i="68" a="1"/>
  <c r="CM47" i="68" s="1"/>
  <c r="CM100" i="68" a="1"/>
  <c r="CM100" i="68" s="1"/>
  <c r="CK100" i="68" s="1"/>
  <c r="CL80" i="68" a="1"/>
  <c r="CL80" i="68" s="1"/>
  <c r="CM152" i="68" a="1"/>
  <c r="CM152" i="68" s="1"/>
  <c r="CK152" i="68" s="1"/>
  <c r="CM65" i="68" a="1"/>
  <c r="CM65" i="68" s="1"/>
  <c r="CL42" i="68" a="1"/>
  <c r="CL42" i="68" s="1"/>
  <c r="CM45" i="68" a="1"/>
  <c r="CM45" i="68" s="1"/>
  <c r="CL16" i="68" a="1"/>
  <c r="CL16" i="68" s="1"/>
  <c r="CM31" i="68" a="1"/>
  <c r="CM31" i="68" s="1"/>
  <c r="CK31" i="68" s="1"/>
  <c r="CL20" i="68" a="1"/>
  <c r="CL20" i="68" s="1"/>
  <c r="CM72" i="68" a="1"/>
  <c r="CM72" i="68" s="1"/>
  <c r="CK72" i="68" s="1"/>
  <c r="CM168" i="68" a="1"/>
  <c r="CM168" i="68" s="1"/>
  <c r="CK168" i="68" s="1"/>
  <c r="CM91" i="68" a="1"/>
  <c r="CM91" i="68" s="1"/>
  <c r="CK91" i="68" s="1"/>
  <c r="CJ59" i="68" a="1"/>
  <c r="CJ59" i="68" s="1"/>
  <c r="CM169" i="68" a="1"/>
  <c r="CM169" i="68" s="1"/>
  <c r="CK169" i="68" s="1"/>
  <c r="CL62" i="68" a="1"/>
  <c r="CL62" i="68" s="1"/>
  <c r="CL51" i="68" a="1"/>
  <c r="CL51" i="68" s="1"/>
  <c r="CL78" i="68" a="1"/>
  <c r="CL78" i="68" s="1"/>
  <c r="CJ72" i="68" a="1"/>
  <c r="CJ72" i="68" s="1"/>
  <c r="CJ58" i="68" a="1"/>
  <c r="CJ58" i="68" s="1"/>
  <c r="CJ12" i="68" a="1"/>
  <c r="CJ12" i="68" s="1"/>
  <c r="CM63" i="68" a="1"/>
  <c r="CM63" i="68" s="1"/>
  <c r="CM52" i="68" a="1"/>
  <c r="CM52" i="68" s="1"/>
  <c r="CK52" i="68" s="1"/>
  <c r="CM151" i="68" a="1"/>
  <c r="CM151" i="68" s="1"/>
  <c r="CK151" i="68" s="1"/>
  <c r="CJ14" i="68" a="1"/>
  <c r="CJ14" i="68" s="1"/>
  <c r="CM90" i="68" a="1"/>
  <c r="CM90" i="68" s="1"/>
  <c r="CM149" i="68" a="1"/>
  <c r="CM149" i="68" s="1"/>
  <c r="CK149" i="68" s="1"/>
  <c r="CM43" i="68" a="1"/>
  <c r="CM43" i="68" s="1"/>
  <c r="CM87" i="68" a="1"/>
  <c r="CM87" i="68" s="1"/>
  <c r="CK87" i="68" s="1"/>
  <c r="CL64" i="68" a="1"/>
  <c r="CL64" i="68" s="1"/>
  <c r="CM78" i="68" a="1"/>
  <c r="CM78" i="68" s="1"/>
  <c r="CM73" i="68" a="1"/>
  <c r="CM73" i="68" s="1"/>
  <c r="CK73" i="68" s="1"/>
  <c r="CL174" i="68" a="1"/>
  <c r="CL174" i="68" s="1"/>
  <c r="CM140" i="68" a="1"/>
  <c r="CM140" i="68" s="1"/>
  <c r="CK140" i="68" s="1"/>
  <c r="CM27" i="68" a="1"/>
  <c r="CM27" i="68" s="1"/>
  <c r="CK27" i="68" s="1"/>
  <c r="CM17" i="68" a="1"/>
  <c r="CM17" i="68" s="1"/>
  <c r="CK17" i="68" s="1"/>
  <c r="CM64" i="68" a="1"/>
  <c r="CM64" i="68" s="1"/>
  <c r="CJ44" i="68" a="1"/>
  <c r="CJ44" i="68" s="1"/>
  <c r="CM175" i="68" a="1"/>
  <c r="CM175" i="68" s="1"/>
  <c r="CM171" i="68" a="1"/>
  <c r="CM171" i="68" s="1"/>
  <c r="CL63" i="68" a="1"/>
  <c r="CL63" i="68" s="1"/>
  <c r="CJ167" i="68" a="1"/>
  <c r="CJ167" i="68" s="1"/>
  <c r="CM96" i="68" a="1"/>
  <c r="CM96" i="68" s="1"/>
  <c r="CJ73" i="68" a="1"/>
  <c r="CJ73" i="68" s="1"/>
  <c r="CJ70" i="68" a="1"/>
  <c r="CJ70" i="68" s="1"/>
  <c r="CJ136" i="68" a="1"/>
  <c r="CJ136" i="68" s="1"/>
  <c r="CJ149" i="68" a="1"/>
  <c r="CJ149" i="68" s="1"/>
  <c r="CJ31" i="68" a="1"/>
  <c r="CJ31" i="68" s="1"/>
  <c r="CJ85" i="68" a="1"/>
  <c r="CJ85" i="68" s="1"/>
  <c r="CL88" i="68" a="1"/>
  <c r="CL88" i="68" s="1"/>
  <c r="CL37" i="68" a="1"/>
  <c r="CL37" i="68" s="1"/>
  <c r="CJ27" i="68" a="1"/>
  <c r="CJ27" i="68" s="1"/>
  <c r="CJ52" i="68" a="1"/>
  <c r="CJ52" i="68" s="1"/>
  <c r="CM58" i="68" a="1"/>
  <c r="CM58" i="68" s="1"/>
  <c r="CK58" i="68" s="1"/>
  <c r="CM167" i="68" a="1"/>
  <c r="CM167" i="68" s="1"/>
  <c r="CK167" i="68" s="1"/>
  <c r="CM84" i="68" a="1"/>
  <c r="CM84" i="68" s="1"/>
  <c r="CL79" i="68" a="1"/>
  <c r="CL79" i="68" s="1"/>
  <c r="CJ168" i="68" a="1"/>
  <c r="CJ168" i="68" s="1"/>
  <c r="CL66" i="68" a="1"/>
  <c r="CL66" i="68" s="1"/>
  <c r="CJ164" i="68" a="1"/>
  <c r="CJ164" i="68" s="1"/>
  <c r="CM37" i="68" a="1"/>
  <c r="CM37" i="68" s="1"/>
  <c r="CL41" i="68" a="1"/>
  <c r="CL41" i="68" s="1"/>
  <c r="CM170" i="68" a="1"/>
  <c r="CM170" i="68" s="1"/>
  <c r="CK170" i="68" s="1"/>
  <c r="CM53" i="68" a="1"/>
  <c r="CM53" i="68" s="1"/>
  <c r="CK53" i="68" s="1"/>
  <c r="CL45" i="68" a="1"/>
  <c r="CL45" i="68" s="1"/>
  <c r="CL65" i="68" a="1"/>
  <c r="CL65" i="68" s="1"/>
  <c r="CL33" i="68" a="1"/>
  <c r="CL33" i="68" s="1"/>
  <c r="CM33" i="68" a="1"/>
  <c r="CM33" i="68" s="1"/>
  <c r="CM85" i="68" a="1"/>
  <c r="CM85" i="68" s="1"/>
  <c r="CK85" i="68" s="1"/>
  <c r="CM44" i="68" a="1"/>
  <c r="CM44" i="68" s="1"/>
  <c r="CK44" i="68" s="1"/>
  <c r="CM12" i="68" a="1"/>
  <c r="CM12" i="68" s="1"/>
  <c r="CK12" i="68" s="1"/>
  <c r="CM62" i="68" a="1"/>
  <c r="CM62" i="68" s="1"/>
  <c r="CL96" i="68" a="1"/>
  <c r="CL96" i="68" s="1"/>
  <c r="CJ87" i="68" a="1"/>
  <c r="CJ87" i="68" s="1"/>
  <c r="CM16" i="68" a="1"/>
  <c r="CM16" i="68" s="1"/>
  <c r="CM14" i="68" a="1"/>
  <c r="CM14" i="68" s="1"/>
  <c r="CK14" i="68" s="1"/>
  <c r="CM123" i="68" a="1"/>
  <c r="CM123" i="68" s="1"/>
  <c r="CM42" i="68" a="1"/>
  <c r="CM42" i="68" s="1"/>
  <c r="CM36" i="68" a="1"/>
  <c r="CM36" i="68" s="1"/>
  <c r="CM173" i="68" a="1"/>
  <c r="CM173" i="68" s="1"/>
  <c r="CM162" i="68" a="1"/>
  <c r="CM162" i="68" s="1"/>
  <c r="CK162" i="68" s="1"/>
  <c r="CM161" i="68" a="1"/>
  <c r="CM161" i="68" s="1"/>
  <c r="CK161" i="68" s="1"/>
  <c r="CM163" i="68" a="1"/>
  <c r="CM163" i="68" s="1"/>
  <c r="CK163" i="68" s="1"/>
  <c r="CM117" i="68" a="1"/>
  <c r="CM117" i="68" s="1"/>
  <c r="CK117" i="68" s="1"/>
  <c r="CM116" i="68" a="1"/>
  <c r="CM116" i="68" s="1"/>
  <c r="CK116" i="68" s="1"/>
  <c r="CL111" i="68" a="1"/>
  <c r="CL111" i="68" s="1"/>
  <c r="CL172" i="68" a="1"/>
  <c r="CL172" i="68" s="1"/>
  <c r="CL110" i="68" a="1"/>
  <c r="CL110" i="68" s="1"/>
  <c r="CL76" i="68" a="1"/>
  <c r="CL76" i="68" s="1"/>
  <c r="CL77" i="68" a="1"/>
  <c r="CL77" i="68" s="1"/>
  <c r="CM106" i="68" a="1"/>
  <c r="CM106" i="68" s="1"/>
  <c r="CK106" i="68" s="1"/>
  <c r="CM105" i="68" a="1"/>
  <c r="CM105" i="68" s="1"/>
  <c r="CK105" i="68" s="1"/>
  <c r="CJ28" i="68" a="1"/>
  <c r="CJ28" i="68" s="1"/>
  <c r="CJ112" i="68" a="1"/>
  <c r="CJ112" i="68" s="1"/>
  <c r="CJ116" i="68" a="1"/>
  <c r="CJ116" i="68" s="1"/>
  <c r="CJ117" i="68" a="1"/>
  <c r="CJ117" i="68" s="1"/>
  <c r="CM28" i="68" a="1"/>
  <c r="CM28" i="68" s="1"/>
  <c r="CK28" i="68" s="1"/>
  <c r="CM112" i="68" a="1"/>
  <c r="CM112" i="68" s="1"/>
  <c r="CK112" i="68" s="1"/>
  <c r="CJ154" i="68" a="1"/>
  <c r="CJ154" i="68" s="1"/>
  <c r="CJ68" i="68" a="1"/>
  <c r="CJ68" i="68" s="1"/>
  <c r="CJ121" i="68" a="1"/>
  <c r="CJ121" i="68" s="1"/>
  <c r="CJ94" i="68" a="1"/>
  <c r="CJ94" i="68" s="1"/>
  <c r="CJ157" i="68" a="1"/>
  <c r="CJ157" i="68" s="1"/>
  <c r="CJ95" i="68" a="1"/>
  <c r="CJ95" i="68" s="1"/>
  <c r="CJ155" i="68" a="1"/>
  <c r="CJ155" i="68" s="1"/>
  <c r="CJ158" i="68" a="1"/>
  <c r="CJ158" i="68" s="1"/>
  <c r="CJ156" i="68" a="1"/>
  <c r="CJ156" i="68" s="1"/>
  <c r="CJ122" i="68" a="1"/>
  <c r="CJ122" i="68" s="1"/>
  <c r="CJ104" i="68" a="1"/>
  <c r="CJ104" i="68" s="1"/>
  <c r="CL36" i="68" a="1"/>
  <c r="CL36" i="68" s="1"/>
  <c r="CL173" i="68" a="1"/>
  <c r="CL173" i="68" s="1"/>
  <c r="CM160" i="68" a="1"/>
  <c r="CM160" i="68" s="1"/>
  <c r="CK160" i="68" s="1"/>
  <c r="CM159" i="68" a="1"/>
  <c r="CM159" i="68" s="1"/>
  <c r="CK159" i="68" s="1"/>
  <c r="CM75" i="68" a="1"/>
  <c r="CM75" i="68" s="1"/>
  <c r="CM74" i="68" a="1"/>
  <c r="CM74" i="68" s="1"/>
  <c r="CJ119" i="68" a="1"/>
  <c r="CJ119" i="68" s="1"/>
  <c r="CJ141" i="68" a="1"/>
  <c r="CJ141" i="68" s="1"/>
  <c r="CJ30" i="68" a="1"/>
  <c r="CJ30" i="68" s="1"/>
  <c r="CJ29" i="68" a="1"/>
  <c r="CJ29" i="68" s="1"/>
  <c r="CL49" i="68" a="1"/>
  <c r="CL49" i="68" s="1"/>
  <c r="CL50" i="68" a="1"/>
  <c r="CL50" i="68" s="1"/>
  <c r="CL48" i="68" a="1"/>
  <c r="CL48" i="68" s="1"/>
  <c r="CJ137" i="68" a="1"/>
  <c r="CJ137" i="68" s="1"/>
  <c r="CJ120" i="68" a="1"/>
  <c r="CJ120" i="68" s="1"/>
  <c r="CJ138" i="68" a="1"/>
  <c r="CJ138" i="68" s="1"/>
  <c r="CJ101" i="68" a="1"/>
  <c r="CJ101" i="68" s="1"/>
  <c r="CM119" i="68" a="1"/>
  <c r="CM119" i="68" s="1"/>
  <c r="CK119" i="68" s="1"/>
  <c r="CM141" i="68" a="1"/>
  <c r="CM141" i="68" s="1"/>
  <c r="CK141" i="68" s="1"/>
  <c r="CM129" i="68" a="1"/>
  <c r="CM129" i="68" s="1"/>
  <c r="CK129" i="68" s="1"/>
  <c r="CM133" i="68" a="1"/>
  <c r="CM133" i="68" s="1"/>
  <c r="CK133" i="68" s="1"/>
  <c r="CM132" i="68" a="1"/>
  <c r="CM132" i="68" s="1"/>
  <c r="CK132" i="68" s="1"/>
  <c r="CM135" i="68" a="1"/>
  <c r="CM135" i="68" s="1"/>
  <c r="CK135" i="68" s="1"/>
  <c r="CM130" i="68" a="1"/>
  <c r="CM130" i="68" s="1"/>
  <c r="CK130" i="68" s="1"/>
  <c r="CM131" i="68" a="1"/>
  <c r="CM131" i="68" s="1"/>
  <c r="CK131" i="68" s="1"/>
  <c r="CM134" i="68" a="1"/>
  <c r="CM134" i="68" s="1"/>
  <c r="CK134" i="68" s="1"/>
  <c r="CJ109" i="68" a="1"/>
  <c r="CJ109" i="68" s="1"/>
  <c r="CJ102" i="68" a="1"/>
  <c r="CJ102" i="68" s="1"/>
  <c r="CJ143" i="68" a="1"/>
  <c r="CJ143" i="68" s="1"/>
  <c r="CJ93" i="68" a="1"/>
  <c r="CJ93" i="68" s="1"/>
  <c r="CJ144" i="68" a="1"/>
  <c r="CJ144" i="68" s="1"/>
  <c r="CL89" i="68" a="1"/>
  <c r="CL89" i="68" s="1"/>
  <c r="CL61" i="68" a="1"/>
  <c r="CL61" i="68" s="1"/>
  <c r="CM101" i="68" a="1"/>
  <c r="CM101" i="68" s="1"/>
  <c r="CK101" i="68" s="1"/>
  <c r="CM138" i="68" a="1"/>
  <c r="CM138" i="68" s="1"/>
  <c r="CK138" i="68" s="1"/>
  <c r="CM120" i="68" a="1"/>
  <c r="CM120" i="68" s="1"/>
  <c r="CK120" i="68" s="1"/>
  <c r="CM137" i="68" a="1"/>
  <c r="CM137" i="68" s="1"/>
  <c r="CK137" i="68" s="1"/>
  <c r="CM25" i="68" a="1"/>
  <c r="CM25" i="68" s="1"/>
  <c r="CM24" i="68" a="1"/>
  <c r="CM24" i="68" s="1"/>
  <c r="CM23" i="68" a="1"/>
  <c r="CM23" i="68" s="1"/>
  <c r="CM150" i="68" a="1"/>
  <c r="CM150" i="68" s="1"/>
  <c r="CK150" i="68" s="1"/>
  <c r="CM108" i="68" a="1"/>
  <c r="CM108" i="68" s="1"/>
  <c r="CK108" i="68" s="1"/>
  <c r="CM15" i="68" a="1"/>
  <c r="CM15" i="68" s="1"/>
  <c r="CK15" i="68" s="1"/>
  <c r="CM126" i="68" a="1"/>
  <c r="CM126" i="68" s="1"/>
  <c r="CK126" i="68" s="1"/>
  <c r="CM127" i="68" a="1"/>
  <c r="CM127" i="68" s="1"/>
  <c r="CK127" i="68" s="1"/>
  <c r="CJ113" i="68" a="1"/>
  <c r="CJ113" i="68" s="1"/>
  <c r="CJ114" i="68" a="1"/>
  <c r="CJ114" i="68" s="1"/>
  <c r="CJ128" i="68" a="1"/>
  <c r="CJ128" i="68" s="1"/>
  <c r="CM145" i="68" a="1"/>
  <c r="CM145" i="68" s="1"/>
  <c r="CK145" i="68" s="1"/>
  <c r="CM146" i="68" a="1"/>
  <c r="CM146" i="68" s="1"/>
  <c r="CK146" i="68" s="1"/>
  <c r="CM148" i="68" a="1"/>
  <c r="CM148" i="68" s="1"/>
  <c r="CK148" i="68" s="1"/>
  <c r="CM115" i="68" a="1"/>
  <c r="CM115" i="68" s="1"/>
  <c r="CK115" i="68" s="1"/>
  <c r="CM147" i="68" a="1"/>
  <c r="CM147" i="68" s="1"/>
  <c r="CK147" i="68" s="1"/>
  <c r="CM61" i="68" a="1"/>
  <c r="CM61" i="68" s="1"/>
  <c r="CM89" i="68" a="1"/>
  <c r="CM89" i="68" s="1"/>
  <c r="CL8" i="68" a="1"/>
  <c r="CL8" i="68" s="1"/>
  <c r="CL92" i="68" a="1"/>
  <c r="CL92" i="68" s="1"/>
  <c r="CL9" i="68" a="1"/>
  <c r="CL9" i="68" s="1"/>
  <c r="CM49" i="68" a="1"/>
  <c r="CM49" i="68" s="1"/>
  <c r="CM50" i="68" a="1"/>
  <c r="CM50" i="68" s="1"/>
  <c r="CM48" i="68" a="1"/>
  <c r="CM48" i="68" s="1"/>
  <c r="CM77" i="68" a="1"/>
  <c r="CM77" i="68" s="1"/>
  <c r="CM76" i="68" a="1"/>
  <c r="CM76" i="68" s="1"/>
  <c r="CM82" i="68" a="1"/>
  <c r="CM82" i="68" s="1"/>
  <c r="CK82" i="68" s="1"/>
  <c r="CM81" i="68" a="1"/>
  <c r="CM81" i="68" s="1"/>
  <c r="CK81" i="68" s="1"/>
  <c r="CM107" i="68" a="1"/>
  <c r="CM107" i="68" s="1"/>
  <c r="CK107" i="68" s="1"/>
  <c r="CM99" i="68" a="1"/>
  <c r="CM99" i="68" s="1"/>
  <c r="CK99" i="68" s="1"/>
  <c r="CJ129" i="68" a="1"/>
  <c r="CJ129" i="68" s="1"/>
  <c r="CJ133" i="68" a="1"/>
  <c r="CJ133" i="68" s="1"/>
  <c r="CJ134" i="68" a="1"/>
  <c r="CJ134" i="68" s="1"/>
  <c r="CJ132" i="68" a="1"/>
  <c r="CJ132" i="68" s="1"/>
  <c r="CJ131" i="68" a="1"/>
  <c r="CJ131" i="68" s="1"/>
  <c r="CJ130" i="68" a="1"/>
  <c r="CJ130" i="68" s="1"/>
  <c r="CJ135" i="68" a="1"/>
  <c r="CJ135" i="68" s="1"/>
  <c r="CJ83" i="68" a="1"/>
  <c r="CJ83" i="68" s="1"/>
  <c r="CJ98" i="68" a="1"/>
  <c r="CJ98" i="68" s="1"/>
  <c r="CJ60" i="68" a="1"/>
  <c r="CJ60" i="68" s="1"/>
  <c r="CJ97" i="68" a="1"/>
  <c r="CJ97" i="68" s="1"/>
  <c r="CJ103" i="68" a="1"/>
  <c r="CJ103" i="68" s="1"/>
  <c r="CJ105" i="68" a="1"/>
  <c r="CJ105" i="68" s="1"/>
  <c r="CJ106" i="68" a="1"/>
  <c r="CJ106" i="68" s="1"/>
  <c r="CM125" i="68" a="1"/>
  <c r="CM125" i="68" s="1"/>
  <c r="CK125" i="68" s="1"/>
  <c r="CM10" i="68" a="1"/>
  <c r="CM10" i="68" s="1"/>
  <c r="CK10" i="68" s="1"/>
  <c r="CJ126" i="68" a="1"/>
  <c r="CJ126" i="68" s="1"/>
  <c r="CJ127" i="68" a="1"/>
  <c r="CJ127" i="68" s="1"/>
  <c r="CJ15" i="68" a="1"/>
  <c r="CJ15" i="68" s="1"/>
  <c r="CM9" i="68" a="1"/>
  <c r="CM9" i="68" s="1"/>
  <c r="CM8" i="68" a="1"/>
  <c r="CM8" i="68" s="1"/>
  <c r="CM92" i="68" a="1"/>
  <c r="CM92" i="68" s="1"/>
  <c r="CM113" i="68" a="1"/>
  <c r="CM113" i="68" s="1"/>
  <c r="CK113" i="68" s="1"/>
  <c r="CM114" i="68" a="1"/>
  <c r="CM114" i="68" s="1"/>
  <c r="CK114" i="68" s="1"/>
  <c r="CM128" i="68" a="1"/>
  <c r="CM128" i="68" s="1"/>
  <c r="CK128" i="68" s="1"/>
  <c r="CL75" i="68" a="1"/>
  <c r="CL75" i="68" s="1"/>
  <c r="CL74" i="68" a="1"/>
  <c r="CL74" i="68" s="1"/>
  <c r="CM172" i="68" a="1"/>
  <c r="CM172" i="68" s="1"/>
  <c r="CM111" i="68" a="1"/>
  <c r="CM111" i="68" s="1"/>
  <c r="CM110" i="68" a="1"/>
  <c r="CM110" i="68" s="1"/>
  <c r="CM154" i="68" a="1"/>
  <c r="CM154" i="68" s="1"/>
  <c r="CK154" i="68" s="1"/>
  <c r="CM104" i="68" a="1"/>
  <c r="CM104" i="68" s="1"/>
  <c r="CK104" i="68" s="1"/>
  <c r="CM155" i="68" a="1"/>
  <c r="CM155" i="68" s="1"/>
  <c r="CK155" i="68" s="1"/>
  <c r="CM156" i="68" a="1"/>
  <c r="CM156" i="68" s="1"/>
  <c r="CK156" i="68" s="1"/>
  <c r="CM121" i="68" a="1"/>
  <c r="CM121" i="68" s="1"/>
  <c r="CK121" i="68" s="1"/>
  <c r="CM157" i="68" a="1"/>
  <c r="CM157" i="68" s="1"/>
  <c r="CK157" i="68" s="1"/>
  <c r="CM122" i="68" a="1"/>
  <c r="CM122" i="68" s="1"/>
  <c r="CK122" i="68" s="1"/>
  <c r="CM68" i="68" a="1"/>
  <c r="CM68" i="68" s="1"/>
  <c r="CK68" i="68" s="1"/>
  <c r="CM94" i="68" a="1"/>
  <c r="CM94" i="68" s="1"/>
  <c r="CK94" i="68" s="1"/>
  <c r="CM95" i="68" a="1"/>
  <c r="CM95" i="68" s="1"/>
  <c r="CK95" i="68" s="1"/>
  <c r="CM158" i="68" a="1"/>
  <c r="CM158" i="68" s="1"/>
  <c r="CK158" i="68" s="1"/>
  <c r="CM143" i="68" a="1"/>
  <c r="CM143" i="68" s="1"/>
  <c r="CK143" i="68" s="1"/>
  <c r="CM102" i="68" a="1"/>
  <c r="CM102" i="68" s="1"/>
  <c r="CK102" i="68" s="1"/>
  <c r="CM109" i="68" a="1"/>
  <c r="CM109" i="68" s="1"/>
  <c r="CK109" i="68" s="1"/>
  <c r="CM144" i="68" a="1"/>
  <c r="CM144" i="68" s="1"/>
  <c r="CK144" i="68" s="1"/>
  <c r="CM93" i="68" a="1"/>
  <c r="CM93" i="68" s="1"/>
  <c r="CK93" i="68" s="1"/>
  <c r="CM165" i="68" a="1"/>
  <c r="CM165" i="68" s="1"/>
  <c r="CK165" i="68" s="1"/>
  <c r="CM166" i="68" a="1"/>
  <c r="CM166" i="68" s="1"/>
  <c r="CK166" i="68" s="1"/>
  <c r="CM40" i="68" a="1"/>
  <c r="CM40" i="68" s="1"/>
  <c r="CM38" i="68" a="1"/>
  <c r="CM38" i="68" s="1"/>
  <c r="CM39" i="68" a="1"/>
  <c r="CM39" i="68" s="1"/>
  <c r="CJ10" i="68" a="1"/>
  <c r="CJ10" i="68" s="1"/>
  <c r="CJ125" i="68" a="1"/>
  <c r="CJ125" i="68" s="1"/>
  <c r="CJ165" i="68" a="1"/>
  <c r="CJ165" i="68" s="1"/>
  <c r="CJ166" i="68" a="1"/>
  <c r="CJ166" i="68" s="1"/>
  <c r="CJ99" i="68" a="1"/>
  <c r="CJ99" i="68" s="1"/>
  <c r="CJ81" i="68" a="1"/>
  <c r="CJ81" i="68" s="1"/>
  <c r="CJ82" i="68" a="1"/>
  <c r="CJ82" i="68" s="1"/>
  <c r="CJ107" i="68" a="1"/>
  <c r="CJ107" i="68" s="1"/>
  <c r="CJ148" i="68" a="1"/>
  <c r="CJ148" i="68" s="1"/>
  <c r="CJ146" i="68" a="1"/>
  <c r="CJ146" i="68" s="1"/>
  <c r="CJ147" i="68" a="1"/>
  <c r="CJ147" i="68" s="1"/>
  <c r="CJ115" i="68" a="1"/>
  <c r="CJ115" i="68" s="1"/>
  <c r="CJ145" i="68" a="1"/>
  <c r="CJ145" i="68" s="1"/>
  <c r="CL24" i="68" a="1"/>
  <c r="CL24" i="68" s="1"/>
  <c r="CL25" i="68" a="1"/>
  <c r="CL25" i="68" s="1"/>
  <c r="CL23" i="68" a="1"/>
  <c r="CL23" i="68" s="1"/>
  <c r="CL38" i="68" a="1"/>
  <c r="CL38" i="68" s="1"/>
  <c r="CL40" i="68" a="1"/>
  <c r="CL40" i="68" s="1"/>
  <c r="CL39" i="68" a="1"/>
  <c r="CL39" i="68" s="1"/>
  <c r="CJ160" i="68" a="1"/>
  <c r="CJ160" i="68" s="1"/>
  <c r="CJ159" i="68" a="1"/>
  <c r="CJ159" i="68" s="1"/>
  <c r="CJ163" i="68" a="1"/>
  <c r="CJ163" i="68" s="1"/>
  <c r="CJ162" i="68" a="1"/>
  <c r="CJ162" i="68" s="1"/>
  <c r="CJ161" i="68" a="1"/>
  <c r="CJ161" i="68" s="1"/>
  <c r="CJ150" i="68" a="1"/>
  <c r="CJ150" i="68" s="1"/>
  <c r="CJ108" i="68" a="1"/>
  <c r="CJ108" i="68" s="1"/>
  <c r="CM83" i="68" a="1"/>
  <c r="CM83" i="68" s="1"/>
  <c r="CK83" i="68" s="1"/>
  <c r="CM97" i="68" a="1"/>
  <c r="CM97" i="68" s="1"/>
  <c r="CK97" i="68" s="1"/>
  <c r="CM103" i="68" a="1"/>
  <c r="CM103" i="68" s="1"/>
  <c r="CK103" i="68" s="1"/>
  <c r="CM60" i="68" a="1"/>
  <c r="CM60" i="68" s="1"/>
  <c r="CK60" i="68" s="1"/>
  <c r="CM98" i="68" a="1"/>
  <c r="CM98" i="68" s="1"/>
  <c r="CK98" i="68" s="1"/>
  <c r="CM29" i="68" a="1"/>
  <c r="CM29" i="68" s="1"/>
  <c r="CK29" i="68" s="1"/>
  <c r="CM30" i="68" a="1"/>
  <c r="CM30" i="68" s="1"/>
  <c r="CK30" i="68" s="1"/>
  <c r="CZ176" i="68" l="1"/>
  <c r="DA176" i="68"/>
  <c r="DM176" i="68" s="1"/>
  <c r="DA26" i="68"/>
  <c r="DM26" i="68" s="1"/>
  <c r="CZ26" i="68"/>
  <c r="CX182" i="68"/>
  <c r="DK182" i="68" s="1"/>
  <c r="CW182" i="68"/>
  <c r="DJ182" i="68" s="1"/>
  <c r="CT182" i="68"/>
  <c r="DG182" i="68" s="1"/>
  <c r="CY182" i="68"/>
  <c r="DL182" i="68" s="1"/>
  <c r="CQ182" i="68"/>
  <c r="DD182" i="68" s="1"/>
  <c r="CR182" i="68"/>
  <c r="DE182" i="68" s="1"/>
  <c r="CU182" i="68"/>
  <c r="DH182" i="68" s="1"/>
  <c r="CS182" i="68"/>
  <c r="DF182" i="68" s="1"/>
  <c r="CO182" i="68"/>
  <c r="DB182" i="68" s="1"/>
  <c r="CV182" i="68"/>
  <c r="DI182" i="68" s="1"/>
  <c r="CP182" i="68"/>
  <c r="DC182" i="68" s="1"/>
  <c r="CN182" i="68"/>
  <c r="CW181" i="68"/>
  <c r="DJ181" i="68" s="1"/>
  <c r="CN181" i="68"/>
  <c r="CS181" i="68"/>
  <c r="DF181" i="68" s="1"/>
  <c r="CO181" i="68"/>
  <c r="DB181" i="68" s="1"/>
  <c r="CV181" i="68"/>
  <c r="DI181" i="68" s="1"/>
  <c r="CU181" i="68"/>
  <c r="DH181" i="68" s="1"/>
  <c r="CX181" i="68"/>
  <c r="DK181" i="68" s="1"/>
  <c r="CR181" i="68"/>
  <c r="DE181" i="68" s="1"/>
  <c r="CQ181" i="68"/>
  <c r="DD181" i="68" s="1"/>
  <c r="CT181" i="68"/>
  <c r="DG181" i="68" s="1"/>
  <c r="CP181" i="68"/>
  <c r="DC181" i="68" s="1"/>
  <c r="CY181" i="68"/>
  <c r="DL181" i="68" s="1"/>
  <c r="DA46" i="68"/>
  <c r="DM46" i="68" s="1"/>
  <c r="CZ46" i="68"/>
  <c r="CT87" i="68"/>
  <c r="DG87" i="68" s="1"/>
  <c r="CN140" i="68"/>
  <c r="DA140" i="68" s="1"/>
  <c r="CO169" i="68"/>
  <c r="DB169" i="68" s="1"/>
  <c r="CX71" i="68"/>
  <c r="DK71" i="68" s="1"/>
  <c r="CX169" i="68"/>
  <c r="DK169" i="68" s="1"/>
  <c r="DA13" i="68"/>
  <c r="DM13" i="68" s="1"/>
  <c r="CZ13" i="68"/>
  <c r="CS169" i="68"/>
  <c r="DF169" i="68" s="1"/>
  <c r="CK88" i="68"/>
  <c r="CQ88" i="68" s="1"/>
  <c r="DD88" i="68" s="1"/>
  <c r="CT35" i="68"/>
  <c r="DG35" i="68" s="1"/>
  <c r="CY71" i="68"/>
  <c r="DL71" i="68" s="1"/>
  <c r="CY169" i="68"/>
  <c r="DL169" i="68" s="1"/>
  <c r="CR71" i="68"/>
  <c r="DE71" i="68" s="1"/>
  <c r="CR169" i="68"/>
  <c r="DE169" i="68" s="1"/>
  <c r="CP169" i="68"/>
  <c r="DC169" i="68" s="1"/>
  <c r="CT169" i="68"/>
  <c r="DG169" i="68" s="1"/>
  <c r="CU169" i="68"/>
  <c r="DH169" i="68" s="1"/>
  <c r="CU71" i="68"/>
  <c r="DH71" i="68" s="1"/>
  <c r="CK63" i="68"/>
  <c r="CS63" i="68" s="1"/>
  <c r="DF63" i="68" s="1"/>
  <c r="CQ152" i="68"/>
  <c r="DD152" i="68" s="1"/>
  <c r="CR58" i="68"/>
  <c r="DE58" i="68" s="1"/>
  <c r="CK19" i="68"/>
  <c r="CR19" i="68" s="1"/>
  <c r="DE19" i="68" s="1"/>
  <c r="CK45" i="68"/>
  <c r="CN45" i="68" s="1"/>
  <c r="DA45" i="68" s="1"/>
  <c r="CQ151" i="68"/>
  <c r="DD151" i="68" s="1"/>
  <c r="CO149" i="68"/>
  <c r="DB149" i="68" s="1"/>
  <c r="CW169" i="68"/>
  <c r="DJ169" i="68" s="1"/>
  <c r="CK20" i="68"/>
  <c r="CT20" i="68" s="1"/>
  <c r="DG20" i="68" s="1"/>
  <c r="CX52" i="68"/>
  <c r="DK52" i="68" s="1"/>
  <c r="CK79" i="68"/>
  <c r="CO79" i="68" s="1"/>
  <c r="DB79" i="68" s="1"/>
  <c r="CR31" i="68"/>
  <c r="DE31" i="68" s="1"/>
  <c r="CR100" i="68"/>
  <c r="DE100" i="68" s="1"/>
  <c r="CY58" i="68"/>
  <c r="DL58" i="68" s="1"/>
  <c r="CK18" i="68"/>
  <c r="CO18" i="68" s="1"/>
  <c r="DB18" i="68" s="1"/>
  <c r="CS58" i="68"/>
  <c r="DF58" i="68" s="1"/>
  <c r="CK65" i="68"/>
  <c r="CT65" i="68" s="1"/>
  <c r="DG65" i="68" s="1"/>
  <c r="CK47" i="68"/>
  <c r="CT47" i="68" s="1"/>
  <c r="DG47" i="68" s="1"/>
  <c r="CX58" i="68"/>
  <c r="DK58" i="68" s="1"/>
  <c r="CV58" i="68"/>
  <c r="DI58" i="68" s="1"/>
  <c r="CQ58" i="68"/>
  <c r="DD58" i="68" s="1"/>
  <c r="CP100" i="68"/>
  <c r="DC100" i="68" s="1"/>
  <c r="CN58" i="68"/>
  <c r="DA58" i="68" s="1"/>
  <c r="CT58" i="68"/>
  <c r="DG58" i="68" s="1"/>
  <c r="CS100" i="68"/>
  <c r="DF100" i="68" s="1"/>
  <c r="CU58" i="68"/>
  <c r="DH58" i="68" s="1"/>
  <c r="CW58" i="68"/>
  <c r="DJ58" i="68" s="1"/>
  <c r="CK43" i="68"/>
  <c r="CO43" i="68" s="1"/>
  <c r="DB43" i="68" s="1"/>
  <c r="CT31" i="68"/>
  <c r="DG31" i="68" s="1"/>
  <c r="CQ31" i="68"/>
  <c r="DD31" i="68" s="1"/>
  <c r="CS31" i="68"/>
  <c r="DF31" i="68" s="1"/>
  <c r="CW31" i="68"/>
  <c r="DJ31" i="68" s="1"/>
  <c r="CN31" i="68"/>
  <c r="DA31" i="68" s="1"/>
  <c r="CO53" i="68"/>
  <c r="DB53" i="68" s="1"/>
  <c r="CV14" i="68"/>
  <c r="DI14" i="68" s="1"/>
  <c r="CX31" i="68"/>
  <c r="DK31" i="68" s="1"/>
  <c r="CU87" i="68"/>
  <c r="DH87" i="68" s="1"/>
  <c r="CY54" i="68"/>
  <c r="DL54" i="68" s="1"/>
  <c r="CW87" i="68"/>
  <c r="DJ87" i="68" s="1"/>
  <c r="CY87" i="68"/>
  <c r="DL87" i="68" s="1"/>
  <c r="CN87" i="68"/>
  <c r="DA87" i="68" s="1"/>
  <c r="CK175" i="68"/>
  <c r="CY175" i="68" s="1"/>
  <c r="DL175" i="68" s="1"/>
  <c r="CX87" i="68"/>
  <c r="DK87" i="68" s="1"/>
  <c r="CK33" i="68"/>
  <c r="CO33" i="68" s="1"/>
  <c r="DB33" i="68" s="1"/>
  <c r="CV136" i="68"/>
  <c r="DI136" i="68" s="1"/>
  <c r="CQ87" i="68"/>
  <c r="DD87" i="68" s="1"/>
  <c r="CP87" i="68"/>
  <c r="DC87" i="68" s="1"/>
  <c r="CQ73" i="68"/>
  <c r="DD73" i="68" s="1"/>
  <c r="CR87" i="68"/>
  <c r="DE87" i="68" s="1"/>
  <c r="CW91" i="68"/>
  <c r="DJ91" i="68" s="1"/>
  <c r="CK78" i="68"/>
  <c r="CT78" i="68" s="1"/>
  <c r="DG78" i="68" s="1"/>
  <c r="CO153" i="68"/>
  <c r="DB153" i="68" s="1"/>
  <c r="CN11" i="68"/>
  <c r="DA11" i="68" s="1"/>
  <c r="CS59" i="68"/>
  <c r="DF59" i="68" s="1"/>
  <c r="CT142" i="68"/>
  <c r="DG142" i="68" s="1"/>
  <c r="CP151" i="68"/>
  <c r="DC151" i="68" s="1"/>
  <c r="CV87" i="68"/>
  <c r="DI87" i="68" s="1"/>
  <c r="CO87" i="68"/>
  <c r="DB87" i="68" s="1"/>
  <c r="CP31" i="68"/>
  <c r="DC31" i="68" s="1"/>
  <c r="CV169" i="68"/>
  <c r="DI169" i="68" s="1"/>
  <c r="CW167" i="68"/>
  <c r="DJ167" i="68" s="1"/>
  <c r="CO58" i="68"/>
  <c r="DB58" i="68" s="1"/>
  <c r="CT151" i="68"/>
  <c r="DG151" i="68" s="1"/>
  <c r="CT54" i="68"/>
  <c r="DG54" i="68" s="1"/>
  <c r="CO31" i="68"/>
  <c r="DB31" i="68" s="1"/>
  <c r="CK171" i="68"/>
  <c r="CO171" i="68" s="1"/>
  <c r="DB171" i="68" s="1"/>
  <c r="CK41" i="68"/>
  <c r="CN41" i="68" s="1"/>
  <c r="CU100" i="68"/>
  <c r="DH100" i="68" s="1"/>
  <c r="CX100" i="68"/>
  <c r="DK100" i="68" s="1"/>
  <c r="CN100" i="68"/>
  <c r="DA100" i="68" s="1"/>
  <c r="CS85" i="68"/>
  <c r="DF85" i="68" s="1"/>
  <c r="CW100" i="68"/>
  <c r="DJ100" i="68" s="1"/>
  <c r="CQ71" i="68"/>
  <c r="DD71" i="68" s="1"/>
  <c r="CV100" i="68"/>
  <c r="DI100" i="68" s="1"/>
  <c r="CY100" i="68"/>
  <c r="DL100" i="68" s="1"/>
  <c r="CN44" i="68"/>
  <c r="DA44" i="68" s="1"/>
  <c r="CS87" i="68"/>
  <c r="DF87" i="68" s="1"/>
  <c r="CK64" i="68"/>
  <c r="CW64" i="68" s="1"/>
  <c r="DJ64" i="68" s="1"/>
  <c r="CT100" i="68"/>
  <c r="DG100" i="68" s="1"/>
  <c r="CT71" i="68"/>
  <c r="DG71" i="68" s="1"/>
  <c r="CQ169" i="68"/>
  <c r="DD169" i="68" s="1"/>
  <c r="CV71" i="68"/>
  <c r="DI71" i="68" s="1"/>
  <c r="CN151" i="68"/>
  <c r="DA151" i="68" s="1"/>
  <c r="CR167" i="68"/>
  <c r="DE167" i="68" s="1"/>
  <c r="CP58" i="68"/>
  <c r="DC58" i="68" s="1"/>
  <c r="CO167" i="68"/>
  <c r="DB167" i="68" s="1"/>
  <c r="CO151" i="68"/>
  <c r="DB151" i="68" s="1"/>
  <c r="CU31" i="68"/>
  <c r="DH31" i="68" s="1"/>
  <c r="CV85" i="68"/>
  <c r="DI85" i="68" s="1"/>
  <c r="CW142" i="68"/>
  <c r="DJ142" i="68" s="1"/>
  <c r="CN85" i="68"/>
  <c r="DA85" i="68" s="1"/>
  <c r="CV31" i="68"/>
  <c r="DI31" i="68" s="1"/>
  <c r="CU85" i="68"/>
  <c r="DH85" i="68" s="1"/>
  <c r="CN169" i="68"/>
  <c r="CQ100" i="68"/>
  <c r="DD100" i="68" s="1"/>
  <c r="CS71" i="68"/>
  <c r="DF71" i="68" s="1"/>
  <c r="CY31" i="68"/>
  <c r="DL31" i="68" s="1"/>
  <c r="CP167" i="68"/>
  <c r="DC167" i="68" s="1"/>
  <c r="CT44" i="68"/>
  <c r="DG44" i="68" s="1"/>
  <c r="CO168" i="68"/>
  <c r="DB168" i="68" s="1"/>
  <c r="CT152" i="68"/>
  <c r="DG152" i="68" s="1"/>
  <c r="CN71" i="68"/>
  <c r="DA71" i="68" s="1"/>
  <c r="CP27" i="68"/>
  <c r="CK51" i="68"/>
  <c r="CP51" i="68" s="1"/>
  <c r="DC51" i="68" s="1"/>
  <c r="CV17" i="68"/>
  <c r="DI17" i="68" s="1"/>
  <c r="CT72" i="68"/>
  <c r="DG72" i="68" s="1"/>
  <c r="CW21" i="68"/>
  <c r="DJ21" i="68" s="1"/>
  <c r="CU167" i="68"/>
  <c r="DH167" i="68" s="1"/>
  <c r="CO100" i="68"/>
  <c r="DB100" i="68" s="1"/>
  <c r="CW71" i="68"/>
  <c r="DJ71" i="68" s="1"/>
  <c r="CK90" i="68"/>
  <c r="CS90" i="68" s="1"/>
  <c r="DF90" i="68" s="1"/>
  <c r="CU170" i="68"/>
  <c r="DH170" i="68" s="1"/>
  <c r="CO73" i="68"/>
  <c r="DB73" i="68" s="1"/>
  <c r="CN59" i="68"/>
  <c r="DA59" i="68" s="1"/>
  <c r="CP71" i="68"/>
  <c r="DC71" i="68" s="1"/>
  <c r="CP85" i="68"/>
  <c r="DC85" i="68" s="1"/>
  <c r="CQ85" i="68"/>
  <c r="DD85" i="68" s="1"/>
  <c r="CK32" i="68"/>
  <c r="CU53" i="68"/>
  <c r="DH53" i="68" s="1"/>
  <c r="CX35" i="68"/>
  <c r="DK35" i="68" s="1"/>
  <c r="CW70" i="68"/>
  <c r="DJ70" i="68" s="1"/>
  <c r="CX73" i="68"/>
  <c r="DK73" i="68" s="1"/>
  <c r="CT168" i="68"/>
  <c r="DG168" i="68" s="1"/>
  <c r="CY73" i="68"/>
  <c r="DL73" i="68" s="1"/>
  <c r="CU168" i="68"/>
  <c r="DH168" i="68" s="1"/>
  <c r="CW72" i="68"/>
  <c r="DJ72" i="68" s="1"/>
  <c r="CR73" i="68"/>
  <c r="DE73" i="68" s="1"/>
  <c r="CR44" i="68"/>
  <c r="DE44" i="68" s="1"/>
  <c r="CS140" i="68"/>
  <c r="DF140" i="68" s="1"/>
  <c r="CW152" i="68"/>
  <c r="DJ152" i="68" s="1"/>
  <c r="CW54" i="68"/>
  <c r="DJ54" i="68" s="1"/>
  <c r="CX152" i="68"/>
  <c r="DK152" i="68" s="1"/>
  <c r="CX164" i="68"/>
  <c r="DK164" i="68" s="1"/>
  <c r="CV54" i="68"/>
  <c r="DI54" i="68" s="1"/>
  <c r="CY72" i="68"/>
  <c r="DL72" i="68" s="1"/>
  <c r="CV170" i="68"/>
  <c r="DI170" i="68" s="1"/>
  <c r="CR17" i="68"/>
  <c r="DE17" i="68" s="1"/>
  <c r="CR59" i="68"/>
  <c r="DE59" i="68" s="1"/>
  <c r="CR142" i="68"/>
  <c r="DE142" i="68" s="1"/>
  <c r="CP140" i="68"/>
  <c r="DC140" i="68" s="1"/>
  <c r="CO54" i="68"/>
  <c r="DB54" i="68" s="1"/>
  <c r="CY167" i="68"/>
  <c r="DL167" i="68" s="1"/>
  <c r="CN54" i="68"/>
  <c r="DA54" i="68" s="1"/>
  <c r="CP54" i="68"/>
  <c r="DC54" i="68" s="1"/>
  <c r="CV152" i="68"/>
  <c r="DI152" i="68" s="1"/>
  <c r="CK16" i="68"/>
  <c r="CY16" i="68" s="1"/>
  <c r="DL16" i="68" s="1"/>
  <c r="CQ54" i="68"/>
  <c r="DD54" i="68" s="1"/>
  <c r="CY152" i="68"/>
  <c r="DL152" i="68" s="1"/>
  <c r="CU54" i="68"/>
  <c r="DH54" i="68" s="1"/>
  <c r="CN152" i="68"/>
  <c r="DA152" i="68" s="1"/>
  <c r="CK96" i="68"/>
  <c r="CW96" i="68" s="1"/>
  <c r="DJ96" i="68" s="1"/>
  <c r="CR54" i="68"/>
  <c r="DE54" i="68" s="1"/>
  <c r="CR152" i="68"/>
  <c r="DE152" i="68" s="1"/>
  <c r="CN149" i="68"/>
  <c r="DA149" i="68" s="1"/>
  <c r="CR136" i="68"/>
  <c r="DE136" i="68" s="1"/>
  <c r="CS27" i="68"/>
  <c r="CY21" i="68"/>
  <c r="DL21" i="68" s="1"/>
  <c r="CQ35" i="68"/>
  <c r="DD35" i="68" s="1"/>
  <c r="CQ21" i="68"/>
  <c r="DD21" i="68" s="1"/>
  <c r="CN35" i="68"/>
  <c r="DA35" i="68" s="1"/>
  <c r="CQ27" i="68"/>
  <c r="CT14" i="68"/>
  <c r="DG14" i="68" s="1"/>
  <c r="CY170" i="68"/>
  <c r="DL170" i="68" s="1"/>
  <c r="CP164" i="68"/>
  <c r="DC164" i="68" s="1"/>
  <c r="CO22" i="68"/>
  <c r="DB22" i="68" s="1"/>
  <c r="CN167" i="68"/>
  <c r="DA167" i="68" s="1"/>
  <c r="CY140" i="68"/>
  <c r="DL140" i="68" s="1"/>
  <c r="CN17" i="68"/>
  <c r="DA17" i="68" s="1"/>
  <c r="CS136" i="68"/>
  <c r="DF136" i="68" s="1"/>
  <c r="CU27" i="68"/>
  <c r="CO21" i="68"/>
  <c r="DB21" i="68" s="1"/>
  <c r="CN164" i="68"/>
  <c r="DA164" i="68" s="1"/>
  <c r="CO17" i="68"/>
  <c r="DB17" i="68" s="1"/>
  <c r="CK66" i="68"/>
  <c r="CQ66" i="68" s="1"/>
  <c r="DD66" i="68" s="1"/>
  <c r="CT73" i="68"/>
  <c r="DG73" i="68" s="1"/>
  <c r="CT136" i="68"/>
  <c r="DG136" i="68" s="1"/>
  <c r="CT140" i="68"/>
  <c r="DG140" i="68" s="1"/>
  <c r="CP17" i="68"/>
  <c r="DC17" i="68" s="1"/>
  <c r="CU70" i="68"/>
  <c r="DH70" i="68" s="1"/>
  <c r="CT21" i="68"/>
  <c r="DG21" i="68" s="1"/>
  <c r="CY142" i="68"/>
  <c r="DL142" i="68" s="1"/>
  <c r="CW59" i="68"/>
  <c r="DJ59" i="68" s="1"/>
  <c r="CS17" i="68"/>
  <c r="DF17" i="68" s="1"/>
  <c r="CQ142" i="68"/>
  <c r="DD142" i="68" s="1"/>
  <c r="CO59" i="68"/>
  <c r="DB59" i="68" s="1"/>
  <c r="CR72" i="68"/>
  <c r="DE72" i="68" s="1"/>
  <c r="CV72" i="68"/>
  <c r="DI72" i="68" s="1"/>
  <c r="CV53" i="68"/>
  <c r="DI53" i="68" s="1"/>
  <c r="CQ53" i="68"/>
  <c r="DD53" i="68" s="1"/>
  <c r="CR53" i="68"/>
  <c r="DE53" i="68" s="1"/>
  <c r="CX85" i="68"/>
  <c r="DK85" i="68" s="1"/>
  <c r="CV167" i="68"/>
  <c r="DI167" i="68" s="1"/>
  <c r="CQ44" i="68"/>
  <c r="DD44" i="68" s="1"/>
  <c r="CW170" i="68"/>
  <c r="DJ170" i="68" s="1"/>
  <c r="CU91" i="68"/>
  <c r="DH91" i="68" s="1"/>
  <c r="CK42" i="68"/>
  <c r="CU42" i="68" s="1"/>
  <c r="DH42" i="68" s="1"/>
  <c r="CK123" i="68"/>
  <c r="CT123" i="68" s="1"/>
  <c r="DG123" i="68" s="1"/>
  <c r="CP22" i="68"/>
  <c r="DC22" i="68" s="1"/>
  <c r="CS44" i="68"/>
  <c r="DF44" i="68" s="1"/>
  <c r="CS170" i="68"/>
  <c r="DF170" i="68" s="1"/>
  <c r="CW168" i="68"/>
  <c r="DJ168" i="68" s="1"/>
  <c r="CO164" i="68"/>
  <c r="DB164" i="68" s="1"/>
  <c r="CW85" i="68"/>
  <c r="DJ85" i="68" s="1"/>
  <c r="CU44" i="68"/>
  <c r="DH44" i="68" s="1"/>
  <c r="CR27" i="68"/>
  <c r="CP12" i="68"/>
  <c r="DC12" i="68" s="1"/>
  <c r="CK6" i="68"/>
  <c r="CW6" i="68" s="1"/>
  <c r="CV44" i="68"/>
  <c r="DI44" i="68" s="1"/>
  <c r="CW153" i="68"/>
  <c r="DJ153" i="68" s="1"/>
  <c r="CK62" i="68"/>
  <c r="CU62" i="68" s="1"/>
  <c r="DH62" i="68" s="1"/>
  <c r="CO72" i="68"/>
  <c r="DB72" i="68" s="1"/>
  <c r="CK84" i="68"/>
  <c r="CW84" i="68" s="1"/>
  <c r="DJ84" i="68" s="1"/>
  <c r="CO85" i="68"/>
  <c r="DB85" i="68" s="1"/>
  <c r="CX167" i="68"/>
  <c r="DK167" i="68" s="1"/>
  <c r="CW44" i="68"/>
  <c r="DJ44" i="68" s="1"/>
  <c r="CS152" i="68"/>
  <c r="DF152" i="68" s="1"/>
  <c r="CK37" i="68"/>
  <c r="CY37" i="68" s="1"/>
  <c r="DL37" i="68" s="1"/>
  <c r="CR170" i="68"/>
  <c r="DE170" i="68" s="1"/>
  <c r="CP52" i="68"/>
  <c r="DC52" i="68" s="1"/>
  <c r="CS73" i="68"/>
  <c r="DF73" i="68" s="1"/>
  <c r="CY17" i="68"/>
  <c r="DL17" i="68" s="1"/>
  <c r="CK80" i="68"/>
  <c r="CP80" i="68" s="1"/>
  <c r="DC80" i="68" s="1"/>
  <c r="CK67" i="68"/>
  <c r="CT67" i="68" s="1"/>
  <c r="DG67" i="68" s="1"/>
  <c r="CY53" i="68"/>
  <c r="DL53" i="68" s="1"/>
  <c r="CS151" i="68"/>
  <c r="DF151" i="68" s="1"/>
  <c r="CK174" i="68"/>
  <c r="CW174" i="68" s="1"/>
  <c r="DJ174" i="68" s="1"/>
  <c r="CR113" i="68"/>
  <c r="DE113" i="68" s="1"/>
  <c r="CT85" i="68"/>
  <c r="DG85" i="68" s="1"/>
  <c r="CQ167" i="68"/>
  <c r="DD167" i="68" s="1"/>
  <c r="CO44" i="68"/>
  <c r="DB44" i="68" s="1"/>
  <c r="CU140" i="68"/>
  <c r="DH140" i="68" s="1"/>
  <c r="CP44" i="68"/>
  <c r="DC44" i="68" s="1"/>
  <c r="CR85" i="68"/>
  <c r="DE85" i="68" s="1"/>
  <c r="CT167" i="68"/>
  <c r="DG167" i="68" s="1"/>
  <c r="CX44" i="68"/>
  <c r="DK44" i="68" s="1"/>
  <c r="CV140" i="68"/>
  <c r="DI140" i="68" s="1"/>
  <c r="CU152" i="68"/>
  <c r="DH152" i="68" s="1"/>
  <c r="CT170" i="68"/>
  <c r="DG170" i="68" s="1"/>
  <c r="CO71" i="68"/>
  <c r="DB71" i="68" s="1"/>
  <c r="CS52" i="68"/>
  <c r="DF52" i="68" s="1"/>
  <c r="CY85" i="68"/>
  <c r="DL85" i="68" s="1"/>
  <c r="CN73" i="68"/>
  <c r="DA73" i="68" s="1"/>
  <c r="CS167" i="68"/>
  <c r="DF167" i="68" s="1"/>
  <c r="CY44" i="68"/>
  <c r="DL44" i="68" s="1"/>
  <c r="CQ140" i="68"/>
  <c r="DD140" i="68" s="1"/>
  <c r="CN170" i="68"/>
  <c r="DA170" i="68" s="1"/>
  <c r="CV52" i="68"/>
  <c r="DI52" i="68" s="1"/>
  <c r="CR140" i="68"/>
  <c r="DE140" i="68" s="1"/>
  <c r="CU22" i="68"/>
  <c r="DH22" i="68" s="1"/>
  <c r="CU149" i="68"/>
  <c r="DH149" i="68" s="1"/>
  <c r="CT52" i="68"/>
  <c r="DG52" i="68" s="1"/>
  <c r="CX153" i="68"/>
  <c r="DK153" i="68" s="1"/>
  <c r="CR91" i="68"/>
  <c r="DE91" i="68" s="1"/>
  <c r="CY11" i="68"/>
  <c r="DL11" i="68" s="1"/>
  <c r="CT17" i="68"/>
  <c r="DG17" i="68" s="1"/>
  <c r="CV91" i="68"/>
  <c r="DI91" i="68" s="1"/>
  <c r="CQ11" i="68"/>
  <c r="DD11" i="68" s="1"/>
  <c r="CW14" i="68"/>
  <c r="DJ14" i="68" s="1"/>
  <c r="CY12" i="68"/>
  <c r="DL12" i="68" s="1"/>
  <c r="CN72" i="68"/>
  <c r="DA72" i="68" s="1"/>
  <c r="CS22" i="68"/>
  <c r="DF22" i="68" s="1"/>
  <c r="CN168" i="68"/>
  <c r="DA168" i="68" s="1"/>
  <c r="CU52" i="68"/>
  <c r="DH52" i="68" s="1"/>
  <c r="CU14" i="68"/>
  <c r="DH14" i="68" s="1"/>
  <c r="CT12" i="68"/>
  <c r="DG12" i="68" s="1"/>
  <c r="CS72" i="68"/>
  <c r="DF72" i="68" s="1"/>
  <c r="CN142" i="68"/>
  <c r="DA142" i="68" s="1"/>
  <c r="CS21" i="68"/>
  <c r="DF21" i="68" s="1"/>
  <c r="CY22" i="68"/>
  <c r="DL22" i="68" s="1"/>
  <c r="CV59" i="68"/>
  <c r="DI59" i="68" s="1"/>
  <c r="CS168" i="68"/>
  <c r="DF168" i="68" s="1"/>
  <c r="CW53" i="68"/>
  <c r="DJ53" i="68" s="1"/>
  <c r="CR164" i="68"/>
  <c r="DE164" i="68" s="1"/>
  <c r="CY52" i="68"/>
  <c r="DL52" i="68" s="1"/>
  <c r="CN14" i="68"/>
  <c r="DA14" i="68" s="1"/>
  <c r="CQ12" i="68"/>
  <c r="DD12" i="68" s="1"/>
  <c r="CX54" i="68"/>
  <c r="DK54" i="68" s="1"/>
  <c r="CU72" i="68"/>
  <c r="DH72" i="68" s="1"/>
  <c r="CU142" i="68"/>
  <c r="DH142" i="68" s="1"/>
  <c r="CX21" i="68"/>
  <c r="DK21" i="68" s="1"/>
  <c r="CR151" i="68"/>
  <c r="DE151" i="68" s="1"/>
  <c r="CN22" i="68"/>
  <c r="DA22" i="68" s="1"/>
  <c r="CU59" i="68"/>
  <c r="DH59" i="68" s="1"/>
  <c r="CX149" i="68"/>
  <c r="DK149" i="68" s="1"/>
  <c r="CV70" i="68"/>
  <c r="DI70" i="68" s="1"/>
  <c r="CV27" i="68"/>
  <c r="CX140" i="68"/>
  <c r="DK140" i="68" s="1"/>
  <c r="CT153" i="68"/>
  <c r="DG153" i="68" s="1"/>
  <c r="CO152" i="68"/>
  <c r="DB152" i="68" s="1"/>
  <c r="CU17" i="68"/>
  <c r="DH17" i="68" s="1"/>
  <c r="CT91" i="68"/>
  <c r="DG91" i="68" s="1"/>
  <c r="CW35" i="68"/>
  <c r="DJ35" i="68" s="1"/>
  <c r="CS11" i="68"/>
  <c r="DF11" i="68" s="1"/>
  <c r="CR52" i="68"/>
  <c r="DE52" i="68" s="1"/>
  <c r="CQ149" i="68"/>
  <c r="DD149" i="68" s="1"/>
  <c r="CU136" i="68"/>
  <c r="DH136" i="68" s="1"/>
  <c r="CV168" i="68"/>
  <c r="DI168" i="68" s="1"/>
  <c r="CP149" i="68"/>
  <c r="DC149" i="68" s="1"/>
  <c r="CW136" i="68"/>
  <c r="DJ136" i="68" s="1"/>
  <c r="CS149" i="68"/>
  <c r="DF149" i="68" s="1"/>
  <c r="CN70" i="68"/>
  <c r="DA70" i="68" s="1"/>
  <c r="CP168" i="68"/>
  <c r="DC168" i="68" s="1"/>
  <c r="CO91" i="68"/>
  <c r="DB91" i="68" s="1"/>
  <c r="CY168" i="68"/>
  <c r="DL168" i="68" s="1"/>
  <c r="CN53" i="68"/>
  <c r="DA53" i="68" s="1"/>
  <c r="CS164" i="68"/>
  <c r="DF164" i="68" s="1"/>
  <c r="CT27" i="68"/>
  <c r="CR14" i="68"/>
  <c r="DE14" i="68" s="1"/>
  <c r="CO12" i="68"/>
  <c r="DB12" i="68" s="1"/>
  <c r="CS54" i="68"/>
  <c r="DF54" i="68" s="1"/>
  <c r="CX72" i="68"/>
  <c r="DK72" i="68" s="1"/>
  <c r="CO142" i="68"/>
  <c r="DB142" i="68" s="1"/>
  <c r="CN21" i="68"/>
  <c r="DA21" i="68" s="1"/>
  <c r="CY151" i="68"/>
  <c r="DL151" i="68" s="1"/>
  <c r="CR22" i="68"/>
  <c r="DE22" i="68" s="1"/>
  <c r="CP59" i="68"/>
  <c r="DC59" i="68" s="1"/>
  <c r="CY149" i="68"/>
  <c r="DL149" i="68" s="1"/>
  <c r="CY70" i="68"/>
  <c r="DL70" i="68" s="1"/>
  <c r="CO140" i="68"/>
  <c r="DB140" i="68" s="1"/>
  <c r="CU153" i="68"/>
  <c r="DH153" i="68" s="1"/>
  <c r="CP91" i="68"/>
  <c r="DC91" i="68" s="1"/>
  <c r="CV35" i="68"/>
  <c r="DI35" i="68" s="1"/>
  <c r="CT11" i="68"/>
  <c r="DG11" i="68" s="1"/>
  <c r="CU164" i="68"/>
  <c r="DH164" i="68" s="1"/>
  <c r="CO52" i="68"/>
  <c r="DB52" i="68" s="1"/>
  <c r="CY27" i="68"/>
  <c r="CS12" i="68"/>
  <c r="DF12" i="68" s="1"/>
  <c r="CN153" i="68"/>
  <c r="DA153" i="68" s="1"/>
  <c r="CQ17" i="68"/>
  <c r="DD17" i="68" s="1"/>
  <c r="CQ91" i="68"/>
  <c r="DD91" i="68" s="1"/>
  <c r="CU35" i="68"/>
  <c r="DH35" i="68" s="1"/>
  <c r="CP11" i="68"/>
  <c r="DC11" i="68" s="1"/>
  <c r="CP53" i="68"/>
  <c r="DC53" i="68" s="1"/>
  <c r="CN27" i="68"/>
  <c r="CO14" i="68"/>
  <c r="DB14" i="68" s="1"/>
  <c r="CR12" i="68"/>
  <c r="DE12" i="68" s="1"/>
  <c r="CP142" i="68"/>
  <c r="DC142" i="68" s="1"/>
  <c r="CP21" i="68"/>
  <c r="DC21" i="68" s="1"/>
  <c r="CW151" i="68"/>
  <c r="DJ151" i="68" s="1"/>
  <c r="CT22" i="68"/>
  <c r="DG22" i="68" s="1"/>
  <c r="CQ59" i="68"/>
  <c r="DD59" i="68" s="1"/>
  <c r="CP136" i="68"/>
  <c r="DC136" i="68" s="1"/>
  <c r="CT70" i="68"/>
  <c r="DG70" i="68" s="1"/>
  <c r="CW140" i="68"/>
  <c r="DJ140" i="68" s="1"/>
  <c r="CV153" i="68"/>
  <c r="DI153" i="68" s="1"/>
  <c r="CP170" i="68"/>
  <c r="DC170" i="68" s="1"/>
  <c r="CO35" i="68"/>
  <c r="DB35" i="68" s="1"/>
  <c r="CU11" i="68"/>
  <c r="DH11" i="68" s="1"/>
  <c r="CW22" i="68"/>
  <c r="DJ22" i="68" s="1"/>
  <c r="CR149" i="68"/>
  <c r="DE149" i="68" s="1"/>
  <c r="CQ168" i="68"/>
  <c r="DD168" i="68" s="1"/>
  <c r="CQ164" i="68"/>
  <c r="DD164" i="68" s="1"/>
  <c r="CQ22" i="68"/>
  <c r="DD22" i="68" s="1"/>
  <c r="CX14" i="68"/>
  <c r="DK14" i="68" s="1"/>
  <c r="CX168" i="68"/>
  <c r="DK168" i="68" s="1"/>
  <c r="CO11" i="68"/>
  <c r="DB11" i="68" s="1"/>
  <c r="CT149" i="68"/>
  <c r="DG149" i="68" s="1"/>
  <c r="CR70" i="68"/>
  <c r="DE70" i="68" s="1"/>
  <c r="CP73" i="68"/>
  <c r="DC73" i="68" s="1"/>
  <c r="CV149" i="68"/>
  <c r="DI149" i="68" s="1"/>
  <c r="CS70" i="68"/>
  <c r="DF70" i="68" s="1"/>
  <c r="CS53" i="68"/>
  <c r="DF53" i="68" s="1"/>
  <c r="CO27" i="68"/>
  <c r="CY14" i="68"/>
  <c r="DL14" i="68" s="1"/>
  <c r="CW12" i="68"/>
  <c r="DJ12" i="68" s="1"/>
  <c r="CX142" i="68"/>
  <c r="DK142" i="68" s="1"/>
  <c r="CR21" i="68"/>
  <c r="DE21" i="68" s="1"/>
  <c r="CX151" i="68"/>
  <c r="DK151" i="68" s="1"/>
  <c r="CT59" i="68"/>
  <c r="DG59" i="68" s="1"/>
  <c r="CO136" i="68"/>
  <c r="DB136" i="68" s="1"/>
  <c r="CX70" i="68"/>
  <c r="DK70" i="68" s="1"/>
  <c r="CW73" i="68"/>
  <c r="DJ73" i="68" s="1"/>
  <c r="CY153" i="68"/>
  <c r="DL153" i="68" s="1"/>
  <c r="CO170" i="68"/>
  <c r="DB170" i="68" s="1"/>
  <c r="CP35" i="68"/>
  <c r="DC35" i="68" s="1"/>
  <c r="CV11" i="68"/>
  <c r="DI11" i="68" s="1"/>
  <c r="CT164" i="68"/>
  <c r="DG164" i="68" s="1"/>
  <c r="CQ52" i="68"/>
  <c r="DD52" i="68" s="1"/>
  <c r="CR153" i="68"/>
  <c r="DE153" i="68" s="1"/>
  <c r="CS153" i="68"/>
  <c r="DF153" i="68" s="1"/>
  <c r="CS91" i="68"/>
  <c r="DF91" i="68" s="1"/>
  <c r="CV164" i="68"/>
  <c r="DI164" i="68" s="1"/>
  <c r="CW149" i="68"/>
  <c r="DJ149" i="68" s="1"/>
  <c r="CN52" i="68"/>
  <c r="DA52" i="68" s="1"/>
  <c r="CY35" i="68"/>
  <c r="DL35" i="68" s="1"/>
  <c r="CR11" i="68"/>
  <c r="DE11" i="68" s="1"/>
  <c r="CW164" i="68"/>
  <c r="DJ164" i="68" s="1"/>
  <c r="CQ153" i="68"/>
  <c r="DD153" i="68" s="1"/>
  <c r="CX17" i="68"/>
  <c r="DK17" i="68" s="1"/>
  <c r="CT53" i="68"/>
  <c r="DG53" i="68" s="1"/>
  <c r="CW27" i="68"/>
  <c r="CS14" i="68"/>
  <c r="DF14" i="68" s="1"/>
  <c r="CU12" i="68"/>
  <c r="DH12" i="68" s="1"/>
  <c r="CS142" i="68"/>
  <c r="DF142" i="68" s="1"/>
  <c r="CU21" i="68"/>
  <c r="DH21" i="68" s="1"/>
  <c r="CU151" i="68"/>
  <c r="DH151" i="68" s="1"/>
  <c r="CX59" i="68"/>
  <c r="DK59" i="68" s="1"/>
  <c r="CY136" i="68"/>
  <c r="DL136" i="68" s="1"/>
  <c r="CP70" i="68"/>
  <c r="DC70" i="68" s="1"/>
  <c r="CU73" i="68"/>
  <c r="DH73" i="68" s="1"/>
  <c r="CQ136" i="68"/>
  <c r="DD136" i="68" s="1"/>
  <c r="CX170" i="68"/>
  <c r="DK170" i="68" s="1"/>
  <c r="CR35" i="68"/>
  <c r="DE35" i="68" s="1"/>
  <c r="CW11" i="68"/>
  <c r="DJ11" i="68" s="1"/>
  <c r="CP153" i="68"/>
  <c r="DC153" i="68" s="1"/>
  <c r="CY91" i="68"/>
  <c r="DL91" i="68" s="1"/>
  <c r="CX22" i="68"/>
  <c r="DK22" i="68" s="1"/>
  <c r="CN12" i="68"/>
  <c r="DA12" i="68" s="1"/>
  <c r="CQ72" i="68"/>
  <c r="DD72" i="68" s="1"/>
  <c r="CY164" i="68"/>
  <c r="DL164" i="68" s="1"/>
  <c r="CW52" i="68"/>
  <c r="DJ52" i="68" s="1"/>
  <c r="CQ14" i="68"/>
  <c r="DD14" i="68" s="1"/>
  <c r="CV12" i="68"/>
  <c r="DI12" i="68" s="1"/>
  <c r="CP72" i="68"/>
  <c r="DC72" i="68" s="1"/>
  <c r="CO70" i="68"/>
  <c r="DB70" i="68" s="1"/>
  <c r="CV22" i="68"/>
  <c r="DI22" i="68" s="1"/>
  <c r="CX53" i="68"/>
  <c r="DK53" i="68" s="1"/>
  <c r="CX27" i="68"/>
  <c r="CP14" i="68"/>
  <c r="DC14" i="68" s="1"/>
  <c r="CX12" i="68"/>
  <c r="DK12" i="68" s="1"/>
  <c r="CV142" i="68"/>
  <c r="DI142" i="68" s="1"/>
  <c r="CV21" i="68"/>
  <c r="DI21" i="68" s="1"/>
  <c r="CV151" i="68"/>
  <c r="DI151" i="68" s="1"/>
  <c r="CY59" i="68"/>
  <c r="DL59" i="68" s="1"/>
  <c r="CN136" i="68"/>
  <c r="DA136" i="68" s="1"/>
  <c r="CQ70" i="68"/>
  <c r="DD70" i="68" s="1"/>
  <c r="CV73" i="68"/>
  <c r="DI73" i="68" s="1"/>
  <c r="CP152" i="68"/>
  <c r="DC152" i="68" s="1"/>
  <c r="CW17" i="68"/>
  <c r="DJ17" i="68" s="1"/>
  <c r="CQ170" i="68"/>
  <c r="DD170" i="68" s="1"/>
  <c r="CS35" i="68"/>
  <c r="DF35" i="68" s="1"/>
  <c r="CX11" i="68"/>
  <c r="DK11" i="68" s="1"/>
  <c r="CX91" i="68"/>
  <c r="DK91" i="68" s="1"/>
  <c r="CN91" i="68"/>
  <c r="DA91" i="68" s="1"/>
  <c r="CR168" i="68"/>
  <c r="DE168" i="68" s="1"/>
  <c r="CX136" i="68"/>
  <c r="DK136" i="68" s="1"/>
  <c r="CU30" i="68"/>
  <c r="DH30" i="68" s="1"/>
  <c r="CV97" i="68"/>
  <c r="DI97" i="68" s="1"/>
  <c r="CO98" i="68"/>
  <c r="DB98" i="68" s="1"/>
  <c r="CU114" i="68"/>
  <c r="DH114" i="68" s="1"/>
  <c r="CW137" i="68"/>
  <c r="DJ137" i="68" s="1"/>
  <c r="CK36" i="68"/>
  <c r="CO36" i="68" s="1"/>
  <c r="DB36" i="68" s="1"/>
  <c r="CR144" i="68"/>
  <c r="DE144" i="68" s="1"/>
  <c r="CK74" i="68"/>
  <c r="CU74" i="68" s="1"/>
  <c r="DH74" i="68" s="1"/>
  <c r="CK24" i="68"/>
  <c r="CY24" i="68" s="1"/>
  <c r="DL24" i="68" s="1"/>
  <c r="CK25" i="68"/>
  <c r="CX25" i="68" s="1"/>
  <c r="DK25" i="68" s="1"/>
  <c r="CK111" i="68"/>
  <c r="CN111" i="68" s="1"/>
  <c r="CO121" i="68"/>
  <c r="DB121" i="68" s="1"/>
  <c r="CO126" i="68"/>
  <c r="DB126" i="68" s="1"/>
  <c r="CK23" i="68"/>
  <c r="CV23" i="68" s="1"/>
  <c r="DI23" i="68" s="1"/>
  <c r="CK89" i="68"/>
  <c r="CO89" i="68" s="1"/>
  <c r="DB89" i="68" s="1"/>
  <c r="CK61" i="68"/>
  <c r="CV61" i="68" s="1"/>
  <c r="DI61" i="68" s="1"/>
  <c r="CN102" i="68"/>
  <c r="DA102" i="68" s="1"/>
  <c r="CT133" i="68"/>
  <c r="DG133" i="68" s="1"/>
  <c r="CY143" i="68"/>
  <c r="DL143" i="68" s="1"/>
  <c r="CK75" i="68"/>
  <c r="CW75" i="68" s="1"/>
  <c r="DJ75" i="68" s="1"/>
  <c r="CP81" i="68"/>
  <c r="DC81" i="68" s="1"/>
  <c r="CR81" i="68"/>
  <c r="DE81" i="68" s="1"/>
  <c r="CX81" i="68"/>
  <c r="DK81" i="68" s="1"/>
  <c r="CO81" i="68"/>
  <c r="DB81" i="68" s="1"/>
  <c r="CN81" i="68"/>
  <c r="CV81" i="68"/>
  <c r="DI81" i="68" s="1"/>
  <c r="CT81" i="68"/>
  <c r="DG81" i="68" s="1"/>
  <c r="CY81" i="68"/>
  <c r="DL81" i="68" s="1"/>
  <c r="CU81" i="68"/>
  <c r="DH81" i="68" s="1"/>
  <c r="CQ81" i="68"/>
  <c r="DD81" i="68" s="1"/>
  <c r="CS81" i="68"/>
  <c r="DF81" i="68" s="1"/>
  <c r="CS125" i="68"/>
  <c r="DF125" i="68" s="1"/>
  <c r="CN125" i="68"/>
  <c r="CV125" i="68"/>
  <c r="DI125" i="68" s="1"/>
  <c r="CX125" i="68"/>
  <c r="DK125" i="68" s="1"/>
  <c r="CT125" i="68"/>
  <c r="DG125" i="68" s="1"/>
  <c r="CR125" i="68"/>
  <c r="DE125" i="68" s="1"/>
  <c r="CQ125" i="68"/>
  <c r="DD125" i="68" s="1"/>
  <c r="CO125" i="68"/>
  <c r="DB125" i="68" s="1"/>
  <c r="CY125" i="68"/>
  <c r="DL125" i="68" s="1"/>
  <c r="CW125" i="68"/>
  <c r="DJ125" i="68" s="1"/>
  <c r="CU125" i="68"/>
  <c r="DH125" i="68" s="1"/>
  <c r="CP125" i="68"/>
  <c r="DC125" i="68" s="1"/>
  <c r="CY97" i="68"/>
  <c r="DL97" i="68" s="1"/>
  <c r="CN97" i="68"/>
  <c r="CP97" i="68"/>
  <c r="DC97" i="68" s="1"/>
  <c r="CT97" i="68"/>
  <c r="DG97" i="68" s="1"/>
  <c r="CU97" i="68"/>
  <c r="DH97" i="68" s="1"/>
  <c r="CR97" i="68"/>
  <c r="DE97" i="68" s="1"/>
  <c r="CS97" i="68"/>
  <c r="DF97" i="68" s="1"/>
  <c r="CQ97" i="68"/>
  <c r="DD97" i="68" s="1"/>
  <c r="CO97" i="68"/>
  <c r="DB97" i="68" s="1"/>
  <c r="CW97" i="68"/>
  <c r="DJ97" i="68" s="1"/>
  <c r="CX97" i="68"/>
  <c r="DK97" i="68" s="1"/>
  <c r="CW134" i="68"/>
  <c r="DJ134" i="68" s="1"/>
  <c r="CS134" i="68"/>
  <c r="DF134" i="68" s="1"/>
  <c r="CX134" i="68"/>
  <c r="DK134" i="68" s="1"/>
  <c r="CV134" i="68"/>
  <c r="DI134" i="68" s="1"/>
  <c r="CR134" i="68"/>
  <c r="DE134" i="68" s="1"/>
  <c r="CP134" i="68"/>
  <c r="DC134" i="68" s="1"/>
  <c r="CT134" i="68"/>
  <c r="DG134" i="68" s="1"/>
  <c r="CO134" i="68"/>
  <c r="DB134" i="68" s="1"/>
  <c r="CY134" i="68"/>
  <c r="DL134" i="68" s="1"/>
  <c r="CN134" i="68"/>
  <c r="CU134" i="68"/>
  <c r="DH134" i="68" s="1"/>
  <c r="CQ134" i="68"/>
  <c r="DD134" i="68" s="1"/>
  <c r="CT161" i="68"/>
  <c r="DG161" i="68" s="1"/>
  <c r="CS161" i="68"/>
  <c r="DF161" i="68" s="1"/>
  <c r="CN161" i="68"/>
  <c r="CQ161" i="68"/>
  <c r="DD161" i="68" s="1"/>
  <c r="CP161" i="68"/>
  <c r="DC161" i="68" s="1"/>
  <c r="CX161" i="68"/>
  <c r="DK161" i="68" s="1"/>
  <c r="CR161" i="68"/>
  <c r="DE161" i="68" s="1"/>
  <c r="CU161" i="68"/>
  <c r="DH161" i="68" s="1"/>
  <c r="CY161" i="68"/>
  <c r="DL161" i="68" s="1"/>
  <c r="CV161" i="68"/>
  <c r="DI161" i="68" s="1"/>
  <c r="CW161" i="68"/>
  <c r="DJ161" i="68" s="1"/>
  <c r="CX99" i="68"/>
  <c r="DK99" i="68" s="1"/>
  <c r="CU99" i="68"/>
  <c r="DH99" i="68" s="1"/>
  <c r="CO99" i="68"/>
  <c r="DB99" i="68" s="1"/>
  <c r="CS99" i="68"/>
  <c r="DF99" i="68" s="1"/>
  <c r="CY99" i="68"/>
  <c r="DL99" i="68" s="1"/>
  <c r="CT99" i="68"/>
  <c r="DG99" i="68" s="1"/>
  <c r="CW99" i="68"/>
  <c r="DJ99" i="68" s="1"/>
  <c r="CQ99" i="68"/>
  <c r="DD99" i="68" s="1"/>
  <c r="CP99" i="68"/>
  <c r="DC99" i="68" s="1"/>
  <c r="CN99" i="68"/>
  <c r="CR99" i="68"/>
  <c r="DE99" i="68" s="1"/>
  <c r="CV99" i="68"/>
  <c r="DI99" i="68" s="1"/>
  <c r="CW10" i="68"/>
  <c r="DJ10" i="68" s="1"/>
  <c r="CV10" i="68"/>
  <c r="DI10" i="68" s="1"/>
  <c r="CU10" i="68"/>
  <c r="DH10" i="68" s="1"/>
  <c r="CN10" i="68"/>
  <c r="CS10" i="68"/>
  <c r="DF10" i="68" s="1"/>
  <c r="CR10" i="68"/>
  <c r="DE10" i="68" s="1"/>
  <c r="CO10" i="68"/>
  <c r="DB10" i="68" s="1"/>
  <c r="CQ10" i="68"/>
  <c r="DD10" i="68" s="1"/>
  <c r="CY10" i="68"/>
  <c r="DL10" i="68" s="1"/>
  <c r="CT10" i="68"/>
  <c r="DG10" i="68" s="1"/>
  <c r="CX10" i="68"/>
  <c r="DK10" i="68" s="1"/>
  <c r="CP10" i="68"/>
  <c r="DC10" i="68" s="1"/>
  <c r="CW106" i="68"/>
  <c r="DJ106" i="68" s="1"/>
  <c r="CX106" i="68"/>
  <c r="DK106" i="68" s="1"/>
  <c r="CS106" i="68"/>
  <c r="DF106" i="68" s="1"/>
  <c r="CQ106" i="68"/>
  <c r="DD106" i="68" s="1"/>
  <c r="CN106" i="68"/>
  <c r="CY106" i="68"/>
  <c r="DL106" i="68" s="1"/>
  <c r="CT106" i="68"/>
  <c r="DG106" i="68" s="1"/>
  <c r="CV106" i="68"/>
  <c r="DI106" i="68" s="1"/>
  <c r="CO106" i="68"/>
  <c r="DB106" i="68" s="1"/>
  <c r="CU106" i="68"/>
  <c r="DH106" i="68" s="1"/>
  <c r="CR106" i="68"/>
  <c r="DE106" i="68" s="1"/>
  <c r="CP106" i="68"/>
  <c r="DC106" i="68" s="1"/>
  <c r="CR60" i="68"/>
  <c r="DE60" i="68" s="1"/>
  <c r="CP60" i="68"/>
  <c r="DC60" i="68" s="1"/>
  <c r="CU60" i="68"/>
  <c r="DH60" i="68" s="1"/>
  <c r="CQ60" i="68"/>
  <c r="DD60" i="68" s="1"/>
  <c r="CX60" i="68"/>
  <c r="DK60" i="68" s="1"/>
  <c r="CV60" i="68"/>
  <c r="DI60" i="68" s="1"/>
  <c r="CT60" i="68"/>
  <c r="DG60" i="68" s="1"/>
  <c r="CS60" i="68"/>
  <c r="DF60" i="68" s="1"/>
  <c r="CW60" i="68"/>
  <c r="DJ60" i="68" s="1"/>
  <c r="CN60" i="68"/>
  <c r="CO60" i="68"/>
  <c r="DB60" i="68" s="1"/>
  <c r="CY60" i="68"/>
  <c r="DL60" i="68" s="1"/>
  <c r="CY133" i="68"/>
  <c r="DL133" i="68" s="1"/>
  <c r="CP133" i="68"/>
  <c r="DC133" i="68" s="1"/>
  <c r="CV133" i="68"/>
  <c r="DI133" i="68" s="1"/>
  <c r="CU133" i="68"/>
  <c r="DH133" i="68" s="1"/>
  <c r="CN133" i="68"/>
  <c r="CW133" i="68"/>
  <c r="DJ133" i="68" s="1"/>
  <c r="CQ133" i="68"/>
  <c r="DD133" i="68" s="1"/>
  <c r="CX133" i="68"/>
  <c r="DK133" i="68" s="1"/>
  <c r="CS133" i="68"/>
  <c r="DF133" i="68" s="1"/>
  <c r="CO133" i="68"/>
  <c r="DB133" i="68" s="1"/>
  <c r="CR133" i="68"/>
  <c r="DE133" i="68" s="1"/>
  <c r="CW104" i="68"/>
  <c r="DJ104" i="68" s="1"/>
  <c r="CX104" i="68"/>
  <c r="DK104" i="68" s="1"/>
  <c r="CU104" i="68"/>
  <c r="DH104" i="68" s="1"/>
  <c r="CS104" i="68"/>
  <c r="DF104" i="68" s="1"/>
  <c r="CV104" i="68"/>
  <c r="DI104" i="68" s="1"/>
  <c r="CP104" i="68"/>
  <c r="DC104" i="68" s="1"/>
  <c r="CY104" i="68"/>
  <c r="DL104" i="68" s="1"/>
  <c r="CT104" i="68"/>
  <c r="DG104" i="68" s="1"/>
  <c r="CO104" i="68"/>
  <c r="DB104" i="68" s="1"/>
  <c r="CN104" i="68"/>
  <c r="CR104" i="68"/>
  <c r="DE104" i="68" s="1"/>
  <c r="CQ104" i="68"/>
  <c r="DD104" i="68" s="1"/>
  <c r="CS108" i="68"/>
  <c r="DF108" i="68" s="1"/>
  <c r="CQ108" i="68"/>
  <c r="DD108" i="68" s="1"/>
  <c r="CV108" i="68"/>
  <c r="DI108" i="68" s="1"/>
  <c r="CO108" i="68"/>
  <c r="DB108" i="68" s="1"/>
  <c r="CR108" i="68"/>
  <c r="DE108" i="68" s="1"/>
  <c r="CY108" i="68"/>
  <c r="DL108" i="68" s="1"/>
  <c r="CU108" i="68"/>
  <c r="DH108" i="68" s="1"/>
  <c r="CP108" i="68"/>
  <c r="DC108" i="68" s="1"/>
  <c r="CX108" i="68"/>
  <c r="DK108" i="68" s="1"/>
  <c r="CT108" i="68"/>
  <c r="DG108" i="68" s="1"/>
  <c r="CN108" i="68"/>
  <c r="CW162" i="68"/>
  <c r="DJ162" i="68" s="1"/>
  <c r="CX162" i="68"/>
  <c r="DK162" i="68" s="1"/>
  <c r="CN162" i="68"/>
  <c r="CT162" i="68"/>
  <c r="DG162" i="68" s="1"/>
  <c r="CU162" i="68"/>
  <c r="DH162" i="68" s="1"/>
  <c r="CP162" i="68"/>
  <c r="DC162" i="68" s="1"/>
  <c r="CO162" i="68"/>
  <c r="DB162" i="68" s="1"/>
  <c r="CR162" i="68"/>
  <c r="DE162" i="68" s="1"/>
  <c r="CY162" i="68"/>
  <c r="DL162" i="68" s="1"/>
  <c r="CS162" i="68"/>
  <c r="DF162" i="68" s="1"/>
  <c r="CQ162" i="68"/>
  <c r="DD162" i="68" s="1"/>
  <c r="CV162" i="68"/>
  <c r="DI162" i="68" s="1"/>
  <c r="CN166" i="68"/>
  <c r="CS166" i="68"/>
  <c r="DF166" i="68" s="1"/>
  <c r="CV166" i="68"/>
  <c r="DI166" i="68" s="1"/>
  <c r="CU166" i="68"/>
  <c r="DH166" i="68" s="1"/>
  <c r="CR166" i="68"/>
  <c r="DE166" i="68" s="1"/>
  <c r="CP166" i="68"/>
  <c r="DC166" i="68" s="1"/>
  <c r="CO166" i="68"/>
  <c r="DB166" i="68" s="1"/>
  <c r="CY166" i="68"/>
  <c r="DL166" i="68" s="1"/>
  <c r="CW166" i="68"/>
  <c r="DJ166" i="68" s="1"/>
  <c r="CT166" i="68"/>
  <c r="DG166" i="68" s="1"/>
  <c r="CX166" i="68"/>
  <c r="DK166" i="68" s="1"/>
  <c r="CQ166" i="68"/>
  <c r="DD166" i="68" s="1"/>
  <c r="CQ105" i="68"/>
  <c r="DD105" i="68" s="1"/>
  <c r="CX105" i="68"/>
  <c r="DK105" i="68" s="1"/>
  <c r="CN105" i="68"/>
  <c r="CP105" i="68"/>
  <c r="DC105" i="68" s="1"/>
  <c r="CW105" i="68"/>
  <c r="DJ105" i="68" s="1"/>
  <c r="CU105" i="68"/>
  <c r="DH105" i="68" s="1"/>
  <c r="CV105" i="68"/>
  <c r="DI105" i="68" s="1"/>
  <c r="CO105" i="68"/>
  <c r="DB105" i="68" s="1"/>
  <c r="CS105" i="68"/>
  <c r="DF105" i="68" s="1"/>
  <c r="CY105" i="68"/>
  <c r="DL105" i="68" s="1"/>
  <c r="CT105" i="68"/>
  <c r="DG105" i="68" s="1"/>
  <c r="CQ98" i="68"/>
  <c r="DD98" i="68" s="1"/>
  <c r="CN98" i="68"/>
  <c r="CT98" i="68"/>
  <c r="DG98" i="68" s="1"/>
  <c r="CV98" i="68"/>
  <c r="DI98" i="68" s="1"/>
  <c r="CU98" i="68"/>
  <c r="DH98" i="68" s="1"/>
  <c r="CY98" i="68"/>
  <c r="DL98" i="68" s="1"/>
  <c r="CR98" i="68"/>
  <c r="DE98" i="68" s="1"/>
  <c r="CW98" i="68"/>
  <c r="DJ98" i="68" s="1"/>
  <c r="CX98" i="68"/>
  <c r="DK98" i="68" s="1"/>
  <c r="CS98" i="68"/>
  <c r="DF98" i="68" s="1"/>
  <c r="CP98" i="68"/>
  <c r="DC98" i="68" s="1"/>
  <c r="CU129" i="68"/>
  <c r="DH129" i="68" s="1"/>
  <c r="CN129" i="68"/>
  <c r="CO129" i="68"/>
  <c r="DB129" i="68" s="1"/>
  <c r="CY129" i="68"/>
  <c r="DL129" i="68" s="1"/>
  <c r="CX129" i="68"/>
  <c r="DK129" i="68" s="1"/>
  <c r="CT129" i="68"/>
  <c r="DG129" i="68" s="1"/>
  <c r="CR129" i="68"/>
  <c r="DE129" i="68" s="1"/>
  <c r="CS129" i="68"/>
  <c r="DF129" i="68" s="1"/>
  <c r="CV129" i="68"/>
  <c r="DI129" i="68" s="1"/>
  <c r="CP129" i="68"/>
  <c r="DC129" i="68" s="1"/>
  <c r="CW129" i="68"/>
  <c r="DJ129" i="68" s="1"/>
  <c r="CQ129" i="68"/>
  <c r="DD129" i="68" s="1"/>
  <c r="CY122" i="68"/>
  <c r="DL122" i="68" s="1"/>
  <c r="CV122" i="68"/>
  <c r="DI122" i="68" s="1"/>
  <c r="CS122" i="68"/>
  <c r="DF122" i="68" s="1"/>
  <c r="CO122" i="68"/>
  <c r="DB122" i="68" s="1"/>
  <c r="CW122" i="68"/>
  <c r="DJ122" i="68" s="1"/>
  <c r="CU122" i="68"/>
  <c r="DH122" i="68" s="1"/>
  <c r="CP122" i="68"/>
  <c r="DC122" i="68" s="1"/>
  <c r="CN122" i="68"/>
  <c r="CX122" i="68"/>
  <c r="DK122" i="68" s="1"/>
  <c r="CT122" i="68"/>
  <c r="DG122" i="68" s="1"/>
  <c r="CR122" i="68"/>
  <c r="DE122" i="68" s="1"/>
  <c r="CQ122" i="68"/>
  <c r="DD122" i="68" s="1"/>
  <c r="CU150" i="68"/>
  <c r="DH150" i="68" s="1"/>
  <c r="CS150" i="68"/>
  <c r="DF150" i="68" s="1"/>
  <c r="CP150" i="68"/>
  <c r="DC150" i="68" s="1"/>
  <c r="CV150" i="68"/>
  <c r="DI150" i="68" s="1"/>
  <c r="CO150" i="68"/>
  <c r="DB150" i="68" s="1"/>
  <c r="CR150" i="68"/>
  <c r="DE150" i="68" s="1"/>
  <c r="CT150" i="68"/>
  <c r="DG150" i="68" s="1"/>
  <c r="CY150" i="68"/>
  <c r="DL150" i="68" s="1"/>
  <c r="CX150" i="68"/>
  <c r="DK150" i="68" s="1"/>
  <c r="CQ150" i="68"/>
  <c r="DD150" i="68" s="1"/>
  <c r="CN150" i="68"/>
  <c r="CW150" i="68"/>
  <c r="DJ150" i="68" s="1"/>
  <c r="CX163" i="68"/>
  <c r="DK163" i="68" s="1"/>
  <c r="CY163" i="68"/>
  <c r="DL163" i="68" s="1"/>
  <c r="CQ163" i="68"/>
  <c r="DD163" i="68" s="1"/>
  <c r="CT163" i="68"/>
  <c r="DG163" i="68" s="1"/>
  <c r="CO163" i="68"/>
  <c r="DB163" i="68" s="1"/>
  <c r="CR163" i="68"/>
  <c r="DE163" i="68" s="1"/>
  <c r="CN163" i="68"/>
  <c r="CP163" i="68"/>
  <c r="DC163" i="68" s="1"/>
  <c r="CS163" i="68"/>
  <c r="DF163" i="68" s="1"/>
  <c r="CU163" i="68"/>
  <c r="DH163" i="68" s="1"/>
  <c r="CW163" i="68"/>
  <c r="DJ163" i="68" s="1"/>
  <c r="CK40" i="68"/>
  <c r="CT165" i="68"/>
  <c r="DG165" i="68" s="1"/>
  <c r="CV165" i="68"/>
  <c r="DI165" i="68" s="1"/>
  <c r="CW165" i="68"/>
  <c r="DJ165" i="68" s="1"/>
  <c r="CO165" i="68"/>
  <c r="DB165" i="68" s="1"/>
  <c r="CU165" i="68"/>
  <c r="DH165" i="68" s="1"/>
  <c r="CS165" i="68"/>
  <c r="DF165" i="68" s="1"/>
  <c r="CP165" i="68"/>
  <c r="DC165" i="68" s="1"/>
  <c r="CY165" i="68"/>
  <c r="DL165" i="68" s="1"/>
  <c r="CX165" i="68"/>
  <c r="DK165" i="68" s="1"/>
  <c r="CR165" i="68"/>
  <c r="DE165" i="68" s="1"/>
  <c r="CN165" i="68"/>
  <c r="CQ165" i="68"/>
  <c r="DD165" i="68" s="1"/>
  <c r="CP83" i="68"/>
  <c r="DC83" i="68" s="1"/>
  <c r="CO83" i="68"/>
  <c r="DB83" i="68" s="1"/>
  <c r="CX83" i="68"/>
  <c r="DK83" i="68" s="1"/>
  <c r="CS83" i="68"/>
  <c r="DF83" i="68" s="1"/>
  <c r="CT83" i="68"/>
  <c r="DG83" i="68" s="1"/>
  <c r="CU83" i="68"/>
  <c r="DH83" i="68" s="1"/>
  <c r="CN83" i="68"/>
  <c r="CW83" i="68"/>
  <c r="DJ83" i="68" s="1"/>
  <c r="CR83" i="68"/>
  <c r="DE83" i="68" s="1"/>
  <c r="CV83" i="68"/>
  <c r="DI83" i="68" s="1"/>
  <c r="CQ83" i="68"/>
  <c r="DD83" i="68" s="1"/>
  <c r="CY83" i="68"/>
  <c r="DL83" i="68" s="1"/>
  <c r="CK9" i="68"/>
  <c r="CY156" i="68"/>
  <c r="DL156" i="68" s="1"/>
  <c r="CT156" i="68"/>
  <c r="DG156" i="68" s="1"/>
  <c r="CX156" i="68"/>
  <c r="DK156" i="68" s="1"/>
  <c r="CR156" i="68"/>
  <c r="DE156" i="68" s="1"/>
  <c r="CP156" i="68"/>
  <c r="DC156" i="68" s="1"/>
  <c r="CU156" i="68"/>
  <c r="DH156" i="68" s="1"/>
  <c r="CS156" i="68"/>
  <c r="DF156" i="68" s="1"/>
  <c r="CN156" i="68"/>
  <c r="CO156" i="68"/>
  <c r="DB156" i="68" s="1"/>
  <c r="CW156" i="68"/>
  <c r="DJ156" i="68" s="1"/>
  <c r="CV156" i="68"/>
  <c r="DI156" i="68" s="1"/>
  <c r="CQ156" i="68"/>
  <c r="DD156" i="68" s="1"/>
  <c r="CV163" i="68"/>
  <c r="DI163" i="68" s="1"/>
  <c r="CN159" i="68"/>
  <c r="CP159" i="68"/>
  <c r="DC159" i="68" s="1"/>
  <c r="CO159" i="68"/>
  <c r="DB159" i="68" s="1"/>
  <c r="CX159" i="68"/>
  <c r="DK159" i="68" s="1"/>
  <c r="CV159" i="68"/>
  <c r="DI159" i="68" s="1"/>
  <c r="CQ159" i="68"/>
  <c r="DD159" i="68" s="1"/>
  <c r="CW159" i="68"/>
  <c r="DJ159" i="68" s="1"/>
  <c r="CT159" i="68"/>
  <c r="DG159" i="68" s="1"/>
  <c r="CY159" i="68"/>
  <c r="DL159" i="68" s="1"/>
  <c r="CR159" i="68"/>
  <c r="DE159" i="68" s="1"/>
  <c r="CU159" i="68"/>
  <c r="DH159" i="68" s="1"/>
  <c r="CS159" i="68"/>
  <c r="DF159" i="68" s="1"/>
  <c r="CK38" i="68"/>
  <c r="CR15" i="68"/>
  <c r="DE15" i="68" s="1"/>
  <c r="CY15" i="68"/>
  <c r="DL15" i="68" s="1"/>
  <c r="CW15" i="68"/>
  <c r="DJ15" i="68" s="1"/>
  <c r="CV15" i="68"/>
  <c r="DI15" i="68" s="1"/>
  <c r="CP15" i="68"/>
  <c r="DC15" i="68" s="1"/>
  <c r="CO15" i="68"/>
  <c r="DB15" i="68" s="1"/>
  <c r="CN15" i="68"/>
  <c r="CX15" i="68"/>
  <c r="DK15" i="68" s="1"/>
  <c r="CU15" i="68"/>
  <c r="DH15" i="68" s="1"/>
  <c r="CQ15" i="68"/>
  <c r="DD15" i="68" s="1"/>
  <c r="CS15" i="68"/>
  <c r="DF15" i="68" s="1"/>
  <c r="CT15" i="68"/>
  <c r="DG15" i="68" s="1"/>
  <c r="CK92" i="68"/>
  <c r="CR158" i="68"/>
  <c r="DE158" i="68" s="1"/>
  <c r="CN158" i="68"/>
  <c r="CQ158" i="68"/>
  <c r="DD158" i="68" s="1"/>
  <c r="CY158" i="68"/>
  <c r="DL158" i="68" s="1"/>
  <c r="CV158" i="68"/>
  <c r="DI158" i="68" s="1"/>
  <c r="CO158" i="68"/>
  <c r="DB158" i="68" s="1"/>
  <c r="CP158" i="68"/>
  <c r="DC158" i="68" s="1"/>
  <c r="CU158" i="68"/>
  <c r="DH158" i="68" s="1"/>
  <c r="CT158" i="68"/>
  <c r="DG158" i="68" s="1"/>
  <c r="CW158" i="68"/>
  <c r="DJ158" i="68" s="1"/>
  <c r="CS158" i="68"/>
  <c r="DF158" i="68" s="1"/>
  <c r="CX158" i="68"/>
  <c r="DK158" i="68" s="1"/>
  <c r="CO161" i="68"/>
  <c r="DB161" i="68" s="1"/>
  <c r="CS160" i="68"/>
  <c r="DF160" i="68" s="1"/>
  <c r="CR160" i="68"/>
  <c r="DE160" i="68" s="1"/>
  <c r="CQ160" i="68"/>
  <c r="DD160" i="68" s="1"/>
  <c r="CX160" i="68"/>
  <c r="DK160" i="68" s="1"/>
  <c r="CT160" i="68"/>
  <c r="DG160" i="68" s="1"/>
  <c r="CO160" i="68"/>
  <c r="DB160" i="68" s="1"/>
  <c r="CW160" i="68"/>
  <c r="DJ160" i="68" s="1"/>
  <c r="CP160" i="68"/>
  <c r="DC160" i="68" s="1"/>
  <c r="CV160" i="68"/>
  <c r="DI160" i="68" s="1"/>
  <c r="CY160" i="68"/>
  <c r="DL160" i="68" s="1"/>
  <c r="CN160" i="68"/>
  <c r="CU160" i="68"/>
  <c r="DH160" i="68" s="1"/>
  <c r="CU127" i="68"/>
  <c r="DH127" i="68" s="1"/>
  <c r="CR127" i="68"/>
  <c r="DE127" i="68" s="1"/>
  <c r="CP127" i="68"/>
  <c r="DC127" i="68" s="1"/>
  <c r="CX127" i="68"/>
  <c r="DK127" i="68" s="1"/>
  <c r="CW127" i="68"/>
  <c r="DJ127" i="68" s="1"/>
  <c r="CV127" i="68"/>
  <c r="DI127" i="68" s="1"/>
  <c r="CT127" i="68"/>
  <c r="DG127" i="68" s="1"/>
  <c r="CS127" i="68"/>
  <c r="DF127" i="68" s="1"/>
  <c r="CY127" i="68"/>
  <c r="DL127" i="68" s="1"/>
  <c r="CN127" i="68"/>
  <c r="CO127" i="68"/>
  <c r="DB127" i="68" s="1"/>
  <c r="CK8" i="68"/>
  <c r="CT146" i="68"/>
  <c r="DG146" i="68" s="1"/>
  <c r="CQ101" i="68"/>
  <c r="DD101" i="68" s="1"/>
  <c r="CO101" i="68"/>
  <c r="DB101" i="68" s="1"/>
  <c r="CP101" i="68"/>
  <c r="DC101" i="68" s="1"/>
  <c r="CN101" i="68"/>
  <c r="CY101" i="68"/>
  <c r="DL101" i="68" s="1"/>
  <c r="CT101" i="68"/>
  <c r="DG101" i="68" s="1"/>
  <c r="CX101" i="68"/>
  <c r="DK101" i="68" s="1"/>
  <c r="CW101" i="68"/>
  <c r="DJ101" i="68" s="1"/>
  <c r="CV101" i="68"/>
  <c r="DI101" i="68" s="1"/>
  <c r="CR101" i="68"/>
  <c r="DE101" i="68" s="1"/>
  <c r="CU101" i="68"/>
  <c r="DH101" i="68" s="1"/>
  <c r="CS101" i="68"/>
  <c r="DF101" i="68" s="1"/>
  <c r="CR155" i="68"/>
  <c r="DE155" i="68" s="1"/>
  <c r="CO155" i="68"/>
  <c r="DB155" i="68" s="1"/>
  <c r="CS155" i="68"/>
  <c r="DF155" i="68" s="1"/>
  <c r="CY155" i="68"/>
  <c r="DL155" i="68" s="1"/>
  <c r="CV155" i="68"/>
  <c r="DI155" i="68" s="1"/>
  <c r="CP155" i="68"/>
  <c r="DC155" i="68" s="1"/>
  <c r="CX155" i="68"/>
  <c r="DK155" i="68" s="1"/>
  <c r="CW155" i="68"/>
  <c r="DJ155" i="68" s="1"/>
  <c r="CU155" i="68"/>
  <c r="DH155" i="68" s="1"/>
  <c r="CT155" i="68"/>
  <c r="DG155" i="68" s="1"/>
  <c r="CQ155" i="68"/>
  <c r="DD155" i="68" s="1"/>
  <c r="CN155" i="68"/>
  <c r="CN112" i="68"/>
  <c r="CV112" i="68"/>
  <c r="DI112" i="68" s="1"/>
  <c r="CP112" i="68"/>
  <c r="DC112" i="68" s="1"/>
  <c r="CY112" i="68"/>
  <c r="DL112" i="68" s="1"/>
  <c r="CQ112" i="68"/>
  <c r="DD112" i="68" s="1"/>
  <c r="CX112" i="68"/>
  <c r="DK112" i="68" s="1"/>
  <c r="CW112" i="68"/>
  <c r="DJ112" i="68" s="1"/>
  <c r="CU112" i="68"/>
  <c r="DH112" i="68" s="1"/>
  <c r="CS112" i="68"/>
  <c r="DF112" i="68" s="1"/>
  <c r="CO112" i="68"/>
  <c r="DB112" i="68" s="1"/>
  <c r="CT112" i="68"/>
  <c r="DG112" i="68" s="1"/>
  <c r="CR112" i="68"/>
  <c r="DE112" i="68" s="1"/>
  <c r="CK77" i="68"/>
  <c r="CN126" i="68"/>
  <c r="CU126" i="68"/>
  <c r="DH126" i="68" s="1"/>
  <c r="CV126" i="68"/>
  <c r="DI126" i="68" s="1"/>
  <c r="CQ126" i="68"/>
  <c r="DD126" i="68" s="1"/>
  <c r="CP126" i="68"/>
  <c r="DC126" i="68" s="1"/>
  <c r="CR126" i="68"/>
  <c r="DE126" i="68" s="1"/>
  <c r="CS126" i="68"/>
  <c r="DF126" i="68" s="1"/>
  <c r="CY126" i="68"/>
  <c r="DL126" i="68" s="1"/>
  <c r="CT126" i="68"/>
  <c r="DG126" i="68" s="1"/>
  <c r="CX126" i="68"/>
  <c r="DK126" i="68" s="1"/>
  <c r="CW126" i="68"/>
  <c r="DJ126" i="68" s="1"/>
  <c r="CQ145" i="68"/>
  <c r="DD145" i="68" s="1"/>
  <c r="CR138" i="68"/>
  <c r="DE138" i="68" s="1"/>
  <c r="CP138" i="68"/>
  <c r="DC138" i="68" s="1"/>
  <c r="CO138" i="68"/>
  <c r="DB138" i="68" s="1"/>
  <c r="CN138" i="68"/>
  <c r="CW138" i="68"/>
  <c r="DJ138" i="68" s="1"/>
  <c r="CX138" i="68"/>
  <c r="DK138" i="68" s="1"/>
  <c r="CU138" i="68"/>
  <c r="DH138" i="68" s="1"/>
  <c r="CY138" i="68"/>
  <c r="DL138" i="68" s="1"/>
  <c r="CS138" i="68"/>
  <c r="DF138" i="68" s="1"/>
  <c r="CV138" i="68"/>
  <c r="DI138" i="68" s="1"/>
  <c r="CT138" i="68"/>
  <c r="DG138" i="68" s="1"/>
  <c r="CQ138" i="68"/>
  <c r="DD138" i="68" s="1"/>
  <c r="CO95" i="68"/>
  <c r="DB95" i="68" s="1"/>
  <c r="CX95" i="68"/>
  <c r="DK95" i="68" s="1"/>
  <c r="CW95" i="68"/>
  <c r="DJ95" i="68" s="1"/>
  <c r="CN95" i="68"/>
  <c r="CS95" i="68"/>
  <c r="DF95" i="68" s="1"/>
  <c r="CR95" i="68"/>
  <c r="DE95" i="68" s="1"/>
  <c r="CV95" i="68"/>
  <c r="DI95" i="68" s="1"/>
  <c r="CY95" i="68"/>
  <c r="DL95" i="68" s="1"/>
  <c r="CU95" i="68"/>
  <c r="DH95" i="68" s="1"/>
  <c r="CQ95" i="68"/>
  <c r="DD95" i="68" s="1"/>
  <c r="CP95" i="68"/>
  <c r="DC95" i="68" s="1"/>
  <c r="CT95" i="68"/>
  <c r="DG95" i="68" s="1"/>
  <c r="CS28" i="68"/>
  <c r="DF28" i="68" s="1"/>
  <c r="CR28" i="68"/>
  <c r="DE28" i="68" s="1"/>
  <c r="CN28" i="68"/>
  <c r="CQ28" i="68"/>
  <c r="DD28" i="68" s="1"/>
  <c r="CX28" i="68"/>
  <c r="DK28" i="68" s="1"/>
  <c r="CW28" i="68"/>
  <c r="DJ28" i="68" s="1"/>
  <c r="CU28" i="68"/>
  <c r="DH28" i="68" s="1"/>
  <c r="CO28" i="68"/>
  <c r="DB28" i="68" s="1"/>
  <c r="CT28" i="68"/>
  <c r="DG28" i="68" s="1"/>
  <c r="CY28" i="68"/>
  <c r="DL28" i="68" s="1"/>
  <c r="CV28" i="68"/>
  <c r="DI28" i="68" s="1"/>
  <c r="CP28" i="68"/>
  <c r="DC28" i="68" s="1"/>
  <c r="CK76" i="68"/>
  <c r="CK39" i="68"/>
  <c r="CQ128" i="68"/>
  <c r="DD128" i="68" s="1"/>
  <c r="CN128" i="68"/>
  <c r="CY128" i="68"/>
  <c r="DL128" i="68" s="1"/>
  <c r="CX128" i="68"/>
  <c r="DK128" i="68" s="1"/>
  <c r="CW128" i="68"/>
  <c r="DJ128" i="68" s="1"/>
  <c r="CU128" i="68"/>
  <c r="DH128" i="68" s="1"/>
  <c r="CV128" i="68"/>
  <c r="DI128" i="68" s="1"/>
  <c r="CP128" i="68"/>
  <c r="DC128" i="68" s="1"/>
  <c r="CT128" i="68"/>
  <c r="DG128" i="68" s="1"/>
  <c r="CS128" i="68"/>
  <c r="DF128" i="68" s="1"/>
  <c r="CR128" i="68"/>
  <c r="DE128" i="68" s="1"/>
  <c r="CO128" i="68"/>
  <c r="DB128" i="68" s="1"/>
  <c r="CR120" i="68"/>
  <c r="DE120" i="68" s="1"/>
  <c r="CP120" i="68"/>
  <c r="DC120" i="68" s="1"/>
  <c r="CX120" i="68"/>
  <c r="DK120" i="68" s="1"/>
  <c r="CV120" i="68"/>
  <c r="DI120" i="68" s="1"/>
  <c r="CS120" i="68"/>
  <c r="DF120" i="68" s="1"/>
  <c r="CQ120" i="68"/>
  <c r="DD120" i="68" s="1"/>
  <c r="CO120" i="68"/>
  <c r="DB120" i="68" s="1"/>
  <c r="CW120" i="68"/>
  <c r="DJ120" i="68" s="1"/>
  <c r="CT120" i="68"/>
  <c r="DG120" i="68" s="1"/>
  <c r="CY120" i="68"/>
  <c r="DL120" i="68" s="1"/>
  <c r="CU120" i="68"/>
  <c r="DH120" i="68" s="1"/>
  <c r="CN120" i="68"/>
  <c r="CY157" i="68"/>
  <c r="DL157" i="68" s="1"/>
  <c r="CW157" i="68"/>
  <c r="DJ157" i="68" s="1"/>
  <c r="CU157" i="68"/>
  <c r="DH157" i="68" s="1"/>
  <c r="CX157" i="68"/>
  <c r="DK157" i="68" s="1"/>
  <c r="CR157" i="68"/>
  <c r="DE157" i="68" s="1"/>
  <c r="CO157" i="68"/>
  <c r="DB157" i="68" s="1"/>
  <c r="CN157" i="68"/>
  <c r="CV157" i="68"/>
  <c r="DI157" i="68" s="1"/>
  <c r="CS157" i="68"/>
  <c r="DF157" i="68" s="1"/>
  <c r="CP157" i="68"/>
  <c r="DC157" i="68" s="1"/>
  <c r="CQ157" i="68"/>
  <c r="DD157" i="68" s="1"/>
  <c r="CT157" i="68"/>
  <c r="DG157" i="68" s="1"/>
  <c r="CR105" i="68"/>
  <c r="DE105" i="68" s="1"/>
  <c r="CK110" i="68"/>
  <c r="CR145" i="68"/>
  <c r="DE145" i="68" s="1"/>
  <c r="CT145" i="68"/>
  <c r="DG145" i="68" s="1"/>
  <c r="CW145" i="68"/>
  <c r="DJ145" i="68" s="1"/>
  <c r="CV145" i="68"/>
  <c r="DI145" i="68" s="1"/>
  <c r="CN145" i="68"/>
  <c r="CU145" i="68"/>
  <c r="DH145" i="68" s="1"/>
  <c r="CS145" i="68"/>
  <c r="DF145" i="68" s="1"/>
  <c r="CO145" i="68"/>
  <c r="DB145" i="68" s="1"/>
  <c r="CY145" i="68"/>
  <c r="DL145" i="68" s="1"/>
  <c r="CP145" i="68"/>
  <c r="DC145" i="68" s="1"/>
  <c r="CX145" i="68"/>
  <c r="DK145" i="68" s="1"/>
  <c r="CV114" i="68"/>
  <c r="DI114" i="68" s="1"/>
  <c r="CW114" i="68"/>
  <c r="DJ114" i="68" s="1"/>
  <c r="CQ114" i="68"/>
  <c r="DD114" i="68" s="1"/>
  <c r="CX114" i="68"/>
  <c r="DK114" i="68" s="1"/>
  <c r="CR114" i="68"/>
  <c r="DE114" i="68" s="1"/>
  <c r="CS114" i="68"/>
  <c r="DF114" i="68" s="1"/>
  <c r="CT114" i="68"/>
  <c r="DG114" i="68" s="1"/>
  <c r="CO114" i="68"/>
  <c r="DB114" i="68" s="1"/>
  <c r="CY114" i="68"/>
  <c r="DL114" i="68" s="1"/>
  <c r="CP114" i="68"/>
  <c r="DC114" i="68" s="1"/>
  <c r="CN114" i="68"/>
  <c r="CU137" i="68"/>
  <c r="DH137" i="68" s="1"/>
  <c r="CP137" i="68"/>
  <c r="DC137" i="68" s="1"/>
  <c r="CY137" i="68"/>
  <c r="DL137" i="68" s="1"/>
  <c r="CT137" i="68"/>
  <c r="DG137" i="68" s="1"/>
  <c r="CX137" i="68"/>
  <c r="DK137" i="68" s="1"/>
  <c r="CN137" i="68"/>
  <c r="CS137" i="68"/>
  <c r="DF137" i="68" s="1"/>
  <c r="CR137" i="68"/>
  <c r="DE137" i="68" s="1"/>
  <c r="CQ137" i="68"/>
  <c r="DD137" i="68" s="1"/>
  <c r="CO137" i="68"/>
  <c r="DB137" i="68" s="1"/>
  <c r="CV137" i="68"/>
  <c r="DI137" i="68" s="1"/>
  <c r="CR94" i="68"/>
  <c r="DE94" i="68" s="1"/>
  <c r="CW94" i="68"/>
  <c r="DJ94" i="68" s="1"/>
  <c r="CV94" i="68"/>
  <c r="DI94" i="68" s="1"/>
  <c r="CN94" i="68"/>
  <c r="CY94" i="68"/>
  <c r="DL94" i="68" s="1"/>
  <c r="CX94" i="68"/>
  <c r="DK94" i="68" s="1"/>
  <c r="CS94" i="68"/>
  <c r="DF94" i="68" s="1"/>
  <c r="CQ94" i="68"/>
  <c r="DD94" i="68" s="1"/>
  <c r="CU94" i="68"/>
  <c r="DH94" i="68" s="1"/>
  <c r="CT94" i="68"/>
  <c r="DG94" i="68" s="1"/>
  <c r="CO94" i="68"/>
  <c r="DB94" i="68" s="1"/>
  <c r="CP94" i="68"/>
  <c r="DC94" i="68" s="1"/>
  <c r="CK172" i="68"/>
  <c r="CY115" i="68"/>
  <c r="DL115" i="68" s="1"/>
  <c r="CP115" i="68"/>
  <c r="DC115" i="68" s="1"/>
  <c r="CO115" i="68"/>
  <c r="DB115" i="68" s="1"/>
  <c r="CN115" i="68"/>
  <c r="CS115" i="68"/>
  <c r="DF115" i="68" s="1"/>
  <c r="CX115" i="68"/>
  <c r="DK115" i="68" s="1"/>
  <c r="CR115" i="68"/>
  <c r="DE115" i="68" s="1"/>
  <c r="CV115" i="68"/>
  <c r="DI115" i="68" s="1"/>
  <c r="CU115" i="68"/>
  <c r="DH115" i="68" s="1"/>
  <c r="CT115" i="68"/>
  <c r="DG115" i="68" s="1"/>
  <c r="CQ115" i="68"/>
  <c r="DD115" i="68" s="1"/>
  <c r="CW115" i="68"/>
  <c r="DJ115" i="68" s="1"/>
  <c r="CN113" i="68"/>
  <c r="CW113" i="68"/>
  <c r="DJ113" i="68" s="1"/>
  <c r="CO113" i="68"/>
  <c r="DB113" i="68" s="1"/>
  <c r="CU113" i="68"/>
  <c r="DH113" i="68" s="1"/>
  <c r="CT113" i="68"/>
  <c r="DG113" i="68" s="1"/>
  <c r="CP113" i="68"/>
  <c r="DC113" i="68" s="1"/>
  <c r="CQ113" i="68"/>
  <c r="DD113" i="68" s="1"/>
  <c r="CS113" i="68"/>
  <c r="DF113" i="68" s="1"/>
  <c r="CV113" i="68"/>
  <c r="DI113" i="68" s="1"/>
  <c r="CY113" i="68"/>
  <c r="DL113" i="68" s="1"/>
  <c r="CX113" i="68"/>
  <c r="DK113" i="68" s="1"/>
  <c r="CK48" i="68"/>
  <c r="CP121" i="68"/>
  <c r="DC121" i="68" s="1"/>
  <c r="CS121" i="68"/>
  <c r="DF121" i="68" s="1"/>
  <c r="CY121" i="68"/>
  <c r="DL121" i="68" s="1"/>
  <c r="CX121" i="68"/>
  <c r="DK121" i="68" s="1"/>
  <c r="CW121" i="68"/>
  <c r="DJ121" i="68" s="1"/>
  <c r="CT121" i="68"/>
  <c r="DG121" i="68" s="1"/>
  <c r="CR121" i="68"/>
  <c r="DE121" i="68" s="1"/>
  <c r="CN121" i="68"/>
  <c r="CU121" i="68"/>
  <c r="DH121" i="68" s="1"/>
  <c r="CQ121" i="68"/>
  <c r="DD121" i="68" s="1"/>
  <c r="CV121" i="68"/>
  <c r="DI121" i="68" s="1"/>
  <c r="CP147" i="68"/>
  <c r="DC147" i="68" s="1"/>
  <c r="CQ147" i="68"/>
  <c r="DD147" i="68" s="1"/>
  <c r="CX147" i="68"/>
  <c r="DK147" i="68" s="1"/>
  <c r="CR147" i="68"/>
  <c r="DE147" i="68" s="1"/>
  <c r="CN147" i="68"/>
  <c r="CY147" i="68"/>
  <c r="DL147" i="68" s="1"/>
  <c r="CW147" i="68"/>
  <c r="DJ147" i="68" s="1"/>
  <c r="CU147" i="68"/>
  <c r="DH147" i="68" s="1"/>
  <c r="CS147" i="68"/>
  <c r="DF147" i="68" s="1"/>
  <c r="CO147" i="68"/>
  <c r="DB147" i="68" s="1"/>
  <c r="CT147" i="68"/>
  <c r="DG147" i="68" s="1"/>
  <c r="CV147" i="68"/>
  <c r="DI147" i="68" s="1"/>
  <c r="CQ127" i="68"/>
  <c r="DD127" i="68" s="1"/>
  <c r="CW144" i="68"/>
  <c r="DJ144" i="68" s="1"/>
  <c r="CU144" i="68"/>
  <c r="DH144" i="68" s="1"/>
  <c r="CV144" i="68"/>
  <c r="DI144" i="68" s="1"/>
  <c r="CN144" i="68"/>
  <c r="CO144" i="68"/>
  <c r="DB144" i="68" s="1"/>
  <c r="CQ144" i="68"/>
  <c r="DD144" i="68" s="1"/>
  <c r="CP144" i="68"/>
  <c r="DC144" i="68" s="1"/>
  <c r="CT144" i="68"/>
  <c r="DG144" i="68" s="1"/>
  <c r="CX144" i="68"/>
  <c r="DK144" i="68" s="1"/>
  <c r="CY144" i="68"/>
  <c r="DL144" i="68" s="1"/>
  <c r="CS144" i="68"/>
  <c r="DF144" i="68" s="1"/>
  <c r="CK50" i="68"/>
  <c r="CO68" i="68"/>
  <c r="DB68" i="68" s="1"/>
  <c r="CN68" i="68"/>
  <c r="CY68" i="68"/>
  <c r="DL68" i="68" s="1"/>
  <c r="CW68" i="68"/>
  <c r="DJ68" i="68" s="1"/>
  <c r="CX68" i="68"/>
  <c r="DK68" i="68" s="1"/>
  <c r="CV68" i="68"/>
  <c r="DI68" i="68" s="1"/>
  <c r="CT68" i="68"/>
  <c r="DG68" i="68" s="1"/>
  <c r="CS68" i="68"/>
  <c r="DF68" i="68" s="1"/>
  <c r="CQ68" i="68"/>
  <c r="DD68" i="68" s="1"/>
  <c r="CP68" i="68"/>
  <c r="DC68" i="68" s="1"/>
  <c r="CR68" i="68"/>
  <c r="DE68" i="68" s="1"/>
  <c r="CU68" i="68"/>
  <c r="DH68" i="68" s="1"/>
  <c r="CU146" i="68"/>
  <c r="DH146" i="68" s="1"/>
  <c r="CV146" i="68"/>
  <c r="DI146" i="68" s="1"/>
  <c r="CN146" i="68"/>
  <c r="CY146" i="68"/>
  <c r="DL146" i="68" s="1"/>
  <c r="CW146" i="68"/>
  <c r="DJ146" i="68" s="1"/>
  <c r="CO146" i="68"/>
  <c r="DB146" i="68" s="1"/>
  <c r="CX146" i="68"/>
  <c r="DK146" i="68" s="1"/>
  <c r="CS146" i="68"/>
  <c r="DF146" i="68" s="1"/>
  <c r="CR146" i="68"/>
  <c r="DE146" i="68" s="1"/>
  <c r="CQ146" i="68"/>
  <c r="DD146" i="68" s="1"/>
  <c r="CP146" i="68"/>
  <c r="DC146" i="68" s="1"/>
  <c r="CW93" i="68"/>
  <c r="DJ93" i="68" s="1"/>
  <c r="CO93" i="68"/>
  <c r="DB93" i="68" s="1"/>
  <c r="CN93" i="68"/>
  <c r="CX93" i="68"/>
  <c r="DK93" i="68" s="1"/>
  <c r="CV93" i="68"/>
  <c r="DI93" i="68" s="1"/>
  <c r="CY93" i="68"/>
  <c r="DL93" i="68" s="1"/>
  <c r="CT93" i="68"/>
  <c r="DG93" i="68" s="1"/>
  <c r="CP93" i="68"/>
  <c r="DC93" i="68" s="1"/>
  <c r="CR93" i="68"/>
  <c r="DE93" i="68" s="1"/>
  <c r="CU93" i="68"/>
  <c r="DH93" i="68" s="1"/>
  <c r="CS93" i="68"/>
  <c r="DF93" i="68" s="1"/>
  <c r="CQ93" i="68"/>
  <c r="DD93" i="68" s="1"/>
  <c r="CK49" i="68"/>
  <c r="CX154" i="68"/>
  <c r="DK154" i="68" s="1"/>
  <c r="CT154" i="68"/>
  <c r="DG154" i="68" s="1"/>
  <c r="CO154" i="68"/>
  <c r="DB154" i="68" s="1"/>
  <c r="CV154" i="68"/>
  <c r="DI154" i="68" s="1"/>
  <c r="CR154" i="68"/>
  <c r="DE154" i="68" s="1"/>
  <c r="CQ154" i="68"/>
  <c r="DD154" i="68" s="1"/>
  <c r="CU154" i="68"/>
  <c r="DH154" i="68" s="1"/>
  <c r="CY154" i="68"/>
  <c r="DL154" i="68" s="1"/>
  <c r="CW154" i="68"/>
  <c r="DJ154" i="68" s="1"/>
  <c r="CS154" i="68"/>
  <c r="DF154" i="68" s="1"/>
  <c r="CN154" i="68"/>
  <c r="CP154" i="68"/>
  <c r="DC154" i="68" s="1"/>
  <c r="CU117" i="68"/>
  <c r="DH117" i="68" s="1"/>
  <c r="CX117" i="68"/>
  <c r="DK117" i="68" s="1"/>
  <c r="CW117" i="68"/>
  <c r="DJ117" i="68" s="1"/>
  <c r="CT117" i="68"/>
  <c r="DG117" i="68" s="1"/>
  <c r="CR117" i="68"/>
  <c r="DE117" i="68" s="1"/>
  <c r="CN117" i="68"/>
  <c r="CV117" i="68"/>
  <c r="DI117" i="68" s="1"/>
  <c r="CQ117" i="68"/>
  <c r="DD117" i="68" s="1"/>
  <c r="CP117" i="68"/>
  <c r="DC117" i="68" s="1"/>
  <c r="CS117" i="68"/>
  <c r="DF117" i="68" s="1"/>
  <c r="CO117" i="68"/>
  <c r="DB117" i="68" s="1"/>
  <c r="CY117" i="68"/>
  <c r="DL117" i="68" s="1"/>
  <c r="CP148" i="68"/>
  <c r="DC148" i="68" s="1"/>
  <c r="CY148" i="68"/>
  <c r="DL148" i="68" s="1"/>
  <c r="CW148" i="68"/>
  <c r="DJ148" i="68" s="1"/>
  <c r="CR148" i="68"/>
  <c r="DE148" i="68" s="1"/>
  <c r="CQ148" i="68"/>
  <c r="DD148" i="68" s="1"/>
  <c r="CX148" i="68"/>
  <c r="DK148" i="68" s="1"/>
  <c r="CV148" i="68"/>
  <c r="DI148" i="68" s="1"/>
  <c r="CU148" i="68"/>
  <c r="DH148" i="68" s="1"/>
  <c r="CT148" i="68"/>
  <c r="DG148" i="68" s="1"/>
  <c r="CN148" i="68"/>
  <c r="CS148" i="68"/>
  <c r="DF148" i="68" s="1"/>
  <c r="CO148" i="68"/>
  <c r="DB148" i="68" s="1"/>
  <c r="CP135" i="68"/>
  <c r="DC135" i="68" s="1"/>
  <c r="CO135" i="68"/>
  <c r="DB135" i="68" s="1"/>
  <c r="CT135" i="68"/>
  <c r="DG135" i="68" s="1"/>
  <c r="CV135" i="68"/>
  <c r="DI135" i="68" s="1"/>
  <c r="CU135" i="68"/>
  <c r="DH135" i="68" s="1"/>
  <c r="CR135" i="68"/>
  <c r="DE135" i="68" s="1"/>
  <c r="CX135" i="68"/>
  <c r="DK135" i="68" s="1"/>
  <c r="CW135" i="68"/>
  <c r="DJ135" i="68" s="1"/>
  <c r="CS135" i="68"/>
  <c r="DF135" i="68" s="1"/>
  <c r="CQ135" i="68"/>
  <c r="DD135" i="68" s="1"/>
  <c r="CN135" i="68"/>
  <c r="CY135" i="68"/>
  <c r="DL135" i="68" s="1"/>
  <c r="CW107" i="68"/>
  <c r="DJ107" i="68" s="1"/>
  <c r="CQ143" i="68"/>
  <c r="DD143" i="68" s="1"/>
  <c r="CT143" i="68"/>
  <c r="DG143" i="68" s="1"/>
  <c r="CX143" i="68"/>
  <c r="DK143" i="68" s="1"/>
  <c r="CR143" i="68"/>
  <c r="DE143" i="68" s="1"/>
  <c r="CO143" i="68"/>
  <c r="DB143" i="68" s="1"/>
  <c r="CU143" i="68"/>
  <c r="DH143" i="68" s="1"/>
  <c r="CW143" i="68"/>
  <c r="DJ143" i="68" s="1"/>
  <c r="CS143" i="68"/>
  <c r="DF143" i="68" s="1"/>
  <c r="CP143" i="68"/>
  <c r="DC143" i="68" s="1"/>
  <c r="CV143" i="68"/>
  <c r="DI143" i="68" s="1"/>
  <c r="CN143" i="68"/>
  <c r="CV29" i="68"/>
  <c r="DI29" i="68" s="1"/>
  <c r="CQ29" i="68"/>
  <c r="DD29" i="68" s="1"/>
  <c r="CY29" i="68"/>
  <c r="DL29" i="68" s="1"/>
  <c r="CW29" i="68"/>
  <c r="DJ29" i="68" s="1"/>
  <c r="CU29" i="68"/>
  <c r="DH29" i="68" s="1"/>
  <c r="CN29" i="68"/>
  <c r="CX29" i="68"/>
  <c r="DK29" i="68" s="1"/>
  <c r="CR29" i="68"/>
  <c r="DE29" i="68" s="1"/>
  <c r="CO29" i="68"/>
  <c r="DB29" i="68" s="1"/>
  <c r="CT29" i="68"/>
  <c r="DG29" i="68" s="1"/>
  <c r="CS29" i="68"/>
  <c r="DF29" i="68" s="1"/>
  <c r="CP29" i="68"/>
  <c r="DC29" i="68" s="1"/>
  <c r="CY116" i="68"/>
  <c r="DL116" i="68" s="1"/>
  <c r="CT116" i="68"/>
  <c r="DG116" i="68" s="1"/>
  <c r="CV116" i="68"/>
  <c r="DI116" i="68" s="1"/>
  <c r="CP116" i="68"/>
  <c r="DC116" i="68" s="1"/>
  <c r="CO116" i="68"/>
  <c r="DB116" i="68" s="1"/>
  <c r="CS116" i="68"/>
  <c r="DF116" i="68" s="1"/>
  <c r="CR116" i="68"/>
  <c r="DE116" i="68" s="1"/>
  <c r="CX116" i="68"/>
  <c r="DK116" i="68" s="1"/>
  <c r="CQ116" i="68"/>
  <c r="DD116" i="68" s="1"/>
  <c r="CU116" i="68"/>
  <c r="DH116" i="68" s="1"/>
  <c r="CN116" i="68"/>
  <c r="CW116" i="68"/>
  <c r="DJ116" i="68" s="1"/>
  <c r="CY130" i="68"/>
  <c r="DL130" i="68" s="1"/>
  <c r="CT130" i="68"/>
  <c r="DG130" i="68" s="1"/>
  <c r="CP130" i="68"/>
  <c r="DC130" i="68" s="1"/>
  <c r="CR130" i="68"/>
  <c r="DE130" i="68" s="1"/>
  <c r="CS130" i="68"/>
  <c r="DF130" i="68" s="1"/>
  <c r="CV130" i="68"/>
  <c r="DI130" i="68" s="1"/>
  <c r="CW130" i="68"/>
  <c r="DJ130" i="68" s="1"/>
  <c r="CU130" i="68"/>
  <c r="DH130" i="68" s="1"/>
  <c r="CQ130" i="68"/>
  <c r="DD130" i="68" s="1"/>
  <c r="CX130" i="68"/>
  <c r="DK130" i="68" s="1"/>
  <c r="CO130" i="68"/>
  <c r="DB130" i="68" s="1"/>
  <c r="CN130" i="68"/>
  <c r="CW81" i="68"/>
  <c r="DJ81" i="68" s="1"/>
  <c r="CW108" i="68"/>
  <c r="DJ108" i="68" s="1"/>
  <c r="CX102" i="68"/>
  <c r="DK102" i="68" s="1"/>
  <c r="CS102" i="68"/>
  <c r="DF102" i="68" s="1"/>
  <c r="CU102" i="68"/>
  <c r="DH102" i="68" s="1"/>
  <c r="CP102" i="68"/>
  <c r="DC102" i="68" s="1"/>
  <c r="CR102" i="68"/>
  <c r="DE102" i="68" s="1"/>
  <c r="CQ102" i="68"/>
  <c r="DD102" i="68" s="1"/>
  <c r="CO102" i="68"/>
  <c r="DB102" i="68" s="1"/>
  <c r="CY102" i="68"/>
  <c r="DL102" i="68" s="1"/>
  <c r="CV102" i="68"/>
  <c r="DI102" i="68" s="1"/>
  <c r="CT102" i="68"/>
  <c r="DG102" i="68" s="1"/>
  <c r="CW102" i="68"/>
  <c r="DJ102" i="68" s="1"/>
  <c r="CQ30" i="68"/>
  <c r="DD30" i="68" s="1"/>
  <c r="CS30" i="68"/>
  <c r="DF30" i="68" s="1"/>
  <c r="CP30" i="68"/>
  <c r="DC30" i="68" s="1"/>
  <c r="CO30" i="68"/>
  <c r="DB30" i="68" s="1"/>
  <c r="CX30" i="68"/>
  <c r="DK30" i="68" s="1"/>
  <c r="CY30" i="68"/>
  <c r="DL30" i="68" s="1"/>
  <c r="CV30" i="68"/>
  <c r="DI30" i="68" s="1"/>
  <c r="CT30" i="68"/>
  <c r="DG30" i="68" s="1"/>
  <c r="CW30" i="68"/>
  <c r="DJ30" i="68" s="1"/>
  <c r="CR30" i="68"/>
  <c r="DE30" i="68" s="1"/>
  <c r="CN30" i="68"/>
  <c r="CT107" i="68"/>
  <c r="DG107" i="68" s="1"/>
  <c r="CS107" i="68"/>
  <c r="DF107" i="68" s="1"/>
  <c r="CR107" i="68"/>
  <c r="DE107" i="68" s="1"/>
  <c r="CP107" i="68"/>
  <c r="DC107" i="68" s="1"/>
  <c r="CN107" i="68"/>
  <c r="CX107" i="68"/>
  <c r="DK107" i="68" s="1"/>
  <c r="CQ107" i="68"/>
  <c r="DD107" i="68" s="1"/>
  <c r="CO107" i="68"/>
  <c r="DB107" i="68" s="1"/>
  <c r="CU107" i="68"/>
  <c r="DH107" i="68" s="1"/>
  <c r="CY107" i="68"/>
  <c r="DL107" i="68" s="1"/>
  <c r="CV107" i="68"/>
  <c r="DI107" i="68" s="1"/>
  <c r="CV131" i="68"/>
  <c r="DI131" i="68" s="1"/>
  <c r="CY131" i="68"/>
  <c r="DL131" i="68" s="1"/>
  <c r="CW131" i="68"/>
  <c r="DJ131" i="68" s="1"/>
  <c r="CN131" i="68"/>
  <c r="CU131" i="68"/>
  <c r="DH131" i="68" s="1"/>
  <c r="CX131" i="68"/>
  <c r="DK131" i="68" s="1"/>
  <c r="CT131" i="68"/>
  <c r="DG131" i="68" s="1"/>
  <c r="CS131" i="68"/>
  <c r="DF131" i="68" s="1"/>
  <c r="CO131" i="68"/>
  <c r="DB131" i="68" s="1"/>
  <c r="CP131" i="68"/>
  <c r="DC131" i="68" s="1"/>
  <c r="CR131" i="68"/>
  <c r="DE131" i="68" s="1"/>
  <c r="CQ131" i="68"/>
  <c r="DD131" i="68" s="1"/>
  <c r="CV109" i="68"/>
  <c r="DI109" i="68" s="1"/>
  <c r="CY109" i="68"/>
  <c r="DL109" i="68" s="1"/>
  <c r="CN109" i="68"/>
  <c r="CU109" i="68"/>
  <c r="DH109" i="68" s="1"/>
  <c r="CW109" i="68"/>
  <c r="DJ109" i="68" s="1"/>
  <c r="CX109" i="68"/>
  <c r="DK109" i="68" s="1"/>
  <c r="CT109" i="68"/>
  <c r="DG109" i="68" s="1"/>
  <c r="CP109" i="68"/>
  <c r="DC109" i="68" s="1"/>
  <c r="CO109" i="68"/>
  <c r="DB109" i="68" s="1"/>
  <c r="CR109" i="68"/>
  <c r="DE109" i="68" s="1"/>
  <c r="CQ109" i="68"/>
  <c r="DD109" i="68" s="1"/>
  <c r="CS109" i="68"/>
  <c r="DF109" i="68" s="1"/>
  <c r="CR141" i="68"/>
  <c r="DE141" i="68" s="1"/>
  <c r="CQ141" i="68"/>
  <c r="DD141" i="68" s="1"/>
  <c r="CX141" i="68"/>
  <c r="DK141" i="68" s="1"/>
  <c r="CY141" i="68"/>
  <c r="DL141" i="68" s="1"/>
  <c r="CV141" i="68"/>
  <c r="DI141" i="68" s="1"/>
  <c r="CU141" i="68"/>
  <c r="DH141" i="68" s="1"/>
  <c r="CP141" i="68"/>
  <c r="DC141" i="68" s="1"/>
  <c r="CN141" i="68"/>
  <c r="CT141" i="68"/>
  <c r="DG141" i="68" s="1"/>
  <c r="CS141" i="68"/>
  <c r="DF141" i="68" s="1"/>
  <c r="CW141" i="68"/>
  <c r="DJ141" i="68" s="1"/>
  <c r="CO141" i="68"/>
  <c r="DB141" i="68" s="1"/>
  <c r="CR82" i="68"/>
  <c r="DE82" i="68" s="1"/>
  <c r="CW82" i="68"/>
  <c r="DJ82" i="68" s="1"/>
  <c r="CV82" i="68"/>
  <c r="DI82" i="68" s="1"/>
  <c r="CU82" i="68"/>
  <c r="DH82" i="68" s="1"/>
  <c r="CT82" i="68"/>
  <c r="DG82" i="68" s="1"/>
  <c r="CX82" i="68"/>
  <c r="DK82" i="68" s="1"/>
  <c r="CQ82" i="68"/>
  <c r="DD82" i="68" s="1"/>
  <c r="CO82" i="68"/>
  <c r="DB82" i="68" s="1"/>
  <c r="CN82" i="68"/>
  <c r="CY82" i="68"/>
  <c r="DL82" i="68" s="1"/>
  <c r="CS82" i="68"/>
  <c r="DF82" i="68" s="1"/>
  <c r="CP82" i="68"/>
  <c r="DC82" i="68" s="1"/>
  <c r="CQ103" i="68"/>
  <c r="DD103" i="68" s="1"/>
  <c r="CO103" i="68"/>
  <c r="DB103" i="68" s="1"/>
  <c r="CP103" i="68"/>
  <c r="DC103" i="68" s="1"/>
  <c r="CW103" i="68"/>
  <c r="DJ103" i="68" s="1"/>
  <c r="CT103" i="68"/>
  <c r="DG103" i="68" s="1"/>
  <c r="CR103" i="68"/>
  <c r="DE103" i="68" s="1"/>
  <c r="CN103" i="68"/>
  <c r="CS103" i="68"/>
  <c r="DF103" i="68" s="1"/>
  <c r="CV103" i="68"/>
  <c r="DI103" i="68" s="1"/>
  <c r="CY103" i="68"/>
  <c r="DL103" i="68" s="1"/>
  <c r="CX103" i="68"/>
  <c r="DK103" i="68" s="1"/>
  <c r="CU103" i="68"/>
  <c r="DH103" i="68" s="1"/>
  <c r="CN132" i="68"/>
  <c r="CV132" i="68"/>
  <c r="DI132" i="68" s="1"/>
  <c r="CU132" i="68"/>
  <c r="DH132" i="68" s="1"/>
  <c r="CS132" i="68"/>
  <c r="DF132" i="68" s="1"/>
  <c r="CR132" i="68"/>
  <c r="DE132" i="68" s="1"/>
  <c r="CQ132" i="68"/>
  <c r="DD132" i="68" s="1"/>
  <c r="CY132" i="68"/>
  <c r="DL132" i="68" s="1"/>
  <c r="CT132" i="68"/>
  <c r="DG132" i="68" s="1"/>
  <c r="CP132" i="68"/>
  <c r="DC132" i="68" s="1"/>
  <c r="CO132" i="68"/>
  <c r="DB132" i="68" s="1"/>
  <c r="CX132" i="68"/>
  <c r="DK132" i="68" s="1"/>
  <c r="CW132" i="68"/>
  <c r="DJ132" i="68" s="1"/>
  <c r="CN119" i="68"/>
  <c r="CY119" i="68"/>
  <c r="DL119" i="68" s="1"/>
  <c r="CX119" i="68"/>
  <c r="DK119" i="68" s="1"/>
  <c r="CT119" i="68"/>
  <c r="DG119" i="68" s="1"/>
  <c r="CR119" i="68"/>
  <c r="DE119" i="68" s="1"/>
  <c r="CU119" i="68"/>
  <c r="DH119" i="68" s="1"/>
  <c r="CP119" i="68"/>
  <c r="DC119" i="68" s="1"/>
  <c r="CO119" i="68"/>
  <c r="DB119" i="68" s="1"/>
  <c r="CS119" i="68"/>
  <c r="DF119" i="68" s="1"/>
  <c r="CQ119" i="68"/>
  <c r="DD119" i="68" s="1"/>
  <c r="CW119" i="68"/>
  <c r="DJ119" i="68" s="1"/>
  <c r="CV119" i="68"/>
  <c r="DI119" i="68" s="1"/>
  <c r="CK173" i="68"/>
  <c r="DA182" i="68" l="1"/>
  <c r="DM182" i="68" s="1"/>
  <c r="CZ182" i="68"/>
  <c r="DA181" i="68"/>
  <c r="DM181" i="68" s="1"/>
  <c r="CZ181" i="68"/>
  <c r="CX88" i="68"/>
  <c r="DK88" i="68" s="1"/>
  <c r="CY88" i="68"/>
  <c r="DL88" i="68" s="1"/>
  <c r="CS88" i="68"/>
  <c r="DF88" i="68" s="1"/>
  <c r="CP43" i="68"/>
  <c r="DC43" i="68" s="1"/>
  <c r="CW88" i="68"/>
  <c r="DJ88" i="68" s="1"/>
  <c r="CT43" i="68"/>
  <c r="DG43" i="68" s="1"/>
  <c r="CX43" i="68"/>
  <c r="DK43" i="68" s="1"/>
  <c r="CR88" i="68"/>
  <c r="DE88" i="68" s="1"/>
  <c r="CN43" i="68"/>
  <c r="DA43" i="68" s="1"/>
  <c r="CU88" i="68"/>
  <c r="DH88" i="68" s="1"/>
  <c r="CR43" i="68"/>
  <c r="DE43" i="68" s="1"/>
  <c r="CS79" i="68"/>
  <c r="DF79" i="68" s="1"/>
  <c r="CV88" i="68"/>
  <c r="DI88" i="68" s="1"/>
  <c r="CT79" i="68"/>
  <c r="DG79" i="68" s="1"/>
  <c r="CT88" i="68"/>
  <c r="DG88" i="68" s="1"/>
  <c r="CR79" i="68"/>
  <c r="DE79" i="68" s="1"/>
  <c r="CP88" i="68"/>
  <c r="DC88" i="68" s="1"/>
  <c r="CU79" i="68"/>
  <c r="DH79" i="68" s="1"/>
  <c r="CY79" i="68"/>
  <c r="DL79" i="68" s="1"/>
  <c r="CO88" i="68"/>
  <c r="DB88" i="68" s="1"/>
  <c r="CU43" i="68"/>
  <c r="DH43" i="68" s="1"/>
  <c r="CX79" i="68"/>
  <c r="DK79" i="68" s="1"/>
  <c r="CN88" i="68"/>
  <c r="DA88" i="68" s="1"/>
  <c r="CP79" i="68"/>
  <c r="DC79" i="68" s="1"/>
  <c r="CY43" i="68"/>
  <c r="DL43" i="68" s="1"/>
  <c r="CW79" i="68"/>
  <c r="DJ79" i="68" s="1"/>
  <c r="CV63" i="68"/>
  <c r="DI63" i="68" s="1"/>
  <c r="CR63" i="68"/>
  <c r="DE63" i="68" s="1"/>
  <c r="CV43" i="68"/>
  <c r="DI43" i="68" s="1"/>
  <c r="CQ79" i="68"/>
  <c r="DD79" i="68" s="1"/>
  <c r="CS43" i="68"/>
  <c r="DF43" i="68" s="1"/>
  <c r="CV79" i="68"/>
  <c r="DI79" i="68" s="1"/>
  <c r="CQ43" i="68"/>
  <c r="DD43" i="68" s="1"/>
  <c r="CW43" i="68"/>
  <c r="DJ43" i="68" s="1"/>
  <c r="CN79" i="68"/>
  <c r="CY63" i="68"/>
  <c r="DL63" i="68" s="1"/>
  <c r="CW63" i="68"/>
  <c r="DJ63" i="68" s="1"/>
  <c r="CQ63" i="68"/>
  <c r="DD63" i="68" s="1"/>
  <c r="CU63" i="68"/>
  <c r="DH63" i="68" s="1"/>
  <c r="CX63" i="68"/>
  <c r="DK63" i="68" s="1"/>
  <c r="CO63" i="68"/>
  <c r="DB63" i="68" s="1"/>
  <c r="CT63" i="68"/>
  <c r="DG63" i="68" s="1"/>
  <c r="CN63" i="68"/>
  <c r="DA63" i="68" s="1"/>
  <c r="CP63" i="68"/>
  <c r="DC63" i="68" s="1"/>
  <c r="CW33" i="68"/>
  <c r="DJ33" i="68" s="1"/>
  <c r="CT19" i="68"/>
  <c r="DG19" i="68" s="1"/>
  <c r="CN19" i="68"/>
  <c r="DA19" i="68" s="1"/>
  <c r="CW19" i="68"/>
  <c r="DJ19" i="68" s="1"/>
  <c r="CP20" i="68"/>
  <c r="DC20" i="68" s="1"/>
  <c r="CQ20" i="68"/>
  <c r="DD20" i="68" s="1"/>
  <c r="CV20" i="68"/>
  <c r="DI20" i="68" s="1"/>
  <c r="CU18" i="68"/>
  <c r="DH18" i="68" s="1"/>
  <c r="CY18" i="68"/>
  <c r="DL18" i="68" s="1"/>
  <c r="CT18" i="68"/>
  <c r="DG18" i="68" s="1"/>
  <c r="CR33" i="68"/>
  <c r="DE33" i="68" s="1"/>
  <c r="CY20" i="68"/>
  <c r="DL20" i="68" s="1"/>
  <c r="CN20" i="68"/>
  <c r="DA20" i="68" s="1"/>
  <c r="CU19" i="68"/>
  <c r="DH19" i="68" s="1"/>
  <c r="CY19" i="68"/>
  <c r="DL19" i="68" s="1"/>
  <c r="CP19" i="68"/>
  <c r="DC19" i="68" s="1"/>
  <c r="CQ19" i="68"/>
  <c r="DD19" i="68" s="1"/>
  <c r="CO19" i="68"/>
  <c r="DB19" i="68" s="1"/>
  <c r="CS19" i="68"/>
  <c r="DF19" i="68" s="1"/>
  <c r="CV19" i="68"/>
  <c r="DI19" i="68" s="1"/>
  <c r="CX19" i="68"/>
  <c r="DK19" i="68" s="1"/>
  <c r="CP18" i="68"/>
  <c r="DC18" i="68" s="1"/>
  <c r="CW18" i="68"/>
  <c r="DJ18" i="68" s="1"/>
  <c r="CN18" i="68"/>
  <c r="DA18" i="68" s="1"/>
  <c r="CV18" i="68"/>
  <c r="DI18" i="68" s="1"/>
  <c r="CS18" i="68"/>
  <c r="DF18" i="68" s="1"/>
  <c r="CR18" i="68"/>
  <c r="DE18" i="68" s="1"/>
  <c r="CX18" i="68"/>
  <c r="DK18" i="68" s="1"/>
  <c r="CY47" i="68"/>
  <c r="DL47" i="68" s="1"/>
  <c r="CP65" i="68"/>
  <c r="DC65" i="68" s="1"/>
  <c r="CO47" i="68"/>
  <c r="DB47" i="68" s="1"/>
  <c r="CR47" i="68"/>
  <c r="DE47" i="68" s="1"/>
  <c r="CV47" i="68"/>
  <c r="DI47" i="68" s="1"/>
  <c r="CX20" i="68"/>
  <c r="DK20" i="68" s="1"/>
  <c r="CW20" i="68"/>
  <c r="DJ20" i="68" s="1"/>
  <c r="CS20" i="68"/>
  <c r="DF20" i="68" s="1"/>
  <c r="CR20" i="68"/>
  <c r="DE20" i="68" s="1"/>
  <c r="CO20" i="68"/>
  <c r="DB20" i="68" s="1"/>
  <c r="CU20" i="68"/>
  <c r="DH20" i="68" s="1"/>
  <c r="CY45" i="68"/>
  <c r="DL45" i="68" s="1"/>
  <c r="CS45" i="68"/>
  <c r="DF45" i="68" s="1"/>
  <c r="CR45" i="68"/>
  <c r="DE45" i="68" s="1"/>
  <c r="CW65" i="68"/>
  <c r="DJ65" i="68" s="1"/>
  <c r="CN65" i="68"/>
  <c r="DA65" i="68" s="1"/>
  <c r="CR65" i="68"/>
  <c r="DE65" i="68" s="1"/>
  <c r="CW45" i="68"/>
  <c r="DJ45" i="68" s="1"/>
  <c r="CW78" i="68"/>
  <c r="DJ78" i="68" s="1"/>
  <c r="CR78" i="68"/>
  <c r="DE78" i="68" s="1"/>
  <c r="CS78" i="68"/>
  <c r="DF78" i="68" s="1"/>
  <c r="CN78" i="68"/>
  <c r="DA78" i="68" s="1"/>
  <c r="CT45" i="68"/>
  <c r="DG45" i="68" s="1"/>
  <c r="CS65" i="68"/>
  <c r="DF65" i="68" s="1"/>
  <c r="CX45" i="68"/>
  <c r="DK45" i="68" s="1"/>
  <c r="CO65" i="68"/>
  <c r="DB65" i="68" s="1"/>
  <c r="CU45" i="68"/>
  <c r="DH45" i="68" s="1"/>
  <c r="CP45" i="68"/>
  <c r="DC45" i="68" s="1"/>
  <c r="CO45" i="68"/>
  <c r="DB45" i="68" s="1"/>
  <c r="CS171" i="68"/>
  <c r="DF171" i="68" s="1"/>
  <c r="CQ18" i="68"/>
  <c r="DD18" i="68" s="1"/>
  <c r="CV45" i="68"/>
  <c r="DI45" i="68" s="1"/>
  <c r="CX78" i="68"/>
  <c r="DK78" i="68" s="1"/>
  <c r="CU65" i="68"/>
  <c r="DH65" i="68" s="1"/>
  <c r="CQ45" i="68"/>
  <c r="DD45" i="68" s="1"/>
  <c r="CY65" i="68"/>
  <c r="DL65" i="68" s="1"/>
  <c r="CW47" i="68"/>
  <c r="DJ47" i="68" s="1"/>
  <c r="CP47" i="68"/>
  <c r="DC47" i="68" s="1"/>
  <c r="CU78" i="68"/>
  <c r="DH78" i="68" s="1"/>
  <c r="CP78" i="68"/>
  <c r="DC78" i="68" s="1"/>
  <c r="CQ51" i="68"/>
  <c r="DD51" i="68" s="1"/>
  <c r="CQ78" i="68"/>
  <c r="DD78" i="68" s="1"/>
  <c r="CY78" i="68"/>
  <c r="DL78" i="68" s="1"/>
  <c r="CO78" i="68"/>
  <c r="DB78" i="68" s="1"/>
  <c r="CV78" i="68"/>
  <c r="DI78" i="68" s="1"/>
  <c r="CQ65" i="68"/>
  <c r="DD65" i="68" s="1"/>
  <c r="CQ47" i="68"/>
  <c r="DD47" i="68" s="1"/>
  <c r="CX65" i="68"/>
  <c r="DK65" i="68" s="1"/>
  <c r="CV65" i="68"/>
  <c r="DI65" i="68" s="1"/>
  <c r="CY171" i="68"/>
  <c r="DL171" i="68" s="1"/>
  <c r="CU47" i="68"/>
  <c r="DH47" i="68" s="1"/>
  <c r="CX47" i="68"/>
  <c r="DK47" i="68" s="1"/>
  <c r="CS47" i="68"/>
  <c r="DF47" i="68" s="1"/>
  <c r="CN47" i="68"/>
  <c r="DA47" i="68" s="1"/>
  <c r="CT175" i="68"/>
  <c r="DG175" i="68" s="1"/>
  <c r="CQ175" i="68"/>
  <c r="DD175" i="68" s="1"/>
  <c r="CN175" i="68"/>
  <c r="DA175" i="68" s="1"/>
  <c r="CS175" i="68"/>
  <c r="DF175" i="68" s="1"/>
  <c r="CP175" i="68"/>
  <c r="DC175" i="68" s="1"/>
  <c r="CU175" i="68"/>
  <c r="DH175" i="68" s="1"/>
  <c r="CW175" i="68"/>
  <c r="DJ175" i="68" s="1"/>
  <c r="CO175" i="68"/>
  <c r="DB175" i="68" s="1"/>
  <c r="CX175" i="68"/>
  <c r="DK175" i="68" s="1"/>
  <c r="CV175" i="68"/>
  <c r="DI175" i="68" s="1"/>
  <c r="CR175" i="68"/>
  <c r="DE175" i="68" s="1"/>
  <c r="DJ6" i="68"/>
  <c r="DC27" i="68"/>
  <c r="DK27" i="68"/>
  <c r="DJ27" i="68"/>
  <c r="DD27" i="68"/>
  <c r="DA27" i="68"/>
  <c r="DL27" i="68"/>
  <c r="DF27" i="68"/>
  <c r="DG27" i="68"/>
  <c r="DI27" i="68"/>
  <c r="DB27" i="68"/>
  <c r="DH27" i="68"/>
  <c r="DE27" i="68"/>
  <c r="CQ33" i="68"/>
  <c r="DD33" i="68" s="1"/>
  <c r="CU33" i="68"/>
  <c r="DH33" i="68" s="1"/>
  <c r="CV33" i="68"/>
  <c r="DI33" i="68" s="1"/>
  <c r="CN33" i="68"/>
  <c r="DA33" i="68" s="1"/>
  <c r="CS33" i="68"/>
  <c r="DF33" i="68" s="1"/>
  <c r="CP33" i="68"/>
  <c r="DC33" i="68" s="1"/>
  <c r="CY33" i="68"/>
  <c r="DL33" i="68" s="1"/>
  <c r="CT33" i="68"/>
  <c r="DG33" i="68" s="1"/>
  <c r="CX33" i="68"/>
  <c r="DK33" i="68" s="1"/>
  <c r="CZ169" i="68"/>
  <c r="CR64" i="68"/>
  <c r="DE64" i="68" s="1"/>
  <c r="CV171" i="68"/>
  <c r="DI171" i="68" s="1"/>
  <c r="CU171" i="68"/>
  <c r="DH171" i="68" s="1"/>
  <c r="CX171" i="68"/>
  <c r="DK171" i="68" s="1"/>
  <c r="CU41" i="68"/>
  <c r="DH41" i="68" s="1"/>
  <c r="CW41" i="68"/>
  <c r="DJ41" i="68" s="1"/>
  <c r="CN171" i="68"/>
  <c r="DA171" i="68" s="1"/>
  <c r="CY41" i="68"/>
  <c r="DL41" i="68" s="1"/>
  <c r="CQ171" i="68"/>
  <c r="DD171" i="68" s="1"/>
  <c r="CR171" i="68"/>
  <c r="DE171" i="68" s="1"/>
  <c r="CW171" i="68"/>
  <c r="DJ171" i="68" s="1"/>
  <c r="CS64" i="68"/>
  <c r="DF64" i="68" s="1"/>
  <c r="CP171" i="68"/>
  <c r="DC171" i="68" s="1"/>
  <c r="CT171" i="68"/>
  <c r="DG171" i="68" s="1"/>
  <c r="CR41" i="68"/>
  <c r="DE41" i="68" s="1"/>
  <c r="CT41" i="68"/>
  <c r="DG41" i="68" s="1"/>
  <c r="CV41" i="68"/>
  <c r="DI41" i="68" s="1"/>
  <c r="CX41" i="68"/>
  <c r="DK41" i="68" s="1"/>
  <c r="CS41" i="68"/>
  <c r="DF41" i="68" s="1"/>
  <c r="CO41" i="68"/>
  <c r="DB41" i="68" s="1"/>
  <c r="CQ41" i="68"/>
  <c r="DD41" i="68" s="1"/>
  <c r="CP41" i="68"/>
  <c r="DC41" i="68" s="1"/>
  <c r="CO51" i="68"/>
  <c r="DB51" i="68" s="1"/>
  <c r="CT51" i="68"/>
  <c r="DG51" i="68" s="1"/>
  <c r="CZ87" i="68"/>
  <c r="CP64" i="68"/>
  <c r="DC64" i="68" s="1"/>
  <c r="CN64" i="68"/>
  <c r="DA64" i="68" s="1"/>
  <c r="CX64" i="68"/>
  <c r="DK64" i="68" s="1"/>
  <c r="CQ64" i="68"/>
  <c r="DD64" i="68" s="1"/>
  <c r="CY64" i="68"/>
  <c r="DL64" i="68" s="1"/>
  <c r="CT64" i="68"/>
  <c r="DG64" i="68" s="1"/>
  <c r="CU64" i="68"/>
  <c r="DH64" i="68" s="1"/>
  <c r="CO64" i="68"/>
  <c r="DB64" i="68" s="1"/>
  <c r="CV64" i="68"/>
  <c r="DI64" i="68" s="1"/>
  <c r="CS51" i="68"/>
  <c r="DF51" i="68" s="1"/>
  <c r="CX51" i="68"/>
  <c r="DK51" i="68" s="1"/>
  <c r="CN51" i="68"/>
  <c r="DA51" i="68" s="1"/>
  <c r="CZ58" i="68"/>
  <c r="CR123" i="68"/>
  <c r="DE123" i="68" s="1"/>
  <c r="CS84" i="68"/>
  <c r="DF84" i="68" s="1"/>
  <c r="CP123" i="68"/>
  <c r="DC123" i="68" s="1"/>
  <c r="CW51" i="68"/>
  <c r="DJ51" i="68" s="1"/>
  <c r="CN42" i="68"/>
  <c r="DA42" i="68" s="1"/>
  <c r="CY51" i="68"/>
  <c r="DL51" i="68" s="1"/>
  <c r="CR51" i="68"/>
  <c r="DE51" i="68" s="1"/>
  <c r="CQ42" i="68"/>
  <c r="DD42" i="68" s="1"/>
  <c r="CS96" i="68"/>
  <c r="DF96" i="68" s="1"/>
  <c r="CN62" i="68"/>
  <c r="DA62" i="68" s="1"/>
  <c r="CU67" i="68"/>
  <c r="DH67" i="68" s="1"/>
  <c r="CV123" i="68"/>
  <c r="DI123" i="68" s="1"/>
  <c r="CX174" i="68"/>
  <c r="DK174" i="68" s="1"/>
  <c r="CX123" i="68"/>
  <c r="DK123" i="68" s="1"/>
  <c r="CQ123" i="68"/>
  <c r="DD123" i="68" s="1"/>
  <c r="CU123" i="68"/>
  <c r="DH123" i="68" s="1"/>
  <c r="CY123" i="68"/>
  <c r="DL123" i="68" s="1"/>
  <c r="CW90" i="68"/>
  <c r="DJ90" i="68" s="1"/>
  <c r="CS123" i="68"/>
  <c r="DF123" i="68" s="1"/>
  <c r="CR96" i="68"/>
  <c r="DE96" i="68" s="1"/>
  <c r="CO123" i="68"/>
  <c r="DB123" i="68" s="1"/>
  <c r="CV90" i="68"/>
  <c r="DI90" i="68" s="1"/>
  <c r="CU90" i="68"/>
  <c r="DH90" i="68" s="1"/>
  <c r="CX96" i="68"/>
  <c r="DK96" i="68" s="1"/>
  <c r="CY90" i="68"/>
  <c r="DL90" i="68" s="1"/>
  <c r="CN90" i="68"/>
  <c r="DA90" i="68" s="1"/>
  <c r="CT96" i="68"/>
  <c r="DG96" i="68" s="1"/>
  <c r="CS174" i="68"/>
  <c r="DF174" i="68" s="1"/>
  <c r="CT62" i="68"/>
  <c r="DG62" i="68" s="1"/>
  <c r="CN174" i="68"/>
  <c r="DA174" i="68" s="1"/>
  <c r="CU174" i="68"/>
  <c r="DH174" i="68" s="1"/>
  <c r="CP174" i="68"/>
  <c r="DC174" i="68" s="1"/>
  <c r="CR6" i="68"/>
  <c r="CO174" i="68"/>
  <c r="DB174" i="68" s="1"/>
  <c r="CT174" i="68"/>
  <c r="DG174" i="68" s="1"/>
  <c r="CW62" i="68"/>
  <c r="DJ62" i="68" s="1"/>
  <c r="CR174" i="68"/>
  <c r="DE174" i="68" s="1"/>
  <c r="CQ62" i="68"/>
  <c r="DD62" i="68" s="1"/>
  <c r="CT66" i="68"/>
  <c r="DG66" i="68" s="1"/>
  <c r="CX62" i="68"/>
  <c r="DK62" i="68" s="1"/>
  <c r="CQ174" i="68"/>
  <c r="DD174" i="68" s="1"/>
  <c r="CP62" i="68"/>
  <c r="DC62" i="68" s="1"/>
  <c r="CZ31" i="68"/>
  <c r="DA169" i="68"/>
  <c r="CY174" i="68"/>
  <c r="DL174" i="68" s="1"/>
  <c r="CN80" i="68"/>
  <c r="DA80" i="68" s="1"/>
  <c r="CV174" i="68"/>
  <c r="DI174" i="68" s="1"/>
  <c r="CS62" i="68"/>
  <c r="DF62" i="68" s="1"/>
  <c r="CN6" i="68"/>
  <c r="CR62" i="68"/>
  <c r="DE62" i="68" s="1"/>
  <c r="CO96" i="68"/>
  <c r="DB96" i="68" s="1"/>
  <c r="CV96" i="68"/>
  <c r="DI96" i="68" s="1"/>
  <c r="CY96" i="68"/>
  <c r="DL96" i="68" s="1"/>
  <c r="CY42" i="68"/>
  <c r="DL42" i="68" s="1"/>
  <c r="CR80" i="68"/>
  <c r="DE80" i="68" s="1"/>
  <c r="CQ84" i="68"/>
  <c r="DD84" i="68" s="1"/>
  <c r="CU96" i="68"/>
  <c r="DH96" i="68" s="1"/>
  <c r="CO84" i="68"/>
  <c r="DB84" i="68" s="1"/>
  <c r="CN84" i="68"/>
  <c r="DA84" i="68" s="1"/>
  <c r="CV42" i="68"/>
  <c r="DI42" i="68" s="1"/>
  <c r="CS42" i="68"/>
  <c r="DF42" i="68" s="1"/>
  <c r="CT42" i="68"/>
  <c r="DG42" i="68" s="1"/>
  <c r="CV51" i="68"/>
  <c r="DI51" i="68" s="1"/>
  <c r="CW42" i="68"/>
  <c r="DJ42" i="68" s="1"/>
  <c r="CQ96" i="68"/>
  <c r="DD96" i="68" s="1"/>
  <c r="CP96" i="68"/>
  <c r="DC96" i="68" s="1"/>
  <c r="CU51" i="68"/>
  <c r="DH51" i="68" s="1"/>
  <c r="CN96" i="68"/>
  <c r="DA96" i="68" s="1"/>
  <c r="CV84" i="68"/>
  <c r="DI84" i="68" s="1"/>
  <c r="CX42" i="68"/>
  <c r="DK42" i="68" s="1"/>
  <c r="CT90" i="68"/>
  <c r="DG90" i="68" s="1"/>
  <c r="CQ90" i="68"/>
  <c r="DD90" i="68" s="1"/>
  <c r="CO90" i="68"/>
  <c r="DB90" i="68" s="1"/>
  <c r="CX90" i="68"/>
  <c r="DK90" i="68" s="1"/>
  <c r="CP90" i="68"/>
  <c r="DC90" i="68" s="1"/>
  <c r="CR90" i="68"/>
  <c r="DE90" i="68" s="1"/>
  <c r="CP42" i="68"/>
  <c r="DC42" i="68" s="1"/>
  <c r="CZ100" i="68"/>
  <c r="CQ32" i="68"/>
  <c r="DD32" i="68" s="1"/>
  <c r="CT32" i="68"/>
  <c r="DG32" i="68" s="1"/>
  <c r="CN32" i="68"/>
  <c r="CW32" i="68"/>
  <c r="DJ32" i="68" s="1"/>
  <c r="CS32" i="68"/>
  <c r="DF32" i="68" s="1"/>
  <c r="CV32" i="68"/>
  <c r="DI32" i="68" s="1"/>
  <c r="CU32" i="68"/>
  <c r="DH32" i="68" s="1"/>
  <c r="CX32" i="68"/>
  <c r="DK32" i="68" s="1"/>
  <c r="CY32" i="68"/>
  <c r="DL32" i="68" s="1"/>
  <c r="CR32" i="68"/>
  <c r="DE32" i="68" s="1"/>
  <c r="CP32" i="68"/>
  <c r="DC32" i="68" s="1"/>
  <c r="CO32" i="68"/>
  <c r="DB32" i="68" s="1"/>
  <c r="CU6" i="68"/>
  <c r="CP6" i="68"/>
  <c r="CV6" i="68"/>
  <c r="CR16" i="68"/>
  <c r="DE16" i="68" s="1"/>
  <c r="CT24" i="68"/>
  <c r="DG24" i="68" s="1"/>
  <c r="CQ80" i="68"/>
  <c r="DD80" i="68" s="1"/>
  <c r="CQ16" i="68"/>
  <c r="DD16" i="68" s="1"/>
  <c r="CQ67" i="68"/>
  <c r="DD67" i="68" s="1"/>
  <c r="CT6" i="68"/>
  <c r="CQ6" i="68"/>
  <c r="CU24" i="68"/>
  <c r="DH24" i="68" s="1"/>
  <c r="CS80" i="68"/>
  <c r="DF80" i="68" s="1"/>
  <c r="CW16" i="68"/>
  <c r="DJ16" i="68" s="1"/>
  <c r="CO67" i="68"/>
  <c r="DB67" i="68" s="1"/>
  <c r="CW37" i="68"/>
  <c r="DJ37" i="68" s="1"/>
  <c r="CN16" i="68"/>
  <c r="DA16" i="68" s="1"/>
  <c r="CX80" i="68"/>
  <c r="DK80" i="68" s="1"/>
  <c r="CP24" i="68"/>
  <c r="DC24" i="68" s="1"/>
  <c r="CY80" i="68"/>
  <c r="DL80" i="68" s="1"/>
  <c r="CT80" i="68"/>
  <c r="DG80" i="68" s="1"/>
  <c r="CX6" i="68"/>
  <c r="CO6" i="68"/>
  <c r="CX16" i="68"/>
  <c r="DK16" i="68" s="1"/>
  <c r="CN67" i="68"/>
  <c r="DA67" i="68" s="1"/>
  <c r="CV37" i="68"/>
  <c r="DI37" i="68" s="1"/>
  <c r="CU16" i="68"/>
  <c r="DH16" i="68" s="1"/>
  <c r="CS67" i="68"/>
  <c r="DF67" i="68" s="1"/>
  <c r="CU80" i="68"/>
  <c r="DH80" i="68" s="1"/>
  <c r="CP16" i="68"/>
  <c r="DC16" i="68" s="1"/>
  <c r="CW67" i="68"/>
  <c r="DJ67" i="68" s="1"/>
  <c r="CR67" i="68"/>
  <c r="DE67" i="68" s="1"/>
  <c r="CX37" i="68"/>
  <c r="DK37" i="68" s="1"/>
  <c r="CW80" i="68"/>
  <c r="DJ80" i="68" s="1"/>
  <c r="CO16" i="68"/>
  <c r="DB16" i="68" s="1"/>
  <c r="CP67" i="68"/>
  <c r="DC67" i="68" s="1"/>
  <c r="CV67" i="68"/>
  <c r="DI67" i="68" s="1"/>
  <c r="CO80" i="68"/>
  <c r="DB80" i="68" s="1"/>
  <c r="CZ71" i="68"/>
  <c r="CT16" i="68"/>
  <c r="DG16" i="68" s="1"/>
  <c r="CV80" i="68"/>
  <c r="DI80" i="68" s="1"/>
  <c r="CS6" i="68"/>
  <c r="CS16" i="68"/>
  <c r="DF16" i="68" s="1"/>
  <c r="CX67" i="68"/>
  <c r="DK67" i="68" s="1"/>
  <c r="CY6" i="68"/>
  <c r="CV16" i="68"/>
  <c r="DI16" i="68" s="1"/>
  <c r="CY67" i="68"/>
  <c r="DL67" i="68" s="1"/>
  <c r="CO62" i="68"/>
  <c r="DB62" i="68" s="1"/>
  <c r="CV66" i="68"/>
  <c r="DI66" i="68" s="1"/>
  <c r="CZ164" i="68"/>
  <c r="CU66" i="68"/>
  <c r="DH66" i="68" s="1"/>
  <c r="CN66" i="68"/>
  <c r="DA66" i="68" s="1"/>
  <c r="CY66" i="68"/>
  <c r="DL66" i="68" s="1"/>
  <c r="CW24" i="68"/>
  <c r="DJ24" i="68" s="1"/>
  <c r="CP25" i="68"/>
  <c r="DC25" i="68" s="1"/>
  <c r="CZ168" i="68"/>
  <c r="CZ44" i="68"/>
  <c r="CW74" i="68"/>
  <c r="DJ74" i="68" s="1"/>
  <c r="CR66" i="68"/>
  <c r="DE66" i="68" s="1"/>
  <c r="CO37" i="68"/>
  <c r="DB37" i="68" s="1"/>
  <c r="CO74" i="68"/>
  <c r="DB74" i="68" s="1"/>
  <c r="CV74" i="68"/>
  <c r="DI74" i="68" s="1"/>
  <c r="CT37" i="68"/>
  <c r="DG37" i="68" s="1"/>
  <c r="CS74" i="68"/>
  <c r="DF74" i="68" s="1"/>
  <c r="CS66" i="68"/>
  <c r="DF66" i="68" s="1"/>
  <c r="CZ152" i="68"/>
  <c r="CR24" i="68"/>
  <c r="DE24" i="68" s="1"/>
  <c r="CZ52" i="68"/>
  <c r="CZ85" i="68"/>
  <c r="CP66" i="68"/>
  <c r="DC66" i="68" s="1"/>
  <c r="CN37" i="68"/>
  <c r="DA37" i="68" s="1"/>
  <c r="CS24" i="68"/>
  <c r="DF24" i="68" s="1"/>
  <c r="CO66" i="68"/>
  <c r="DB66" i="68" s="1"/>
  <c r="CZ167" i="68"/>
  <c r="CV24" i="68"/>
  <c r="DI24" i="68" s="1"/>
  <c r="CX66" i="68"/>
  <c r="DK66" i="68" s="1"/>
  <c r="CZ136" i="68"/>
  <c r="CO24" i="68"/>
  <c r="DB24" i="68" s="1"/>
  <c r="CY25" i="68"/>
  <c r="DL25" i="68" s="1"/>
  <c r="CQ37" i="68"/>
  <c r="DD37" i="68" s="1"/>
  <c r="CZ73" i="68"/>
  <c r="CQ24" i="68"/>
  <c r="DD24" i="68" s="1"/>
  <c r="CW66" i="68"/>
  <c r="DJ66" i="68" s="1"/>
  <c r="CW123" i="68"/>
  <c r="DJ123" i="68" s="1"/>
  <c r="CN123" i="68"/>
  <c r="DA123" i="68" s="1"/>
  <c r="CT84" i="68"/>
  <c r="DG84" i="68" s="1"/>
  <c r="CP84" i="68"/>
  <c r="DC84" i="68" s="1"/>
  <c r="CX84" i="68"/>
  <c r="DK84" i="68" s="1"/>
  <c r="CU84" i="68"/>
  <c r="DH84" i="68" s="1"/>
  <c r="CR84" i="68"/>
  <c r="DE84" i="68" s="1"/>
  <c r="CY84" i="68"/>
  <c r="DL84" i="68" s="1"/>
  <c r="CO42" i="68"/>
  <c r="CR42" i="68"/>
  <c r="DE42" i="68" s="1"/>
  <c r="CU37" i="68"/>
  <c r="DH37" i="68" s="1"/>
  <c r="CP37" i="68"/>
  <c r="DC37" i="68" s="1"/>
  <c r="CR37" i="68"/>
  <c r="DE37" i="68" s="1"/>
  <c r="CY62" i="68"/>
  <c r="DL62" i="68" s="1"/>
  <c r="CS37" i="68"/>
  <c r="DF37" i="68" s="1"/>
  <c r="CV62" i="68"/>
  <c r="DI62" i="68" s="1"/>
  <c r="CZ170" i="68"/>
  <c r="CN24" i="68"/>
  <c r="DA24" i="68" s="1"/>
  <c r="CZ54" i="68"/>
  <c r="CZ27" i="68"/>
  <c r="CZ59" i="68"/>
  <c r="CZ70" i="68"/>
  <c r="CX24" i="68"/>
  <c r="DK24" i="68" s="1"/>
  <c r="CZ149" i="68"/>
  <c r="CZ53" i="68"/>
  <c r="CZ17" i="68"/>
  <c r="CZ153" i="68"/>
  <c r="CZ14" i="68"/>
  <c r="CZ12" i="68"/>
  <c r="CZ21" i="68"/>
  <c r="CZ22" i="68"/>
  <c r="CZ11" i="68"/>
  <c r="CZ151" i="68"/>
  <c r="CZ72" i="68"/>
  <c r="CZ35" i="68"/>
  <c r="CZ142" i="68"/>
  <c r="CZ140" i="68"/>
  <c r="CZ91" i="68"/>
  <c r="CN23" i="68"/>
  <c r="DA23" i="68" s="1"/>
  <c r="CW61" i="68"/>
  <c r="DJ61" i="68" s="1"/>
  <c r="CP36" i="68"/>
  <c r="DC36" i="68" s="1"/>
  <c r="CQ74" i="68"/>
  <c r="DD74" i="68" s="1"/>
  <c r="CY36" i="68"/>
  <c r="DL36" i="68" s="1"/>
  <c r="CR74" i="68"/>
  <c r="DE74" i="68" s="1"/>
  <c r="CQ36" i="68"/>
  <c r="DD36" i="68" s="1"/>
  <c r="CV36" i="68"/>
  <c r="DI36" i="68" s="1"/>
  <c r="CN36" i="68"/>
  <c r="DA36" i="68" s="1"/>
  <c r="CT111" i="68"/>
  <c r="DG111" i="68" s="1"/>
  <c r="CS61" i="68"/>
  <c r="DF61" i="68" s="1"/>
  <c r="CX61" i="68"/>
  <c r="DK61" i="68" s="1"/>
  <c r="CR61" i="68"/>
  <c r="DE61" i="68" s="1"/>
  <c r="CU61" i="68"/>
  <c r="DH61" i="68" s="1"/>
  <c r="CT61" i="68"/>
  <c r="DG61" i="68" s="1"/>
  <c r="CN61" i="68"/>
  <c r="DA61" i="68" s="1"/>
  <c r="CT74" i="68"/>
  <c r="DG74" i="68" s="1"/>
  <c r="CQ61" i="68"/>
  <c r="DD61" i="68" s="1"/>
  <c r="CP61" i="68"/>
  <c r="DC61" i="68" s="1"/>
  <c r="CO61" i="68"/>
  <c r="DB61" i="68" s="1"/>
  <c r="CY74" i="68"/>
  <c r="DL74" i="68" s="1"/>
  <c r="CY61" i="68"/>
  <c r="DL61" i="68" s="1"/>
  <c r="CX74" i="68"/>
  <c r="DK74" i="68" s="1"/>
  <c r="CN74" i="68"/>
  <c r="DA74" i="68" s="1"/>
  <c r="CQ111" i="68"/>
  <c r="DD111" i="68" s="1"/>
  <c r="CP89" i="68"/>
  <c r="DC89" i="68" s="1"/>
  <c r="CW23" i="68"/>
  <c r="DJ23" i="68" s="1"/>
  <c r="CU111" i="68"/>
  <c r="DH111" i="68" s="1"/>
  <c r="CS89" i="68"/>
  <c r="DF89" i="68" s="1"/>
  <c r="CY23" i="68"/>
  <c r="DL23" i="68" s="1"/>
  <c r="CY111" i="68"/>
  <c r="DL111" i="68" s="1"/>
  <c r="CT23" i="68"/>
  <c r="DG23" i="68" s="1"/>
  <c r="CW111" i="68"/>
  <c r="DJ111" i="68" s="1"/>
  <c r="CX23" i="68"/>
  <c r="DK23" i="68" s="1"/>
  <c r="CX111" i="68"/>
  <c r="DK111" i="68" s="1"/>
  <c r="CP23" i="68"/>
  <c r="DC23" i="68" s="1"/>
  <c r="CX36" i="68"/>
  <c r="DK36" i="68" s="1"/>
  <c r="CR111" i="68"/>
  <c r="DE111" i="68" s="1"/>
  <c r="CR23" i="68"/>
  <c r="DE23" i="68" s="1"/>
  <c r="CW36" i="68"/>
  <c r="DJ36" i="68" s="1"/>
  <c r="CU89" i="68"/>
  <c r="DH89" i="68" s="1"/>
  <c r="CQ89" i="68"/>
  <c r="DD89" i="68" s="1"/>
  <c r="CU36" i="68"/>
  <c r="DH36" i="68" s="1"/>
  <c r="CV89" i="68"/>
  <c r="DI89" i="68" s="1"/>
  <c r="CS36" i="68"/>
  <c r="DF36" i="68" s="1"/>
  <c r="CO111" i="68"/>
  <c r="DB111" i="68" s="1"/>
  <c r="CY89" i="68"/>
  <c r="DL89" i="68" s="1"/>
  <c r="CQ23" i="68"/>
  <c r="DD23" i="68" s="1"/>
  <c r="CS111" i="68"/>
  <c r="DF111" i="68" s="1"/>
  <c r="CT89" i="68"/>
  <c r="DG89" i="68" s="1"/>
  <c r="CU23" i="68"/>
  <c r="DH23" i="68" s="1"/>
  <c r="CT36" i="68"/>
  <c r="DG36" i="68" s="1"/>
  <c r="CP111" i="68"/>
  <c r="DC111" i="68" s="1"/>
  <c r="CR89" i="68"/>
  <c r="DE89" i="68" s="1"/>
  <c r="CO23" i="68"/>
  <c r="DB23" i="68" s="1"/>
  <c r="CN89" i="68"/>
  <c r="DA89" i="68" s="1"/>
  <c r="CV111" i="68"/>
  <c r="DI111" i="68" s="1"/>
  <c r="CX89" i="68"/>
  <c r="DK89" i="68" s="1"/>
  <c r="CS23" i="68"/>
  <c r="DF23" i="68" s="1"/>
  <c r="CW89" i="68"/>
  <c r="DJ89" i="68" s="1"/>
  <c r="CR36" i="68"/>
  <c r="DE36" i="68" s="1"/>
  <c r="CP74" i="68"/>
  <c r="DC74" i="68" s="1"/>
  <c r="CO25" i="68"/>
  <c r="DB25" i="68" s="1"/>
  <c r="CR25" i="68"/>
  <c r="DE25" i="68" s="1"/>
  <c r="CS25" i="68"/>
  <c r="DF25" i="68" s="1"/>
  <c r="CT25" i="68"/>
  <c r="DG25" i="68" s="1"/>
  <c r="CN25" i="68"/>
  <c r="DA25" i="68" s="1"/>
  <c r="CQ25" i="68"/>
  <c r="DD25" i="68" s="1"/>
  <c r="CU25" i="68"/>
  <c r="DH25" i="68" s="1"/>
  <c r="CV25" i="68"/>
  <c r="DI25" i="68" s="1"/>
  <c r="CW25" i="68"/>
  <c r="DJ25" i="68" s="1"/>
  <c r="CY75" i="68"/>
  <c r="DL75" i="68" s="1"/>
  <c r="DM136" i="68"/>
  <c r="DM52" i="68"/>
  <c r="DM59" i="68"/>
  <c r="DM17" i="68"/>
  <c r="DM153" i="68"/>
  <c r="DM44" i="68"/>
  <c r="DM167" i="68"/>
  <c r="DM142" i="68"/>
  <c r="DM164" i="68"/>
  <c r="DM100" i="68"/>
  <c r="DM85" i="68"/>
  <c r="DM31" i="68"/>
  <c r="DM22" i="68"/>
  <c r="DM54" i="68"/>
  <c r="DM73" i="68"/>
  <c r="DM91" i="68"/>
  <c r="DM11" i="68"/>
  <c r="DM70" i="68"/>
  <c r="DM151" i="68"/>
  <c r="DM87" i="68"/>
  <c r="DM35" i="68"/>
  <c r="DM152" i="68"/>
  <c r="DM53" i="68"/>
  <c r="DM14" i="68"/>
  <c r="DM71" i="68"/>
  <c r="DM140" i="68"/>
  <c r="DM149" i="68"/>
  <c r="DM170" i="68"/>
  <c r="DM72" i="68"/>
  <c r="DM12" i="68"/>
  <c r="DM168" i="68"/>
  <c r="DM21" i="68"/>
  <c r="DM58" i="68"/>
  <c r="CQ75" i="68"/>
  <c r="DD75" i="68" s="1"/>
  <c r="CT75" i="68"/>
  <c r="DG75" i="68" s="1"/>
  <c r="CN75" i="68"/>
  <c r="DA75" i="68" s="1"/>
  <c r="CO75" i="68"/>
  <c r="DB75" i="68" s="1"/>
  <c r="CX75" i="68"/>
  <c r="DK75" i="68" s="1"/>
  <c r="CU75" i="68"/>
  <c r="DH75" i="68" s="1"/>
  <c r="CP75" i="68"/>
  <c r="DC75" i="68" s="1"/>
  <c r="CS75" i="68"/>
  <c r="DF75" i="68" s="1"/>
  <c r="CR75" i="68"/>
  <c r="DE75" i="68" s="1"/>
  <c r="CV75" i="68"/>
  <c r="DI75" i="68" s="1"/>
  <c r="CZ138" i="68"/>
  <c r="DA138" i="68"/>
  <c r="DA108" i="68"/>
  <c r="CZ108" i="68"/>
  <c r="CZ10" i="68"/>
  <c r="DA10" i="68"/>
  <c r="CZ134" i="68"/>
  <c r="DA134" i="68"/>
  <c r="CZ68" i="68"/>
  <c r="DA68" i="68"/>
  <c r="DA126" i="68"/>
  <c r="CZ126" i="68"/>
  <c r="DA111" i="68"/>
  <c r="DA107" i="68"/>
  <c r="CZ107" i="68"/>
  <c r="CZ130" i="68"/>
  <c r="DA130" i="68"/>
  <c r="DA94" i="68"/>
  <c r="CZ94" i="68"/>
  <c r="DA160" i="68"/>
  <c r="CZ160" i="68"/>
  <c r="DA129" i="68"/>
  <c r="CZ129" i="68"/>
  <c r="CZ146" i="68"/>
  <c r="DA146" i="68"/>
  <c r="DA112" i="68"/>
  <c r="CZ112" i="68"/>
  <c r="CZ127" i="68"/>
  <c r="DA127" i="68"/>
  <c r="DA83" i="68"/>
  <c r="CZ83" i="68"/>
  <c r="DA166" i="68"/>
  <c r="CZ166" i="68"/>
  <c r="CZ102" i="68"/>
  <c r="DA145" i="68"/>
  <c r="CZ145" i="68"/>
  <c r="DA95" i="68"/>
  <c r="CZ95" i="68"/>
  <c r="CZ155" i="68"/>
  <c r="DA155" i="68"/>
  <c r="DM102" i="68"/>
  <c r="CZ148" i="68"/>
  <c r="DA148" i="68"/>
  <c r="DA147" i="68"/>
  <c r="CZ147" i="68"/>
  <c r="CV48" i="68"/>
  <c r="DI48" i="68" s="1"/>
  <c r="CU48" i="68"/>
  <c r="DH48" i="68" s="1"/>
  <c r="CX48" i="68"/>
  <c r="DK48" i="68" s="1"/>
  <c r="CT48" i="68"/>
  <c r="DG48" i="68" s="1"/>
  <c r="CS48" i="68"/>
  <c r="DF48" i="68" s="1"/>
  <c r="CR48" i="68"/>
  <c r="DE48" i="68" s="1"/>
  <c r="CQ48" i="68"/>
  <c r="DD48" i="68" s="1"/>
  <c r="CP48" i="68"/>
  <c r="DC48" i="68" s="1"/>
  <c r="CN48" i="68"/>
  <c r="CW48" i="68"/>
  <c r="DJ48" i="68" s="1"/>
  <c r="CO48" i="68"/>
  <c r="DB48" i="68" s="1"/>
  <c r="CY48" i="68"/>
  <c r="DL48" i="68" s="1"/>
  <c r="CZ128" i="68"/>
  <c r="DA128" i="68"/>
  <c r="CZ156" i="68"/>
  <c r="DA156" i="68"/>
  <c r="DA97" i="68"/>
  <c r="CZ97" i="68"/>
  <c r="DA119" i="68"/>
  <c r="CZ119" i="68"/>
  <c r="CZ93" i="68"/>
  <c r="DA93" i="68"/>
  <c r="DA157" i="68"/>
  <c r="CZ157" i="68"/>
  <c r="CZ60" i="68"/>
  <c r="DA60" i="68"/>
  <c r="CZ99" i="68"/>
  <c r="DA99" i="68"/>
  <c r="CZ143" i="68"/>
  <c r="DA143" i="68"/>
  <c r="CZ144" i="68"/>
  <c r="DA144" i="68"/>
  <c r="DA115" i="68"/>
  <c r="CZ115" i="68"/>
  <c r="CY77" i="68"/>
  <c r="DL77" i="68" s="1"/>
  <c r="CS77" i="68"/>
  <c r="DF77" i="68" s="1"/>
  <c r="CR77" i="68"/>
  <c r="DE77" i="68" s="1"/>
  <c r="CP77" i="68"/>
  <c r="DC77" i="68" s="1"/>
  <c r="CO77" i="68"/>
  <c r="DB77" i="68" s="1"/>
  <c r="CW77" i="68"/>
  <c r="DJ77" i="68" s="1"/>
  <c r="CX77" i="68"/>
  <c r="DK77" i="68" s="1"/>
  <c r="CQ77" i="68"/>
  <c r="DD77" i="68" s="1"/>
  <c r="CU77" i="68"/>
  <c r="DH77" i="68" s="1"/>
  <c r="CT77" i="68"/>
  <c r="DG77" i="68" s="1"/>
  <c r="CV77" i="68"/>
  <c r="DI77" i="68" s="1"/>
  <c r="CN77" i="68"/>
  <c r="CZ15" i="68"/>
  <c r="DA15" i="68"/>
  <c r="CZ150" i="68"/>
  <c r="DA150" i="68"/>
  <c r="CZ105" i="68"/>
  <c r="DA105" i="68"/>
  <c r="CZ106" i="68"/>
  <c r="DA106" i="68"/>
  <c r="DA81" i="68"/>
  <c r="CZ81" i="68"/>
  <c r="CZ132" i="68"/>
  <c r="DA132" i="68"/>
  <c r="CZ30" i="68"/>
  <c r="DA30" i="68"/>
  <c r="CZ135" i="68"/>
  <c r="DA135" i="68"/>
  <c r="DA117" i="68"/>
  <c r="CZ117" i="68"/>
  <c r="CZ101" i="68"/>
  <c r="DA101" i="68"/>
  <c r="DA161" i="68"/>
  <c r="CZ161" i="68"/>
  <c r="CV172" i="68"/>
  <c r="DI172" i="68" s="1"/>
  <c r="CO172" i="68"/>
  <c r="DB172" i="68" s="1"/>
  <c r="CS172" i="68"/>
  <c r="DF172" i="68" s="1"/>
  <c r="CU172" i="68"/>
  <c r="DH172" i="68" s="1"/>
  <c r="CY172" i="68"/>
  <c r="DL172" i="68" s="1"/>
  <c r="CR172" i="68"/>
  <c r="DE172" i="68" s="1"/>
  <c r="CP172" i="68"/>
  <c r="DC172" i="68" s="1"/>
  <c r="CN172" i="68"/>
  <c r="CT172" i="68"/>
  <c r="DG172" i="68" s="1"/>
  <c r="CQ172" i="68"/>
  <c r="DD172" i="68" s="1"/>
  <c r="CX172" i="68"/>
  <c r="DK172" i="68" s="1"/>
  <c r="CW172" i="68"/>
  <c r="DJ172" i="68" s="1"/>
  <c r="CV39" i="68"/>
  <c r="DI39" i="68" s="1"/>
  <c r="CU39" i="68"/>
  <c r="DH39" i="68" s="1"/>
  <c r="CS39" i="68"/>
  <c r="DF39" i="68" s="1"/>
  <c r="CR39" i="68"/>
  <c r="DE39" i="68" s="1"/>
  <c r="CY39" i="68"/>
  <c r="DL39" i="68" s="1"/>
  <c r="CP39" i="68"/>
  <c r="DC39" i="68" s="1"/>
  <c r="CT39" i="68"/>
  <c r="DG39" i="68" s="1"/>
  <c r="CQ39" i="68"/>
  <c r="DD39" i="68" s="1"/>
  <c r="CW39" i="68"/>
  <c r="DJ39" i="68" s="1"/>
  <c r="CN39" i="68"/>
  <c r="CO39" i="68"/>
  <c r="DB39" i="68" s="1"/>
  <c r="CX39" i="68"/>
  <c r="DK39" i="68" s="1"/>
  <c r="CZ28" i="68"/>
  <c r="DA28" i="68"/>
  <c r="CT173" i="68"/>
  <c r="DG173" i="68" s="1"/>
  <c r="CQ173" i="68"/>
  <c r="DD173" i="68" s="1"/>
  <c r="CP173" i="68"/>
  <c r="DC173" i="68" s="1"/>
  <c r="CO173" i="68"/>
  <c r="DB173" i="68" s="1"/>
  <c r="CN173" i="68"/>
  <c r="CX173" i="68"/>
  <c r="DK173" i="68" s="1"/>
  <c r="CW173" i="68"/>
  <c r="DJ173" i="68" s="1"/>
  <c r="CR173" i="68"/>
  <c r="DE173" i="68" s="1"/>
  <c r="CY173" i="68"/>
  <c r="DL173" i="68" s="1"/>
  <c r="CU173" i="68"/>
  <c r="DH173" i="68" s="1"/>
  <c r="CV173" i="68"/>
  <c r="DI173" i="68" s="1"/>
  <c r="CS173" i="68"/>
  <c r="DF173" i="68" s="1"/>
  <c r="CZ82" i="68"/>
  <c r="DA82" i="68"/>
  <c r="CZ131" i="68"/>
  <c r="DA131" i="68"/>
  <c r="CZ159" i="68"/>
  <c r="DA159" i="68"/>
  <c r="CQ40" i="68"/>
  <c r="DD40" i="68" s="1"/>
  <c r="CT40" i="68"/>
  <c r="DG40" i="68" s="1"/>
  <c r="CS40" i="68"/>
  <c r="DF40" i="68" s="1"/>
  <c r="CU40" i="68"/>
  <c r="DH40" i="68" s="1"/>
  <c r="CP40" i="68"/>
  <c r="DC40" i="68" s="1"/>
  <c r="CN40" i="68"/>
  <c r="CO40" i="68"/>
  <c r="DB40" i="68" s="1"/>
  <c r="CV40" i="68"/>
  <c r="DI40" i="68" s="1"/>
  <c r="CX40" i="68"/>
  <c r="DK40" i="68" s="1"/>
  <c r="CY40" i="68"/>
  <c r="DL40" i="68" s="1"/>
  <c r="CW40" i="68"/>
  <c r="DJ40" i="68" s="1"/>
  <c r="CR40" i="68"/>
  <c r="DE40" i="68" s="1"/>
  <c r="DA41" i="68"/>
  <c r="DA137" i="68"/>
  <c r="CZ137" i="68"/>
  <c r="CZ158" i="68"/>
  <c r="DA158" i="68"/>
  <c r="CZ141" i="68"/>
  <c r="DA141" i="68"/>
  <c r="CW49" i="68"/>
  <c r="DJ49" i="68" s="1"/>
  <c r="CQ49" i="68"/>
  <c r="DD49" i="68" s="1"/>
  <c r="CU49" i="68"/>
  <c r="DH49" i="68" s="1"/>
  <c r="CP49" i="68"/>
  <c r="DC49" i="68" s="1"/>
  <c r="CO49" i="68"/>
  <c r="DB49" i="68" s="1"/>
  <c r="CN49" i="68"/>
  <c r="CX49" i="68"/>
  <c r="DK49" i="68" s="1"/>
  <c r="CS49" i="68"/>
  <c r="DF49" i="68" s="1"/>
  <c r="CY49" i="68"/>
  <c r="DL49" i="68" s="1"/>
  <c r="CT49" i="68"/>
  <c r="DG49" i="68" s="1"/>
  <c r="CR49" i="68"/>
  <c r="DE49" i="68" s="1"/>
  <c r="CV49" i="68"/>
  <c r="DI49" i="68" s="1"/>
  <c r="CZ113" i="68"/>
  <c r="DA113" i="68"/>
  <c r="DA109" i="68"/>
  <c r="CZ109" i="68"/>
  <c r="DA121" i="68"/>
  <c r="CZ121" i="68"/>
  <c r="DA114" i="68"/>
  <c r="CZ114" i="68"/>
  <c r="CV9" i="68"/>
  <c r="DI9" i="68" s="1"/>
  <c r="CT9" i="68"/>
  <c r="DG9" i="68" s="1"/>
  <c r="CX9" i="68"/>
  <c r="DK9" i="68" s="1"/>
  <c r="CS9" i="68"/>
  <c r="DF9" i="68" s="1"/>
  <c r="CQ9" i="68"/>
  <c r="DD9" i="68" s="1"/>
  <c r="CR9" i="68"/>
  <c r="DE9" i="68" s="1"/>
  <c r="CP9" i="68"/>
  <c r="DC9" i="68" s="1"/>
  <c r="CO9" i="68"/>
  <c r="DB9" i="68" s="1"/>
  <c r="CN9" i="68"/>
  <c r="CY9" i="68"/>
  <c r="DL9" i="68" s="1"/>
  <c r="CU9" i="68"/>
  <c r="DH9" i="68" s="1"/>
  <c r="CW9" i="68"/>
  <c r="DJ9" i="68" s="1"/>
  <c r="CZ165" i="68"/>
  <c r="DA165" i="68"/>
  <c r="CZ98" i="68"/>
  <c r="DA98" i="68"/>
  <c r="DA162" i="68"/>
  <c r="CZ162" i="68"/>
  <c r="CZ103" i="68"/>
  <c r="DA103" i="68"/>
  <c r="CZ116" i="68"/>
  <c r="DA116" i="68"/>
  <c r="CP38" i="68"/>
  <c r="DC38" i="68" s="1"/>
  <c r="CQ38" i="68"/>
  <c r="DD38" i="68" s="1"/>
  <c r="CR38" i="68"/>
  <c r="DE38" i="68" s="1"/>
  <c r="CS38" i="68"/>
  <c r="DF38" i="68" s="1"/>
  <c r="CY38" i="68"/>
  <c r="DL38" i="68" s="1"/>
  <c r="CO38" i="68"/>
  <c r="DB38" i="68" s="1"/>
  <c r="CW38" i="68"/>
  <c r="DJ38" i="68" s="1"/>
  <c r="CN38" i="68"/>
  <c r="CX38" i="68"/>
  <c r="DK38" i="68" s="1"/>
  <c r="CV38" i="68"/>
  <c r="DI38" i="68" s="1"/>
  <c r="CU38" i="68"/>
  <c r="DH38" i="68" s="1"/>
  <c r="CT38" i="68"/>
  <c r="DG38" i="68" s="1"/>
  <c r="DA122" i="68"/>
  <c r="CZ122" i="68"/>
  <c r="DA29" i="68"/>
  <c r="CZ29" i="68"/>
  <c r="DA154" i="68"/>
  <c r="CZ154" i="68"/>
  <c r="CS50" i="68"/>
  <c r="DF50" i="68" s="1"/>
  <c r="CN50" i="68"/>
  <c r="CP50" i="68"/>
  <c r="DC50" i="68" s="1"/>
  <c r="CX50" i="68"/>
  <c r="DK50" i="68" s="1"/>
  <c r="CY50" i="68"/>
  <c r="DL50" i="68" s="1"/>
  <c r="CW50" i="68"/>
  <c r="DJ50" i="68" s="1"/>
  <c r="CV50" i="68"/>
  <c r="DI50" i="68" s="1"/>
  <c r="CR50" i="68"/>
  <c r="DE50" i="68" s="1"/>
  <c r="CO50" i="68"/>
  <c r="DB50" i="68" s="1"/>
  <c r="CU50" i="68"/>
  <c r="DH50" i="68" s="1"/>
  <c r="CT50" i="68"/>
  <c r="DG50" i="68" s="1"/>
  <c r="CQ50" i="68"/>
  <c r="DD50" i="68" s="1"/>
  <c r="CU110" i="68"/>
  <c r="DH110" i="68" s="1"/>
  <c r="CS110" i="68"/>
  <c r="DF110" i="68" s="1"/>
  <c r="CY110" i="68"/>
  <c r="DL110" i="68" s="1"/>
  <c r="CR110" i="68"/>
  <c r="DE110" i="68" s="1"/>
  <c r="CQ110" i="68"/>
  <c r="DD110" i="68" s="1"/>
  <c r="CN110" i="68"/>
  <c r="CP110" i="68"/>
  <c r="DC110" i="68" s="1"/>
  <c r="CV110" i="68"/>
  <c r="DI110" i="68" s="1"/>
  <c r="CX110" i="68"/>
  <c r="DK110" i="68" s="1"/>
  <c r="CW110" i="68"/>
  <c r="DJ110" i="68" s="1"/>
  <c r="CO110" i="68"/>
  <c r="DB110" i="68" s="1"/>
  <c r="CT110" i="68"/>
  <c r="DG110" i="68" s="1"/>
  <c r="DA120" i="68"/>
  <c r="CZ120" i="68"/>
  <c r="CS76" i="68"/>
  <c r="DF76" i="68" s="1"/>
  <c r="CQ76" i="68"/>
  <c r="DD76" i="68" s="1"/>
  <c r="CY76" i="68"/>
  <c r="DL76" i="68" s="1"/>
  <c r="CX76" i="68"/>
  <c r="DK76" i="68" s="1"/>
  <c r="CV76" i="68"/>
  <c r="DI76" i="68" s="1"/>
  <c r="CR76" i="68"/>
  <c r="DE76" i="68" s="1"/>
  <c r="CU76" i="68"/>
  <c r="DH76" i="68" s="1"/>
  <c r="CO76" i="68"/>
  <c r="DB76" i="68" s="1"/>
  <c r="CN76" i="68"/>
  <c r="CW76" i="68"/>
  <c r="DJ76" i="68" s="1"/>
  <c r="CT76" i="68"/>
  <c r="DG76" i="68" s="1"/>
  <c r="CP76" i="68"/>
  <c r="DC76" i="68" s="1"/>
  <c r="CX8" i="68"/>
  <c r="CR8" i="68"/>
  <c r="CY8" i="68"/>
  <c r="CU8" i="68"/>
  <c r="CS8" i="68"/>
  <c r="CQ8" i="68"/>
  <c r="CT8" i="68"/>
  <c r="CV8" i="68"/>
  <c r="CP8" i="68"/>
  <c r="CO8" i="68"/>
  <c r="CN8" i="68"/>
  <c r="CW8" i="68"/>
  <c r="CW92" i="68"/>
  <c r="DJ92" i="68" s="1"/>
  <c r="CV92" i="68"/>
  <c r="DI92" i="68" s="1"/>
  <c r="CU92" i="68"/>
  <c r="DH92" i="68" s="1"/>
  <c r="CN92" i="68"/>
  <c r="CS92" i="68"/>
  <c r="DF92" i="68" s="1"/>
  <c r="CO92" i="68"/>
  <c r="DB92" i="68" s="1"/>
  <c r="CT92" i="68"/>
  <c r="DG92" i="68" s="1"/>
  <c r="CY92" i="68"/>
  <c r="DL92" i="68" s="1"/>
  <c r="CQ92" i="68"/>
  <c r="DD92" i="68" s="1"/>
  <c r="CX92" i="68"/>
  <c r="DK92" i="68" s="1"/>
  <c r="CP92" i="68"/>
  <c r="DC92" i="68" s="1"/>
  <c r="CR92" i="68"/>
  <c r="DE92" i="68" s="1"/>
  <c r="CZ163" i="68"/>
  <c r="DA163" i="68"/>
  <c r="DA104" i="68"/>
  <c r="CZ104" i="68"/>
  <c r="DA133" i="68"/>
  <c r="CZ133" i="68"/>
  <c r="DA125" i="68"/>
  <c r="CZ125" i="68"/>
  <c r="DM88" i="68" l="1"/>
  <c r="CZ88" i="68"/>
  <c r="CZ79" i="68"/>
  <c r="DA79" i="68"/>
  <c r="DM79" i="68" s="1"/>
  <c r="CZ43" i="68"/>
  <c r="CZ63" i="68"/>
  <c r="DM19" i="68"/>
  <c r="CZ19" i="68"/>
  <c r="DM20" i="68"/>
  <c r="CZ20" i="68"/>
  <c r="DM45" i="68"/>
  <c r="CZ18" i="68"/>
  <c r="DM65" i="68"/>
  <c r="CZ45" i="68"/>
  <c r="DM78" i="68"/>
  <c r="CZ65" i="68"/>
  <c r="CZ78" i="68"/>
  <c r="DM47" i="68"/>
  <c r="CZ47" i="68"/>
  <c r="CZ175" i="68"/>
  <c r="CZ33" i="68"/>
  <c r="DM27" i="68"/>
  <c r="DF6" i="68"/>
  <c r="DD6" i="68"/>
  <c r="DG6" i="68"/>
  <c r="DB6" i="68"/>
  <c r="DK6" i="68"/>
  <c r="DI6" i="68"/>
  <c r="DA6" i="68"/>
  <c r="DC6" i="68"/>
  <c r="DE6" i="68"/>
  <c r="DH6" i="68"/>
  <c r="DL6" i="68"/>
  <c r="CZ171" i="68"/>
  <c r="DM171" i="68"/>
  <c r="DM64" i="68"/>
  <c r="CZ41" i="68"/>
  <c r="CZ64" i="68"/>
  <c r="DM169" i="68"/>
  <c r="CZ51" i="68"/>
  <c r="DM51" i="68"/>
  <c r="DM174" i="68"/>
  <c r="DM96" i="68"/>
  <c r="CZ174" i="68"/>
  <c r="CZ96" i="68"/>
  <c r="CZ90" i="68"/>
  <c r="CZ32" i="68"/>
  <c r="DA32" i="68"/>
  <c r="CZ6" i="68"/>
  <c r="CZ80" i="68"/>
  <c r="DM62" i="68"/>
  <c r="CZ67" i="68"/>
  <c r="CZ16" i="68"/>
  <c r="DM67" i="68"/>
  <c r="DM37" i="68"/>
  <c r="DM16" i="68"/>
  <c r="DM66" i="68"/>
  <c r="DM84" i="68"/>
  <c r="CZ66" i="68"/>
  <c r="DM33" i="68"/>
  <c r="CZ123" i="68"/>
  <c r="DM24" i="68"/>
  <c r="CZ24" i="68"/>
  <c r="DM123" i="68"/>
  <c r="CZ84" i="68"/>
  <c r="CZ37" i="68"/>
  <c r="DB42" i="68"/>
  <c r="CZ42" i="68"/>
  <c r="CZ62" i="68"/>
  <c r="CZ61" i="68"/>
  <c r="CZ74" i="68"/>
  <c r="CZ25" i="68"/>
  <c r="CZ36" i="68"/>
  <c r="DM23" i="68"/>
  <c r="CZ23" i="68"/>
  <c r="CZ89" i="68"/>
  <c r="CZ111" i="68"/>
  <c r="DM25" i="68"/>
  <c r="DM83" i="68"/>
  <c r="DM98" i="68"/>
  <c r="DM104" i="68"/>
  <c r="DM144" i="68"/>
  <c r="DM148" i="68"/>
  <c r="DM94" i="68"/>
  <c r="DM10" i="68"/>
  <c r="DM165" i="68"/>
  <c r="DM163" i="68"/>
  <c r="DM121" i="68"/>
  <c r="DM82" i="68"/>
  <c r="DM30" i="68"/>
  <c r="DM43" i="68"/>
  <c r="DM61" i="68"/>
  <c r="DM63" i="68"/>
  <c r="DM130" i="68"/>
  <c r="DM80" i="68"/>
  <c r="DM143" i="68"/>
  <c r="DM127" i="68"/>
  <c r="DM132" i="68"/>
  <c r="DM108" i="68"/>
  <c r="DM119" i="68"/>
  <c r="DM155" i="68"/>
  <c r="DM107" i="68"/>
  <c r="DM138" i="68"/>
  <c r="DM154" i="68"/>
  <c r="DM109" i="68"/>
  <c r="DM99" i="68"/>
  <c r="DM112" i="68"/>
  <c r="DM146" i="68"/>
  <c r="DM111" i="68"/>
  <c r="DM141" i="68"/>
  <c r="DM29" i="68"/>
  <c r="DM116" i="68"/>
  <c r="DM90" i="68"/>
  <c r="DM81" i="68"/>
  <c r="DM60" i="68"/>
  <c r="DM95" i="68"/>
  <c r="DM113" i="68"/>
  <c r="DM106" i="68"/>
  <c r="DM97" i="68"/>
  <c r="DM120" i="68"/>
  <c r="DM122" i="68"/>
  <c r="DM103" i="68"/>
  <c r="DM158" i="68"/>
  <c r="DM36" i="68"/>
  <c r="DM145" i="68"/>
  <c r="DM18" i="68"/>
  <c r="DM175" i="68"/>
  <c r="DM161" i="68"/>
  <c r="DM105" i="68"/>
  <c r="DM157" i="68"/>
  <c r="DM159" i="68"/>
  <c r="DM101" i="68"/>
  <c r="DM126" i="68"/>
  <c r="DM150" i="68"/>
  <c r="DM156" i="68"/>
  <c r="DM137" i="68"/>
  <c r="DM129" i="68"/>
  <c r="DM68" i="68"/>
  <c r="DM162" i="68"/>
  <c r="DM115" i="68"/>
  <c r="DM93" i="68"/>
  <c r="DM166" i="68"/>
  <c r="DM133" i="68"/>
  <c r="DM125" i="68"/>
  <c r="DM74" i="68"/>
  <c r="DM41" i="68"/>
  <c r="DM117" i="68"/>
  <c r="DM15" i="68"/>
  <c r="DM89" i="68"/>
  <c r="DM128" i="68"/>
  <c r="DM160" i="68"/>
  <c r="DM134" i="68"/>
  <c r="DM114" i="68"/>
  <c r="DM131" i="68"/>
  <c r="DM28" i="68"/>
  <c r="DM135" i="68"/>
  <c r="DM147" i="68"/>
  <c r="CZ75" i="68"/>
  <c r="DM75" i="68"/>
  <c r="DH8" i="68"/>
  <c r="CU2" i="68"/>
  <c r="DL8" i="68"/>
  <c r="CY2" i="68"/>
  <c r="DE8" i="68"/>
  <c r="CR2" i="68"/>
  <c r="CZ173" i="68"/>
  <c r="DA173" i="68"/>
  <c r="DA92" i="68"/>
  <c r="CZ92" i="68"/>
  <c r="DK8" i="68"/>
  <c r="CX2" i="68"/>
  <c r="CZ38" i="68"/>
  <c r="DA38" i="68"/>
  <c r="DA76" i="68"/>
  <c r="CZ76" i="68"/>
  <c r="DJ8" i="68"/>
  <c r="CW2" i="68"/>
  <c r="CZ110" i="68"/>
  <c r="DA110" i="68"/>
  <c r="CZ50" i="68"/>
  <c r="DA50" i="68"/>
  <c r="DM50" i="68" s="1"/>
  <c r="DA49" i="68"/>
  <c r="DM49" i="68" s="1"/>
  <c r="CZ49" i="68"/>
  <c r="CZ8" i="68"/>
  <c r="DA8" i="68"/>
  <c r="CN2" i="68"/>
  <c r="DA172" i="68"/>
  <c r="CZ172" i="68"/>
  <c r="DA77" i="68"/>
  <c r="CZ77" i="68"/>
  <c r="DB8" i="68"/>
  <c r="CO2" i="68"/>
  <c r="DC8" i="68"/>
  <c r="CP2" i="68"/>
  <c r="CZ39" i="68"/>
  <c r="DA39" i="68"/>
  <c r="DM39" i="68" s="1"/>
  <c r="DI8" i="68"/>
  <c r="CV2" i="68"/>
  <c r="DG8" i="68"/>
  <c r="CT2" i="68"/>
  <c r="CZ9" i="68"/>
  <c r="DA9" i="68"/>
  <c r="CZ40" i="68"/>
  <c r="DA40" i="68"/>
  <c r="DM40" i="68" s="1"/>
  <c r="DD8" i="68"/>
  <c r="CQ2" i="68"/>
  <c r="DF8" i="68"/>
  <c r="CS2" i="68"/>
  <c r="DA48" i="68"/>
  <c r="CZ48" i="68"/>
  <c r="E3" i="9" a="1"/>
  <c r="E3" i="9" s="1"/>
  <c r="DM6" i="68" l="1"/>
  <c r="DM32" i="68"/>
  <c r="DM42" i="68"/>
  <c r="DM76" i="68"/>
  <c r="DM77" i="68"/>
  <c r="DM38" i="68"/>
  <c r="DM172" i="68"/>
  <c r="DM92" i="68"/>
  <c r="DM173" i="68"/>
  <c r="DM48" i="68"/>
  <c r="DM9" i="68"/>
  <c r="DM110" i="68"/>
  <c r="DM8" i="68"/>
  <c r="CZ2" i="68"/>
  <c r="BG2" i="3"/>
  <c r="AC49" i="3"/>
  <c r="AC72" i="3"/>
  <c r="AC125" i="3"/>
  <c r="AC130" i="3"/>
  <c r="AC104" i="3"/>
  <c r="AC81" i="3"/>
  <c r="AC102" i="3"/>
  <c r="AC83" i="3"/>
  <c r="AC71" i="3"/>
  <c r="AC57" i="3"/>
  <c r="E2" i="9" a="1"/>
  <c r="E2" i="9" s="1"/>
  <c r="DM2" i="68" l="1"/>
  <c r="AD125" i="3"/>
  <c r="AD71" i="3"/>
  <c r="AD72" i="3"/>
  <c r="AD83" i="3"/>
  <c r="AD102" i="3"/>
  <c r="AD81" i="3"/>
  <c r="AD104" i="3"/>
  <c r="AD130" i="3"/>
  <c r="AD49" i="3"/>
  <c r="AD57" i="3"/>
  <c r="G34" i="34" l="1"/>
  <c r="G24" i="34"/>
  <c r="G14" i="34"/>
  <c r="G45" i="3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FE103F5-9508-4E2B-A186-24B82CFB469A}" name="Query - BlankQuery" description="Connection to the 'BlankQuery' query in the workbook." type="100" refreshedVersion="8" minRefreshableVersion="5">
    <extLst>
      <ext xmlns:x15="http://schemas.microsoft.com/office/spreadsheetml/2010/11/main" uri="{DE250136-89BD-433C-8126-D09CA5730AF9}">
        <x15:connection id="cfca6cce-78a7-49d3-8432-1d96c3cc5153"/>
      </ext>
    </extLst>
  </connection>
  <connection id="2" xr16:uid="{56CBC18D-1849-4E1B-9AD4-E4BAC66C64FB}" name="Query - DB_25" description="Connection to the 'DB_25' query in the workbook." type="100" refreshedVersion="8" minRefreshableVersion="5">
    <extLst>
      <ext xmlns:x15="http://schemas.microsoft.com/office/spreadsheetml/2010/11/main" uri="{DE250136-89BD-433C-8126-D09CA5730AF9}">
        <x15:connection id="ff968a2a-34ed-4a8a-b81f-90dc041c35a4"/>
      </ext>
    </extLst>
  </connection>
  <connection id="3" xr16:uid="{2A989CDD-D5E2-4550-B1EC-3A859DE77DF2}" name="Query - Dim_CustomerProduct" description="Connection to the 'Dim_CustomerProduct' query in the workbook." type="100" refreshedVersion="8" minRefreshableVersion="5">
    <extLst>
      <ext xmlns:x15="http://schemas.microsoft.com/office/spreadsheetml/2010/11/main" uri="{DE250136-89BD-433C-8126-D09CA5730AF9}">
        <x15:connection id="872d976b-4337-40b2-a928-9f500c72a99e"/>
      </ext>
    </extLst>
  </connection>
  <connection id="4" xr16:uid="{2664E47F-89A1-4304-9322-2545699D100A}" keepAlive="1" name="Query - Dim_DB25" description="Connection to the 'Dim_DB25' query in the workbook." type="5" refreshedVersion="0" background="1" saveData="1">
    <dbPr connection="Provider=Microsoft.Mashup.OleDb.1;Data Source=$Workbook$;Location=Dim_DB25;Extended Properties=&quot;&quot;" command="SELECT * FROM [Dim_DB25]"/>
  </connection>
  <connection id="5" xr16:uid="{C8B1BA9E-4E5F-43AD-A07F-0E3E230A6ABB}" keepAlive="1" name="Query - Dim_KH26" description="Connection to the 'Dim_KH26' query in the workbook." type="5" refreshedVersion="0" background="1" saveData="1">
    <dbPr connection="Provider=Microsoft.Mashup.OleDb.1;Data Source=$Workbook$;Location=Dim_KH26;Extended Properties=&quot;&quot;" command="SELECT * FROM [Dim_KH26]"/>
  </connection>
  <connection id="6" xr16:uid="{EDC6E783-D448-49BC-A298-92D900DC2846}" keepAlive="1" name="Query - Dim_KH26_Bad" description="Connection to the 'Dim_KH26_Bad' query in the workbook." type="5" refreshedVersion="0" background="1">
    <dbPr connection="Provider=Microsoft.Mashup.OleDb.1;Data Source=$Workbook$;Location=Dim_KH26_Bad;Extended Properties=&quot;&quot;" command="SELECT * FROM [Dim_KH26_Bad]"/>
  </connection>
  <connection id="7" xr16:uid="{48F14251-9A47-4F30-AEC7-F293DA54134D}" keepAlive="1" name="Query - Dim_KH26_Normal" description="Connection to the 'Dim_KH26_Normal' query in the workbook." type="5" refreshedVersion="0" background="1">
    <dbPr connection="Provider=Microsoft.Mashup.OleDb.1;Data Source=$Workbook$;Location=Dim_KH26_Normal;Extended Properties=&quot;&quot;" command="SELECT * FROM [Dim_KH26_Normal]"/>
  </connection>
  <connection id="8" xr16:uid="{059C3549-D474-4BD6-A513-EFA939C832BF}" keepAlive="1" name="Query - Dim_KH26_OPT4" description="Connection to the 'Dim_KH26_OPT4' query in the workbook." type="5" refreshedVersion="0" background="1">
    <dbPr connection="Provider=Microsoft.Mashup.OleDb.1;Data Source=$Workbook$;Location=Dim_KH26_OPT4;Extended Properties=&quot;&quot;" command="SELECT * FROM [Dim_KH26_OPT4]"/>
  </connection>
  <connection id="9" xr16:uid="{11B3A96D-792C-40CF-822B-51E43755BCB9}" name="Query - Formulas" description="Connection to the 'Formulas' query in the workbook." type="100" refreshedVersion="8" minRefreshableVersion="5">
    <extLst>
      <ext xmlns:x15="http://schemas.microsoft.com/office/spreadsheetml/2010/11/main" uri="{DE250136-89BD-433C-8126-D09CA5730AF9}">
        <x15:connection id="414d4198-0ea8-4718-a53c-5f5e058591e8"/>
      </ext>
    </extLst>
  </connection>
  <connection id="10" xr16:uid="{EBAE9013-3DA4-4CBA-AC31-0600F4F68B50}" name="Query - KH_26_Bad" description="Connection to the 'KH_26_Bad' query in the workbook." type="100" refreshedVersion="8" minRefreshableVersion="5">
    <extLst>
      <ext xmlns:x15="http://schemas.microsoft.com/office/spreadsheetml/2010/11/main" uri="{DE250136-89BD-433C-8126-D09CA5730AF9}">
        <x15:connection id="aeb45bce-e9a6-40b2-bd5b-1c38fd1283c5"/>
      </ext>
    </extLst>
  </connection>
  <connection id="11" xr16:uid="{F8A55AB1-EA40-47A8-AB8D-68555609C926}" name="Query - KH_26_Best" description="Connection to the 'KH_26_Best' query in the workbook." type="100" refreshedVersion="8" minRefreshableVersion="5">
    <extLst>
      <ext xmlns:x15="http://schemas.microsoft.com/office/spreadsheetml/2010/11/main" uri="{DE250136-89BD-433C-8126-D09CA5730AF9}">
        <x15:connection id="eb12b46f-4567-4284-8858-57516389ae6d"/>
      </ext>
    </extLst>
  </connection>
  <connection id="12" xr16:uid="{9C53A3F5-96A1-48A2-8501-CA35A80A0C07}" name="Query - KH_26_Normal" description="Connection to the 'KH_26_Normal' query in the workbook." type="100" refreshedVersion="8" minRefreshableVersion="5">
    <extLst>
      <ext xmlns:x15="http://schemas.microsoft.com/office/spreadsheetml/2010/11/main" uri="{DE250136-89BD-433C-8126-D09CA5730AF9}">
        <x15:connection id="570608e0-648e-4d8b-9d87-c06cd5970214"/>
      </ext>
    </extLst>
  </connection>
  <connection id="13" xr16:uid="{99B9B791-CA03-4AE1-ADE9-41735089FDAD}" name="Query - KH_26_OPT4" description="Connection to the 'KH_26_OPT4' query in the workbook." type="100" refreshedVersion="8" minRefreshableVersion="5">
    <extLst>
      <ext xmlns:x15="http://schemas.microsoft.com/office/spreadsheetml/2010/11/main" uri="{DE250136-89BD-433C-8126-D09CA5730AF9}">
        <x15:connection id="94a68c12-dde5-437a-92cd-5e4b28d4b29a"/>
      </ext>
    </extLst>
  </connection>
  <connection id="14" xr16:uid="{726F8837-80FC-4BB3-A2C4-C44F68AD9026}" name="Query - MD_Customer" description="Connection to the 'MD_Customer' query in the workbook." type="100" refreshedVersion="8" minRefreshableVersion="5">
    <extLst>
      <ext xmlns:x15="http://schemas.microsoft.com/office/spreadsheetml/2010/11/main" uri="{DE250136-89BD-433C-8126-D09CA5730AF9}">
        <x15:connection id="ce67bb1e-f7ce-4883-a07d-6ecd781797c4"/>
      </ext>
    </extLst>
  </connection>
  <connection id="15" xr16:uid="{A1AC2805-1EF6-44ED-9170-3F84C9D1CBDE}" name="Query - MD_Salesman" description="Connection to the 'MD_Salesman' query in the workbook." type="100" refreshedVersion="8" minRefreshableVersion="5">
    <extLst>
      <ext xmlns:x15="http://schemas.microsoft.com/office/spreadsheetml/2010/11/main" uri="{DE250136-89BD-433C-8126-D09CA5730AF9}">
        <x15:connection id="ca5c7a68-e423-4736-a35b-a0338b2e5639"/>
      </ext>
    </extLst>
  </connection>
  <connection id="16" xr16:uid="{F1CCC82A-01AB-40EC-8085-9CCCA50AAFE0}" name="Query - MD_SKU" description="Connection to the 'MD_SKU' query in the workbook." type="100" refreshedVersion="8" minRefreshableVersion="5">
    <extLst>
      <ext xmlns:x15="http://schemas.microsoft.com/office/spreadsheetml/2010/11/main" uri="{DE250136-89BD-433C-8126-D09CA5730AF9}">
        <x15:connection id="0664f5ca-4e4f-4bce-981d-e131c570802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<sst xmlns="http://schemas.openxmlformats.org/spreadsheetml/2006/main" count="28405" uniqueCount="1708">
  <si>
    <t>Nhóm sản phẩm</t>
  </si>
  <si>
    <t>Hạt PET</t>
  </si>
  <si>
    <t>Hạt HD ép</t>
  </si>
  <si>
    <t>Hạt HD thổi</t>
  </si>
  <si>
    <t>rPET</t>
  </si>
  <si>
    <t>Unilever</t>
  </si>
  <si>
    <t>Niagara Bottling, LLC</t>
  </si>
  <si>
    <t>Hạt PP</t>
  </si>
  <si>
    <t>Suntory</t>
  </si>
  <si>
    <t>OUTEIRINHO TURISMO E INDUSTRIA SA</t>
  </si>
  <si>
    <t>Hạt Xơ sợi</t>
  </si>
  <si>
    <t>Vảy</t>
  </si>
  <si>
    <t>Vảy HD ép</t>
  </si>
  <si>
    <t>New Developments - Hạt PET - XK</t>
  </si>
  <si>
    <t>Vảy PET</t>
  </si>
  <si>
    <t>Uy Kiệt</t>
  </si>
  <si>
    <t>Lavie</t>
  </si>
  <si>
    <t>Vảy Phó sản HD ép</t>
  </si>
  <si>
    <t>Grand Total</t>
  </si>
  <si>
    <t>Vảy PP</t>
  </si>
  <si>
    <t>(blank)</t>
  </si>
  <si>
    <t>rPP</t>
  </si>
  <si>
    <t>Hưng Dụ</t>
  </si>
  <si>
    <t>Quang Chí Bảo</t>
  </si>
  <si>
    <t>New Developments - Xơ sợi - XK</t>
  </si>
  <si>
    <t>NHỰA LỘC PHÁT</t>
  </si>
  <si>
    <t>ĐẠI LỤC</t>
  </si>
  <si>
    <t>ANTEX</t>
  </si>
  <si>
    <t>0.78 ± 0.02</t>
  </si>
  <si>
    <t>0.84 ± 0.03</t>
  </si>
  <si>
    <t>0.80 ± 0.02</t>
  </si>
  <si>
    <t>0.70 ± 0.02</t>
  </si>
  <si>
    <t>0.55 ± 0.05</t>
  </si>
  <si>
    <t>0.65 ± 0.03</t>
  </si>
  <si>
    <t>New Developments - Vảy PET - XK</t>
  </si>
  <si>
    <t>SHARPAK AYLESHAM LTD</t>
  </si>
  <si>
    <t>Hiện hữu</t>
  </si>
  <si>
    <t>Vaccupack</t>
  </si>
  <si>
    <t>Mới</t>
  </si>
  <si>
    <t>Lucid Group</t>
  </si>
  <si>
    <t>Application</t>
  </si>
  <si>
    <t>THỔI CHAI</t>
  </si>
  <si>
    <t>VINMAR POLYMERS AMERICA LLC</t>
  </si>
  <si>
    <t>Serioplast</t>
  </si>
  <si>
    <t>Motul -DTP</t>
  </si>
  <si>
    <t>New Developments - Hạt HDPE - NĐ</t>
  </si>
  <si>
    <t>KORYFES SA</t>
  </si>
  <si>
    <t>DTP</t>
  </si>
  <si>
    <t>CTY VÂN LONG</t>
  </si>
  <si>
    <t>THỔI ỐNG</t>
  </si>
  <si>
    <t>MHE ENTERPRISE</t>
  </si>
  <si>
    <t>Nhựa Đạt Hòa</t>
  </si>
  <si>
    <t>MTVN Plastic</t>
  </si>
  <si>
    <t>NHỰA ĐỒNG NAI</t>
  </si>
  <si>
    <t>THẠC HƯƠNG</t>
  </si>
  <si>
    <t>(Multiple Items)</t>
  </si>
  <si>
    <t>LƯỚI BẢO NÔNG</t>
  </si>
  <si>
    <t>HUY THÀNH</t>
  </si>
  <si>
    <t>NHỰA TRƯỜNG AN</t>
  </si>
  <si>
    <t>New Developments - Hạt PP - NĐ</t>
  </si>
  <si>
    <t>Pentaplast SRL</t>
  </si>
  <si>
    <t>IKEA</t>
  </si>
  <si>
    <t>ĐẠI NHẤT LONG</t>
  </si>
  <si>
    <t>Hồng Kim Long An</t>
  </si>
  <si>
    <t>REYNERA</t>
  </si>
  <si>
    <t>LỢI TƯỜNG</t>
  </si>
  <si>
    <t>NGŨ KIM TẤN PHÁT</t>
  </si>
  <si>
    <t>NHỰA TC 2050</t>
  </si>
  <si>
    <t>NHỰA BUYO</t>
  </si>
  <si>
    <t>DUROCOLOUR</t>
  </si>
  <si>
    <t>GUNICA</t>
  </si>
  <si>
    <t>AN NHẬT</t>
  </si>
  <si>
    <t>MEGA</t>
  </si>
  <si>
    <t>110000505 | Vảy PET</t>
  </si>
  <si>
    <t>Xơ sợi</t>
  </si>
  <si>
    <t>rHDPE thổi</t>
  </si>
  <si>
    <t>rHDPE ép</t>
  </si>
  <si>
    <t>110000408 | Vảy HD Ép Trắng</t>
  </si>
  <si>
    <t>110000410 | Vảy HD Ép Lá</t>
  </si>
  <si>
    <t>110000407 | Vảy HD Ép Đỏ</t>
  </si>
  <si>
    <t>110000409 | Vảy HD Ép Vàng</t>
  </si>
  <si>
    <t>110000411 | Vảy HD Ép Dương</t>
  </si>
  <si>
    <t>110000412 | Vảy HD Ép Đen</t>
  </si>
  <si>
    <t>110000413 | Vảy HD Ép Đồng</t>
  </si>
  <si>
    <t>110000421 | Vảy PP Đỏ Nhạt</t>
  </si>
  <si>
    <t>110000423 | Vảy PP Dương Nhạt</t>
  </si>
  <si>
    <t>Phó sản</t>
  </si>
  <si>
    <t>Sản lượng</t>
  </si>
  <si>
    <t>Dòng hàng</t>
  </si>
  <si>
    <t>0.70 ± 0.2</t>
  </si>
  <si>
    <t>0.78 ± 0.2</t>
  </si>
  <si>
    <t>0.80 ± 0.2</t>
  </si>
  <si>
    <t>0.84 ± 0.3</t>
  </si>
  <si>
    <t>Cũ</t>
  </si>
  <si>
    <t>Ngành hàng</t>
  </si>
  <si>
    <t>Nghĩa</t>
  </si>
  <si>
    <t>Nội địa</t>
  </si>
  <si>
    <t>Cường</t>
  </si>
  <si>
    <t>Phân loại KH</t>
  </si>
  <si>
    <t>Coca Cola Việt Nam</t>
  </si>
  <si>
    <t>Plascene</t>
  </si>
  <si>
    <t>Duy</t>
  </si>
  <si>
    <t>Tân Lập Thành</t>
  </si>
  <si>
    <t>Mondelez</t>
  </si>
  <si>
    <t>Long</t>
  </si>
  <si>
    <t>ĐÔ THÀNH</t>
  </si>
  <si>
    <t>Việt Thành Plast</t>
  </si>
  <si>
    <t>IV/IM</t>
  </si>
  <si>
    <t>Minh Thông</t>
  </si>
  <si>
    <t>Ngọc Nghĩa</t>
  </si>
  <si>
    <t>Quốc Anh</t>
  </si>
  <si>
    <t>THÀNH NGHĨA P.E.T</t>
  </si>
  <si>
    <t>CTY NGỌC NGHĨA - CỦ CHI</t>
  </si>
  <si>
    <t>0.74 ± 0.02</t>
  </si>
  <si>
    <t>Nhựa Âu Lạc</t>
  </si>
  <si>
    <t>Quỳnh Anh</t>
  </si>
  <si>
    <t>MEKONG BROS</t>
  </si>
  <si>
    <t>TÂN TƯỜNG KHANG</t>
  </si>
  <si>
    <t>Muji- DTP</t>
  </si>
  <si>
    <t>Xuất khẩu</t>
  </si>
  <si>
    <t>Tuyền</t>
  </si>
  <si>
    <t>Vinmar International</t>
  </si>
  <si>
    <t>Plascene, Inc.</t>
  </si>
  <si>
    <t>Svepol Americas Inc.</t>
  </si>
  <si>
    <t>LION-ITOCHU</t>
  </si>
  <si>
    <t>Fega</t>
  </si>
  <si>
    <t>Genesis Polymers International</t>
  </si>
  <si>
    <t>SodaStream</t>
  </si>
  <si>
    <t>POLYRESIN EOOD</t>
  </si>
  <si>
    <t>GENESIS DISTRIBUCIÓN DE COLOMBIA SA</t>
  </si>
  <si>
    <t>PIA</t>
  </si>
  <si>
    <t>ITD Polyresin</t>
  </si>
  <si>
    <t>MAS CO.LTD</t>
  </si>
  <si>
    <t>POLYCAD</t>
  </si>
  <si>
    <t>TRICON</t>
  </si>
  <si>
    <t>PTI- Retal</t>
  </si>
  <si>
    <t>MONTACHEM INTERNATIONAL</t>
  </si>
  <si>
    <t>International Gate SA</t>
  </si>
  <si>
    <t>Resinex</t>
  </si>
  <si>
    <t>RTCO</t>
  </si>
  <si>
    <t>Pragmatrade</t>
  </si>
  <si>
    <t>CORAL A.E.</t>
  </si>
  <si>
    <t>Toyota Tsusho</t>
  </si>
  <si>
    <t>MILKYWAY</t>
  </si>
  <si>
    <t>MERAXIS AG</t>
  </si>
  <si>
    <t>PREMIUM WATER</t>
  </si>
  <si>
    <t>COLLECTIVE POLYMERS</t>
  </si>
  <si>
    <t>Nu-pure</t>
  </si>
  <si>
    <t>LINH CHI</t>
  </si>
  <si>
    <t>Hailide Việt Nam</t>
  </si>
  <si>
    <t>TAE BAEK</t>
  </si>
  <si>
    <t>Bao Bì Vinh Nam</t>
  </si>
  <si>
    <t>EATONE PRO</t>
  </si>
  <si>
    <t>Wiese</t>
  </si>
  <si>
    <t>Chấn Thuận Thành</t>
  </si>
  <si>
    <t>VIỆT NHẬT</t>
  </si>
  <si>
    <t>Người mua hàng không lấy hóa đơn</t>
  </si>
  <si>
    <t>Kim Hòa</t>
  </si>
  <si>
    <t>TÂN HOA THỊNH</t>
  </si>
  <si>
    <t>Dân Ôn</t>
  </si>
  <si>
    <t>Medigrand</t>
  </si>
  <si>
    <t>SANOFI-DTP</t>
  </si>
  <si>
    <t>Masan</t>
  </si>
  <si>
    <t>KAO</t>
  </si>
  <si>
    <t>Milwaukee</t>
  </si>
  <si>
    <t>Aeonmall</t>
  </si>
  <si>
    <t>Freudenberg</t>
  </si>
  <si>
    <t>110000329</t>
  </si>
  <si>
    <t>110000332</t>
  </si>
  <si>
    <t>110000333</t>
  </si>
  <si>
    <t>110000335</t>
  </si>
  <si>
    <t>110000354</t>
  </si>
  <si>
    <t>110000355</t>
  </si>
  <si>
    <t>110000358</t>
  </si>
  <si>
    <t>110000359</t>
  </si>
  <si>
    <t>110000483</t>
  </si>
  <si>
    <t>110000497</t>
  </si>
  <si>
    <t>110000499</t>
  </si>
  <si>
    <t>110000503</t>
  </si>
  <si>
    <t>110000505</t>
  </si>
  <si>
    <t>110000506</t>
  </si>
  <si>
    <t>110000382</t>
  </si>
  <si>
    <t>110000436</t>
  </si>
  <si>
    <t>110000466</t>
  </si>
  <si>
    <t>110000339</t>
  </si>
  <si>
    <t>110000341</t>
  </si>
  <si>
    <t>110000374</t>
  </si>
  <si>
    <t>110000425</t>
  </si>
  <si>
    <t>110000426</t>
  </si>
  <si>
    <t>110000432</t>
  </si>
  <si>
    <t>110000443</t>
  </si>
  <si>
    <t>110000481</t>
  </si>
  <si>
    <t>110000495</t>
  </si>
  <si>
    <t>NS26-HDTHOI-001</t>
  </si>
  <si>
    <t>110000360</t>
  </si>
  <si>
    <t>110000361</t>
  </si>
  <si>
    <t>110000363</t>
  </si>
  <si>
    <t>110000364</t>
  </si>
  <si>
    <t>110000365</t>
  </si>
  <si>
    <t>110000366</t>
  </si>
  <si>
    <t>110000407</t>
  </si>
  <si>
    <t>110000408</t>
  </si>
  <si>
    <t>110000409</t>
  </si>
  <si>
    <t>110000410</t>
  </si>
  <si>
    <t>110000411</t>
  </si>
  <si>
    <t>110000412</t>
  </si>
  <si>
    <t>110000413</t>
  </si>
  <si>
    <t>110000496</t>
  </si>
  <si>
    <t>110000388</t>
  </si>
  <si>
    <t>110000389</t>
  </si>
  <si>
    <t>110000392</t>
  </si>
  <si>
    <t>110000393</t>
  </si>
  <si>
    <t>110000421</t>
  </si>
  <si>
    <t>110000423</t>
  </si>
  <si>
    <t>110000435</t>
  </si>
  <si>
    <t>110000470</t>
  </si>
  <si>
    <t>110000471</t>
  </si>
  <si>
    <t>110000472</t>
  </si>
  <si>
    <t>110000482</t>
  </si>
  <si>
    <t>110000508</t>
  </si>
  <si>
    <t>160012611</t>
  </si>
  <si>
    <t>160012951</t>
  </si>
  <si>
    <t>MỘT SỐ LƯU Ý</t>
  </si>
  <si>
    <t>STT</t>
  </si>
  <si>
    <t>Ghi chú màu các ô</t>
  </si>
  <si>
    <t>Ghi chú</t>
  </si>
  <si>
    <t>Droplist: lựa chọn các kết quả định sẵn. Nếu như danh sách chưa đủ, đề nghị phòng ban liên hệ lại với kế toán quản trị phụ trách để cập nhật thêm</t>
  </si>
  <si>
    <t>Điền thông tin vào các ô</t>
  </si>
  <si>
    <t>Không cần điền</t>
  </si>
  <si>
    <t>Các ô trống là đã có gán công thức</t>
  </si>
  <si>
    <t>THỐNG NHẤT CÁCH ĐẶT TÊN SẢN PHẨM MỚI, KHÁCH HÀNG MỚI</t>
  </si>
  <si>
    <t>Cách đặt mã sản phẩm mới:</t>
  </si>
  <si>
    <t>Ví dụ:</t>
  </si>
  <si>
    <t>NS26-PET-001</t>
  </si>
  <si>
    <t>NS26-HDTHOI-002</t>
  </si>
  <si>
    <t>NS26-HDTHOI-003</t>
  </si>
  <si>
    <t>NS26-PP-003</t>
  </si>
  <si>
    <t>NS26-HDEP-001</t>
  </si>
  <si>
    <t>NS26-XOSOI-001</t>
  </si>
  <si>
    <t>Cách đặt khách hàng mới:</t>
  </si>
  <si>
    <t>1-NS26-NEWCUS-001</t>
  </si>
  <si>
    <t>2-NS26-NEWCUS-002</t>
  </si>
  <si>
    <t>Số 1 ở đầu là nội địa</t>
  </si>
  <si>
    <t>Số 2 là xuất khẩu</t>
  </si>
  <si>
    <t>Tên Khách-Rút gọn</t>
  </si>
  <si>
    <t>Kênh bán hàng</t>
  </si>
  <si>
    <t>Địa điểm đến</t>
  </si>
  <si>
    <t>Nước đến</t>
  </si>
  <si>
    <t>Incoterm</t>
  </si>
  <si>
    <t>ĐƠN GIÁ VẬN CHUYỂN NỘI ĐỊA - BAO GỒM KÊNH XUẤT KHẨU</t>
  </si>
  <si>
    <t>Quy ra VND</t>
  </si>
  <si>
    <t>ĐƠN GIÁ CƯỚC TÀU</t>
  </si>
  <si>
    <t>Cont 20'</t>
  </si>
  <si>
    <t>ĐG (VND/tấn)</t>
  </si>
  <si>
    <t>KH26</t>
  </si>
  <si>
    <t>TT25</t>
  </si>
  <si>
    <t>VND/USD</t>
  </si>
  <si>
    <t>Công ty TNHH La Vie</t>
  </si>
  <si>
    <t>Tây Ninh</t>
  </si>
  <si>
    <t>Việt Nam</t>
  </si>
  <si>
    <t>EXW</t>
  </si>
  <si>
    <t>Hồ Chí Minh</t>
  </si>
  <si>
    <t>DDP</t>
  </si>
  <si>
    <t>Công ty trách nhiệm hữu hạn Uy Kiệt</t>
  </si>
  <si>
    <t>Bình Dương</t>
  </si>
  <si>
    <t>VND</t>
  </si>
  <si>
    <t>Plascene- DTP</t>
  </si>
  <si>
    <t>CÔNG TY TNHH HƯNG DỤ</t>
  </si>
  <si>
    <t>Đồng Nai</t>
  </si>
  <si>
    <t>CN COCA-COLA VN - LONG AN</t>
  </si>
  <si>
    <t>MTV MILKIWAY SOLUTION</t>
  </si>
  <si>
    <t>CPSX Nhựa Duy Tân</t>
  </si>
  <si>
    <t>MONDELEZ-VIỆT THÀNH</t>
  </si>
  <si>
    <t>Công ty Chấn Thuận Thành</t>
  </si>
  <si>
    <t>Hà Nội</t>
  </si>
  <si>
    <t>Hải Phòng</t>
  </si>
  <si>
    <t>Đà Nẵng</t>
  </si>
  <si>
    <t>Mỹ</t>
  </si>
  <si>
    <t>FOB</t>
  </si>
  <si>
    <t>USD</t>
  </si>
  <si>
    <t>Shepley</t>
  </si>
  <si>
    <t>UK</t>
  </si>
  <si>
    <t>Lisbon</t>
  </si>
  <si>
    <t>Bồ Đào Nha</t>
  </si>
  <si>
    <t>Felixstowe</t>
  </si>
  <si>
    <t>CIF</t>
  </si>
  <si>
    <t>Xuất Khẩu</t>
  </si>
  <si>
    <t>Unknown</t>
  </si>
  <si>
    <t>Tema</t>
  </si>
  <si>
    <t>Ghana</t>
  </si>
  <si>
    <t>Ý</t>
  </si>
  <si>
    <t>Varna</t>
  </si>
  <si>
    <t>Bulgaria</t>
  </si>
  <si>
    <t>CFR</t>
  </si>
  <si>
    <t>Lion Corp</t>
  </si>
  <si>
    <t>Tokyo</t>
  </si>
  <si>
    <t>Nhật</t>
  </si>
  <si>
    <t>Antwerp</t>
  </si>
  <si>
    <t>Bỉ</t>
  </si>
  <si>
    <t>Los Angeles</t>
  </si>
  <si>
    <t>Manzanillo</t>
  </si>
  <si>
    <t>Mexico</t>
  </si>
  <si>
    <t>Ashdod</t>
  </si>
  <si>
    <t>Israel</t>
  </si>
  <si>
    <t>Natures Organics - PIA</t>
  </si>
  <si>
    <t>Melbourne</t>
  </si>
  <si>
    <t>Úc</t>
  </si>
  <si>
    <t>Buenaventura</t>
  </si>
  <si>
    <t>Colombia</t>
  </si>
  <si>
    <t>Thessaloniki</t>
  </si>
  <si>
    <t>Hy lạp</t>
  </si>
  <si>
    <t>Valencia</t>
  </si>
  <si>
    <t>Haifa</t>
  </si>
  <si>
    <t>Barcelona</t>
  </si>
  <si>
    <t>Tây Ban Nha</t>
  </si>
  <si>
    <t>Bibao</t>
  </si>
  <si>
    <t>Gdansk</t>
  </si>
  <si>
    <t>Ba Lan</t>
  </si>
  <si>
    <t>Cadereyta</t>
  </si>
  <si>
    <t>Đức</t>
  </si>
  <si>
    <t>CN Cty Coca - Hà Nội</t>
  </si>
  <si>
    <t>COCA COLA ĐÀ NẴNG</t>
  </si>
  <si>
    <t>UNILEVER-NGỌC NGHĨA</t>
  </si>
  <si>
    <t>UNILEVER - NNG-TN</t>
  </si>
  <si>
    <t>Suntory Sri Thái Bình Dương</t>
  </si>
  <si>
    <t>Suntory- Ngọc Nghĩa Tây Ninh</t>
  </si>
  <si>
    <t>Suntory - Ngọc Nghĩa Hưng Yên</t>
  </si>
  <si>
    <t>Hưng Yên</t>
  </si>
  <si>
    <t>AGRIFREDA</t>
  </si>
  <si>
    <t>Export</t>
  </si>
  <si>
    <t>Khu vực</t>
  </si>
  <si>
    <t>Check</t>
  </si>
  <si>
    <t>Kinh doanh không cần quan tâm</t>
  </si>
  <si>
    <t>Salesman</t>
  </si>
  <si>
    <t>Sales Manager</t>
  </si>
  <si>
    <t>Mã khách</t>
  </si>
  <si>
    <t>Parent Account</t>
  </si>
  <si>
    <t>Tên khách-Rút gọn</t>
  </si>
  <si>
    <t>Phân loại khách</t>
  </si>
  <si>
    <t>Mã sản phẩm</t>
  </si>
  <si>
    <t>Tên sản phẩm-Rút gọn</t>
  </si>
  <si>
    <t>Phân loại sản phẩm</t>
  </si>
  <si>
    <t>Mức độ khả thi</t>
  </si>
  <si>
    <t>SỐ LƯỢNG BÁN - 2026 (tấn)</t>
  </si>
  <si>
    <t>KH 2026</t>
  </si>
  <si>
    <t>DB 2025</t>
  </si>
  <si>
    <t>+/-</t>
  </si>
  <si>
    <t>%+/-</t>
  </si>
  <si>
    <t>DOANH THU EXW (VND)</t>
  </si>
  <si>
    <t>CHI PHÍ HOA HỒNG</t>
  </si>
  <si>
    <t>KH 26</t>
  </si>
  <si>
    <t>ĐƠN GIÁ VC KÊNH NỘI ĐỊA</t>
  </si>
  <si>
    <t>ĐƠN GIÁ VC KÊNH XUẤT KHẨU</t>
  </si>
  <si>
    <t>ĐƠN GIÁ VC NỘI ĐỊA- KÊNH XUẤT KHẨU</t>
  </si>
  <si>
    <t>CƯỚC TÀU</t>
  </si>
  <si>
    <t>CHI PHÍ VẬN CHUYỂN</t>
  </si>
  <si>
    <t>DOANH THU KẾ TOÁN (VND)</t>
  </si>
  <si>
    <t>SL-01</t>
  </si>
  <si>
    <t>SL-02</t>
  </si>
  <si>
    <t>SL-03</t>
  </si>
  <si>
    <t>SL-04</t>
  </si>
  <si>
    <t>SL-05</t>
  </si>
  <si>
    <t>SL-06</t>
  </si>
  <si>
    <t>SL-07</t>
  </si>
  <si>
    <t>SL-08</t>
  </si>
  <si>
    <t>SL-09</t>
  </si>
  <si>
    <t>SL-10</t>
  </si>
  <si>
    <t>SL-11</t>
  </si>
  <si>
    <t>SL-12</t>
  </si>
  <si>
    <t>GB-01</t>
  </si>
  <si>
    <t>GB-02</t>
  </si>
  <si>
    <t>GB-03</t>
  </si>
  <si>
    <t>GB-04</t>
  </si>
  <si>
    <t>GB-05</t>
  </si>
  <si>
    <t>GB-06</t>
  </si>
  <si>
    <t>GB-07</t>
  </si>
  <si>
    <t>GB-08</t>
  </si>
  <si>
    <t>GB-09</t>
  </si>
  <si>
    <t>GB-10</t>
  </si>
  <si>
    <t>GB-11</t>
  </si>
  <si>
    <t>GB-12</t>
  </si>
  <si>
    <t>DT-EXW-01</t>
  </si>
  <si>
    <t>DT-EXW-02</t>
  </si>
  <si>
    <t>DT-EXW-03</t>
  </si>
  <si>
    <t>DT-EXW-04</t>
  </si>
  <si>
    <t>DT-EXW-05</t>
  </si>
  <si>
    <t>DT-EXW-06</t>
  </si>
  <si>
    <t>DT-EXW-07</t>
  </si>
  <si>
    <t>DT-EXW-08</t>
  </si>
  <si>
    <t>DT-EXW-09</t>
  </si>
  <si>
    <t>DT-EXW-10</t>
  </si>
  <si>
    <t>DT-EXW-11</t>
  </si>
  <si>
    <t>DT-EXW-12</t>
  </si>
  <si>
    <t>%CPHH</t>
  </si>
  <si>
    <t>CPHH-01</t>
  </si>
  <si>
    <t>CPHH-02</t>
  </si>
  <si>
    <t>CPHH-03</t>
  </si>
  <si>
    <t>CPHH-04</t>
  </si>
  <si>
    <t>CPHH-05</t>
  </si>
  <si>
    <t>CPHH-06</t>
  </si>
  <si>
    <t>CPHH-07</t>
  </si>
  <si>
    <t>CPHH-08</t>
  </si>
  <si>
    <t>CPHH-09</t>
  </si>
  <si>
    <t>CPHH-10</t>
  </si>
  <si>
    <t>CPHH-11</t>
  </si>
  <si>
    <t>CPHH-12</t>
  </si>
  <si>
    <t>CPVC-01</t>
  </si>
  <si>
    <t>CPVC-02</t>
  </si>
  <si>
    <t>CPVC-03</t>
  </si>
  <si>
    <t>CPVC-04</t>
  </si>
  <si>
    <t>CPVC-05</t>
  </si>
  <si>
    <t>CPVC-06</t>
  </si>
  <si>
    <t>CPVC-07</t>
  </si>
  <si>
    <t>CPVC-08</t>
  </si>
  <si>
    <t>CPVC-09</t>
  </si>
  <si>
    <t>CPVC-10</t>
  </si>
  <si>
    <t>CPVC-11</t>
  </si>
  <si>
    <t>CPVC-12</t>
  </si>
  <si>
    <t>DT-01</t>
  </si>
  <si>
    <t>DT-02</t>
  </si>
  <si>
    <t>DT-03</t>
  </si>
  <si>
    <t>DT-04</t>
  </si>
  <si>
    <t>DT-05</t>
  </si>
  <si>
    <t>DT-06</t>
  </si>
  <si>
    <t>DT-07</t>
  </si>
  <si>
    <t>DT-08</t>
  </si>
  <si>
    <t>DT-09</t>
  </si>
  <si>
    <t>DT-10</t>
  </si>
  <si>
    <t>DT-11</t>
  </si>
  <si>
    <t>DT-12</t>
  </si>
  <si>
    <t>SalesManager</t>
  </si>
  <si>
    <t>Tên khách</t>
  </si>
  <si>
    <t>Tên sản phẩm</t>
  </si>
  <si>
    <t>SL-KH26</t>
  </si>
  <si>
    <t>SL-DB25</t>
  </si>
  <si>
    <t>SL-+/-</t>
  </si>
  <si>
    <t>SL-%+/-</t>
  </si>
  <si>
    <t>GB-DB25</t>
  </si>
  <si>
    <t>GB-KH25</t>
  </si>
  <si>
    <t>GB-+/-</t>
  </si>
  <si>
    <t>GB-%+/-</t>
  </si>
  <si>
    <t>DT-EXW-KH26</t>
  </si>
  <si>
    <t>DT-EXW-DB25</t>
  </si>
  <si>
    <t>DT-EXW-+/-</t>
  </si>
  <si>
    <t>DT-EXW-%+/-</t>
  </si>
  <si>
    <t>%HH</t>
  </si>
  <si>
    <t>CPHH-KH26</t>
  </si>
  <si>
    <t>ĐGVC-KNĐ</t>
  </si>
  <si>
    <t>ĐGVC-KXK</t>
  </si>
  <si>
    <t>ĐGVCNĐ-KXK</t>
  </si>
  <si>
    <t>ĐGVCCT-KXK</t>
  </si>
  <si>
    <t>CPVC-KH26</t>
  </si>
  <si>
    <t>DT-KH26</t>
  </si>
  <si>
    <t>DT-DB25</t>
  </si>
  <si>
    <t>DT-+/-</t>
  </si>
  <si>
    <t>DT-%+/-</t>
  </si>
  <si>
    <t>WSS01G 1</t>
  </si>
  <si>
    <t>rHDI4L01</t>
  </si>
  <si>
    <t>rHDI3R01</t>
  </si>
  <si>
    <t>rHDI3Gy01</t>
  </si>
  <si>
    <t>rHDI3Y01</t>
  </si>
  <si>
    <t>rHDI3G01</t>
  </si>
  <si>
    <t>HCBF-Whi-U</t>
  </si>
  <si>
    <t>rHDA03W01</t>
  </si>
  <si>
    <t>Dynaplast Bình Dương</t>
  </si>
  <si>
    <t>rHDPE MBF01</t>
  </si>
  <si>
    <t>rHDPE PCF01</t>
  </si>
  <si>
    <t>iSS01084G</t>
  </si>
  <si>
    <t>WSS03G</t>
  </si>
  <si>
    <t>iSS01G 1</t>
  </si>
  <si>
    <t>Vảy HD Ép Đỏ</t>
  </si>
  <si>
    <t>Vảy HD Ép Trắng</t>
  </si>
  <si>
    <t>Vảy HD Ép Lá</t>
  </si>
  <si>
    <t>Vảy HD Ép Vàng</t>
  </si>
  <si>
    <t>Vảy HD Ép Dương</t>
  </si>
  <si>
    <t>Vảy HD Ép Đen</t>
  </si>
  <si>
    <t>Vảy HD Ép Đồng</t>
  </si>
  <si>
    <t>rHDB03N02</t>
  </si>
  <si>
    <t>Unilever Duy Tân</t>
  </si>
  <si>
    <t>Dynaplast Bắc Ninh</t>
  </si>
  <si>
    <t>rPP20R02</t>
  </si>
  <si>
    <t>Vảy PP Đỏ Nhạt</t>
  </si>
  <si>
    <t>HCBF-Yel-U</t>
  </si>
  <si>
    <t>WSS05SB-2</t>
  </si>
  <si>
    <t>WSS05SB</t>
  </si>
  <si>
    <t>rPP20B01</t>
  </si>
  <si>
    <t>rHDB04B01</t>
  </si>
  <si>
    <t>PHƯƠNG VI</t>
  </si>
  <si>
    <t>rHDI3W01</t>
  </si>
  <si>
    <t>rPP20L03</t>
  </si>
  <si>
    <t>rPP20Gy01</t>
  </si>
  <si>
    <t>rPP20W01</t>
  </si>
  <si>
    <t>WSS04SB</t>
  </si>
  <si>
    <t>Vảy PP Dương Nhạt</t>
  </si>
  <si>
    <t>WSS01S</t>
  </si>
  <si>
    <t>WSS01</t>
  </si>
  <si>
    <t>WSS01G-L</t>
  </si>
  <si>
    <t>WSS01 &amp; WSS01G-L</t>
  </si>
  <si>
    <t>CÔNG TY TNHH HON CHUAN VIETNAM</t>
  </si>
  <si>
    <t>rHDI7DL02</t>
  </si>
  <si>
    <t>Suntory Việt Nam</t>
  </si>
  <si>
    <t>CTY NGỌC NGHĨA-TÂY NINH</t>
  </si>
  <si>
    <t>rPP20L04</t>
  </si>
  <si>
    <t>rPP20L05</t>
  </si>
  <si>
    <t>rHDA03N01</t>
  </si>
  <si>
    <t>iSS01G-S</t>
  </si>
  <si>
    <t>WSS01L</t>
  </si>
  <si>
    <t>PS HD Ép Hỗn Hợp Cuối ST</t>
  </si>
  <si>
    <t>PS HD Ép Hỗn Hợp Cuối SSR</t>
  </si>
  <si>
    <t>Andy</t>
  </si>
  <si>
    <t xml:space="preserve">&lt;&lt;Thêm dòng mới trên dòng này&gt;&gt;  </t>
  </si>
  <si>
    <t>rPP20W02</t>
  </si>
  <si>
    <t>CHI PHÍ DỰ PHÒNG</t>
  </si>
  <si>
    <t>CPHH-SL</t>
  </si>
  <si>
    <t>%DP</t>
  </si>
  <si>
    <t>CPDP-01</t>
  </si>
  <si>
    <t>CPDP-02</t>
  </si>
  <si>
    <t>CPDP-03</t>
  </si>
  <si>
    <t>CPDP-04</t>
  </si>
  <si>
    <t>CPDP-05</t>
  </si>
  <si>
    <t>CPDP-06</t>
  </si>
  <si>
    <t>CPDP-07</t>
  </si>
  <si>
    <t>CPDP-08</t>
  </si>
  <si>
    <t>CPDP-09</t>
  </si>
  <si>
    <t>CPDP-10</t>
  </si>
  <si>
    <t>CPDP-11</t>
  </si>
  <si>
    <t>CPDP-12</t>
  </si>
  <si>
    <t>CPHH-%-SL</t>
  </si>
  <si>
    <t>HH-SL</t>
  </si>
  <si>
    <t>%CPDP</t>
  </si>
  <si>
    <t>CPDP-KH26</t>
  </si>
  <si>
    <t>Đã bao gồm chi phí hỗ trợ tối đa 10% (giá sau hỗ trợ là 1060)</t>
  </si>
  <si>
    <t>Dthu</t>
  </si>
  <si>
    <t>Châu Âu</t>
  </si>
  <si>
    <t>Đã bao gồm chi phí hỗ trợ tối đa 10% (giá sau hỗ trợ là 1080)</t>
  </si>
  <si>
    <t>Bắc Ninh</t>
  </si>
  <si>
    <t>SL</t>
  </si>
  <si>
    <t>`</t>
  </si>
  <si>
    <t>Price scheme</t>
  </si>
  <si>
    <t>Price_Sheme</t>
  </si>
  <si>
    <t>SUNTORY</t>
  </si>
  <si>
    <t>KHÁCH HÀNG MỚI CÒN LẠI</t>
  </si>
  <si>
    <t>KHÁCH HÀNG HIỆN HỮU CÒN LẠI</t>
  </si>
  <si>
    <t>rHDB01B01</t>
  </si>
  <si>
    <t>rHDB03N01</t>
  </si>
  <si>
    <t>SANOFI</t>
  </si>
  <si>
    <t xml:space="preserve">Colgate </t>
  </si>
  <si>
    <t>WSS03</t>
  </si>
  <si>
    <t>Hiệp Thành - IKEA</t>
  </si>
  <si>
    <t>rPP20Be01</t>
  </si>
  <si>
    <t>Lucid Corp</t>
  </si>
  <si>
    <t>rPP20R01</t>
  </si>
  <si>
    <t>Coca-Cola Thủ Đức</t>
  </si>
  <si>
    <t>Giá bán kế hoạch 2026</t>
  </si>
  <si>
    <t>$/mt</t>
  </si>
  <si>
    <t>IV</t>
  </si>
  <si>
    <t>Ứng dụng</t>
  </si>
  <si>
    <t>Giá Nguyên Sinh</t>
  </si>
  <si>
    <t>% vs Nguyên sinh</t>
  </si>
  <si>
    <t>PET Nguyên Sinh</t>
  </si>
  <si>
    <t>đã bao gồm chi phí hỗ trợ 10%</t>
  </si>
  <si>
    <t>0.78 ± 0.3</t>
  </si>
  <si>
    <t>N/A</t>
  </si>
  <si>
    <t>HDPE Nguyên Sinh</t>
  </si>
  <si>
    <t>Hạt HD thổi-Personal care</t>
  </si>
  <si>
    <t>Hạt HD thổi-Homecare</t>
  </si>
  <si>
    <t>rPP Nguyên Sinh</t>
  </si>
  <si>
    <t>công thức</t>
  </si>
  <si>
    <t>SỐ LƯỢNG BÁN - 2025 (tấn)</t>
  </si>
  <si>
    <t>KH 2025</t>
  </si>
  <si>
    <t>GIÁ BÁN EXW - 2025 (USD/tấn)</t>
  </si>
  <si>
    <t>DOANH THU EXW (USD)</t>
  </si>
  <si>
    <t>SL-KH25</t>
  </si>
  <si>
    <t>DT-KH25</t>
  </si>
  <si>
    <t>DT-01-USD</t>
  </si>
  <si>
    <t>DT-02-USD</t>
  </si>
  <si>
    <t>DT-03-USD</t>
  </si>
  <si>
    <t>DT-04-USD</t>
  </si>
  <si>
    <t>DT-05-USD</t>
  </si>
  <si>
    <t>DT-06-USD</t>
  </si>
  <si>
    <t>DT-07-USD</t>
  </si>
  <si>
    <t>DT-08-USD</t>
  </si>
  <si>
    <t>DT-09-USD</t>
  </si>
  <si>
    <t>DT-10-USD</t>
  </si>
  <si>
    <t>DT-11-USD</t>
  </si>
  <si>
    <t>DT-12-USD</t>
  </si>
  <si>
    <t>DT-DB25-USD</t>
  </si>
  <si>
    <t>200319</t>
  </si>
  <si>
    <t>200332</t>
  </si>
  <si>
    <t>104894</t>
  </si>
  <si>
    <t>105194</t>
  </si>
  <si>
    <t>200365</t>
  </si>
  <si>
    <t>105356</t>
  </si>
  <si>
    <t>200370</t>
  </si>
  <si>
    <t>105287</t>
  </si>
  <si>
    <t>105263</t>
  </si>
  <si>
    <t>105281</t>
  </si>
  <si>
    <t>200388</t>
  </si>
  <si>
    <t>200391</t>
  </si>
  <si>
    <t>200368</t>
  </si>
  <si>
    <t>105354</t>
  </si>
  <si>
    <t>105204</t>
  </si>
  <si>
    <t>200311</t>
  </si>
  <si>
    <t>105333</t>
  </si>
  <si>
    <t>200359</t>
  </si>
  <si>
    <t>105223</t>
  </si>
  <si>
    <t>105271</t>
  </si>
  <si>
    <t>200357</t>
  </si>
  <si>
    <t>200380</t>
  </si>
  <si>
    <t>104877</t>
  </si>
  <si>
    <t>105284</t>
  </si>
  <si>
    <t>105328</t>
  </si>
  <si>
    <t>105312</t>
  </si>
  <si>
    <t>200367</t>
  </si>
  <si>
    <t>200383</t>
  </si>
  <si>
    <t>105222</t>
  </si>
  <si>
    <t>200364</t>
  </si>
  <si>
    <t>200372</t>
  </si>
  <si>
    <t>200343</t>
  </si>
  <si>
    <t>200377</t>
  </si>
  <si>
    <t>105207</t>
  </si>
  <si>
    <t>104909</t>
  </si>
  <si>
    <t>105292</t>
  </si>
  <si>
    <t>200355</t>
  </si>
  <si>
    <t>105286</t>
  </si>
  <si>
    <t>1000</t>
  </si>
  <si>
    <t>105335</t>
  </si>
  <si>
    <t>105324</t>
  </si>
  <si>
    <t>105339</t>
  </si>
  <si>
    <t>200329</t>
  </si>
  <si>
    <t>200390</t>
  </si>
  <si>
    <t>200386</t>
  </si>
  <si>
    <t>200381</t>
  </si>
  <si>
    <t>200387</t>
  </si>
  <si>
    <t>105272</t>
  </si>
  <si>
    <t>105248</t>
  </si>
  <si>
    <t>105306</t>
  </si>
  <si>
    <t>200358</t>
  </si>
  <si>
    <t>105349</t>
  </si>
  <si>
    <t>105364</t>
  </si>
  <si>
    <t>102990</t>
  </si>
  <si>
    <t>200330</t>
  </si>
  <si>
    <t>200374</t>
  </si>
  <si>
    <t>200326</t>
  </si>
  <si>
    <t>200389</t>
  </si>
  <si>
    <t>105301</t>
  </si>
  <si>
    <t>200394</t>
  </si>
  <si>
    <t>200382</t>
  </si>
  <si>
    <t>200341</t>
  </si>
  <si>
    <t>200369</t>
  </si>
  <si>
    <t>200384</t>
  </si>
  <si>
    <t>102865</t>
  </si>
  <si>
    <t>105291</t>
  </si>
  <si>
    <t>105357</t>
  </si>
  <si>
    <t>105265</t>
  </si>
  <si>
    <t>105360</t>
  </si>
  <si>
    <t>200376</t>
  </si>
  <si>
    <t>105323</t>
  </si>
  <si>
    <t>200375</t>
  </si>
  <si>
    <t>105319</t>
  </si>
  <si>
    <t>105341</t>
  </si>
  <si>
    <t>105330</t>
  </si>
  <si>
    <t>200385</t>
  </si>
  <si>
    <t>105351</t>
  </si>
  <si>
    <t>105350</t>
  </si>
  <si>
    <t>105186</t>
  </si>
  <si>
    <t>105359</t>
  </si>
  <si>
    <t>105355</t>
  </si>
  <si>
    <t>200337</t>
  </si>
  <si>
    <t>105336</t>
  </si>
  <si>
    <t>105358</t>
  </si>
  <si>
    <t>105189</t>
  </si>
  <si>
    <t>105342</t>
  </si>
  <si>
    <t>105348</t>
  </si>
  <si>
    <t>105219</t>
  </si>
  <si>
    <t>200392</t>
  </si>
  <si>
    <t>105329</t>
  </si>
  <si>
    <t>105346</t>
  </si>
  <si>
    <t>105347</t>
  </si>
  <si>
    <t>105334</t>
  </si>
  <si>
    <t>105367</t>
  </si>
  <si>
    <t>105361</t>
  </si>
  <si>
    <t>105214</t>
  </si>
  <si>
    <t>105327</t>
  </si>
  <si>
    <t>105267</t>
  </si>
  <si>
    <t>105313</t>
  </si>
  <si>
    <t>105365</t>
  </si>
  <si>
    <t>SỐ LƯỢNG TỒN KHO 31/08/2025</t>
  </si>
  <si>
    <t>Mã đầu 11*: thành phẩm</t>
  </si>
  <si>
    <t>Mã đầu 16*: Lấy các loại phó sản</t>
  </si>
  <si>
    <t>Material</t>
  </si>
  <si>
    <t>Material Description</t>
  </si>
  <si>
    <t>Số lượng</t>
  </si>
  <si>
    <t>Hạt nhựa rPET WSS01</t>
  </si>
  <si>
    <t>160012270</t>
  </si>
  <si>
    <t>Phó Sản HD Thổi Trong Vảy L1</t>
  </si>
  <si>
    <t>110000330</t>
  </si>
  <si>
    <t>Hạt nhựa rPET iSS01</t>
  </si>
  <si>
    <t>160012271</t>
  </si>
  <si>
    <t>Phó Sản HD Thổi Trong Vảy L2</t>
  </si>
  <si>
    <t>Hạt nhựa rPET iSS01084G</t>
  </si>
  <si>
    <t>160012274</t>
  </si>
  <si>
    <t>Phó Sản HD Thổi Trong Zigzag</t>
  </si>
  <si>
    <t>Hạt nhựa rPET WSS03</t>
  </si>
  <si>
    <t>160012311</t>
  </si>
  <si>
    <t>Phó Sản PET Zigzag</t>
  </si>
  <si>
    <t>Hạt nhựa rPET WSS04</t>
  </si>
  <si>
    <t>160012334</t>
  </si>
  <si>
    <t>Phó Sản PET Bụi Cám Sau Sàn Rung</t>
  </si>
  <si>
    <t>110000336</t>
  </si>
  <si>
    <t>Hạt nhựa rHDPE thử nghiệm</t>
  </si>
  <si>
    <t>160012336</t>
  </si>
  <si>
    <t>Phó Sản PET Bụi Cám</t>
  </si>
  <si>
    <t>110000337</t>
  </si>
  <si>
    <t>Hạt Nhựa rHDB03W01</t>
  </si>
  <si>
    <t>160012344</t>
  </si>
  <si>
    <t>Phó Sản HD Thổi Trong Đầu Keo</t>
  </si>
  <si>
    <t>Hạt Nhựa rHDPE MBF01</t>
  </si>
  <si>
    <t>160012347</t>
  </si>
  <si>
    <t>Phó Sản PP Đen Đầu Keo</t>
  </si>
  <si>
    <t>Hạt nhựa rHDB04B01</t>
  </si>
  <si>
    <t>160012351</t>
  </si>
  <si>
    <t>Phó Sản HD Thổi Đen Đầu Keo</t>
  </si>
  <si>
    <t>110000343</t>
  </si>
  <si>
    <t>Hạt Nhựa rHDB03G01</t>
  </si>
  <si>
    <t>160012352</t>
  </si>
  <si>
    <t>Phó Sản HD Ép Đen Đầu Keo</t>
  </si>
  <si>
    <t>110000345</t>
  </si>
  <si>
    <t>Hạt Nhựa rHDB03Y01</t>
  </si>
  <si>
    <t>160012360</t>
  </si>
  <si>
    <t>Phó Sản HD Ép Bụi</t>
  </si>
  <si>
    <t>Hạt nhựa rPET WSS01G 1</t>
  </si>
  <si>
    <t>160012361</t>
  </si>
  <si>
    <t>Phó Sản HD Thổi Trong Bụi</t>
  </si>
  <si>
    <t>Hạt nhựa rPET iSS01G 1</t>
  </si>
  <si>
    <t>160012362</t>
  </si>
  <si>
    <t>Phó sản bụi PP ép</t>
  </si>
  <si>
    <t>Hạt nhựa rPET WSS02G</t>
  </si>
  <si>
    <t>160012417</t>
  </si>
  <si>
    <t>Phó Sản PET HAD</t>
  </si>
  <si>
    <t>Hạt nhựa rPET WSS03G</t>
  </si>
  <si>
    <t>160012419</t>
  </si>
  <si>
    <t>Phó Sản PET Tomra Cổng 3</t>
  </si>
  <si>
    <t>Hạt nhựa rHDI4L01</t>
  </si>
  <si>
    <t>160012420</t>
  </si>
  <si>
    <t>Phó Sản PET Quét Nền</t>
  </si>
  <si>
    <t>Hạt nhựa rHDI3R01</t>
  </si>
  <si>
    <t>160012422</t>
  </si>
  <si>
    <t>Phó Sản PET Tromel</t>
  </si>
  <si>
    <t>Hạt nhựa rHDI3Gy01</t>
  </si>
  <si>
    <t>160012423</t>
  </si>
  <si>
    <t>Phó Sản PET Bụi Vảy</t>
  </si>
  <si>
    <t>Hạt nhựa rHDI3Y01</t>
  </si>
  <si>
    <t>160012430</t>
  </si>
  <si>
    <t>Phó Sản PET Bụi Xúc Bồn</t>
  </si>
  <si>
    <t>Hạt nhựa rHDI3W01</t>
  </si>
  <si>
    <t>160012431</t>
  </si>
  <si>
    <t>Phó Sản PET Tuyển nổi 2</t>
  </si>
  <si>
    <t>Hạt nhựa rHDI3G01</t>
  </si>
  <si>
    <t>160012432</t>
  </si>
  <si>
    <t>Phó Sản HD Thổi Trắng Sữa Vảy L1</t>
  </si>
  <si>
    <t>110000367</t>
  </si>
  <si>
    <t>Hạt nhựa rPP15R01</t>
  </si>
  <si>
    <t>160012433</t>
  </si>
  <si>
    <t>Phó Sản HD Thổi Trắng Sữa Vảy L2</t>
  </si>
  <si>
    <t>110000369</t>
  </si>
  <si>
    <t>Hạt nhựa rPP25W01</t>
  </si>
  <si>
    <t>160012435</t>
  </si>
  <si>
    <t>Phó Sản HD Thổi Trắng Sữa Zigzag</t>
  </si>
  <si>
    <t>110000370</t>
  </si>
  <si>
    <t>Hạt nhựa rPP15Gy01</t>
  </si>
  <si>
    <t>160012436</t>
  </si>
  <si>
    <t>Phó Sản HD Thổi Trắng Sữa Bụi</t>
  </si>
  <si>
    <t>110000371</t>
  </si>
  <si>
    <t>Hạt nhựa rPP15B01</t>
  </si>
  <si>
    <t>160012445</t>
  </si>
  <si>
    <t>Phó Sản PET ZigZag B5</t>
  </si>
  <si>
    <t>110000373</t>
  </si>
  <si>
    <t>Hạt nhựa rHDI4DL01</t>
  </si>
  <si>
    <t>160012451</t>
  </si>
  <si>
    <t>Phó Sản HD Thổi Vàng Vảy L1</t>
  </si>
  <si>
    <t>Hạt Nhựa rHDB03N02</t>
  </si>
  <si>
    <t>160012452</t>
  </si>
  <si>
    <t>Phó Sản HD Thổi Vàng Vảy L2</t>
  </si>
  <si>
    <t>110000376</t>
  </si>
  <si>
    <t>Hạt nhựa rPET iSS01L</t>
  </si>
  <si>
    <t>160012454</t>
  </si>
  <si>
    <t>Phó Sản HD Thổi Vàng Chìm</t>
  </si>
  <si>
    <t>110000377</t>
  </si>
  <si>
    <t>Hạt nhựa rPET WSS01G 2</t>
  </si>
  <si>
    <t>160012457</t>
  </si>
  <si>
    <t>Phó Sản HD Thổi Trong Vảy L1 QMT</t>
  </si>
  <si>
    <t>110000378</t>
  </si>
  <si>
    <t>Hạt nhựa rPET iSS01G 2</t>
  </si>
  <si>
    <t>160012458</t>
  </si>
  <si>
    <t>Phó Sản HD Thổi Trong Vảy L2 QMT</t>
  </si>
  <si>
    <t>110000381</t>
  </si>
  <si>
    <t>Hạt nhựa rPET WSS04SD</t>
  </si>
  <si>
    <t>160012565</t>
  </si>
  <si>
    <t>Phó Sản PP Đỏ Vảy Chìm</t>
  </si>
  <si>
    <t>Hạt nhựa rPET WSS04SB</t>
  </si>
  <si>
    <t>160012566</t>
  </si>
  <si>
    <t>Phó Sản PP Dương Vảy Chìm</t>
  </si>
  <si>
    <t>110000383</t>
  </si>
  <si>
    <t>Hạt Nhựa rPET iSS84G-P</t>
  </si>
  <si>
    <t>160012569</t>
  </si>
  <si>
    <t>Phó Sản PP Trắng Sữa Vảy Chìm</t>
  </si>
  <si>
    <t>110000384</t>
  </si>
  <si>
    <t>Hạt Nhựa Xơ Sợi Thử Nghiệm</t>
  </si>
  <si>
    <t>160012571</t>
  </si>
  <si>
    <t>Phó Sản PP Trong Vảy Chìm</t>
  </si>
  <si>
    <t>110000385</t>
  </si>
  <si>
    <t>Hạt Nhựa rHDB05N01</t>
  </si>
  <si>
    <t>160012605</t>
  </si>
  <si>
    <t>Phó Sản PP Trắng Đầu Keo</t>
  </si>
  <si>
    <t>110000387</t>
  </si>
  <si>
    <t>Hạt nhựa rPET WSS03SD</t>
  </si>
  <si>
    <t>160012607</t>
  </si>
  <si>
    <t>Phó Sản PET Zigzag Sau Lựa</t>
  </si>
  <si>
    <t>Hạt nhựa rPP20R01</t>
  </si>
  <si>
    <t>160012608</t>
  </si>
  <si>
    <t>Phó Sản PET Tomra Cổng 3 Sau Lựa</t>
  </si>
  <si>
    <t>Hạt nhựa rPP20R02</t>
  </si>
  <si>
    <t>160012664</t>
  </si>
  <si>
    <t>Phó Sản HD Thổi Lá Zigzag</t>
  </si>
  <si>
    <t>110000390</t>
  </si>
  <si>
    <t>Hạt nhựa rPP20L01</t>
  </si>
  <si>
    <t>160012678</t>
  </si>
  <si>
    <t>Phó Sản PET Bụi Cám Sau Vắt</t>
  </si>
  <si>
    <t>110000391</t>
  </si>
  <si>
    <t>Hạt nhựa rPP20L02</t>
  </si>
  <si>
    <t>160012710</t>
  </si>
  <si>
    <t>Phó Sản HD Vảy Quét Nền</t>
  </si>
  <si>
    <t>Hạt nhựa rPP20B01</t>
  </si>
  <si>
    <t>160012712</t>
  </si>
  <si>
    <t>Phó Sản PP Dương Bụi</t>
  </si>
  <si>
    <t>Hạt nhựa rPP20Be01</t>
  </si>
  <si>
    <t>160012716</t>
  </si>
  <si>
    <t>Đầu Keo LDPE Thổi Trong</t>
  </si>
  <si>
    <t>110000394</t>
  </si>
  <si>
    <t>Hạt nhựa rPP15Gy02</t>
  </si>
  <si>
    <t>160012726</t>
  </si>
  <si>
    <t>Phó Sản PET Bụi Tank A</t>
  </si>
  <si>
    <t>160012727</t>
  </si>
  <si>
    <t>Phó Sản PET Bụi Tank B</t>
  </si>
  <si>
    <t>160012728</t>
  </si>
  <si>
    <t>Phó Sản PET Bụi Tank C</t>
  </si>
  <si>
    <t>160012729</t>
  </si>
  <si>
    <t>Phó Sản PET Bụi Tank D</t>
  </si>
  <si>
    <t>160012734</t>
  </si>
  <si>
    <t>Phó Sản PET Bụi Tank C, D Sau Vắt</t>
  </si>
  <si>
    <t>160012749</t>
  </si>
  <si>
    <t>Phó Sản HD Ép Dương Đậm Tiger L1</t>
  </si>
  <si>
    <t>160012750</t>
  </si>
  <si>
    <t>Phó Sản HD Ép Dương Đậm Tiger L2</t>
  </si>
  <si>
    <t>160012751</t>
  </si>
  <si>
    <t>Phó Sản HD Ép Dương Bụi</t>
  </si>
  <si>
    <t>160012755</t>
  </si>
  <si>
    <t>Phó Sản HD Ép Dương Nhạt Pallet L1</t>
  </si>
  <si>
    <t>110000422</t>
  </si>
  <si>
    <t>Vảy PP Đỏ Đậm</t>
  </si>
  <si>
    <t>160012756</t>
  </si>
  <si>
    <t>Phó Sản HD Ép Dương Nhạt Pallet L2</t>
  </si>
  <si>
    <t>160012758</t>
  </si>
  <si>
    <t>Phó Sản HD Ép Dương Nhạt Pallet Meyer</t>
  </si>
  <si>
    <t>110000424</t>
  </si>
  <si>
    <t>Vảy PP Dương Đậm</t>
  </si>
  <si>
    <t>160012760</t>
  </si>
  <si>
    <t>Phó Sản HD Ép Dương Két Pepsi L1</t>
  </si>
  <si>
    <t>Hạt Nhựa HCBF-Whi-U</t>
  </si>
  <si>
    <t>160012761</t>
  </si>
  <si>
    <t>Phó Sản HD Ép Dương Két Pepsi L2</t>
  </si>
  <si>
    <t>Hạt Nhựa HCBF-Yel-U</t>
  </si>
  <si>
    <t>160012770</t>
  </si>
  <si>
    <t>Phó Sản HD Thổi Trắng Sữa Chìm</t>
  </si>
  <si>
    <t>110000427</t>
  </si>
  <si>
    <t>Hạt Nhựa HCBF-Gre-U</t>
  </si>
  <si>
    <t>160012771</t>
  </si>
  <si>
    <t>Phó Sản HD Thổi Trắng Sữa Meyer</t>
  </si>
  <si>
    <t>110000428</t>
  </si>
  <si>
    <t>Dây đai PET</t>
  </si>
  <si>
    <t>160012772</t>
  </si>
  <si>
    <t>Phó Sản HD Thổi Trong Chìm</t>
  </si>
  <si>
    <t>110000429</t>
  </si>
  <si>
    <t>Hạt Nhựa rHDPE MAF01</t>
  </si>
  <si>
    <t>160012774</t>
  </si>
  <si>
    <t>Phó Sản HD Thổi Vàng Bụi</t>
  </si>
  <si>
    <t>110000430</t>
  </si>
  <si>
    <t>Hạt Nhựa rPET Bán Thành Phẩm</t>
  </si>
  <si>
    <t>160012776</t>
  </si>
  <si>
    <t>Phó Sản HD Ép Olefin Meyer</t>
  </si>
  <si>
    <t>110000431</t>
  </si>
  <si>
    <t>Hạt Nhựa rHDI3Gy02</t>
  </si>
  <si>
    <t>160012781</t>
  </si>
  <si>
    <t>Phó Sản HD Thổi Trong Vảy L1 Lần 2</t>
  </si>
  <si>
    <t>Hạt Nhựa rHDB03N01</t>
  </si>
  <si>
    <t>160012782</t>
  </si>
  <si>
    <t>Phó Sản HD Thổi Trong Vảy L2 Lần 2</t>
  </si>
  <si>
    <t>110000433</t>
  </si>
  <si>
    <t>Hạt Nhựa rHDB03N03</t>
  </si>
  <si>
    <t>160012783</t>
  </si>
  <si>
    <t>Phó Sản PET Đầu Keo</t>
  </si>
  <si>
    <t>Hạt Nhựa rPP20L03</t>
  </si>
  <si>
    <t>160012787</t>
  </si>
  <si>
    <t>Phó Sản PP Trắng Sữa Bụi</t>
  </si>
  <si>
    <t>Hạt nhựa rPET WSS05SB</t>
  </si>
  <si>
    <t>160012788</t>
  </si>
  <si>
    <t>Phó sản PP Trắng Sữa Meyer</t>
  </si>
  <si>
    <t>110000439</t>
  </si>
  <si>
    <t>Vảy PP Trắng Sữa</t>
  </si>
  <si>
    <t>160012792</t>
  </si>
  <si>
    <t>Phó Sản PET Hạt Lẫn Kim Loại FRH</t>
  </si>
  <si>
    <t>110000440</t>
  </si>
  <si>
    <t>Hạt Nhựa LDPE Thử Nghiệm</t>
  </si>
  <si>
    <t>160012804</t>
  </si>
  <si>
    <t>Phó Sản HD Ép Lá Đầu Keo</t>
  </si>
  <si>
    <t>110000441</t>
  </si>
  <si>
    <t>Hạt Nhựa PP Thử Nghiệm</t>
  </si>
  <si>
    <t>160012805</t>
  </si>
  <si>
    <t>Phó Sản HD Ép Vàng Đầu Keo</t>
  </si>
  <si>
    <t>110000464</t>
  </si>
  <si>
    <t>Hạt Nhựa rPET WSS06SP-1</t>
  </si>
  <si>
    <t>160012814</t>
  </si>
  <si>
    <t>Phó Sản HD Thổi Vàng Đầu Keo</t>
  </si>
  <si>
    <t>Hạt Nhựa rPET WSS05SB-2</t>
  </si>
  <si>
    <t>160012824</t>
  </si>
  <si>
    <t>Phó Sản PP Đỏ Đầu Keo SB</t>
  </si>
  <si>
    <t>110000468</t>
  </si>
  <si>
    <t>Hạt Nhựa rPET iSS80G-P</t>
  </si>
  <si>
    <t>160012838</t>
  </si>
  <si>
    <t>Phó Sản HD Thổi Trong Vảy L1 GC</t>
  </si>
  <si>
    <t>110000469</t>
  </si>
  <si>
    <t>Vảy HD Ép Dương Bình Thuận</t>
  </si>
  <si>
    <t>160012842</t>
  </si>
  <si>
    <t>Phó Sản HD Thổi Trong Vảy L2 QMT GC</t>
  </si>
  <si>
    <t>Hạt Nhựa rPP20L05</t>
  </si>
  <si>
    <t>160012866</t>
  </si>
  <si>
    <t>Phó Sản PP Trắng Sữa Cổng 2 Vảy</t>
  </si>
  <si>
    <t>Hạt Nhựa rPP20Gy01</t>
  </si>
  <si>
    <t>160012867</t>
  </si>
  <si>
    <t>Phó Sản PP Trắng Sữa Cổng 3 Vảy</t>
  </si>
  <si>
    <t>Hạt Nhựa rHDPE PCF01</t>
  </si>
  <si>
    <t>160012892</t>
  </si>
  <si>
    <t>Phó Sản HD Ép Olefin PET B6.2 ST</t>
  </si>
  <si>
    <t>Hạt Nhựa rPP20W01</t>
  </si>
  <si>
    <t>160012893</t>
  </si>
  <si>
    <t>Phó Sản HD Ép Hỗn Hợp Nắp B6.2 ST</t>
  </si>
  <si>
    <t>Hạt Nhựa rPET iSS01G-S</t>
  </si>
  <si>
    <t>160012896</t>
  </si>
  <si>
    <t>Phó Sản PET Bụi LB</t>
  </si>
  <si>
    <t>110000484</t>
  </si>
  <si>
    <t>Hạt Nhựa rPET WSS01G 1 PL</t>
  </si>
  <si>
    <t>160012935</t>
  </si>
  <si>
    <t>Phó Sản Hạt rPET WSS01G Lẫn Kim Loại</t>
  </si>
  <si>
    <t>110000485</t>
  </si>
  <si>
    <t>Hạt Nhựa rPET WSS01G 2 PL</t>
  </si>
  <si>
    <t>160012939</t>
  </si>
  <si>
    <t>Phó Sản Hạt rPET WSS01 Lẫn Kim Loại</t>
  </si>
  <si>
    <t>110000486</t>
  </si>
  <si>
    <t>Hạt Nhựa rPET iSS01G 1 PL</t>
  </si>
  <si>
    <t>160012946</t>
  </si>
  <si>
    <t>Phó Sản HD Thổi Đen Bụi</t>
  </si>
  <si>
    <t>110000487</t>
  </si>
  <si>
    <t>Hạt Nhựa rPET iSS01G 2 PL</t>
  </si>
  <si>
    <t>Phó Sản HD Ép Hỗn Hợp Cuối SSR</t>
  </si>
  <si>
    <t>110000488</t>
  </si>
  <si>
    <t>Hạt Nhựa rPET iSS01084G PL</t>
  </si>
  <si>
    <t>110000491</t>
  </si>
  <si>
    <t>Hạt Nhựa rPET iSS01G-S PL</t>
  </si>
  <si>
    <t>110000492</t>
  </si>
  <si>
    <t>Hạt Nhựa rPET WSS03G PL</t>
  </si>
  <si>
    <t>110000493</t>
  </si>
  <si>
    <t>Hạt Nhựa rPET WSS01 PL</t>
  </si>
  <si>
    <t>Hạt Nhựa rHDA03W01</t>
  </si>
  <si>
    <t>Hạt Nhựa rHDI7DL02</t>
  </si>
  <si>
    <t>Hạt Nhựa rPET WSS01G-L</t>
  </si>
  <si>
    <t>Hạt Nhựa rPET WSS01L</t>
  </si>
  <si>
    <t>110000500</t>
  </si>
  <si>
    <t>Hạt Nhựa rPET WSS01L PL</t>
  </si>
  <si>
    <t>110000502</t>
  </si>
  <si>
    <t>Hạt Nhựa rLDB2N01</t>
  </si>
  <si>
    <t>Hạt Nhựa rPET WSS01S</t>
  </si>
  <si>
    <t>Hạt Nhựa rPET WSS01 Mixed WSS01G-L</t>
  </si>
  <si>
    <t>Hạt Nhựa rPP20W02</t>
  </si>
  <si>
    <t>DANH MỤC MÃ</t>
  </si>
  <si>
    <t>DANH MỤC KÊNH</t>
  </si>
  <si>
    <t>DANH MỤC INCOTERM</t>
  </si>
  <si>
    <t>DANH MỤC KHÁCH HÀNG</t>
  </si>
  <si>
    <t>DANH MỤC SALES</t>
  </si>
  <si>
    <t>MỨC ĐỘ KHẢ THI</t>
  </si>
  <si>
    <t>DANH MỤC ĐỊA ĐIỂM ĐẾN</t>
  </si>
  <si>
    <t>Format trùng</t>
  </si>
  <si>
    <t>Mã SKU</t>
  </si>
  <si>
    <t>Tên SKU-SAP</t>
  </si>
  <si>
    <t>Tên SKU-rút gọn</t>
  </si>
  <si>
    <t>Hạt/Vảy</t>
  </si>
  <si>
    <t>Nhóm ngành</t>
  </si>
  <si>
    <t>Phân loại</t>
  </si>
  <si>
    <t>STT-Nhom nganh</t>
  </si>
  <si>
    <t>STT-Ngành hàng</t>
  </si>
  <si>
    <t>Tên khách-rút gọn</t>
  </si>
  <si>
    <t>ZE</t>
  </si>
  <si>
    <t>Z4</t>
  </si>
  <si>
    <t>Nước</t>
  </si>
  <si>
    <t>Địa điểm đến_Rút gọn</t>
  </si>
  <si>
    <t>v</t>
  </si>
  <si>
    <t>Hạt</t>
  </si>
  <si>
    <t>00001257</t>
  </si>
  <si>
    <t>Bờ Đông</t>
  </si>
  <si>
    <t>Châu Mỹ</t>
  </si>
  <si>
    <t>00001259</t>
  </si>
  <si>
    <t>Bờ Tây</t>
  </si>
  <si>
    <t>Khác</t>
  </si>
  <si>
    <t>FCA</t>
  </si>
  <si>
    <t>00001260</t>
  </si>
  <si>
    <t>Thông</t>
  </si>
  <si>
    <t>Cảng A</t>
  </si>
  <si>
    <t>00001256</t>
  </si>
  <si>
    <t>Cảng B</t>
  </si>
  <si>
    <t>FCA &amp; FOB</t>
  </si>
  <si>
    <t>00001261</t>
  </si>
  <si>
    <t>Cảng C</t>
  </si>
  <si>
    <t>iSS01L</t>
  </si>
  <si>
    <t>DAP</t>
  </si>
  <si>
    <t>00001258</t>
  </si>
  <si>
    <t>Long An</t>
  </si>
  <si>
    <t>Châu Á</t>
  </si>
  <si>
    <t>WSS01G 2</t>
  </si>
  <si>
    <t>DUY</t>
  </si>
  <si>
    <t>iSS01G 2</t>
  </si>
  <si>
    <t>TUYEN</t>
  </si>
  <si>
    <t>iSS84G-P</t>
  </si>
  <si>
    <t>0.84 ± 0.02</t>
  </si>
  <si>
    <t>ANDY</t>
  </si>
  <si>
    <t>Cần Thơ</t>
  </si>
  <si>
    <t>WSS02G</t>
  </si>
  <si>
    <t>rPET BTP</t>
  </si>
  <si>
    <t>iSS01</t>
  </si>
  <si>
    <t>110000331</t>
  </si>
  <si>
    <t>Hạt nhựa rPET WSS02</t>
  </si>
  <si>
    <t>WSS02</t>
  </si>
  <si>
    <t>WSS04</t>
  </si>
  <si>
    <t>110000353</t>
  </si>
  <si>
    <t>Hạt nhựa rPET WSS01-Mixed</t>
  </si>
  <si>
    <t>WSS01-Mixed</t>
  </si>
  <si>
    <t>110000356</t>
  </si>
  <si>
    <t>Hạt nhựa rPET WSS01G-hủy</t>
  </si>
  <si>
    <t>WSS01G-hủy</t>
  </si>
  <si>
    <t>Châu Úc</t>
  </si>
  <si>
    <t>110000357</t>
  </si>
  <si>
    <t>Hạt nhựa rPET iSS01G</t>
  </si>
  <si>
    <t>iSS01G</t>
  </si>
  <si>
    <t>iSS80G-P</t>
  </si>
  <si>
    <t>Leixoes</t>
  </si>
  <si>
    <t>Châu Phi</t>
  </si>
  <si>
    <t>Hạt Nhựa rPET WSS01 &amp; WSS01G-L</t>
  </si>
  <si>
    <t>rHDB03W01</t>
  </si>
  <si>
    <t>rHDB03G01</t>
  </si>
  <si>
    <t>rHDB03Y01</t>
  </si>
  <si>
    <t>rHDPE MAF01</t>
  </si>
  <si>
    <t>105326</t>
  </si>
  <si>
    <t>Kim Thuận Phát (Long An)</t>
  </si>
  <si>
    <t>110000340</t>
  </si>
  <si>
    <t>Hạt nhựa rHDPE MBF02</t>
  </si>
  <si>
    <t>rHDPE MBF02</t>
  </si>
  <si>
    <t>rHDB05N01</t>
  </si>
  <si>
    <t>Hạt Nhựa rHDA03N01</t>
  </si>
  <si>
    <t>HCBF-Gre-U</t>
  </si>
  <si>
    <t>Canada</t>
  </si>
  <si>
    <t>Shanghai</t>
  </si>
  <si>
    <t>Trung Quốc</t>
  </si>
  <si>
    <t>rHDI4DL01</t>
  </si>
  <si>
    <t>rHDI3Gy02</t>
  </si>
  <si>
    <t>rPP15R01</t>
  </si>
  <si>
    <t>rPP25W01</t>
  </si>
  <si>
    <t>rPP15B01</t>
  </si>
  <si>
    <t>rPP20L01</t>
  </si>
  <si>
    <t>PP Thử Nghiệm</t>
  </si>
  <si>
    <t>rPP20L02</t>
  </si>
  <si>
    <t>Hạt Nhựa rPP20L04</t>
  </si>
  <si>
    <t>rPP15Gy02</t>
  </si>
  <si>
    <t>110000368</t>
  </si>
  <si>
    <t>Hạt nhựa  rPP15L01</t>
  </si>
  <si>
    <t xml:space="preserve"> rPP15L01</t>
  </si>
  <si>
    <t>rPP15Gy01</t>
  </si>
  <si>
    <t>110000372</t>
  </si>
  <si>
    <t>Hạt nhựa rPP15Br01</t>
  </si>
  <si>
    <t>rPP15Br01</t>
  </si>
  <si>
    <t>WSS04SD</t>
  </si>
  <si>
    <t>WSS03SD</t>
  </si>
  <si>
    <t>Phó Sản HD Ép Hỗn Hợp Cuối ST</t>
  </si>
  <si>
    <t>Hạt nhựa rHDB01B01</t>
  </si>
  <si>
    <t>NS26-NEWCUS-001</t>
  </si>
  <si>
    <t>105338</t>
  </si>
  <si>
    <t>NS26-NEWCUS-002</t>
  </si>
  <si>
    <t>P &amp; G</t>
  </si>
  <si>
    <t>NS26-NEWCUS-003</t>
  </si>
  <si>
    <t>NS26-NEWCUS-004</t>
  </si>
  <si>
    <t>NS26-NEWCUS-005</t>
  </si>
  <si>
    <t>Ví dụ</t>
  </si>
  <si>
    <t>NS26-NEWCUS-006</t>
  </si>
  <si>
    <t>Lix</t>
  </si>
  <si>
    <t>NS26-NEWCUS-007</t>
  </si>
  <si>
    <t>NS26-NEWCUS-008</t>
  </si>
  <si>
    <t>105362</t>
  </si>
  <si>
    <t>Pentaplast</t>
  </si>
  <si>
    <t>NS26-NEWCUS-009</t>
  </si>
  <si>
    <t>NS26-NEWCUS-010</t>
  </si>
  <si>
    <t>200344</t>
  </si>
  <si>
    <t>NS26-NEWCUS-011</t>
  </si>
  <si>
    <t>NS26-NEWCUS-012</t>
  </si>
  <si>
    <t>NS26-NEWCUS-013</t>
  </si>
  <si>
    <t>NS26-NEWCUS-014</t>
  </si>
  <si>
    <t>NS26-NEWCUS-015</t>
  </si>
  <si>
    <t>NS26-NEWCUS-016</t>
  </si>
  <si>
    <t>NS26-NEWCUS-017</t>
  </si>
  <si>
    <t>NS26-NEWCUS-018</t>
  </si>
  <si>
    <t>NS26-NEWCUS-019</t>
  </si>
  <si>
    <t>NS26-NEWCUS-020</t>
  </si>
  <si>
    <t>New Development - vảy PP - NĐ</t>
  </si>
  <si>
    <t>NS26-NEWCUS-021</t>
  </si>
  <si>
    <t>NS26-NEWCUS-022</t>
  </si>
  <si>
    <t>New Development - vảy HDPE</t>
  </si>
  <si>
    <t>Tỷ giá</t>
  </si>
  <si>
    <t>iSS1084G</t>
  </si>
  <si>
    <t>Total</t>
  </si>
  <si>
    <t>Shared-DTR</t>
  </si>
  <si>
    <t>Thuế đối ứng</t>
  </si>
  <si>
    <t>Thuế nhập khẩu</t>
  </si>
  <si>
    <t>Niagara cp thực tế</t>
  </si>
  <si>
    <t>Cp làm hàng</t>
  </si>
  <si>
    <t>Hoa hồng</t>
  </si>
  <si>
    <t>Gía EXW</t>
  </si>
  <si>
    <t>DTR</t>
  </si>
  <si>
    <t>Đối thủ cạnh tranh</t>
  </si>
  <si>
    <t>Giá bán hiện tại (FOB):</t>
  </si>
  <si>
    <t>A. Quốc Anh offer (FOB):</t>
  </si>
  <si>
    <t>(ko có thuế nhập khẩu)</t>
  </si>
  <si>
    <t>Hàng bán trả lại</t>
  </si>
  <si>
    <t>Values</t>
  </si>
  <si>
    <t>Year</t>
  </si>
  <si>
    <t>Month</t>
  </si>
  <si>
    <t>Sum of SL</t>
  </si>
  <si>
    <t>Sum of Doanh thu EXW (USD)</t>
  </si>
  <si>
    <t>Sum of Doanh thu EXW (VND)</t>
  </si>
  <si>
    <t>Sum of Price EXW (USD/ton)</t>
  </si>
  <si>
    <t>Total Sum of SL</t>
  </si>
  <si>
    <t>Total Sum of Doanh thu EXW (USD)</t>
  </si>
  <si>
    <t>Total Sum of Doanh thu EXW (VND)</t>
  </si>
  <si>
    <t>Total Sum of Price EXW (USD/ton)</t>
  </si>
  <si>
    <t>Parent Company</t>
  </si>
  <si>
    <t>Tên SKU</t>
  </si>
  <si>
    <t>DIEUCHINH-rPET</t>
  </si>
  <si>
    <t>Điều chỉnh nhóm rPET</t>
  </si>
  <si>
    <t>Nhóm SP 3</t>
  </si>
  <si>
    <t>SKU | SKU name</t>
  </si>
  <si>
    <t>110000329 | Hạt nhựa rPET WSS01</t>
  </si>
  <si>
    <t>Nestle Việt Nam</t>
  </si>
  <si>
    <t>TÂN LẬP THÀNH</t>
  </si>
  <si>
    <t>Dung Avient</t>
  </si>
  <si>
    <t>110000332 | Hạt nhựa rPET iSS01084G</t>
  </si>
  <si>
    <t>MCP-Resinex</t>
  </si>
  <si>
    <t>Parker-DTP</t>
  </si>
  <si>
    <t>110000333 | Hạt nhựa rPET WSS03</t>
  </si>
  <si>
    <t>WORLD ELASTOMER</t>
  </si>
  <si>
    <t>110000335 | Hạt nhựa rPET WSS04</t>
  </si>
  <si>
    <t>110000354 | Hạt nhựa rPET WSS01G 1</t>
  </si>
  <si>
    <t>Niagara Mexico</t>
  </si>
  <si>
    <t>POLYMERS INTERNATIONAL</t>
  </si>
  <si>
    <t>PakPot Australia</t>
  </si>
  <si>
    <t>CTY THỰC PHẨM VĨ HUY</t>
  </si>
  <si>
    <t>Dân Ôn Foods</t>
  </si>
  <si>
    <t>MIDA</t>
  </si>
  <si>
    <t>TEXMAT VN</t>
  </si>
  <si>
    <t>Lix Việt Nam</t>
  </si>
  <si>
    <t>110000355 | Hạt nhựa rPET iSS01G 1</t>
  </si>
  <si>
    <t>Aguarela do Mundo, SA</t>
  </si>
  <si>
    <t>Magma International Co.,Ltd</t>
  </si>
  <si>
    <t>Công ty TNHH SX Và TM Việt Thành</t>
  </si>
  <si>
    <t>Itochu</t>
  </si>
  <si>
    <t>Suntory- Honchuan Viet Nam</t>
  </si>
  <si>
    <t>Colgate- Hưng Dụ</t>
  </si>
  <si>
    <t>Kao Việt Nam</t>
  </si>
  <si>
    <t>110000358 | Hạt nhựa rPET WSS02G</t>
  </si>
  <si>
    <t>Nhựa Chí Minh</t>
  </si>
  <si>
    <t>110000359 | Hạt nhựa rPET WSS03G</t>
  </si>
  <si>
    <t>110000376 | Hạt nhựa rPET iSS01L</t>
  </si>
  <si>
    <t>NAM THIÊN LONG</t>
  </si>
  <si>
    <t>110000383 | Hạt Nhựa rPET iSS84G-P</t>
  </si>
  <si>
    <t>Amcor FairField</t>
  </si>
  <si>
    <t>110000483 | Hạt Nhựa rPET iSS01G-S</t>
  </si>
  <si>
    <t>110000497 | Hạt Nhựa rPET WSS01G-L</t>
  </si>
  <si>
    <t>110000499 | Hạt Nhựa rPET WSS01L</t>
  </si>
  <si>
    <t>110000503 | Hạt Nhựa rPET WSS01S</t>
  </si>
  <si>
    <t>110000506 | Hạt Nhựa rPET WSS01 &amp; WSS01G-L</t>
  </si>
  <si>
    <t>110000337 | Hạt Nhựa rHDB03W01</t>
  </si>
  <si>
    <t>VI LỮ</t>
  </si>
  <si>
    <t>Nhựa Hồng Đông</t>
  </si>
  <si>
    <t>110000339 | Hạt Nhựa rHDPE MBF01</t>
  </si>
  <si>
    <t>110000341 | Hạt nhựa rHDB04B01</t>
  </si>
  <si>
    <t>110000343 | Hạt Nhựa rHDB03G01</t>
  </si>
  <si>
    <t>110000345 | Hạt Nhựa rHDB03Y01</t>
  </si>
  <si>
    <t>110000374 | Hạt Nhựa rHDB03N02</t>
  </si>
  <si>
    <t>110000425 | Hạt Nhựa HCBF-Whi-U</t>
  </si>
  <si>
    <t>110000426 | Hạt Nhựa HCBF-Yel-U</t>
  </si>
  <si>
    <t>110000432 | Hạt Nhựa rHDB03N01</t>
  </si>
  <si>
    <t>110000443 | Hạt Nhựa rHDA03N01</t>
  </si>
  <si>
    <t>Vân Nga</t>
  </si>
  <si>
    <t>110000481 | Hạt Nhựa rHDPE PCF01</t>
  </si>
  <si>
    <t>110000495 | Hạt Nhựa rHDA03W01</t>
  </si>
  <si>
    <t>150000104 | Vảy HD thổi trong L1 HV01.1_KR</t>
  </si>
  <si>
    <t>MINH THÀNH</t>
  </si>
  <si>
    <t>150000186 | Vảy PP Trắng Sữa PV-02_TM</t>
  </si>
  <si>
    <t>PHÚC LONG TÂY NINH</t>
  </si>
  <si>
    <t>160012345 | Phó sản máy Meyer</t>
  </si>
  <si>
    <t>160012374 | PS trả NCC HD thổi trong L1 HV01.1_TM</t>
  </si>
  <si>
    <t>RỒNG VIỆT</t>
  </si>
  <si>
    <t>160012451 | Phó Sản HD Thổi Vàng Vảy L1</t>
  </si>
  <si>
    <t>160012452 | Phó Sản HD Thổi Vàng Vảy L2</t>
  </si>
  <si>
    <t>160012454 | Phó Sản HD Thổi Vàng Vảy Tuyển Nổi</t>
  </si>
  <si>
    <t>160012607 | Phó Sản PET Zigzag Sau Lựa</t>
  </si>
  <si>
    <t>160012611 | Phó Sản HD Ép Hỗn Hợp Cuối ST</t>
  </si>
  <si>
    <t>160012726 | Phó Sản PET Bụi Tank A</t>
  </si>
  <si>
    <t>HOÀNG TẤN</t>
  </si>
  <si>
    <t>160012727 | Phó Sản PET Bụi Tank B</t>
  </si>
  <si>
    <t>160012728 | Phó Sản PET Bụi Tank C</t>
  </si>
  <si>
    <t>160012729 | Phó Sản PET Bụi Tank D</t>
  </si>
  <si>
    <t>160012743 | Phó Sản Trả NCC HD Thổi Vàng HV-03.1_TM</t>
  </si>
  <si>
    <t>160012837 | Vảy HD Thổi Trong HV-01.1-TM GC</t>
  </si>
  <si>
    <t>160012896 | Phó Sản PET Bụi LB</t>
  </si>
  <si>
    <t>160012902 | Vảy PP Trắng Sữa PV-02_TM Trả NCC</t>
  </si>
  <si>
    <t>160012912 | Vảy HD Ép Dương Tách Màu Trả NCC</t>
  </si>
  <si>
    <t>160012951 | Phó Sản HD Ép Hỗn Hợp Cuối SSR</t>
  </si>
  <si>
    <t>800006226 | Nhãn, PVC, OPP…</t>
  </si>
  <si>
    <t>GC</t>
  </si>
  <si>
    <t>110000428 | Dây đai PET</t>
  </si>
  <si>
    <t>GIA TƯỜNG</t>
  </si>
  <si>
    <t>110000381 | Hạt nhựa rPET WSS04SD</t>
  </si>
  <si>
    <t>KOLON GLOBAL CORPORATION</t>
  </si>
  <si>
    <t>Inabata Singapore</t>
  </si>
  <si>
    <t>110000382 | Hạt nhựa rPET WSS04SB</t>
  </si>
  <si>
    <t>Chori Vietnam Co., Ltd.</t>
  </si>
  <si>
    <t>110000436 | Hạt nhựa rPET WSS05SB</t>
  </si>
  <si>
    <t>Custom Synthetic Fibers, LLC</t>
  </si>
  <si>
    <t>Ngọc Hoàng Gia</t>
  </si>
  <si>
    <t>110000466 | Hạt Nhựa rPET WSS05SB-2</t>
  </si>
  <si>
    <t>110000360 | Hạt nhựa rHDI4L01</t>
  </si>
  <si>
    <t>110000361 | Hạt nhựa rHDI3R01</t>
  </si>
  <si>
    <t>110000363 | Hạt nhựa rHDI3Gy01</t>
  </si>
  <si>
    <t>110000364 | Hạt nhựa rHDI3Y01</t>
  </si>
  <si>
    <t>110000365 | Hạt nhựa rHDI3W01</t>
  </si>
  <si>
    <t>Visual Plastic</t>
  </si>
  <si>
    <t>NHỰA PHÚ MỸ</t>
  </si>
  <si>
    <t>OK SUNG VINA</t>
  </si>
  <si>
    <t>110000366 | Hạt nhựa rHDI3G01</t>
  </si>
  <si>
    <t>110000373 | Hạt nhựa rHDI4DL01</t>
  </si>
  <si>
    <t>TIẾN THÀNH</t>
  </si>
  <si>
    <t>BPG SHINNIHON</t>
  </si>
  <si>
    <t>NHỰA VIỆT THÀNH</t>
  </si>
  <si>
    <t>UPGREEN VIỆT NAM</t>
  </si>
  <si>
    <t>110000469 | Vảy HD Ép Dương Bình Thuận</t>
  </si>
  <si>
    <t>BTS Bình Thuận</t>
  </si>
  <si>
    <t>110000496 | Hạt Nhựa rHDI7DL02</t>
  </si>
  <si>
    <t>ACTIVEBATCH | Xuất HTK active batch</t>
  </si>
  <si>
    <t>Bán Ngoài</t>
  </si>
  <si>
    <t>CHIPHIIO | Điều chỉnh chi phí vào dự án IO</t>
  </si>
  <si>
    <t>CP hình thành TSDD(IO)</t>
  </si>
  <si>
    <t>CHUYENMA | Chuyển mã</t>
  </si>
  <si>
    <t>CUTOFF-rPET | Cut-off ngành rPET</t>
  </si>
  <si>
    <t>DIEUCHINH | Điều chỉnh</t>
  </si>
  <si>
    <t>DIEUCHINH-CPHT | Điều chỉnh chi phí hỗ trợ khách hàng</t>
  </si>
  <si>
    <t>DIEUCHINH-GVHB | Điều chỉnh GVHB</t>
  </si>
  <si>
    <t>TP-ĐC K/C số dư</t>
  </si>
  <si>
    <t>DOIBATCH | Xuất HTK đổi batch</t>
  </si>
  <si>
    <t>KCKHONGPB | Chi phí giá thành không phân bổ được</t>
  </si>
  <si>
    <t>Kết chuyển CPSX không phân bổ được</t>
  </si>
  <si>
    <t>Cty Thạnh Phát</t>
  </si>
  <si>
    <t>KKHTK | Kiểm kê HTK</t>
  </si>
  <si>
    <t>Thành phẩm nhựa</t>
  </si>
  <si>
    <t>Phải trả khác đánh giá lại hàng tồn kho</t>
  </si>
  <si>
    <t>Bán thành phẩm nhựa</t>
  </si>
  <si>
    <t>TS thừa chờ g/quyết</t>
  </si>
  <si>
    <t>Chênh lệch CPSX cấp dưới (lower level)</t>
  </si>
  <si>
    <t>Chênh lệch CPSX đơn cấp (single level)</t>
  </si>
  <si>
    <t>OTHERS | Khác</t>
  </si>
  <si>
    <t>Tài trợ thương hiệu Duy Tân</t>
  </si>
  <si>
    <t>PT khác (GRIR khác)</t>
  </si>
  <si>
    <t>Chi phí bằng tiền khác</t>
  </si>
  <si>
    <t>YEI MACHINERY FACTORY CO.</t>
  </si>
  <si>
    <t>Chi phí phân bổ</t>
  </si>
  <si>
    <t>Phải trả khác- T/gian (Gắn TK151)</t>
  </si>
  <si>
    <t>Chi phí thử mẫu, xuất mẫu</t>
  </si>
  <si>
    <t>SESOTEC (THAILAND) LTD.</t>
  </si>
  <si>
    <t>Chi phí tiếp khách</t>
  </si>
  <si>
    <t>TNHH Nhựa Duy Tân</t>
  </si>
  <si>
    <t>Chi phí trả trước dài hạn cho BP gián tiếp</t>
  </si>
  <si>
    <t>Công ty TNHH MTV Đồng Lâm</t>
  </si>
  <si>
    <t>Phải thu khác-T/gian</t>
  </si>
  <si>
    <t>Công ty TNHH Nhựa Khánh Nga</t>
  </si>
  <si>
    <t>PLENMA</t>
  </si>
  <si>
    <t>CP tiệc, phúc lợi</t>
  </si>
  <si>
    <t>Repi Thai Co., Ltd.</t>
  </si>
  <si>
    <t>Tiền gửi NH VND VietinBank-CN Tây Sài Gòn</t>
  </si>
  <si>
    <t>KHUÔN CHÍNH XÁC MINH ĐẠT</t>
  </si>
  <si>
    <t>TOYOTA TSUSHO ASIA PACIFIC</t>
  </si>
  <si>
    <t>ZHejiang Boretech Environmental</t>
  </si>
  <si>
    <t>TAITRO | Tài trợ</t>
  </si>
  <si>
    <t>Masan- Tiêu Dùng MaSan</t>
  </si>
  <si>
    <t>Masan-Vinacafé Biên Hòa</t>
  </si>
  <si>
    <t>CÔNG TY PRO VIỆT NAM</t>
  </si>
  <si>
    <t>Masan- BỘT GIẶT NET</t>
  </si>
  <si>
    <t>CTY AJINOMOTO</t>
  </si>
  <si>
    <t>Masan-Nước Khoáng Quảng Ninh</t>
  </si>
  <si>
    <t>GREENU</t>
  </si>
  <si>
    <t>Mega Market</t>
  </si>
  <si>
    <t>L'Oreal VN</t>
  </si>
  <si>
    <t>MARICO</t>
  </si>
  <si>
    <t>THUEMAY | Thuê máy</t>
  </si>
  <si>
    <t>Chí phí phải trả khác- Open item</t>
  </si>
  <si>
    <t>THUEXUONG | Thuê xưởng, kho</t>
  </si>
  <si>
    <t>Chi phí thuê nhà, văn phòng, Xưởng, kho,</t>
  </si>
  <si>
    <t>TRICHTHUONG | Trích thưởng</t>
  </si>
  <si>
    <t>Quỹ phúc lợi</t>
  </si>
  <si>
    <t>Chi phí tiền lươngT 13 &amp; phép năm phải trả</t>
  </si>
  <si>
    <t>TRUYENTHONG | Tài trợ truyền thông</t>
  </si>
  <si>
    <t>VANCHUYEN | Vận chuyển</t>
  </si>
  <si>
    <t>CÔNG TY  ĐẠI LỘC</t>
  </si>
  <si>
    <t>VATKKT | VAT không khấu trừ</t>
  </si>
  <si>
    <t>Thuế GTGT được khấu trừ của hàng hoá, dịch vụ</t>
  </si>
  <si>
    <t>XUATSUDUNG | Chênh lệch MM60 và giá trị tồn khi xuất HTK đi sử dụng</t>
  </si>
  <si>
    <t>Nhiên liệu</t>
  </si>
  <si>
    <t>VẬN TẢI VIỆT Á</t>
  </si>
  <si>
    <t>CH TTNT HOÀN HẢO</t>
  </si>
  <si>
    <t>Nguyên liệu chính</t>
  </si>
  <si>
    <t>CH TTNT Quang Phát</t>
  </si>
  <si>
    <t>CH TTNT Thành Long</t>
  </si>
  <si>
    <t>CH TTNT Tín Đạt</t>
  </si>
  <si>
    <t>VIVA PLAST GMBH.</t>
  </si>
  <si>
    <t>LIVEFRESH LLC.</t>
  </si>
  <si>
    <t>NH International Corp.     </t>
  </si>
  <si>
    <t>PT CP vận chuyển</t>
  </si>
  <si>
    <t>CÔNG TY TNHH PLB VN</t>
  </si>
  <si>
    <t>Công ty Tôn Thép Hoàng Dung</t>
  </si>
  <si>
    <t>STARLINGER &amp; CO.Gesellschaft m.b.H</t>
  </si>
  <si>
    <t>CTY CP NƯỚC MT BÌNH DƯƠNG</t>
  </si>
  <si>
    <t>TRƯỜNG THỊNH</t>
  </si>
  <si>
    <t>Cty Hàng Hóa Sài Gòn</t>
  </si>
  <si>
    <t>Vật tư cơ khí kỹ thuật</t>
  </si>
  <si>
    <t>GV DC CL từ CPSX TT</t>
  </si>
  <si>
    <t>HQ HCM-Chuyển phát nhanh</t>
  </si>
  <si>
    <t>HQ SBTSN-NGHH </t>
  </si>
  <si>
    <t>110000367 | Hạt nhựa rPP15R01</t>
  </si>
  <si>
    <t>110000369 | Hạt nhựa rPP25W01</t>
  </si>
  <si>
    <t>110000389 | Hạt nhựa rPP20R02</t>
  </si>
  <si>
    <t>110000392 | Hạt nhựa rPP20B01</t>
  </si>
  <si>
    <t>110000435 | Hạt Nhựa rPP20L03</t>
  </si>
  <si>
    <t>110000441 | Hạt Nhựa PP Thử Nghiệm</t>
  </si>
  <si>
    <t>110000470 | Hạt Nhựa rPP20L04</t>
  </si>
  <si>
    <t>110000471 | Hạt Nhựa rPP20L05</t>
  </si>
  <si>
    <t>110000472 | Hạt Nhựa rPP20Gy01</t>
  </si>
  <si>
    <t>110000482 | Hạt Nhựa rPP20W01</t>
  </si>
  <si>
    <t>THIÊN LONG LONG THÀNH</t>
  </si>
  <si>
    <t>110000508 | Hạt Nhựa rPP20W02</t>
  </si>
  <si>
    <t>DVGC</t>
  </si>
  <si>
    <t>110000400 | GC Hạt Nhựa rHDI4L01</t>
  </si>
  <si>
    <t>110000414 | GC Vảy HD Ép Đỏ</t>
  </si>
  <si>
    <t>110000415 | GC Vảy HD Ép Trắng</t>
  </si>
  <si>
    <t>110000416 | GC Vảy HD Ép Vàng</t>
  </si>
  <si>
    <t>110000417 | GC Vảy HD Ép Lá</t>
  </si>
  <si>
    <t>110000418 | GC Vảy HD Ép Dương</t>
  </si>
  <si>
    <t>110000419 | GC Vảy HD Ép Đen</t>
  </si>
  <si>
    <t>110000420 | GC Vảy HD Ép Đồng</t>
  </si>
  <si>
    <t>110000461 | GC Hạt Nhựa rHDB01N01</t>
  </si>
  <si>
    <t>Quick Pack Việt Nam</t>
  </si>
  <si>
    <t>110000462 | GC Hạt Nhựa rHDB01N02</t>
  </si>
  <si>
    <t>110000463 | GC Hạt Nhựa rLDB1N03</t>
  </si>
  <si>
    <t>160012597 | GC Phó Sản PET B1/B8 Vảy-Nắp ST</t>
  </si>
  <si>
    <t>160012600 | GC Vảy HD Ép Vàng</t>
  </si>
  <si>
    <t>160012602 | GC Vảy HD Ép Dương</t>
  </si>
  <si>
    <t>160012614 | GC Phó Sản HD Ép Hỗn Hợp Nắp 1</t>
  </si>
  <si>
    <t>160012615 | GC Phó Sản HD Ép Hỗn Hợp Nắp 2</t>
  </si>
  <si>
    <t>160012616 | GC Phó Sản HD Ép Olefin PET 1 ST</t>
  </si>
  <si>
    <t>160012617 | GC Phó Sản HD Ép Olefin PET 2 ST</t>
  </si>
  <si>
    <t>800006265 | GC Vảy PET Sau Tách Olefin</t>
  </si>
  <si>
    <t>800006273 | GC Phó Sản HD Ép Hỗn Hợp Cuối ST</t>
  </si>
  <si>
    <t>rLDPE</t>
  </si>
  <si>
    <t>110000440 | Hạt Nhựa LDPE Thử Nghiệm</t>
  </si>
  <si>
    <t>BAO BÌ LIÊN MINH (APLAS)</t>
  </si>
  <si>
    <t>110000502 | Hạt Nhựa rLDB2N01</t>
  </si>
  <si>
    <t>Khác-rHDPE thổi</t>
  </si>
  <si>
    <t>DIEUCHINH-rHDPE thổi | Điều chỉnh nhóm rHDPE thổi</t>
  </si>
  <si>
    <t>Khác-GC</t>
  </si>
  <si>
    <t>DIEUCHINH-GC | Điều chỉnh nhóm gia công</t>
  </si>
  <si>
    <t>Giảm giá</t>
  </si>
  <si>
    <t>GIAMGIA-rPET | Giảm giá hàng bán rPET</t>
  </si>
  <si>
    <t>Khác-rHDPE ép</t>
  </si>
  <si>
    <t>DIEUCHINH-rHDPE ép | Điều chỉnh nhóm rHDPE ép</t>
  </si>
  <si>
    <t>Khác-Xơ sợi</t>
  </si>
  <si>
    <t>DIEUCHINH-Xơ sợi | Điều chỉnh nhóm Xơ sợi</t>
  </si>
  <si>
    <t>Khác-rPET</t>
  </si>
  <si>
    <t>DIEUCHINH-rPET | Điều chỉnh nhóm rPET</t>
  </si>
  <si>
    <t>Khác-rPP</t>
  </si>
  <si>
    <t>DIEUCHINH-rPP | Điều chỉnh nhóm rPP</t>
  </si>
  <si>
    <t>Kỳ</t>
  </si>
  <si>
    <t>Mã KH</t>
  </si>
  <si>
    <t>Tên KH</t>
  </si>
  <si>
    <t>Nhóm SP 1</t>
  </si>
  <si>
    <t>Nhóm SP 2</t>
  </si>
  <si>
    <t>XK/NĐ</t>
  </si>
  <si>
    <t>Country</t>
  </si>
  <si>
    <t>Doanh thu KT (VND)</t>
  </si>
  <si>
    <t>Cp Pallet (VND)</t>
  </si>
  <si>
    <t>Cp hoa hồng (VND)</t>
  </si>
  <si>
    <t>Cp vận chuyển (VND)</t>
  </si>
  <si>
    <t>Doanh thu EXW (VND)</t>
  </si>
  <si>
    <t>Cp chai/vảy nhựa phế (VND)</t>
  </si>
  <si>
    <t>Cp màu, hóa chất (VND)</t>
  </si>
  <si>
    <t>Cp NVL phụ, bao  bì (VND)</t>
  </si>
  <si>
    <t>Cp NC TT (VND)</t>
  </si>
  <si>
    <t>Cp NC GT (VND)</t>
  </si>
  <si>
    <t>CPSX chung (VND)</t>
  </si>
  <si>
    <t>GV Khác (VND)</t>
  </si>
  <si>
    <t>Cp điện (VND)</t>
  </si>
  <si>
    <t>Cp KH SX (VND)</t>
  </si>
  <si>
    <t>Cp gia công (VND)</t>
  </si>
  <si>
    <t>LG EXW (VND)</t>
  </si>
  <si>
    <t>Doanh thu EXW (USD)</t>
  </si>
  <si>
    <t>Doanh thu KT (USD)</t>
  </si>
  <si>
    <t>rHDPE</t>
  </si>
  <si>
    <t>NĐ</t>
  </si>
  <si>
    <t>ok</t>
  </si>
  <si>
    <t>Nhập đổi/trả</t>
  </si>
  <si>
    <t>Xuất đổi/trả</t>
  </si>
  <si>
    <t>101290</t>
  </si>
  <si>
    <t>THUEXUONG</t>
  </si>
  <si>
    <t>Thuê xưởng, kho</t>
  </si>
  <si>
    <t>105205</t>
  </si>
  <si>
    <t>110000400</t>
  </si>
  <si>
    <t>GC Hạt Nhựa rHDI4L01</t>
  </si>
  <si>
    <t>110000414</t>
  </si>
  <si>
    <t>GC Vảy HD Ép Đỏ</t>
  </si>
  <si>
    <t>110000415</t>
  </si>
  <si>
    <t>GC Vảy HD Ép Trắng</t>
  </si>
  <si>
    <t>110000416</t>
  </si>
  <si>
    <t>GC Vảy HD Ép Vàng</t>
  </si>
  <si>
    <t>110000417</t>
  </si>
  <si>
    <t>GC Vảy HD Ép Lá</t>
  </si>
  <si>
    <t>110000418</t>
  </si>
  <si>
    <t>GC Vảy HD Ép Dương</t>
  </si>
  <si>
    <t>160012597</t>
  </si>
  <si>
    <t>GC Phó Sản PET B1/B8 Vảy-Nắp ST</t>
  </si>
  <si>
    <t>160012600</t>
  </si>
  <si>
    <t>160012602</t>
  </si>
  <si>
    <t>160012614</t>
  </si>
  <si>
    <t>GC Phó Sản HD Ép Hỗn Hợp Nắp 1</t>
  </si>
  <si>
    <t>160012615</t>
  </si>
  <si>
    <t>GC Phó Sản HD Ép Hỗn Hợp Nắp 2</t>
  </si>
  <si>
    <t>160012616</t>
  </si>
  <si>
    <t>GC Phó Sản HD Ép Olefin PET 1 ST</t>
  </si>
  <si>
    <t>160012617</t>
  </si>
  <si>
    <t>GC Phó Sản HD Ép Olefin PET 2 ST</t>
  </si>
  <si>
    <t>800006265</t>
  </si>
  <si>
    <t>GC Vảy PET Sau Tách Olefin</t>
  </si>
  <si>
    <t>800006273</t>
  </si>
  <si>
    <t>GC Phó Sản HD Ép Hỗn Hợp Cuối ST</t>
  </si>
  <si>
    <t>105213</t>
  </si>
  <si>
    <t>TAITRO</t>
  </si>
  <si>
    <t>Tài trợ</t>
  </si>
  <si>
    <t>OTHERS</t>
  </si>
  <si>
    <t>105247</t>
  </si>
  <si>
    <t>150000104</t>
  </si>
  <si>
    <t>Vảy HD thổi trong L1 HV01.1_KR</t>
  </si>
  <si>
    <t>160012374</t>
  </si>
  <si>
    <t>PS trả NCC HD thổi trong L1 HV01.1_TM</t>
  </si>
  <si>
    <t>105253</t>
  </si>
  <si>
    <t>105255</t>
  </si>
  <si>
    <t>XK</t>
  </si>
  <si>
    <t>United States of America (the)</t>
  </si>
  <si>
    <t>200345</t>
  </si>
  <si>
    <t>Spain</t>
  </si>
  <si>
    <t>200349</t>
  </si>
  <si>
    <t>300307</t>
  </si>
  <si>
    <t>VANCHUYEN</t>
  </si>
  <si>
    <t>Vận chuyển</t>
  </si>
  <si>
    <t>300313</t>
  </si>
  <si>
    <t>3358000400</t>
  </si>
  <si>
    <t>THUEMAY</t>
  </si>
  <si>
    <t>Thuê máy</t>
  </si>
  <si>
    <t>6219000900</t>
  </si>
  <si>
    <t>KCKHONGPB</t>
  </si>
  <si>
    <t>Chi phí giá thành không phân bổ được</t>
  </si>
  <si>
    <t>BN</t>
  </si>
  <si>
    <t>DIEUCHINH</t>
  </si>
  <si>
    <t>Điều chỉnh</t>
  </si>
  <si>
    <t>DIEUCHINH-Xơ sợi</t>
  </si>
  <si>
    <t>Điều chỉnh nhóm Xơ sợi</t>
  </si>
  <si>
    <t>XUATSUDUNG</t>
  </si>
  <si>
    <t>Chênh lệch MM60 và giá trị tồn khi xuất HTK đi sử dụng</t>
  </si>
  <si>
    <t>CUTOFF-rPET</t>
  </si>
  <si>
    <t>Cut-off ngành rPET</t>
  </si>
  <si>
    <t>200338</t>
  </si>
  <si>
    <t>Portugal</t>
  </si>
  <si>
    <t>105229</t>
  </si>
  <si>
    <t>105234</t>
  </si>
  <si>
    <t>105246</t>
  </si>
  <si>
    <t>105249</t>
  </si>
  <si>
    <t>105250</t>
  </si>
  <si>
    <t>Concord Textile VN</t>
  </si>
  <si>
    <t>x</t>
  </si>
  <si>
    <t>United Kingdom of Great Britain and Northern Ireland (the)</t>
  </si>
  <si>
    <t>Greece</t>
  </si>
  <si>
    <t>200350</t>
  </si>
  <si>
    <t>DIEUCHINH-GC</t>
  </si>
  <si>
    <t>Điều chỉnh nhóm gia công</t>
  </si>
  <si>
    <t>DIEUCHINH-rPP</t>
  </si>
  <si>
    <t>Điều chỉnh nhóm rPP</t>
  </si>
  <si>
    <t>105260</t>
  </si>
  <si>
    <t>105264</t>
  </si>
  <si>
    <t>105266</t>
  </si>
  <si>
    <t>200342</t>
  </si>
  <si>
    <t>Australia</t>
  </si>
  <si>
    <t>200351</t>
  </si>
  <si>
    <t>DIEUCHINH-rHDPE thổi</t>
  </si>
  <si>
    <t>Điều chỉnh nhóm rHDPE thổi</t>
  </si>
  <si>
    <t>KKHTK</t>
  </si>
  <si>
    <t>Kiểm kê HTK</t>
  </si>
  <si>
    <t>105269</t>
  </si>
  <si>
    <t>200324</t>
  </si>
  <si>
    <t>Japan</t>
  </si>
  <si>
    <t>200353</t>
  </si>
  <si>
    <t>105208</t>
  </si>
  <si>
    <t>105209</t>
  </si>
  <si>
    <t>160012345</t>
  </si>
  <si>
    <t>Phó sản máy Meyer</t>
  </si>
  <si>
    <t>Phó Sản HD Thổi Vàng Vảy Tuyển Nổi</t>
  </si>
  <si>
    <t>DIEUCHINH-CPHT</t>
  </si>
  <si>
    <t>Điều chỉnh chi phí hỗ trợ khách hàng</t>
  </si>
  <si>
    <t>105275</t>
  </si>
  <si>
    <t>105277</t>
  </si>
  <si>
    <t>105278</t>
  </si>
  <si>
    <t>Poland</t>
  </si>
  <si>
    <t>105243</t>
  </si>
  <si>
    <t>105279</t>
  </si>
  <si>
    <t>110000461</t>
  </si>
  <si>
    <t>GC Hạt Nhựa rHDB01N01</t>
  </si>
  <si>
    <t>110000462</t>
  </si>
  <si>
    <t>GC Hạt Nhựa rHDB01N02</t>
  </si>
  <si>
    <t>110000463</t>
  </si>
  <si>
    <t>GC Hạt Nhựa rLDB1N03</t>
  </si>
  <si>
    <t>105283</t>
  </si>
  <si>
    <t>160012743</t>
  </si>
  <si>
    <t>Phó Sản Trả NCC HD Thổi Vàng HV-03.1_TM</t>
  </si>
  <si>
    <t>105285</t>
  </si>
  <si>
    <t>105288</t>
  </si>
  <si>
    <t>105289</t>
  </si>
  <si>
    <t>2421100100</t>
  </si>
  <si>
    <t>CHUYENMA</t>
  </si>
  <si>
    <t>Chuyển mã</t>
  </si>
  <si>
    <t>105290</t>
  </si>
  <si>
    <t>105293</t>
  </si>
  <si>
    <t>105294</t>
  </si>
  <si>
    <t>105295</t>
  </si>
  <si>
    <t>200361</t>
  </si>
  <si>
    <t>200362</t>
  </si>
  <si>
    <t>105297</t>
  </si>
  <si>
    <t>105298</t>
  </si>
  <si>
    <t>105299</t>
  </si>
  <si>
    <t>105300</t>
  </si>
  <si>
    <t>105302</t>
  </si>
  <si>
    <t>3388800100</t>
  </si>
  <si>
    <t>6219000210</t>
  </si>
  <si>
    <t>6219000220</t>
  </si>
  <si>
    <t>DOIBATCH</t>
  </si>
  <si>
    <t>Xuất HTK đổi batch</t>
  </si>
  <si>
    <t>110000419</t>
  </si>
  <si>
    <t>GC Vảy HD Ép Đen</t>
  </si>
  <si>
    <t>110000420</t>
  </si>
  <si>
    <t>GC Vảy HD Ép Đồng</t>
  </si>
  <si>
    <t>105217</t>
  </si>
  <si>
    <t>TRUYENTHONG</t>
  </si>
  <si>
    <t>Tài trợ truyền thông</t>
  </si>
  <si>
    <t>105303</t>
  </si>
  <si>
    <t>105304</t>
  </si>
  <si>
    <t>200363</t>
  </si>
  <si>
    <t>ACTIVEBATCH</t>
  </si>
  <si>
    <t>Xuất HTK active batch</t>
  </si>
  <si>
    <t>105307</t>
  </si>
  <si>
    <t>105308</t>
  </si>
  <si>
    <t>105309</t>
  </si>
  <si>
    <t>105315</t>
  </si>
  <si>
    <t>REBATE</t>
  </si>
  <si>
    <t>Rebate</t>
  </si>
  <si>
    <t>REBATE | REBATE</t>
  </si>
  <si>
    <t>105305</t>
  </si>
  <si>
    <t>105317</t>
  </si>
  <si>
    <t>105325</t>
  </si>
  <si>
    <t>1388190100</t>
  </si>
  <si>
    <t>VATKKT</t>
  </si>
  <si>
    <t>VAT không khấu trừ</t>
  </si>
  <si>
    <t>GIAMGIA-rPET</t>
  </si>
  <si>
    <t>Giảm giá hàng bán rPET</t>
  </si>
  <si>
    <t>Điều chỉnh giá</t>
  </si>
  <si>
    <t>3351000100</t>
  </si>
  <si>
    <t>TRICHTHUONG</t>
  </si>
  <si>
    <t>Trích thưởng</t>
  </si>
  <si>
    <t>3532000100</t>
  </si>
  <si>
    <t>6000000100</t>
  </si>
  <si>
    <t>CHIPHIIO</t>
  </si>
  <si>
    <t>Điều chỉnh chi phí vào dự án IO</t>
  </si>
  <si>
    <t>100937</t>
  </si>
  <si>
    <t>100982</t>
  </si>
  <si>
    <t>102488</t>
  </si>
  <si>
    <t>105322</t>
  </si>
  <si>
    <t>150000186</t>
  </si>
  <si>
    <t>Vảy PP Trắng Sữa PV-02_TM</t>
  </si>
  <si>
    <t>160012902</t>
  </si>
  <si>
    <t>Vảy PP Trắng Sữa PV-02_TM Trả NCC</t>
  </si>
  <si>
    <t>1551400100</t>
  </si>
  <si>
    <t>200274</t>
  </si>
  <si>
    <t>200335</t>
  </si>
  <si>
    <t>2422200100</t>
  </si>
  <si>
    <t>300316</t>
  </si>
  <si>
    <t>300582</t>
  </si>
  <si>
    <t>301126</t>
  </si>
  <si>
    <t>3389000100</t>
  </si>
  <si>
    <t>3389000200</t>
  </si>
  <si>
    <t>6417005601</t>
  </si>
  <si>
    <t>101637</t>
  </si>
  <si>
    <t>800006226</t>
  </si>
  <si>
    <t>Nhãn, PVC, OPP…</t>
  </si>
  <si>
    <t>1551490100</t>
  </si>
  <si>
    <t>DIEUCHINH-GVHB</t>
  </si>
  <si>
    <t>Điều chỉnh GVHB</t>
  </si>
  <si>
    <t>Italy</t>
  </si>
  <si>
    <t>DIEUCHINH-rHDPE ép</t>
  </si>
  <si>
    <t>Điều chỉnh nhóm rHDPE ép</t>
  </si>
  <si>
    <t>Romania</t>
  </si>
  <si>
    <t>Belgium</t>
  </si>
  <si>
    <t>6329000200</t>
  </si>
  <si>
    <t>6422004803</t>
  </si>
  <si>
    <t>102357</t>
  </si>
  <si>
    <t>105344</t>
  </si>
  <si>
    <t>105345</t>
  </si>
  <si>
    <t>1331000100</t>
  </si>
  <si>
    <t>1531100100</t>
  </si>
  <si>
    <t>200276</t>
  </si>
  <si>
    <t>3389090100</t>
  </si>
  <si>
    <t>6277005001</t>
  </si>
  <si>
    <t>6428007201</t>
  </si>
  <si>
    <t>101423</t>
  </si>
  <si>
    <t>102132</t>
  </si>
  <si>
    <t>Xuất khẩu tại chỗ</t>
  </si>
  <si>
    <t>1551300100</t>
  </si>
  <si>
    <t>3381000100</t>
  </si>
  <si>
    <t>100899</t>
  </si>
  <si>
    <t>101111</t>
  </si>
  <si>
    <t>1521000100</t>
  </si>
  <si>
    <t>1522000100</t>
  </si>
  <si>
    <t>300743</t>
  </si>
  <si>
    <t>100959</t>
  </si>
  <si>
    <t>200282</t>
  </si>
  <si>
    <t>200285</t>
  </si>
  <si>
    <t>Korea (the Republic of)</t>
  </si>
  <si>
    <t>160012912</t>
  </si>
  <si>
    <t>Vảy HD Ép Dương Tách Màu Trả NCC</t>
  </si>
  <si>
    <t>1003</t>
  </si>
  <si>
    <t>105366</t>
  </si>
  <si>
    <t>200265</t>
  </si>
  <si>
    <t>200314</t>
  </si>
  <si>
    <t>China</t>
  </si>
  <si>
    <t>300392</t>
  </si>
  <si>
    <t>300979</t>
  </si>
  <si>
    <t>6427004702</t>
  </si>
  <si>
    <t>6427005601</t>
  </si>
  <si>
    <t>6427005602</t>
  </si>
  <si>
    <t>Sai giá</t>
  </si>
  <si>
    <t>Điều chỉnh SAP</t>
  </si>
  <si>
    <t>160012837</t>
  </si>
  <si>
    <t>Vảy HD Thổi Trong HV-01.1-TM GC</t>
  </si>
  <si>
    <t>105369</t>
  </si>
  <si>
    <t>105375</t>
  </si>
  <si>
    <t>105376</t>
  </si>
  <si>
    <t>105378</t>
  </si>
  <si>
    <t>1121400100</t>
  </si>
  <si>
    <t>a. Hoàng</t>
  </si>
  <si>
    <t>NS26-NEWCUS-023</t>
  </si>
  <si>
    <t>New Developments - Hạt PET - NĐ (WSS03G)</t>
  </si>
  <si>
    <r>
      <t xml:space="preserve">GIÁ BÁN EXW - 2026 (USD/tấn) - </t>
    </r>
    <r>
      <rPr>
        <b/>
        <u/>
        <sz val="11"/>
        <color rgb="FFFF0000"/>
        <rFont val="Aptos Display"/>
        <family val="2"/>
        <scheme val="major"/>
      </rPr>
      <t>CHƯA LOẠI TRỪ EPR</t>
    </r>
  </si>
  <si>
    <t>ĐG (VND/tấn)
USD/tấn-XK</t>
  </si>
  <si>
    <t>Lấy</t>
  </si>
  <si>
    <t>A. Thạch</t>
  </si>
  <si>
    <t>NGÀNH rPET</t>
  </si>
  <si>
    <t>Suntory- Ngọc Nghĩa Tây Ninh (thêm)</t>
  </si>
  <si>
    <t>105271-Thêm</t>
  </si>
  <si>
    <t>EU</t>
  </si>
  <si>
    <t>110000507</t>
  </si>
  <si>
    <t>New Developments - Hạt PET - NĐ (iSS01G 1)</t>
  </si>
  <si>
    <t>NS26-NEWCUS-024</t>
  </si>
  <si>
    <t>Hạt nhựa rPET iSS1084G</t>
  </si>
  <si>
    <t>SC JOHNSON</t>
  </si>
  <si>
    <t>NS26-NEWCUS-025</t>
  </si>
  <si>
    <t>NISHIN</t>
  </si>
  <si>
    <t>NS26-NEWCUS-026</t>
  </si>
  <si>
    <t>NS26-NEWCUS-027</t>
  </si>
  <si>
    <t>New Developments - Hạt PET - NĐ (rHDPE thổi)</t>
  </si>
  <si>
    <t>Sum of SL-KH26</t>
  </si>
  <si>
    <t>Row Labels</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</si>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</sst>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1" formatCode="_-* #,##0_-;\-* #,##0_-;_-* &quot;-&quot;_-;_-@_-"/>
    <numFmt numFmtId="164" formatCode="_(* #,##0.00_);_(* \(#,##0.00\);_(* &quot;-&quot;??_);_(@_)"/>
    <numFmt numFmtId="165" formatCode="_(* #,##0_);_(* \(#,##0\);_(* &quot;-&quot;??_);_(@_)"/>
    <numFmt numFmtId="166" formatCode="0.0%"/>
    <numFmt numFmtId="167" formatCode="_(* #,##0.0_);_(* \(#,##0.0\);_(* &quot;-&quot;??_);_(@_)"/>
    <numFmt numFmtId="168" formatCode="_(* #,##0_);_(* \(#,##0\);;_(@_)"/>
    <numFmt numFmtId="169" formatCode="0.0"/>
    <numFmt numFmtId="170" formatCode="_(* #,##0.0_);_(* \(#,##0.0\);_(* &quot;-&quot;?_);_(@_)"/>
  </numFmts>
  <fonts count="25" x14ac:knownFonts="1">
    <font>
      <sz val="11"/>
      <color theme="1"/>
      <name val="Aptos Display"/>
      <family val="2"/>
      <scheme val="major"/>
    </font>
    <font>
      <sz val="11"/>
      <color theme="1"/>
      <name val="Aptos Display"/>
      <family val="2"/>
      <scheme val="major"/>
    </font>
    <font>
      <b/>
      <sz val="11"/>
      <color theme="0"/>
      <name val="Aptos Display"/>
      <family val="2"/>
      <scheme val="major"/>
    </font>
    <font>
      <b/>
      <sz val="11"/>
      <color theme="1"/>
      <name val="Aptos Display"/>
      <family val="2"/>
      <scheme val="major"/>
    </font>
    <font>
      <sz val="8"/>
      <name val="Aptos Display"/>
      <family val="2"/>
      <scheme val="major"/>
    </font>
    <font>
      <i/>
      <sz val="11"/>
      <color theme="1"/>
      <name val="Aptos Display"/>
      <family val="2"/>
      <scheme val="major"/>
    </font>
    <font>
      <i/>
      <sz val="11"/>
      <color theme="0" tint="-0.249977111117893"/>
      <name val="Aptos Display"/>
      <family val="2"/>
      <scheme val="major"/>
    </font>
    <font>
      <b/>
      <i/>
      <sz val="11"/>
      <color rgb="FFFF0000"/>
      <name val="Aptos Display"/>
      <family val="2"/>
      <scheme val="major"/>
    </font>
    <font>
      <b/>
      <sz val="15"/>
      <color rgb="FFFF0000"/>
      <name val="Aptos Display"/>
      <family val="2"/>
      <scheme val="major"/>
    </font>
    <font>
      <b/>
      <sz val="11"/>
      <color rgb="FF00B0F0"/>
      <name val="Aptos Display"/>
      <family val="2"/>
      <scheme val="major"/>
    </font>
    <font>
      <sz val="11"/>
      <color rgb="FF00B0F0"/>
      <name val="Aptos Display"/>
      <family val="2"/>
      <scheme val="major"/>
    </font>
    <font>
      <b/>
      <sz val="11"/>
      <color theme="1"/>
      <name val="Aptos Narrow"/>
      <family val="2"/>
      <scheme val="minor"/>
    </font>
    <font>
      <b/>
      <sz val="11"/>
      <color theme="0"/>
      <name val="Aptos Narrow"/>
      <family val="2"/>
      <scheme val="minor"/>
    </font>
    <font>
      <b/>
      <u/>
      <sz val="11"/>
      <color theme="1"/>
      <name val="Aptos Display"/>
      <family val="2"/>
      <scheme val="major"/>
    </font>
    <font>
      <i/>
      <u/>
      <sz val="11"/>
      <color theme="1"/>
      <name val="Aptos Display"/>
      <family val="2"/>
      <scheme val="major"/>
    </font>
    <font>
      <b/>
      <sz val="15"/>
      <color theme="3" tint="0.499984740745262"/>
      <name val="Aptos Display"/>
      <family val="2"/>
      <scheme val="major"/>
    </font>
    <font>
      <sz val="11"/>
      <color rgb="FFFF0000"/>
      <name val="Aptos Display"/>
      <family val="2"/>
      <scheme val="major"/>
    </font>
    <font>
      <i/>
      <sz val="11"/>
      <color rgb="FFFF0000"/>
      <name val="Aptos Display"/>
      <family val="2"/>
      <scheme val="major"/>
    </font>
    <font>
      <sz val="11"/>
      <color theme="0"/>
      <name val="Aptos Display"/>
      <family val="2"/>
      <scheme val="major"/>
    </font>
    <font>
      <sz val="11"/>
      <color rgb="FF000000"/>
      <name val="Aptos Display"/>
      <family val="2"/>
      <scheme val="major"/>
    </font>
    <font>
      <b/>
      <u/>
      <sz val="11"/>
      <color rgb="FFFF0000"/>
      <name val="Aptos Display"/>
      <family val="2"/>
      <scheme val="major"/>
    </font>
    <font>
      <i/>
      <sz val="11"/>
      <color theme="7" tint="-0.249977111117893"/>
      <name val="Aptos Display"/>
      <family val="2"/>
      <scheme val="major"/>
    </font>
    <font>
      <sz val="11"/>
      <color theme="7" tint="-0.249977111117893"/>
      <name val="Aptos Display"/>
      <family val="2"/>
      <scheme val="major"/>
    </font>
    <font>
      <b/>
      <sz val="13"/>
      <color theme="4" tint="-0.499984740745262"/>
      <name val="Aptos Display"/>
      <family val="2"/>
      <scheme val="major"/>
    </font>
    <font>
      <b/>
      <sz val="11"/>
      <color rgb="FFFF0000"/>
      <name val="Aptos Display"/>
      <family val="2"/>
      <scheme val="major"/>
    </font>
  </fonts>
  <fills count="31">
    <fill>
      <patternFill patternType="none"/>
    </fill>
    <fill>
      <patternFill patternType="gray125"/>
    </fill>
    <fill>
      <patternFill patternType="solid">
        <fgColor rgb="FFFFFF00"/>
        <bgColor indexed="64"/>
      </patternFill>
    </fill>
    <fill>
      <patternFill patternType="solid">
        <fgColor theme="3" tint="0.499984740745262"/>
        <bgColor indexed="64"/>
      </patternFill>
    </fill>
    <fill>
      <patternFill patternType="solid">
        <fgColor theme="0" tint="-4.9989318521683403E-2"/>
        <bgColor indexed="64"/>
      </patternFill>
    </fill>
    <fill>
      <patternFill patternType="solid">
        <fgColor theme="6" tint="0.39997558519241921"/>
        <bgColor indexed="64"/>
      </patternFill>
    </fill>
    <fill>
      <patternFill patternType="solid">
        <fgColor theme="5" tint="0.39997558519241921"/>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rgb="FFFFFF99"/>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3" tint="0.89999084444715716"/>
        <bgColor indexed="64"/>
      </patternFill>
    </fill>
    <fill>
      <patternFill patternType="solid">
        <fgColor theme="4" tint="0.39997558519241921"/>
        <bgColor indexed="64"/>
      </patternFill>
    </fill>
    <fill>
      <patternFill patternType="solid">
        <fgColor theme="7" tint="0.59999389629810485"/>
        <bgColor indexed="64"/>
      </patternFill>
    </fill>
    <fill>
      <patternFill patternType="solid">
        <fgColor rgb="FF44B3E1"/>
        <bgColor indexed="64"/>
      </patternFill>
    </fill>
    <fill>
      <patternFill patternType="solid">
        <fgColor rgb="FFC00000"/>
        <bgColor indexed="64"/>
      </patternFill>
    </fill>
    <fill>
      <patternFill patternType="solid">
        <fgColor rgb="FF008080"/>
        <bgColor indexed="64"/>
      </patternFill>
    </fill>
    <fill>
      <patternFill patternType="solid">
        <fgColor rgb="FF00DFDA"/>
        <bgColor indexed="64"/>
      </patternFill>
    </fill>
    <fill>
      <patternFill patternType="solid">
        <fgColor theme="1"/>
        <bgColor theme="4" tint="0.79998168889431442"/>
      </patternFill>
    </fill>
    <fill>
      <patternFill patternType="solid">
        <fgColor theme="1"/>
        <bgColor indexed="64"/>
      </patternFill>
    </fill>
    <fill>
      <patternFill patternType="solid">
        <fgColor theme="5" tint="-0.249977111117893"/>
        <bgColor indexed="64"/>
      </patternFill>
    </fill>
    <fill>
      <patternFill patternType="solid">
        <fgColor theme="6" tint="-0.249977111117893"/>
        <bgColor indexed="64"/>
      </patternFill>
    </fill>
    <fill>
      <patternFill patternType="solid">
        <fgColor theme="5"/>
        <bgColor indexed="64"/>
      </patternFill>
    </fill>
    <fill>
      <patternFill patternType="solid">
        <fgColor theme="4" tint="0.79998168889431442"/>
        <bgColor indexed="64"/>
      </patternFill>
    </fill>
    <fill>
      <patternFill patternType="solid">
        <fgColor rgb="FFFF0000"/>
        <bgColor indexed="64"/>
      </patternFill>
    </fill>
    <fill>
      <patternFill patternType="solid">
        <fgColor rgb="FFFBE2D5"/>
        <bgColor rgb="FF000000"/>
      </patternFill>
    </fill>
    <fill>
      <patternFill patternType="solid">
        <fgColor rgb="FFFFC000"/>
        <bgColor indexed="64"/>
      </patternFill>
    </fill>
    <fill>
      <patternFill patternType="solid">
        <fgColor theme="8" tint="-0.249977111117893"/>
        <bgColor indexed="64"/>
      </patternFill>
    </fill>
    <fill>
      <patternFill patternType="solid">
        <fgColor theme="3" tint="0.499984740745262"/>
        <bgColor theme="4" tint="0.79998168889431442"/>
      </patternFill>
    </fill>
    <fill>
      <patternFill patternType="solid">
        <fgColor theme="4"/>
        <bgColor theme="4"/>
      </patternFill>
    </fill>
  </fills>
  <borders count="30">
    <border>
      <left/>
      <right/>
      <top/>
      <bottom/>
      <diagonal/>
    </border>
    <border>
      <left/>
      <right/>
      <top style="hair">
        <color theme="0" tint="-0.24994659260841701"/>
      </top>
      <bottom style="hair">
        <color theme="0" tint="-0.24994659260841701"/>
      </bottom>
      <diagonal/>
    </border>
    <border>
      <left/>
      <right/>
      <top/>
      <bottom style="hair">
        <color theme="0" tint="-0.24994659260841701"/>
      </bottom>
      <diagonal/>
    </border>
    <border>
      <left/>
      <right/>
      <top style="hair">
        <color theme="0" tint="-0.24994659260841701"/>
      </top>
      <bottom/>
      <diagonal/>
    </border>
    <border>
      <left/>
      <right/>
      <top/>
      <bottom style="thin">
        <color theme="0"/>
      </bottom>
      <diagonal/>
    </border>
    <border>
      <left/>
      <right/>
      <top style="thin">
        <color theme="0"/>
      </top>
      <bottom/>
      <diagonal/>
    </border>
    <border diagonalUp="1" diagonalDown="1">
      <left/>
      <right/>
      <top style="hair">
        <color theme="0" tint="-0.24994659260841701"/>
      </top>
      <bottom style="hair">
        <color theme="0" tint="-0.24994659260841701"/>
      </bottom>
      <diagonal style="thin">
        <color theme="0" tint="-0.24994659260841701"/>
      </diagonal>
    </border>
    <border>
      <left/>
      <right/>
      <top style="medium">
        <color auto="1"/>
      </top>
      <bottom/>
      <diagonal/>
    </border>
    <border>
      <left/>
      <right/>
      <top/>
      <bottom style="medium">
        <color theme="0"/>
      </bottom>
      <diagonal/>
    </border>
    <border>
      <left/>
      <right/>
      <top/>
      <bottom style="thin">
        <color theme="4" tint="0.39997558519241921"/>
      </bottom>
      <diagonal/>
    </border>
    <border>
      <left/>
      <right/>
      <top style="hair">
        <color rgb="FFBFBFBF"/>
      </top>
      <bottom style="hair">
        <color rgb="FFBFBFBF"/>
      </bottom>
      <diagonal/>
    </border>
    <border>
      <left/>
      <right/>
      <top style="hair">
        <color theme="0" tint="-0.14996795556505021"/>
      </top>
      <bottom style="hair">
        <color theme="0" tint="-0.14996795556505021"/>
      </bottom>
      <diagonal/>
    </border>
    <border>
      <left/>
      <right/>
      <top/>
      <bottom style="hair">
        <color theme="0" tint="-0.14996795556505021"/>
      </bottom>
      <diagonal/>
    </border>
    <border>
      <left style="thick">
        <color rgb="FFC00000"/>
      </left>
      <right/>
      <top style="thick">
        <color rgb="FFC00000"/>
      </top>
      <bottom style="thin">
        <color theme="0"/>
      </bottom>
      <diagonal/>
    </border>
    <border>
      <left/>
      <right/>
      <top style="thick">
        <color rgb="FFC00000"/>
      </top>
      <bottom style="thin">
        <color theme="0"/>
      </bottom>
      <diagonal/>
    </border>
    <border>
      <left/>
      <right/>
      <top style="thick">
        <color rgb="FFC00000"/>
      </top>
      <bottom/>
      <diagonal/>
    </border>
    <border>
      <left/>
      <right style="thick">
        <color rgb="FFC00000"/>
      </right>
      <top style="thick">
        <color rgb="FFC00000"/>
      </top>
      <bottom/>
      <diagonal/>
    </border>
    <border>
      <left style="thick">
        <color rgb="FFC00000"/>
      </left>
      <right/>
      <top style="thin">
        <color theme="0"/>
      </top>
      <bottom/>
      <diagonal/>
    </border>
    <border>
      <left/>
      <right style="thick">
        <color rgb="FFC00000"/>
      </right>
      <top/>
      <bottom/>
      <diagonal/>
    </border>
    <border>
      <left style="thick">
        <color rgb="FFC00000"/>
      </left>
      <right/>
      <top/>
      <bottom/>
      <diagonal/>
    </border>
    <border>
      <left style="thick">
        <color rgb="FFC00000"/>
      </left>
      <right/>
      <top/>
      <bottom style="hair">
        <color theme="0" tint="-0.24994659260841701"/>
      </bottom>
      <diagonal/>
    </border>
    <border>
      <left/>
      <right style="thick">
        <color rgb="FFC00000"/>
      </right>
      <top/>
      <bottom style="hair">
        <color theme="0" tint="-0.24994659260841701"/>
      </bottom>
      <diagonal/>
    </border>
    <border>
      <left style="thick">
        <color rgb="FFC00000"/>
      </left>
      <right/>
      <top style="hair">
        <color theme="0" tint="-0.24994659260841701"/>
      </top>
      <bottom style="hair">
        <color theme="0" tint="-0.24994659260841701"/>
      </bottom>
      <diagonal/>
    </border>
    <border>
      <left/>
      <right style="thick">
        <color rgb="FFC00000"/>
      </right>
      <top style="hair">
        <color theme="0" tint="-0.24994659260841701"/>
      </top>
      <bottom style="hair">
        <color theme="0" tint="-0.24994659260841701"/>
      </bottom>
      <diagonal/>
    </border>
    <border>
      <left style="thick">
        <color rgb="FFC00000"/>
      </left>
      <right/>
      <top style="hair">
        <color theme="0" tint="-0.24994659260841701"/>
      </top>
      <bottom style="thick">
        <color rgb="FFC00000"/>
      </bottom>
      <diagonal/>
    </border>
    <border>
      <left/>
      <right/>
      <top style="hair">
        <color theme="0" tint="-0.24994659260841701"/>
      </top>
      <bottom style="thick">
        <color rgb="FFC00000"/>
      </bottom>
      <diagonal/>
    </border>
    <border>
      <left/>
      <right style="thick">
        <color rgb="FFC00000"/>
      </right>
      <top style="hair">
        <color theme="0" tint="-0.24994659260841701"/>
      </top>
      <bottom style="thick">
        <color rgb="FFC00000"/>
      </bottom>
      <diagonal/>
    </border>
    <border>
      <left style="thick">
        <color rgb="FFC00000"/>
      </left>
      <right/>
      <top/>
      <bottom style="thin">
        <color theme="0"/>
      </bottom>
      <diagonal/>
    </border>
    <border>
      <left style="thick">
        <color rgb="FFC00000"/>
      </left>
      <right/>
      <top/>
      <bottom style="hair">
        <color theme="0" tint="-0.14996795556505021"/>
      </bottom>
      <diagonal/>
    </border>
    <border>
      <left style="thick">
        <color rgb="FFC00000"/>
      </left>
      <right/>
      <top style="hair">
        <color theme="0" tint="-0.14996795556505021"/>
      </top>
      <bottom style="hair">
        <color theme="0" tint="-0.14996795556505021"/>
      </bottom>
      <diagonal/>
    </border>
  </borders>
  <cellStyleXfs count="4">
    <xf numFmtId="0" fontId="0" fillId="0" borderId="0"/>
    <xf numFmtId="164" fontId="1" fillId="0" borderId="0" applyFont="0" applyFill="0" applyBorder="0" applyAlignment="0" applyProtection="0"/>
    <xf numFmtId="9" fontId="1" fillId="0" borderId="0" applyFont="0" applyFill="0" applyBorder="0" applyAlignment="0" applyProtection="0"/>
    <xf numFmtId="41" fontId="1" fillId="0" borderId="0" applyFont="0" applyFill="0" applyBorder="0" applyAlignment="0" applyProtection="0"/>
  </cellStyleXfs>
  <cellXfs count="216">
    <xf numFmtId="0" fontId="0" fillId="0" borderId="0" xfId="0"/>
    <xf numFmtId="0" fontId="3" fillId="0" borderId="0" xfId="0" applyFont="1"/>
    <xf numFmtId="165" fontId="3" fillId="2" borderId="0" xfId="1" applyNumberFormat="1" applyFont="1" applyFill="1"/>
    <xf numFmtId="0" fontId="2" fillId="3" borderId="0" xfId="0" applyFont="1" applyFill="1"/>
    <xf numFmtId="0" fontId="0" fillId="4" borderId="0" xfId="0" applyFill="1"/>
    <xf numFmtId="0" fontId="2" fillId="3" borderId="0" xfId="0" applyFont="1" applyFill="1" applyAlignment="1">
      <alignment horizontal="center" vertical="center" wrapText="1"/>
    </xf>
    <xf numFmtId="0" fontId="2" fillId="3" borderId="2" xfId="0" applyFont="1" applyFill="1" applyBorder="1"/>
    <xf numFmtId="0" fontId="0" fillId="0" borderId="1" xfId="0" applyBorder="1"/>
    <xf numFmtId="0" fontId="0" fillId="0" borderId="3" xfId="0" applyBorder="1"/>
    <xf numFmtId="0" fontId="0" fillId="0" borderId="2" xfId="0" applyBorder="1"/>
    <xf numFmtId="0" fontId="3" fillId="0" borderId="0" xfId="0" applyFont="1" applyAlignment="1">
      <alignment vertical="center"/>
    </xf>
    <xf numFmtId="0" fontId="3" fillId="6" borderId="5" xfId="0" applyFont="1" applyFill="1" applyBorder="1" applyAlignment="1">
      <alignment horizontal="center" vertical="center" wrapText="1"/>
    </xf>
    <xf numFmtId="0" fontId="5" fillId="0" borderId="0" xfId="0" applyFont="1"/>
    <xf numFmtId="0" fontId="6" fillId="0" borderId="0" xfId="0" applyFont="1" applyAlignment="1">
      <alignment horizontal="center"/>
    </xf>
    <xf numFmtId="0" fontId="6" fillId="0" borderId="0" xfId="0" applyFont="1"/>
    <xf numFmtId="0" fontId="3" fillId="0" borderId="0" xfId="0" applyFont="1" applyAlignment="1">
      <alignment horizontal="center" vertical="center" wrapText="1"/>
    </xf>
    <xf numFmtId="0" fontId="3" fillId="7" borderId="5" xfId="0" applyFont="1" applyFill="1" applyBorder="1" applyAlignment="1">
      <alignment horizontal="center" vertical="center" wrapText="1"/>
    </xf>
    <xf numFmtId="0" fontId="3" fillId="8" borderId="5" xfId="0" applyFont="1" applyFill="1" applyBorder="1" applyAlignment="1">
      <alignment horizontal="center" vertical="center" wrapText="1"/>
    </xf>
    <xf numFmtId="0" fontId="0" fillId="0" borderId="1" xfId="0" applyBorder="1" applyAlignment="1">
      <alignment horizontal="center"/>
    </xf>
    <xf numFmtId="164" fontId="0" fillId="0" borderId="1" xfId="1" applyFont="1" applyBorder="1"/>
    <xf numFmtId="164" fontId="0" fillId="0" borderId="1" xfId="0" applyNumberFormat="1" applyBorder="1"/>
    <xf numFmtId="166" fontId="0" fillId="0" borderId="1" xfId="0" applyNumberFormat="1" applyBorder="1"/>
    <xf numFmtId="165" fontId="0" fillId="9" borderId="0" xfId="1" applyNumberFormat="1" applyFont="1" applyFill="1"/>
    <xf numFmtId="167" fontId="0" fillId="0" borderId="1" xfId="1" applyNumberFormat="1" applyFont="1" applyBorder="1"/>
    <xf numFmtId="167" fontId="0" fillId="0" borderId="1" xfId="0" applyNumberFormat="1" applyBorder="1"/>
    <xf numFmtId="0" fontId="7" fillId="4" borderId="1" xfId="0" applyFont="1" applyFill="1" applyBorder="1" applyAlignment="1">
      <alignment horizontal="left"/>
    </xf>
    <xf numFmtId="0" fontId="7" fillId="4" borderId="1" xfId="0" applyFont="1" applyFill="1" applyBorder="1"/>
    <xf numFmtId="164" fontId="7" fillId="4" borderId="1" xfId="1" applyFont="1" applyFill="1" applyBorder="1"/>
    <xf numFmtId="164" fontId="7" fillId="4" borderId="1" xfId="0" applyNumberFormat="1" applyFont="1" applyFill="1" applyBorder="1"/>
    <xf numFmtId="166" fontId="7" fillId="4" borderId="1" xfId="0" applyNumberFormat="1" applyFont="1" applyFill="1" applyBorder="1"/>
    <xf numFmtId="0" fontId="8" fillId="0" borderId="0" xfId="0" applyFont="1"/>
    <xf numFmtId="0" fontId="0" fillId="0" borderId="2" xfId="0" applyBorder="1" applyAlignment="1">
      <alignment horizontal="center"/>
    </xf>
    <xf numFmtId="0" fontId="0" fillId="10" borderId="2" xfId="0" applyFill="1" applyBorder="1"/>
    <xf numFmtId="0" fontId="0" fillId="9" borderId="1" xfId="0" applyFill="1" applyBorder="1"/>
    <xf numFmtId="0" fontId="0" fillId="0" borderId="6" xfId="0" applyBorder="1"/>
    <xf numFmtId="0" fontId="0" fillId="10" borderId="1" xfId="0" applyFill="1" applyBorder="1"/>
    <xf numFmtId="0" fontId="0" fillId="0" borderId="0" xfId="0" applyAlignment="1">
      <alignment vertical="center"/>
    </xf>
    <xf numFmtId="0" fontId="0" fillId="0" borderId="7" xfId="0" applyBorder="1"/>
    <xf numFmtId="0" fontId="2" fillId="13" borderId="5" xfId="0" applyFont="1" applyFill="1" applyBorder="1" applyAlignment="1">
      <alignment horizontal="right" vertical="center"/>
    </xf>
    <xf numFmtId="0" fontId="0" fillId="0" borderId="0" xfId="0" applyAlignment="1">
      <alignment horizontal="right" vertical="center"/>
    </xf>
    <xf numFmtId="0" fontId="3" fillId="14" borderId="5" xfId="0" applyFont="1" applyFill="1" applyBorder="1" applyAlignment="1">
      <alignment horizontal="center" vertical="center" wrapText="1"/>
    </xf>
    <xf numFmtId="164" fontId="0" fillId="0" borderId="0" xfId="1" applyFont="1"/>
    <xf numFmtId="0" fontId="3" fillId="0" borderId="0" xfId="0" applyFont="1" applyAlignment="1">
      <alignment horizontal="center"/>
    </xf>
    <xf numFmtId="0" fontId="3" fillId="0" borderId="0" xfId="0" applyFont="1" applyAlignment="1">
      <alignment horizontal="center" vertical="center"/>
    </xf>
    <xf numFmtId="168" fontId="0" fillId="0" borderId="1" xfId="0" applyNumberFormat="1" applyBorder="1"/>
    <xf numFmtId="0" fontId="9" fillId="0" borderId="0" xfId="0" applyFont="1"/>
    <xf numFmtId="165" fontId="0" fillId="0" borderId="0" xfId="1" applyNumberFormat="1" applyFont="1"/>
    <xf numFmtId="165" fontId="0" fillId="0" borderId="1" xfId="1" applyNumberFormat="1" applyFont="1" applyBorder="1"/>
    <xf numFmtId="165" fontId="7" fillId="4" borderId="1" xfId="1" applyNumberFormat="1" applyFont="1" applyFill="1" applyBorder="1"/>
    <xf numFmtId="0" fontId="2" fillId="16" borderId="5" xfId="0" applyFont="1" applyFill="1" applyBorder="1" applyAlignment="1">
      <alignment horizontal="center" vertical="center" wrapText="1"/>
    </xf>
    <xf numFmtId="165" fontId="0" fillId="0" borderId="2" xfId="1" applyNumberFormat="1" applyFont="1" applyBorder="1"/>
    <xf numFmtId="165" fontId="0" fillId="9" borderId="1" xfId="1" applyNumberFormat="1" applyFont="1" applyFill="1" applyBorder="1"/>
    <xf numFmtId="168" fontId="0" fillId="9" borderId="1" xfId="0" applyNumberFormat="1" applyFill="1" applyBorder="1"/>
    <xf numFmtId="0" fontId="2" fillId="17" borderId="5" xfId="0" applyFont="1" applyFill="1" applyBorder="1" applyAlignment="1">
      <alignment horizontal="center" vertical="center" wrapText="1"/>
    </xf>
    <xf numFmtId="0" fontId="10" fillId="0" borderId="1" xfId="0" applyFont="1" applyBorder="1"/>
    <xf numFmtId="0" fontId="3" fillId="18" borderId="5" xfId="0" applyFont="1" applyFill="1" applyBorder="1" applyAlignment="1">
      <alignment horizontal="center" vertical="center" wrapText="1"/>
    </xf>
    <xf numFmtId="166" fontId="1" fillId="9" borderId="1" xfId="1" applyNumberFormat="1" applyFont="1" applyFill="1" applyBorder="1"/>
    <xf numFmtId="166" fontId="0" fillId="9" borderId="1" xfId="1" applyNumberFormat="1" applyFont="1" applyFill="1" applyBorder="1"/>
    <xf numFmtId="0" fontId="11" fillId="0" borderId="0" xfId="0" applyFont="1"/>
    <xf numFmtId="3" fontId="0" fillId="0" borderId="0" xfId="0" applyNumberFormat="1"/>
    <xf numFmtId="0" fontId="12" fillId="19" borderId="9" xfId="0" applyFont="1" applyFill="1" applyBorder="1"/>
    <xf numFmtId="0" fontId="0" fillId="0" borderId="0" xfId="0" pivotButton="1"/>
    <xf numFmtId="0" fontId="0" fillId="0" borderId="0" xfId="0" applyAlignment="1">
      <alignment horizontal="left"/>
    </xf>
    <xf numFmtId="0" fontId="7" fillId="0" borderId="0" xfId="0" applyFont="1"/>
    <xf numFmtId="0" fontId="7" fillId="4" borderId="0" xfId="0" applyFont="1" applyFill="1"/>
    <xf numFmtId="0" fontId="13" fillId="0" borderId="0" xfId="0" applyFont="1"/>
    <xf numFmtId="0" fontId="14" fillId="0" borderId="0" xfId="0" applyFont="1"/>
    <xf numFmtId="0" fontId="15" fillId="0" borderId="0" xfId="0" applyFont="1"/>
    <xf numFmtId="0" fontId="15" fillId="4" borderId="0" xfId="0" applyFont="1" applyFill="1"/>
    <xf numFmtId="9" fontId="0" fillId="0" borderId="1" xfId="0" applyNumberFormat="1" applyBorder="1"/>
    <xf numFmtId="166" fontId="0" fillId="10" borderId="1" xfId="0" applyNumberFormat="1" applyFill="1" applyBorder="1"/>
    <xf numFmtId="0" fontId="0" fillId="10" borderId="1" xfId="0" applyFill="1" applyBorder="1" applyAlignment="1">
      <alignment horizontal="center"/>
    </xf>
    <xf numFmtId="49" fontId="0" fillId="0" borderId="1" xfId="0" applyNumberFormat="1" applyBorder="1"/>
    <xf numFmtId="49" fontId="7" fillId="4" borderId="1" xfId="0" applyNumberFormat="1" applyFont="1" applyFill="1" applyBorder="1"/>
    <xf numFmtId="0" fontId="2" fillId="20" borderId="0" xfId="0" applyFont="1" applyFill="1"/>
    <xf numFmtId="0" fontId="2" fillId="21" borderId="5" xfId="0" applyFont="1" applyFill="1" applyBorder="1" applyAlignment="1">
      <alignment horizontal="center" vertical="center" wrapText="1"/>
    </xf>
    <xf numFmtId="0" fontId="16" fillId="0" borderId="0" xfId="0" applyFont="1"/>
    <xf numFmtId="0" fontId="17" fillId="0" borderId="0" xfId="0" applyFont="1"/>
    <xf numFmtId="0" fontId="2" fillId="22" borderId="5" xfId="0" applyFont="1" applyFill="1" applyBorder="1" applyAlignment="1">
      <alignment horizontal="center" vertical="center" wrapText="1"/>
    </xf>
    <xf numFmtId="11" fontId="0" fillId="0" borderId="0" xfId="0" applyNumberFormat="1"/>
    <xf numFmtId="164" fontId="0" fillId="0" borderId="0" xfId="0" applyNumberFormat="1"/>
    <xf numFmtId="165" fontId="3" fillId="0" borderId="0" xfId="1" applyNumberFormat="1" applyFont="1"/>
    <xf numFmtId="164" fontId="3" fillId="0" borderId="0" xfId="0" applyNumberFormat="1" applyFont="1"/>
    <xf numFmtId="167" fontId="3" fillId="0" borderId="0" xfId="1" applyNumberFormat="1" applyFont="1"/>
    <xf numFmtId="0" fontId="15" fillId="0" borderId="0" xfId="0" applyFont="1" applyAlignment="1">
      <alignment horizontal="left"/>
    </xf>
    <xf numFmtId="0" fontId="7" fillId="0" borderId="0" xfId="0" applyFont="1" applyAlignment="1">
      <alignment horizontal="left"/>
    </xf>
    <xf numFmtId="0" fontId="2" fillId="3" borderId="0" xfId="0" applyFont="1" applyFill="1" applyAlignment="1">
      <alignment horizontal="left"/>
    </xf>
    <xf numFmtId="0" fontId="0" fillId="0" borderId="1" xfId="0" applyBorder="1" applyAlignment="1">
      <alignment horizontal="left"/>
    </xf>
    <xf numFmtId="0" fontId="0" fillId="0" borderId="3" xfId="0" applyBorder="1" applyAlignment="1">
      <alignment horizontal="left"/>
    </xf>
    <xf numFmtId="0" fontId="14" fillId="0" borderId="0" xfId="0" applyFont="1" applyAlignment="1">
      <alignment horizontal="left"/>
    </xf>
    <xf numFmtId="9" fontId="0" fillId="0" borderId="0" xfId="0" applyNumberFormat="1"/>
    <xf numFmtId="1" fontId="0" fillId="9" borderId="1" xfId="0" applyNumberFormat="1" applyFill="1" applyBorder="1"/>
    <xf numFmtId="169" fontId="0" fillId="9" borderId="1" xfId="0" applyNumberFormat="1" applyFill="1" applyBorder="1"/>
    <xf numFmtId="0" fontId="0" fillId="9" borderId="0" xfId="0" applyFill="1"/>
    <xf numFmtId="166" fontId="0" fillId="9" borderId="2" xfId="1" applyNumberFormat="1" applyFont="1" applyFill="1" applyBorder="1"/>
    <xf numFmtId="0" fontId="19" fillId="26" borderId="1" xfId="0" applyFont="1" applyFill="1" applyBorder="1"/>
    <xf numFmtId="0" fontId="0" fillId="10" borderId="10" xfId="0" applyFill="1" applyBorder="1"/>
    <xf numFmtId="0" fontId="0" fillId="6" borderId="1" xfId="0" applyFill="1" applyBorder="1"/>
    <xf numFmtId="165" fontId="3" fillId="27" borderId="0" xfId="1" applyNumberFormat="1" applyFont="1" applyFill="1"/>
    <xf numFmtId="165" fontId="0" fillId="0" borderId="0" xfId="0" applyNumberFormat="1"/>
    <xf numFmtId="170" fontId="0" fillId="0" borderId="0" xfId="0" applyNumberFormat="1"/>
    <xf numFmtId="0" fontId="0" fillId="0" borderId="0" xfId="0" applyAlignment="1">
      <alignment horizontal="center" vertical="center"/>
    </xf>
    <xf numFmtId="0" fontId="0" fillId="23" borderId="1" xfId="0" applyFill="1" applyBorder="1"/>
    <xf numFmtId="165" fontId="3" fillId="0" borderId="0" xfId="0" applyNumberFormat="1" applyFont="1"/>
    <xf numFmtId="166" fontId="0" fillId="0" borderId="0" xfId="0" applyNumberFormat="1"/>
    <xf numFmtId="49" fontId="0" fillId="0" borderId="3" xfId="0" applyNumberFormat="1" applyBorder="1" applyAlignment="1">
      <alignment horizontal="left"/>
    </xf>
    <xf numFmtId="49" fontId="0" fillId="0" borderId="0" xfId="0" applyNumberFormat="1"/>
    <xf numFmtId="49" fontId="0" fillId="0" borderId="1" xfId="0" applyNumberFormat="1" applyBorder="1" applyAlignment="1">
      <alignment horizontal="left"/>
    </xf>
    <xf numFmtId="0" fontId="2" fillId="28" borderId="5" xfId="0" applyFont="1" applyFill="1" applyBorder="1" applyAlignment="1">
      <alignment horizontal="center" vertical="center" wrapText="1"/>
    </xf>
    <xf numFmtId="164" fontId="0" fillId="0" borderId="2" xfId="1" applyFont="1" applyBorder="1"/>
    <xf numFmtId="165" fontId="0" fillId="0" borderId="1" xfId="1" applyNumberFormat="1" applyFont="1" applyFill="1" applyBorder="1"/>
    <xf numFmtId="167" fontId="0" fillId="0" borderId="1" xfId="1" applyNumberFormat="1" applyFont="1" applyFill="1" applyBorder="1"/>
    <xf numFmtId="0" fontId="3" fillId="7" borderId="0" xfId="0" applyFont="1" applyFill="1" applyAlignment="1">
      <alignment horizontal="center" vertical="center"/>
    </xf>
    <xf numFmtId="0" fontId="3" fillId="7" borderId="0" xfId="0" quotePrefix="1" applyFont="1" applyFill="1" applyAlignment="1">
      <alignment horizontal="center" vertical="center"/>
    </xf>
    <xf numFmtId="0" fontId="12" fillId="29" borderId="9" xfId="0" applyFont="1" applyFill="1" applyBorder="1"/>
    <xf numFmtId="165" fontId="3" fillId="0" borderId="0" xfId="1" applyNumberFormat="1" applyFont="1" applyFill="1"/>
    <xf numFmtId="165" fontId="0" fillId="0" borderId="12" xfId="1" applyNumberFormat="1" applyFont="1" applyBorder="1"/>
    <xf numFmtId="165" fontId="19" fillId="0" borderId="0" xfId="0" applyNumberFormat="1" applyFont="1"/>
    <xf numFmtId="164" fontId="19" fillId="0" borderId="0" xfId="0" applyNumberFormat="1" applyFont="1"/>
    <xf numFmtId="0" fontId="2" fillId="16" borderId="17" xfId="0" applyFont="1" applyFill="1" applyBorder="1" applyAlignment="1">
      <alignment horizontal="center" vertical="center" wrapText="1"/>
    </xf>
    <xf numFmtId="0" fontId="6" fillId="0" borderId="19" xfId="0" applyFont="1" applyBorder="1"/>
    <xf numFmtId="0" fontId="6" fillId="0" borderId="18" xfId="0" applyFont="1" applyBorder="1"/>
    <xf numFmtId="165" fontId="0" fillId="0" borderId="20" xfId="1" applyNumberFormat="1" applyFont="1" applyBorder="1"/>
    <xf numFmtId="0" fontId="0" fillId="0" borderId="21" xfId="0" applyBorder="1"/>
    <xf numFmtId="165" fontId="0" fillId="0" borderId="22" xfId="1" applyNumberFormat="1" applyFont="1" applyBorder="1"/>
    <xf numFmtId="0" fontId="0" fillId="0" borderId="23" xfId="0" applyBorder="1"/>
    <xf numFmtId="166" fontId="7" fillId="4" borderId="24" xfId="0" applyNumberFormat="1" applyFont="1" applyFill="1" applyBorder="1"/>
    <xf numFmtId="166" fontId="7" fillId="4" borderId="25" xfId="0" applyNumberFormat="1" applyFont="1" applyFill="1" applyBorder="1"/>
    <xf numFmtId="0" fontId="0" fillId="4" borderId="25" xfId="0" applyFill="1" applyBorder="1"/>
    <xf numFmtId="0" fontId="0" fillId="4" borderId="26" xfId="0" applyFill="1" applyBorder="1"/>
    <xf numFmtId="164" fontId="0" fillId="0" borderId="12" xfId="1" applyFont="1" applyBorder="1"/>
    <xf numFmtId="164" fontId="0" fillId="0" borderId="11" xfId="1" applyFont="1" applyBorder="1"/>
    <xf numFmtId="165" fontId="0" fillId="0" borderId="11" xfId="1" applyNumberFormat="1" applyFont="1" applyBorder="1"/>
    <xf numFmtId="165" fontId="0" fillId="4" borderId="11" xfId="1" applyNumberFormat="1" applyFont="1" applyFill="1" applyBorder="1"/>
    <xf numFmtId="0" fontId="2" fillId="28" borderId="17" xfId="0" applyFont="1" applyFill="1" applyBorder="1" applyAlignment="1">
      <alignment horizontal="center" vertical="center" wrapText="1"/>
    </xf>
    <xf numFmtId="166" fontId="0" fillId="9" borderId="28" xfId="0" applyNumberFormat="1" applyFill="1" applyBorder="1"/>
    <xf numFmtId="166" fontId="0" fillId="9" borderId="29" xfId="0" applyNumberFormat="1" applyFill="1" applyBorder="1"/>
    <xf numFmtId="166" fontId="0" fillId="4" borderId="29" xfId="0" applyNumberFormat="1" applyFill="1" applyBorder="1"/>
    <xf numFmtId="166" fontId="0" fillId="10" borderId="2" xfId="1" applyNumberFormat="1" applyFont="1" applyFill="1" applyBorder="1"/>
    <xf numFmtId="166" fontId="0" fillId="10" borderId="1" xfId="1" applyNumberFormat="1" applyFont="1" applyFill="1" applyBorder="1"/>
    <xf numFmtId="166" fontId="1" fillId="10" borderId="1" xfId="1" applyNumberFormat="1" applyFont="1" applyFill="1" applyBorder="1"/>
    <xf numFmtId="165" fontId="0" fillId="9" borderId="2" xfId="1" applyNumberFormat="1" applyFont="1" applyFill="1" applyBorder="1"/>
    <xf numFmtId="165" fontId="1" fillId="9" borderId="1" xfId="1" applyNumberFormat="1" applyFont="1" applyFill="1" applyBorder="1"/>
    <xf numFmtId="41" fontId="0" fillId="0" borderId="0" xfId="3" applyFont="1"/>
    <xf numFmtId="41" fontId="2" fillId="13" borderId="5" xfId="3" applyFont="1" applyFill="1" applyBorder="1" applyAlignment="1">
      <alignment horizontal="right" vertical="center"/>
    </xf>
    <xf numFmtId="41" fontId="0" fillId="9" borderId="1" xfId="3" applyFont="1" applyFill="1" applyBorder="1"/>
    <xf numFmtId="41" fontId="0" fillId="0" borderId="7" xfId="3" applyFont="1" applyBorder="1"/>
    <xf numFmtId="164" fontId="0" fillId="9" borderId="2" xfId="1" applyFont="1" applyFill="1" applyBorder="1"/>
    <xf numFmtId="164" fontId="0" fillId="9" borderId="1" xfId="1" applyFont="1" applyFill="1" applyBorder="1"/>
    <xf numFmtId="10" fontId="0" fillId="0" borderId="0" xfId="0" applyNumberFormat="1"/>
    <xf numFmtId="0" fontId="0" fillId="10" borderId="0" xfId="0" applyFill="1"/>
    <xf numFmtId="165" fontId="0" fillId="10" borderId="0" xfId="1" applyNumberFormat="1" applyFont="1" applyFill="1"/>
    <xf numFmtId="167" fontId="19" fillId="0" borderId="0" xfId="0" applyNumberFormat="1" applyFont="1"/>
    <xf numFmtId="0" fontId="2" fillId="20" borderId="0" xfId="0" applyFont="1" applyFill="1" applyAlignment="1">
      <alignment horizontal="center" vertical="center" wrapText="1"/>
    </xf>
    <xf numFmtId="165" fontId="0" fillId="23" borderId="1" xfId="1" applyNumberFormat="1" applyFont="1" applyFill="1" applyBorder="1"/>
    <xf numFmtId="167" fontId="0" fillId="0" borderId="0" xfId="1" applyNumberFormat="1" applyFont="1"/>
    <xf numFmtId="49" fontId="0" fillId="0" borderId="3" xfId="0" applyNumberFormat="1" applyBorder="1"/>
    <xf numFmtId="0" fontId="0" fillId="2" borderId="1" xfId="0" applyFill="1" applyBorder="1"/>
    <xf numFmtId="0" fontId="22" fillId="0" borderId="0" xfId="0" applyFont="1"/>
    <xf numFmtId="0" fontId="3" fillId="0" borderId="2" xfId="0" applyFont="1" applyBorder="1"/>
    <xf numFmtId="0" fontId="21" fillId="0" borderId="1" xfId="0" applyFont="1" applyBorder="1" applyAlignment="1">
      <alignment horizontal="left" indent="2"/>
    </xf>
    <xf numFmtId="0" fontId="21" fillId="0" borderId="1" xfId="0" applyFont="1" applyBorder="1"/>
    <xf numFmtId="9" fontId="21" fillId="0" borderId="1" xfId="2" applyFont="1" applyFill="1" applyBorder="1"/>
    <xf numFmtId="165" fontId="21" fillId="0" borderId="1" xfId="1" applyNumberFormat="1" applyFont="1" applyFill="1" applyBorder="1"/>
    <xf numFmtId="9" fontId="0" fillId="0" borderId="1" xfId="2" applyFont="1" applyFill="1" applyBorder="1"/>
    <xf numFmtId="165" fontId="0" fillId="0" borderId="1" xfId="0" applyNumberFormat="1" applyBorder="1"/>
    <xf numFmtId="9" fontId="0" fillId="0" borderId="1" xfId="2" applyFont="1" applyFill="1" applyBorder="1" applyAlignment="1">
      <alignment horizontal="right"/>
    </xf>
    <xf numFmtId="165" fontId="0" fillId="0" borderId="1" xfId="1" applyNumberFormat="1" applyFont="1" applyFill="1" applyBorder="1" applyAlignment="1">
      <alignment horizontal="right"/>
    </xf>
    <xf numFmtId="0" fontId="3" fillId="24" borderId="1" xfId="0" applyFont="1" applyFill="1" applyBorder="1"/>
    <xf numFmtId="9" fontId="3" fillId="24" borderId="1" xfId="2" applyFont="1" applyFill="1" applyBorder="1"/>
    <xf numFmtId="165" fontId="3" fillId="24" borderId="1" xfId="1" applyNumberFormat="1" applyFont="1" applyFill="1" applyBorder="1"/>
    <xf numFmtId="165" fontId="3" fillId="24" borderId="1" xfId="0" applyNumberFormat="1" applyFont="1" applyFill="1" applyBorder="1"/>
    <xf numFmtId="0" fontId="2" fillId="30" borderId="0" xfId="0" applyFont="1" applyFill="1" applyAlignment="1">
      <alignment horizontal="center" vertical="center"/>
    </xf>
    <xf numFmtId="0" fontId="2" fillId="30" borderId="0" xfId="0" applyFont="1" applyFill="1" applyAlignment="1">
      <alignment horizontal="center" vertical="center" wrapText="1"/>
    </xf>
    <xf numFmtId="0" fontId="23" fillId="0" borderId="0" xfId="0" applyFont="1"/>
    <xf numFmtId="0" fontId="23" fillId="0" borderId="0" xfId="0" applyFont="1" applyAlignment="1">
      <alignment horizontal="center" vertical="center"/>
    </xf>
    <xf numFmtId="165" fontId="23" fillId="0" borderId="0" xfId="0" applyNumberFormat="1" applyFont="1"/>
    <xf numFmtId="165" fontId="18" fillId="25" borderId="1" xfId="1" applyNumberFormat="1" applyFont="1" applyFill="1" applyBorder="1"/>
    <xf numFmtId="49" fontId="0" fillId="25" borderId="1" xfId="0" applyNumberFormat="1" applyFill="1" applyBorder="1"/>
    <xf numFmtId="0" fontId="18" fillId="16" borderId="1" xfId="0" applyFont="1" applyFill="1" applyBorder="1"/>
    <xf numFmtId="0" fontId="24" fillId="2" borderId="1" xfId="0" applyFont="1" applyFill="1" applyBorder="1"/>
    <xf numFmtId="165" fontId="0" fillId="0" borderId="0" xfId="0" applyNumberFormat="1" applyAlignment="1">
      <alignment horizontal="left"/>
    </xf>
    <xf numFmtId="165" fontId="0" fillId="0" borderId="0" xfId="0" applyNumberFormat="1" applyAlignment="1">
      <alignment horizontal="left" indent="1"/>
    </xf>
    <xf numFmtId="165" fontId="0" fillId="0" borderId="0" xfId="0" pivotButton="1" applyNumberFormat="1"/>
    <xf numFmtId="0" fontId="2" fillId="15" borderId="8" xfId="0" applyFont="1" applyFill="1" applyBorder="1" applyAlignment="1">
      <alignment horizontal="center"/>
    </xf>
    <xf numFmtId="0" fontId="2" fillId="13" borderId="0" xfId="0" applyFont="1" applyFill="1" applyAlignment="1">
      <alignment horizontal="center" vertical="center"/>
    </xf>
    <xf numFmtId="0" fontId="2" fillId="13" borderId="0" xfId="0" applyFont="1" applyFill="1" applyAlignment="1">
      <alignment horizontal="center" vertical="center" wrapText="1"/>
    </xf>
    <xf numFmtId="0" fontId="2" fillId="13" borderId="0" xfId="0" applyFont="1" applyFill="1" applyAlignment="1">
      <alignment vertical="center"/>
    </xf>
    <xf numFmtId="0" fontId="2" fillId="13" borderId="2" xfId="0" applyFont="1" applyFill="1" applyBorder="1" applyAlignment="1">
      <alignment vertical="center"/>
    </xf>
    <xf numFmtId="0" fontId="2" fillId="3" borderId="0" xfId="0" applyFont="1" applyFill="1" applyAlignment="1">
      <alignment horizontal="center" vertical="center" wrapText="1"/>
    </xf>
    <xf numFmtId="0" fontId="2" fillId="5" borderId="0" xfId="0" applyFont="1" applyFill="1" applyAlignment="1">
      <alignment horizontal="center" vertical="center" wrapText="1"/>
    </xf>
    <xf numFmtId="0" fontId="3" fillId="7" borderId="0" xfId="0" quotePrefix="1" applyFont="1" applyFill="1" applyAlignment="1">
      <alignment horizontal="center" vertical="center"/>
    </xf>
    <xf numFmtId="0" fontId="3" fillId="7" borderId="0" xfId="0" applyFont="1" applyFill="1" applyAlignment="1">
      <alignment horizontal="center" vertical="center"/>
    </xf>
    <xf numFmtId="0" fontId="3" fillId="6" borderId="4" xfId="0" applyFont="1" applyFill="1" applyBorder="1" applyAlignment="1">
      <alignment horizontal="center" vertical="center"/>
    </xf>
    <xf numFmtId="0" fontId="3" fillId="6" borderId="0" xfId="0" applyFont="1" applyFill="1" applyAlignment="1">
      <alignment horizontal="center" vertical="center"/>
    </xf>
    <xf numFmtId="0" fontId="3" fillId="6" borderId="0" xfId="0" quotePrefix="1" applyFont="1" applyFill="1" applyAlignment="1">
      <alignment horizontal="center" vertical="center"/>
    </xf>
    <xf numFmtId="0" fontId="3" fillId="7" borderId="4" xfId="0" applyFont="1" applyFill="1" applyBorder="1" applyAlignment="1">
      <alignment horizontal="center" vertical="center"/>
    </xf>
    <xf numFmtId="0" fontId="3" fillId="14" borderId="4" xfId="0" applyFont="1" applyFill="1" applyBorder="1" applyAlignment="1">
      <alignment horizontal="center" vertical="center"/>
    </xf>
    <xf numFmtId="0" fontId="3" fillId="8" borderId="4" xfId="0" applyFont="1" applyFill="1" applyBorder="1" applyAlignment="1">
      <alignment horizontal="center" vertical="center"/>
    </xf>
    <xf numFmtId="0" fontId="3" fillId="8" borderId="0" xfId="0" applyFont="1" applyFill="1" applyAlignment="1">
      <alignment horizontal="center" vertical="center"/>
    </xf>
    <xf numFmtId="0" fontId="3" fillId="8" borderId="0" xfId="0" quotePrefix="1" applyFont="1" applyFill="1" applyAlignment="1">
      <alignment horizontal="center" vertical="center"/>
    </xf>
    <xf numFmtId="0" fontId="2" fillId="17" borderId="0" xfId="0" applyFont="1" applyFill="1" applyAlignment="1">
      <alignment horizontal="center" vertical="center"/>
    </xf>
    <xf numFmtId="0" fontId="3" fillId="11" borderId="0" xfId="0" applyFont="1" applyFill="1" applyAlignment="1">
      <alignment horizontal="center" vertical="center" wrapText="1"/>
    </xf>
    <xf numFmtId="0" fontId="3" fillId="12" borderId="0" xfId="0" applyFont="1" applyFill="1" applyAlignment="1">
      <alignment horizontal="center" vertical="center" wrapText="1"/>
    </xf>
    <xf numFmtId="0" fontId="3" fillId="8" borderId="27" xfId="0" applyFont="1" applyFill="1" applyBorder="1" applyAlignment="1">
      <alignment horizontal="center" vertical="center"/>
    </xf>
    <xf numFmtId="0" fontId="3" fillId="8" borderId="0" xfId="0" applyFont="1" applyFill="1" applyAlignment="1">
      <alignment vertical="center"/>
    </xf>
    <xf numFmtId="0" fontId="3" fillId="14" borderId="0" xfId="0" applyFont="1" applyFill="1" applyAlignment="1">
      <alignment horizontal="center" vertical="center"/>
    </xf>
    <xf numFmtId="0" fontId="2" fillId="16" borderId="13" xfId="0" applyFont="1" applyFill="1" applyBorder="1" applyAlignment="1">
      <alignment horizontal="center" vertical="center"/>
    </xf>
    <xf numFmtId="0" fontId="2" fillId="16" borderId="14" xfId="0" applyFont="1" applyFill="1" applyBorder="1" applyAlignment="1">
      <alignment horizontal="center" vertical="center"/>
    </xf>
    <xf numFmtId="0" fontId="2" fillId="16" borderId="15" xfId="0" applyFont="1" applyFill="1" applyBorder="1" applyAlignment="1">
      <alignment horizontal="center" vertical="center"/>
    </xf>
    <xf numFmtId="0" fontId="2" fillId="16" borderId="0" xfId="0" applyFont="1" applyFill="1" applyAlignment="1">
      <alignment horizontal="center" vertical="center"/>
    </xf>
    <xf numFmtId="0" fontId="2" fillId="16" borderId="15" xfId="0" quotePrefix="1" applyFont="1" applyFill="1" applyBorder="1" applyAlignment="1">
      <alignment horizontal="center" vertical="center"/>
    </xf>
    <xf numFmtId="0" fontId="2" fillId="16" borderId="16" xfId="0" quotePrefix="1" applyFont="1" applyFill="1" applyBorder="1" applyAlignment="1">
      <alignment horizontal="center" vertical="center"/>
    </xf>
    <xf numFmtId="0" fontId="2" fillId="16" borderId="18" xfId="0" applyFont="1" applyFill="1" applyBorder="1" applyAlignment="1">
      <alignment horizontal="center" vertical="center"/>
    </xf>
    <xf numFmtId="0" fontId="2" fillId="28" borderId="4" xfId="0" applyFont="1" applyFill="1" applyBorder="1" applyAlignment="1">
      <alignment horizontal="center" vertical="center"/>
    </xf>
    <xf numFmtId="0" fontId="2" fillId="28" borderId="0" xfId="0" applyFont="1" applyFill="1" applyAlignment="1">
      <alignment horizontal="center" vertical="center"/>
    </xf>
  </cellXfs>
  <cellStyles count="4">
    <cellStyle name="Comma" xfId="1" builtinId="3"/>
    <cellStyle name="Comma [0]" xfId="3" builtinId="6"/>
    <cellStyle name="Normal" xfId="0" builtinId="0"/>
    <cellStyle name="Percent" xfId="2" builtinId="5"/>
  </cellStyles>
  <dxfs count="32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border outline="0">
        <bottom style="thin">
          <color theme="4" tint="0.39997558519241921"/>
        </bottom>
      </border>
    </dxf>
    <dxf>
      <font>
        <b/>
        <i val="0"/>
        <strike val="0"/>
        <condense val="0"/>
        <extend val="0"/>
        <outline val="0"/>
        <shadow val="0"/>
        <u val="none"/>
        <vertAlign val="baseline"/>
        <sz val="11"/>
        <color theme="0"/>
        <name val="Aptos Narrow"/>
        <family val="2"/>
        <scheme val="minor"/>
      </font>
      <fill>
        <patternFill patternType="solid">
          <fgColor theme="4" tint="0.79998168889431442"/>
          <bgColor theme="1"/>
        </patternFill>
      </fill>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left/>
        <right/>
        <top style="hair">
          <color theme="0" tint="-0.24994659260841701"/>
        </top>
        <bottom style="hair">
          <color theme="0" tint="-0.24994659260841701"/>
        </bottom>
        <vertical/>
        <horizontal style="hair">
          <color theme="0" tint="-0.24994659260841701"/>
        </horizontal>
      </border>
    </dxf>
    <dxf>
      <font>
        <b/>
        <i val="0"/>
        <strike val="0"/>
        <condense val="0"/>
        <extend val="0"/>
        <outline val="0"/>
        <shadow val="0"/>
        <u val="none"/>
        <vertAlign val="baseline"/>
        <sz val="11"/>
        <color theme="0"/>
        <name val="Aptos Display"/>
        <family val="2"/>
        <scheme val="major"/>
      </font>
      <fill>
        <patternFill patternType="solid">
          <fgColor indexed="64"/>
          <bgColor theme="3" tint="0.499984740745262"/>
        </patternFill>
      </fill>
    </dxf>
    <dxf>
      <numFmt numFmtId="13" formatCode="0%"/>
      <border diagonalUp="0" diagonalDown="0">
        <left/>
        <right/>
        <top style="hair">
          <color theme="0" tint="-0.24994659260841701"/>
        </top>
        <bottom style="hair">
          <color theme="0" tint="-0.24994659260841701"/>
        </bottom>
        <vertical/>
        <horizontal style="hair">
          <color theme="0" tint="-0.24994659260841701"/>
        </horizontal>
      </border>
    </dxf>
    <dxf>
      <font>
        <b/>
        <i val="0"/>
        <strike val="0"/>
        <condense val="0"/>
        <extend val="0"/>
        <outline val="0"/>
        <shadow val="0"/>
        <u val="none"/>
        <vertAlign val="baseline"/>
        <sz val="11"/>
        <color theme="0"/>
        <name val="Aptos Display"/>
        <family val="2"/>
        <scheme val="major"/>
      </font>
      <fill>
        <patternFill patternType="solid">
          <fgColor indexed="64"/>
          <bgColor theme="3" tint="0.499984740745262"/>
        </patternFill>
      </fill>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left/>
        <right/>
        <top style="hair">
          <color theme="0" tint="-0.24994659260841701"/>
        </top>
        <bottom style="hair">
          <color theme="0" tint="-0.24994659260841701"/>
        </bottom>
        <vertical/>
        <horizontal style="hair">
          <color theme="0" tint="-0.24994659260841701"/>
        </horizontal>
      </border>
    </dxf>
    <dxf>
      <font>
        <b/>
        <i val="0"/>
        <strike val="0"/>
        <condense val="0"/>
        <extend val="0"/>
        <outline val="0"/>
        <shadow val="0"/>
        <u val="none"/>
        <vertAlign val="baseline"/>
        <sz val="11"/>
        <color theme="0"/>
        <name val="Aptos Display"/>
        <family val="2"/>
        <scheme val="major"/>
      </font>
      <fill>
        <patternFill patternType="solid">
          <fgColor indexed="64"/>
          <bgColor theme="3" tint="0.499984740745262"/>
        </patternFill>
      </fill>
    </dxf>
    <dxf>
      <fill>
        <patternFill patternType="none">
          <fgColor indexed="64"/>
          <bgColor indexed="65"/>
        </patternFill>
      </fill>
      <border diagonalUp="0" diagonalDown="0">
        <left/>
        <right/>
        <top style="hair">
          <color theme="0" tint="-0.24994659260841701"/>
        </top>
        <bottom style="hair">
          <color theme="0" tint="-0.24994659260841701"/>
        </bottom>
        <vertical/>
        <horizontal style="hair">
          <color theme="0" tint="-0.24994659260841701"/>
        </horizontal>
      </border>
    </dxf>
    <dxf>
      <fill>
        <patternFill patternType="none">
          <fgColor indexed="64"/>
          <bgColor indexed="65"/>
        </patternFill>
      </fill>
    </dxf>
    <dxf>
      <font>
        <b/>
        <i val="0"/>
        <strike val="0"/>
        <condense val="0"/>
        <extend val="0"/>
        <outline val="0"/>
        <shadow val="0"/>
        <u val="none"/>
        <vertAlign val="baseline"/>
        <sz val="11"/>
        <color theme="0"/>
        <name val="Aptos Display"/>
        <family val="2"/>
        <scheme val="major"/>
      </font>
      <fill>
        <patternFill patternType="solid">
          <fgColor indexed="64"/>
          <bgColor theme="3" tint="0.499984740745262"/>
        </patternFill>
      </fill>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left/>
        <right/>
        <top style="hair">
          <color theme="0" tint="-0.24994659260841701"/>
        </top>
        <bottom style="hair">
          <color theme="0" tint="-0.24994659260841701"/>
        </bottom>
        <vertical/>
        <horizontal/>
      </border>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outline="0">
        <left/>
        <right/>
        <top style="hair">
          <color theme="0" tint="-0.24994659260841701"/>
        </top>
        <bottom style="hair">
          <color theme="0" tint="-0.24994659260841701"/>
        </bottom>
      </border>
    </dxf>
    <dxf>
      <alignment horizontal="left" vertical="bottom" textRotation="0" wrapText="0" indent="0" justifyLastLine="0" shrinkToFit="0" readingOrder="0"/>
      <border diagonalUp="0" diagonalDown="0">
        <left/>
        <right/>
        <top style="hair">
          <color theme="0" tint="-0.24994659260841701"/>
        </top>
        <bottom/>
        <vertical/>
        <horizontal/>
      </border>
    </dxf>
    <dxf>
      <alignment horizontal="left" vertical="bottom" textRotation="0" wrapText="0" indent="0" justifyLastLine="0" shrinkToFit="0" readingOrder="0"/>
      <border diagonalUp="0" diagonalDown="0" outline="0">
        <left/>
        <right/>
        <top style="hair">
          <color theme="0" tint="-0.24994659260841701"/>
        </top>
        <bottom style="hair">
          <color theme="0" tint="-0.24994659260841701"/>
        </bottom>
      </border>
    </dxf>
    <dxf>
      <font>
        <b/>
        <i val="0"/>
        <strike val="0"/>
        <condense val="0"/>
        <extend val="0"/>
        <outline val="0"/>
        <shadow val="0"/>
        <u val="none"/>
        <vertAlign val="baseline"/>
        <sz val="11"/>
        <color theme="0"/>
        <name val="Aptos Display"/>
        <family val="2"/>
        <scheme val="major"/>
      </font>
      <fill>
        <patternFill patternType="solid">
          <fgColor indexed="64"/>
          <bgColor theme="3" tint="0.499984740745262"/>
        </patternFill>
      </fill>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left/>
        <right/>
        <top style="hair">
          <color theme="0" tint="-0.24994659260841701"/>
        </top>
        <bottom style="hair">
          <color theme="0" tint="-0.24994659260841701"/>
        </bottom>
        <vertical/>
        <horizontal style="hair">
          <color theme="0" tint="-0.24994659260841701"/>
        </horizontal>
      </border>
    </dxf>
    <dxf>
      <border>
        <top style="hair">
          <color theme="0" tint="-0.24994659260841701"/>
        </top>
      </border>
    </dxf>
    <dxf>
      <border diagonalUp="0" diagonalDown="0">
        <left/>
        <right/>
        <top style="hair">
          <color theme="0" tint="-0.24994659260841701"/>
        </top>
        <bottom style="hair">
          <color theme="0" tint="-0.24994659260841701"/>
        </bottom>
      </border>
    </dxf>
    <dxf>
      <border>
        <bottom style="hair">
          <color theme="0" tint="-0.24994659260841701"/>
        </bottom>
      </border>
    </dxf>
    <dxf>
      <font>
        <b/>
        <i val="0"/>
        <strike val="0"/>
        <condense val="0"/>
        <extend val="0"/>
        <outline val="0"/>
        <shadow val="0"/>
        <u val="none"/>
        <vertAlign val="baseline"/>
        <sz val="11"/>
        <color theme="0"/>
        <name val="Aptos Display"/>
        <family val="2"/>
        <scheme val="major"/>
      </font>
      <fill>
        <patternFill patternType="solid">
          <fgColor indexed="64"/>
          <bgColor theme="3" tint="0.499984740745262"/>
        </patternFill>
      </fill>
    </dxf>
    <dxf>
      <border diagonalUp="0" diagonalDown="0">
        <left/>
        <right/>
        <top style="hair">
          <color theme="0" tint="-0.24994659260841701"/>
        </top>
        <bottom style="hair">
          <color theme="0" tint="-0.24994659260841701"/>
        </bottom>
        <vertical/>
        <horizontal style="hair">
          <color theme="0" tint="-0.24994659260841701"/>
        </horizontal>
      </border>
    </dxf>
    <dxf>
      <font>
        <b/>
        <i val="0"/>
        <strike val="0"/>
        <condense val="0"/>
        <extend val="0"/>
        <outline val="0"/>
        <shadow val="0"/>
        <u val="none"/>
        <vertAlign val="baseline"/>
        <sz val="11"/>
        <color theme="0"/>
        <name val="Aptos Display"/>
        <family val="2"/>
        <scheme val="major"/>
      </font>
      <fill>
        <patternFill patternType="solid">
          <fgColor indexed="64"/>
          <bgColor theme="3" tint="0.499984740745262"/>
        </patternFill>
      </fill>
    </dxf>
    <dxf>
      <numFmt numFmtId="165" formatCode="_(* #,##0_);_(* \(#,##0\);_(* &quot;-&quot;??_);_(@_)"/>
      <border diagonalUp="0" diagonalDown="0" outline="0">
        <left/>
        <right/>
        <top style="hair">
          <color theme="0" tint="-0.24994659260841701"/>
        </top>
        <bottom style="hair">
          <color theme="0" tint="-0.24994659260841701"/>
        </bottom>
      </border>
    </dxf>
    <dxf>
      <fill>
        <patternFill>
          <fgColor indexed="64"/>
          <bgColor rgb="FFFFFF99"/>
        </patternFill>
      </fill>
      <border diagonalUp="0" diagonalDown="0" outline="0">
        <left/>
        <right/>
        <top style="hair">
          <color theme="0" tint="-0.24994659260841701"/>
        </top>
        <bottom style="hair">
          <color theme="0" tint="-0.24994659260841701"/>
        </bottom>
      </border>
    </dxf>
    <dxf>
      <fill>
        <patternFill>
          <fgColor indexed="64"/>
          <bgColor rgb="FFFFFF99"/>
        </patternFill>
      </fill>
      <border diagonalUp="0" diagonalDown="0" outline="0">
        <left/>
        <right/>
        <top style="hair">
          <color theme="0" tint="-0.24994659260841701"/>
        </top>
        <bottom style="hair">
          <color theme="0" tint="-0.24994659260841701"/>
        </bottom>
      </border>
    </dxf>
    <dxf>
      <fill>
        <patternFill>
          <fgColor indexed="64"/>
          <bgColor rgb="FFFFFF99"/>
        </patternFill>
      </fill>
      <border diagonalUp="0" diagonalDown="0" outline="0">
        <left/>
        <right/>
        <top style="hair">
          <color theme="0" tint="-0.24994659260841701"/>
        </top>
        <bottom style="hair">
          <color theme="0" tint="-0.24994659260841701"/>
        </bottom>
      </border>
    </dxf>
    <dxf>
      <border diagonalUp="0" diagonalDown="0" outline="0">
        <left/>
        <right/>
        <top style="hair">
          <color theme="0" tint="-0.24994659260841701"/>
        </top>
        <bottom style="hair">
          <color theme="0" tint="-0.24994659260841701"/>
        </bottom>
      </border>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left/>
        <right/>
        <top style="hair">
          <color theme="0" tint="-0.24994659260841701"/>
        </top>
        <bottom style="hair">
          <color theme="0" tint="-0.24994659260841701"/>
        </bottom>
        <vertical/>
        <horizontal/>
      </border>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outline="0">
        <left/>
        <right/>
        <top style="hair">
          <color theme="0" tint="-0.24994659260841701"/>
        </top>
        <bottom style="hair">
          <color theme="0" tint="-0.24994659260841701"/>
        </bottom>
      </border>
    </dxf>
    <dxf>
      <numFmt numFmtId="165" formatCode="_(* #,##0_);_(* \(#,##0\);_(* &quot;-&quot;??_);_(@_)"/>
      <border diagonalUp="0" diagonalDown="0" outline="0">
        <left/>
        <right/>
        <top style="hair">
          <color theme="0" tint="-0.24994659260841701"/>
        </top>
        <bottom style="hair">
          <color theme="0" tint="-0.24994659260841701"/>
        </bottom>
      </border>
    </dxf>
    <dxf>
      <border diagonalUp="0" diagonalDown="0" outline="0">
        <left/>
        <right/>
        <top style="hair">
          <color theme="0" tint="-0.24994659260841701"/>
        </top>
        <bottom style="hair">
          <color theme="0" tint="-0.24994659260841701"/>
        </bottom>
      </border>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outline="0">
        <left/>
        <right/>
        <top style="hair">
          <color theme="0" tint="-0.24994659260841701"/>
        </top>
        <bottom style="hair">
          <color theme="0" tint="-0.24994659260841701"/>
        </bottom>
      </border>
    </dxf>
    <dxf>
      <numFmt numFmtId="166" formatCode="0.0%"/>
      <border diagonalUp="0" diagonalDown="0" outline="0">
        <left/>
        <right/>
        <top style="hair">
          <color theme="0" tint="-0.24994659260841701"/>
        </top>
        <bottom style="hair">
          <color theme="0" tint="-0.24994659260841701"/>
        </bottom>
      </border>
    </dxf>
    <dxf>
      <numFmt numFmtId="164" formatCode="_(* #,##0.00_);_(* \(#,##0.00\);_(* &quot;-&quot;??_);_(@_)"/>
      <border diagonalUp="0" diagonalDown="0" outline="0">
        <left/>
        <right/>
        <top style="hair">
          <color theme="0" tint="-0.24994659260841701"/>
        </top>
        <bottom style="hair">
          <color theme="0" tint="-0.24994659260841701"/>
        </bottom>
      </border>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left/>
        <right/>
        <top style="hair">
          <color theme="0" tint="-0.24994659260841701"/>
        </top>
        <bottom style="hair">
          <color theme="0" tint="-0.24994659260841701"/>
        </bottom>
        <vertical/>
        <horizontal/>
      </border>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left/>
        <right/>
        <top style="hair">
          <color theme="0" tint="-0.24994659260841701"/>
        </top>
        <bottom style="hair">
          <color theme="0" tint="-0.24994659260841701"/>
        </bottom>
        <vertical/>
        <horizontal/>
      </border>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left/>
        <right/>
        <top style="hair">
          <color theme="0" tint="-0.24994659260841701"/>
        </top>
        <bottom style="hair">
          <color theme="0" tint="-0.24994659260841701"/>
        </bottom>
        <vertical/>
        <horizontal style="hair">
          <color theme="0" tint="-0.24994659260841701"/>
        </horizontal>
      </border>
    </dxf>
    <dxf>
      <alignment horizontal="center" vertical="bottom" textRotation="0" wrapText="0" indent="0" justifyLastLine="0" shrinkToFit="0" readingOrder="0"/>
      <border diagonalUp="0" diagonalDown="0">
        <left/>
        <right/>
        <top style="hair">
          <color theme="0" tint="-0.24994659260841701"/>
        </top>
        <bottom style="hair">
          <color theme="0" tint="-0.24994659260841701"/>
        </bottom>
        <vertical/>
        <horizontal/>
      </border>
    </dxf>
    <dxf>
      <alignment horizontal="center" vertical="bottom" textRotation="0" wrapText="0" indent="0" justifyLastLine="0" shrinkToFit="0" readingOrder="0"/>
      <border diagonalUp="0" diagonalDown="0">
        <left/>
        <right/>
        <top style="hair">
          <color theme="0" tint="-0.24994659260841701"/>
        </top>
        <bottom style="hair">
          <color theme="0" tint="-0.24994659260841701"/>
        </bottom>
        <vertical/>
        <horizontal/>
      </border>
    </dxf>
    <dxf>
      <alignment horizontal="center" vertical="bottom" textRotation="0" wrapText="0" indent="0" justifyLastLine="0" shrinkToFit="0" readingOrder="0"/>
      <border diagonalUp="0" diagonalDown="0">
        <left/>
        <right/>
        <top style="hair">
          <color theme="0" tint="-0.24994659260841701"/>
        </top>
        <bottom style="hair">
          <color theme="0" tint="-0.24994659260841701"/>
        </bottom>
        <vertical/>
        <horizontal style="hair">
          <color theme="0" tint="-0.24994659260841701"/>
        </horizontal>
      </border>
    </dxf>
    <dxf>
      <font>
        <b val="0"/>
        <i/>
        <strike val="0"/>
        <condense val="0"/>
        <extend val="0"/>
        <outline val="0"/>
        <shadow val="0"/>
        <u val="none"/>
        <vertAlign val="baseline"/>
        <sz val="11"/>
        <color theme="0" tint="-0.249977111117893"/>
        <name val="Aptos Display"/>
        <family val="2"/>
        <scheme val="major"/>
      </font>
    </dxf>
    <dxf>
      <numFmt numFmtId="165" formatCode="_(* #,##0_);_(* \(#,##0\);_(* &quot;-&quot;??_);_(@_)"/>
      <border diagonalUp="0" diagonalDown="0" outline="0">
        <left/>
        <right/>
        <top style="hair">
          <color theme="0" tint="-0.14996795556505021"/>
        </top>
        <bottom style="hair">
          <color theme="0" tint="-0.14996795556505021"/>
        </bottom>
      </border>
    </dxf>
    <dxf>
      <numFmt numFmtId="165" formatCode="_(* #,##0_);_(* \(#,##0\);_(* &quot;-&quot;??_);_(@_)"/>
      <border diagonalUp="0" diagonalDown="0" outline="0">
        <left/>
        <right/>
        <top style="hair">
          <color theme="0" tint="-0.14996795556505021"/>
        </top>
        <bottom style="hair">
          <color theme="0" tint="-0.14996795556505021"/>
        </bottom>
      </border>
    </dxf>
    <dxf>
      <numFmt numFmtId="165" formatCode="_(* #,##0_);_(* \(#,##0\);_(* &quot;-&quot;??_);_(@_)"/>
      <border diagonalUp="0" diagonalDown="0" outline="0">
        <left/>
        <right/>
        <top style="hair">
          <color theme="0" tint="-0.14996795556505021"/>
        </top>
        <bottom style="hair">
          <color theme="0" tint="-0.14996795556505021"/>
        </bottom>
      </border>
    </dxf>
    <dxf>
      <numFmt numFmtId="165" formatCode="_(* #,##0_);_(* \(#,##0\);_(* &quot;-&quot;??_);_(@_)"/>
      <border diagonalUp="0" diagonalDown="0" outline="0">
        <left/>
        <right/>
        <top style="hair">
          <color theme="0" tint="-0.14996795556505021"/>
        </top>
        <bottom style="hair">
          <color theme="0" tint="-0.14996795556505021"/>
        </bottom>
      </border>
    </dxf>
    <dxf>
      <numFmt numFmtId="165" formatCode="_(* #,##0_);_(* \(#,##0\);_(* &quot;-&quot;??_);_(@_)"/>
      <border diagonalUp="0" diagonalDown="0" outline="0">
        <left/>
        <right/>
        <top style="hair">
          <color theme="0" tint="-0.14996795556505021"/>
        </top>
        <bottom style="hair">
          <color theme="0" tint="-0.14996795556505021"/>
        </bottom>
      </border>
    </dxf>
    <dxf>
      <numFmt numFmtId="165" formatCode="_(* #,##0_);_(* \(#,##0\);_(* &quot;-&quot;??_);_(@_)"/>
      <border diagonalUp="0" diagonalDown="0" outline="0">
        <left/>
        <right/>
        <top style="hair">
          <color theme="0" tint="-0.14996795556505021"/>
        </top>
        <bottom style="hair">
          <color theme="0" tint="-0.14996795556505021"/>
        </bottom>
      </border>
    </dxf>
    <dxf>
      <numFmt numFmtId="165" formatCode="_(* #,##0_);_(* \(#,##0\);_(* &quot;-&quot;??_);_(@_)"/>
      <border diagonalUp="0" diagonalDown="0" outline="0">
        <left/>
        <right/>
        <top style="hair">
          <color theme="0" tint="-0.14996795556505021"/>
        </top>
        <bottom style="hair">
          <color theme="0" tint="-0.14996795556505021"/>
        </bottom>
      </border>
    </dxf>
    <dxf>
      <numFmt numFmtId="165" formatCode="_(* #,##0_);_(* \(#,##0\);_(* &quot;-&quot;??_);_(@_)"/>
      <border diagonalUp="0" diagonalDown="0" outline="0">
        <left/>
        <right/>
        <top style="hair">
          <color theme="0" tint="-0.14996795556505021"/>
        </top>
        <bottom style="hair">
          <color theme="0" tint="-0.14996795556505021"/>
        </bottom>
      </border>
    </dxf>
    <dxf>
      <numFmt numFmtId="165" formatCode="_(* #,##0_);_(* \(#,##0\);_(* &quot;-&quot;??_);_(@_)"/>
      <border diagonalUp="0" diagonalDown="0" outline="0">
        <left/>
        <right/>
        <top style="hair">
          <color theme="0" tint="-0.14996795556505021"/>
        </top>
        <bottom style="hair">
          <color theme="0" tint="-0.14996795556505021"/>
        </bottom>
      </border>
    </dxf>
    <dxf>
      <numFmt numFmtId="165" formatCode="_(* #,##0_);_(* \(#,##0\);_(* &quot;-&quot;??_);_(@_)"/>
      <border diagonalUp="0" diagonalDown="0" outline="0">
        <left/>
        <right/>
        <top style="hair">
          <color theme="0" tint="-0.14996795556505021"/>
        </top>
        <bottom style="hair">
          <color theme="0" tint="-0.14996795556505021"/>
        </bottom>
      </border>
    </dxf>
    <dxf>
      <numFmt numFmtId="165" formatCode="_(* #,##0_);_(* \(#,##0\);_(* &quot;-&quot;??_);_(@_)"/>
      <border diagonalUp="0" diagonalDown="0" outline="0">
        <left/>
        <right/>
        <top style="hair">
          <color theme="0" tint="-0.14996795556505021"/>
        </top>
        <bottom style="hair">
          <color theme="0" tint="-0.14996795556505021"/>
        </bottom>
      </border>
    </dxf>
    <dxf>
      <numFmt numFmtId="165" formatCode="_(* #,##0_);_(* \(#,##0\);_(* &quot;-&quot;??_);_(@_)"/>
      <border diagonalUp="0" diagonalDown="0" outline="0">
        <left/>
        <right/>
        <top style="hair">
          <color theme="0" tint="-0.14996795556505021"/>
        </top>
        <bottom style="hair">
          <color theme="0" tint="-0.14996795556505021"/>
        </bottom>
      </border>
    </dxf>
    <dxf>
      <numFmt numFmtId="165" formatCode="_(* #,##0_);_(* \(#,##0\);_(* &quot;-&quot;??_);_(@_)"/>
      <border diagonalUp="0" diagonalDown="0" outline="0">
        <left/>
        <right/>
        <top style="hair">
          <color theme="0" tint="-0.14996795556505021"/>
        </top>
        <bottom style="hair">
          <color theme="0" tint="-0.14996795556505021"/>
        </bottom>
      </border>
    </dxf>
    <dxf>
      <numFmt numFmtId="166" formatCode="0.0%"/>
      <fill>
        <patternFill>
          <fgColor indexed="64"/>
          <bgColor rgb="FFFFFF99"/>
        </patternFill>
      </fill>
      <border diagonalUp="0" diagonalDown="0" outline="0">
        <left style="thick">
          <color rgb="FFC00000"/>
        </left>
        <right/>
        <top style="hair">
          <color theme="0" tint="-0.14996795556505021"/>
        </top>
        <bottom style="hair">
          <color theme="0" tint="-0.14996795556505021"/>
        </bottom>
      </border>
    </dxf>
    <dxf>
      <border diagonalUp="0" diagonalDown="0" outline="0">
        <left/>
        <right style="thick">
          <color rgb="FFC00000"/>
        </right>
        <top style="hair">
          <color theme="0" tint="-0.24994659260841701"/>
        </top>
        <bottom style="hair">
          <color theme="0" tint="-0.24994659260841701"/>
        </bottom>
      </border>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left/>
        <right/>
        <top style="hair">
          <color theme="0" tint="-0.24994659260841701"/>
        </top>
        <bottom style="hair">
          <color theme="0" tint="-0.24994659260841701"/>
        </bottom>
        <vertical/>
      </border>
    </dxf>
    <dxf>
      <numFmt numFmtId="165" formatCode="_(* #,##0_);_(* \(#,##0\);_(* &quot;-&quot;??_);_(@_)"/>
      <border diagonalUp="0" diagonalDown="0">
        <left/>
        <right/>
        <top style="hair">
          <color theme="0" tint="-0.24994659260841701"/>
        </top>
        <bottom style="hair">
          <color theme="0" tint="-0.24994659260841701"/>
        </bottom>
        <vertical/>
      </border>
    </dxf>
    <dxf>
      <numFmt numFmtId="165" formatCode="_(* #,##0_);_(* \(#,##0\);_(* &quot;-&quot;??_);_(@_)"/>
      <border diagonalUp="0" diagonalDown="0">
        <left/>
        <right/>
        <top style="hair">
          <color theme="0" tint="-0.24994659260841701"/>
        </top>
        <bottom style="hair">
          <color theme="0" tint="-0.24994659260841701"/>
        </bottom>
        <vertical/>
      </border>
    </dxf>
    <dxf>
      <numFmt numFmtId="165" formatCode="_(* #,##0_);_(* \(#,##0\);_(* &quot;-&quot;??_);_(@_)"/>
      <border diagonalUp="0" diagonalDown="0">
        <left/>
        <right/>
        <top style="hair">
          <color theme="0" tint="-0.24994659260841701"/>
        </top>
        <bottom style="hair">
          <color theme="0" tint="-0.24994659260841701"/>
        </bottom>
        <vertical/>
      </border>
    </dxf>
    <dxf>
      <numFmt numFmtId="165" formatCode="_(* #,##0_);_(* \(#,##0\);_(* &quot;-&quot;??_);_(@_)"/>
      <border diagonalUp="0" diagonalDown="0">
        <left/>
        <right/>
        <top style="hair">
          <color theme="0" tint="-0.24994659260841701"/>
        </top>
        <bottom style="hair">
          <color theme="0" tint="-0.24994659260841701"/>
        </bottom>
        <vertical/>
      </border>
    </dxf>
    <dxf>
      <numFmt numFmtId="165" formatCode="_(* #,##0_);_(* \(#,##0\);_(* &quot;-&quot;??_);_(@_)"/>
      <border diagonalUp="0" diagonalDown="0">
        <left/>
        <right/>
        <top style="hair">
          <color theme="0" tint="-0.24994659260841701"/>
        </top>
        <bottom style="hair">
          <color theme="0" tint="-0.24994659260841701"/>
        </bottom>
        <vertical/>
      </border>
    </dxf>
    <dxf>
      <numFmt numFmtId="165" formatCode="_(* #,##0_);_(* \(#,##0\);_(* &quot;-&quot;??_);_(@_)"/>
      <border diagonalUp="0" diagonalDown="0">
        <left/>
        <right/>
        <top style="hair">
          <color theme="0" tint="-0.24994659260841701"/>
        </top>
        <bottom style="hair">
          <color theme="0" tint="-0.24994659260841701"/>
        </bottom>
        <vertical/>
      </border>
    </dxf>
    <dxf>
      <numFmt numFmtId="165" formatCode="_(* #,##0_);_(* \(#,##0\);_(* &quot;-&quot;??_);_(@_)"/>
      <border diagonalUp="0" diagonalDown="0">
        <left/>
        <right/>
        <top style="hair">
          <color theme="0" tint="-0.24994659260841701"/>
        </top>
        <bottom style="hair">
          <color theme="0" tint="-0.24994659260841701"/>
        </bottom>
        <vertical/>
      </border>
    </dxf>
    <dxf>
      <numFmt numFmtId="165" formatCode="_(* #,##0_);_(* \(#,##0\);_(* &quot;-&quot;??_);_(@_)"/>
      <border diagonalUp="0" diagonalDown="0">
        <left/>
        <right/>
        <top style="hair">
          <color theme="0" tint="-0.24994659260841701"/>
        </top>
        <bottom style="hair">
          <color theme="0" tint="-0.24994659260841701"/>
        </bottom>
        <vertical/>
      </border>
    </dxf>
    <dxf>
      <numFmt numFmtId="165" formatCode="_(* #,##0_);_(* \(#,##0\);_(* &quot;-&quot;??_);_(@_)"/>
      <border diagonalUp="0" diagonalDown="0">
        <left/>
        <right/>
        <top style="hair">
          <color theme="0" tint="-0.24994659260841701"/>
        </top>
        <bottom style="hair">
          <color theme="0" tint="-0.24994659260841701"/>
        </bottom>
        <vertical/>
      </border>
    </dxf>
    <dxf>
      <numFmt numFmtId="165" formatCode="_(* #,##0_);_(* \(#,##0\);_(* &quot;-&quot;??_);_(@_)"/>
      <border diagonalUp="0" diagonalDown="0">
        <left/>
        <right/>
        <top style="hair">
          <color theme="0" tint="-0.24994659260841701"/>
        </top>
        <bottom style="hair">
          <color theme="0" tint="-0.24994659260841701"/>
        </bottom>
        <vertical/>
      </border>
    </dxf>
    <dxf>
      <numFmt numFmtId="165" formatCode="_(* #,##0_);_(* \(#,##0\);_(* &quot;-&quot;??_);_(@_)"/>
      <border diagonalUp="0" diagonalDown="0">
        <left/>
        <right/>
        <top style="hair">
          <color theme="0" tint="-0.24994659260841701"/>
        </top>
        <bottom style="hair">
          <color theme="0" tint="-0.24994659260841701"/>
        </bottom>
        <vertical/>
      </border>
    </dxf>
    <dxf>
      <numFmt numFmtId="165" formatCode="_(* #,##0_);_(* \(#,##0\);_(* &quot;-&quot;??_);_(@_)"/>
      <border diagonalUp="0" diagonalDown="0">
        <left/>
        <right/>
        <top style="hair">
          <color theme="0" tint="-0.24994659260841701"/>
        </top>
        <bottom style="hair">
          <color theme="0" tint="-0.24994659260841701"/>
        </bottom>
        <vertical/>
      </border>
    </dxf>
    <dxf>
      <numFmt numFmtId="165" formatCode="_(* #,##0_);_(* \(#,##0\);_(* &quot;-&quot;??_);_(@_)"/>
      <border diagonalUp="0" diagonalDown="0">
        <left style="thick">
          <color rgb="FFC00000"/>
        </left>
        <right/>
        <top style="hair">
          <color theme="0" tint="-0.24994659260841701"/>
        </top>
        <bottom style="hair">
          <color theme="0" tint="-0.24994659260841701"/>
        </bottom>
        <vertical/>
      </border>
    </dxf>
    <dxf>
      <numFmt numFmtId="165" formatCode="_(* #,##0_);_(* \(#,##0\);_(* &quot;-&quot;??_);_(@_)"/>
      <border diagonalUp="0" diagonalDown="0" outline="0">
        <left/>
        <right/>
        <top style="hair">
          <color theme="0" tint="-0.24994659260841701"/>
        </top>
        <bottom style="hair">
          <color theme="0" tint="-0.24994659260841701"/>
        </bottom>
      </border>
    </dxf>
    <dxf>
      <numFmt numFmtId="165" formatCode="_(* #,##0_);_(* \(#,##0\);_(* &quot;-&quot;??_);_(@_)"/>
      <border diagonalUp="0" diagonalDown="0" outline="0">
        <left/>
        <right/>
        <top style="hair">
          <color theme="0" tint="-0.24994659260841701"/>
        </top>
        <bottom style="hair">
          <color theme="0" tint="-0.24994659260841701"/>
        </bottom>
      </border>
    </dxf>
    <dxf>
      <numFmt numFmtId="165" formatCode="_(* #,##0_);_(* \(#,##0\);_(* &quot;-&quot;??_);_(@_)"/>
      <border diagonalUp="0" diagonalDown="0" outline="0">
        <left/>
        <right/>
        <top style="hair">
          <color theme="0" tint="-0.24994659260841701"/>
        </top>
        <bottom style="hair">
          <color theme="0" tint="-0.24994659260841701"/>
        </bottom>
      </border>
    </dxf>
    <dxf>
      <numFmt numFmtId="165" formatCode="_(* #,##0_);_(* \(#,##0\);_(* &quot;-&quot;??_);_(@_)"/>
      <border diagonalUp="0" diagonalDown="0" outline="0">
        <left/>
        <right/>
        <top style="hair">
          <color theme="0" tint="-0.24994659260841701"/>
        </top>
        <bottom style="hair">
          <color theme="0" tint="-0.24994659260841701"/>
        </bottom>
      </border>
    </dxf>
    <dxf>
      <numFmt numFmtId="165" formatCode="_(* #,##0_);_(* \(#,##0\);_(* &quot;-&quot;??_);_(@_)"/>
      <border diagonalUp="0" diagonalDown="0" outline="0">
        <left/>
        <right/>
        <top style="hair">
          <color theme="0" tint="-0.24994659260841701"/>
        </top>
        <bottom style="hair">
          <color theme="0" tint="-0.24994659260841701"/>
        </bottom>
      </border>
    </dxf>
    <dxf>
      <numFmt numFmtId="165" formatCode="_(* #,##0_);_(* \(#,##0\);_(* &quot;-&quot;??_);_(@_)"/>
      <border diagonalUp="0" diagonalDown="0" outline="0">
        <left/>
        <right/>
        <top style="hair">
          <color theme="0" tint="-0.24994659260841701"/>
        </top>
        <bottom style="hair">
          <color theme="0" tint="-0.24994659260841701"/>
        </bottom>
      </border>
    </dxf>
    <dxf>
      <numFmt numFmtId="165" formatCode="_(* #,##0_);_(* \(#,##0\);_(* &quot;-&quot;??_);_(@_)"/>
      <border diagonalUp="0" diagonalDown="0" outline="0">
        <left/>
        <right/>
        <top style="hair">
          <color theme="0" tint="-0.24994659260841701"/>
        </top>
        <bottom style="hair">
          <color theme="0" tint="-0.24994659260841701"/>
        </bottom>
      </border>
    </dxf>
    <dxf>
      <numFmt numFmtId="165" formatCode="_(* #,##0_);_(* \(#,##0\);_(* &quot;-&quot;??_);_(@_)"/>
      <border diagonalUp="0" diagonalDown="0" outline="0">
        <left/>
        <right/>
        <top style="hair">
          <color theme="0" tint="-0.24994659260841701"/>
        </top>
        <bottom style="hair">
          <color theme="0" tint="-0.24994659260841701"/>
        </bottom>
      </border>
    </dxf>
    <dxf>
      <numFmt numFmtId="165" formatCode="_(* #,##0_);_(* \(#,##0\);_(* &quot;-&quot;??_);_(@_)"/>
      <border diagonalUp="0" diagonalDown="0" outline="0">
        <left/>
        <right/>
        <top style="hair">
          <color theme="0" tint="-0.24994659260841701"/>
        </top>
        <bottom style="hair">
          <color theme="0" tint="-0.24994659260841701"/>
        </bottom>
      </border>
    </dxf>
    <dxf>
      <numFmt numFmtId="165" formatCode="_(* #,##0_);_(* \(#,##0\);_(* &quot;-&quot;??_);_(@_)"/>
      <border diagonalUp="0" diagonalDown="0" outline="0">
        <left/>
        <right/>
        <top style="hair">
          <color theme="0" tint="-0.24994659260841701"/>
        </top>
        <bottom style="hair">
          <color theme="0" tint="-0.24994659260841701"/>
        </bottom>
      </border>
    </dxf>
    <dxf>
      <numFmt numFmtId="165" formatCode="_(* #,##0_);_(* \(#,##0\);_(* &quot;-&quot;??_);_(@_)"/>
      <border diagonalUp="0" diagonalDown="0" outline="0">
        <left/>
        <right/>
        <top style="hair">
          <color theme="0" tint="-0.24994659260841701"/>
        </top>
        <bottom style="hair">
          <color theme="0" tint="-0.24994659260841701"/>
        </bottom>
      </border>
    </dxf>
    <dxf>
      <numFmt numFmtId="165" formatCode="_(* #,##0_);_(* \(#,##0\);_(* &quot;-&quot;??_);_(@_)"/>
      <border diagonalUp="0" diagonalDown="0" outline="0">
        <left/>
        <right/>
        <top style="hair">
          <color theme="0" tint="-0.24994659260841701"/>
        </top>
        <bottom style="hair">
          <color theme="0" tint="-0.24994659260841701"/>
        </bottom>
      </border>
    </dxf>
    <dxf>
      <numFmt numFmtId="165" formatCode="_(* #,##0_);_(* \(#,##0\);_(* &quot;-&quot;??_);_(@_)"/>
      <border diagonalUp="0" diagonalDown="0" outline="0">
        <left/>
        <right/>
        <top style="hair">
          <color theme="0" tint="-0.24994659260841701"/>
        </top>
        <bottom style="hair">
          <color theme="0" tint="-0.24994659260841701"/>
        </bottom>
      </border>
    </dxf>
    <dxf>
      <numFmt numFmtId="165" formatCode="_(* #,##0_);_(* \(#,##0\);_(* &quot;-&quot;??_);_(@_)"/>
      <border diagonalUp="0" diagonalDown="0" outline="0">
        <left/>
        <right/>
        <top style="hair">
          <color theme="0" tint="-0.24994659260841701"/>
        </top>
        <bottom style="hair">
          <color theme="0" tint="-0.24994659260841701"/>
        </bottom>
      </border>
    </dxf>
    <dxf>
      <numFmt numFmtId="165" formatCode="_(* #,##0_);_(* \(#,##0\);_(* &quot;-&quot;??_);_(@_)"/>
      <border diagonalUp="0" diagonalDown="0" outline="0">
        <left/>
        <right/>
        <top style="hair">
          <color theme="0" tint="-0.24994659260841701"/>
        </top>
        <bottom style="hair">
          <color theme="0" tint="-0.24994659260841701"/>
        </bottom>
      </border>
    </dxf>
    <dxf>
      <border diagonalUp="0" diagonalDown="0" outline="0">
        <left/>
        <right/>
        <top style="hair">
          <color theme="0" tint="-0.24994659260841701"/>
        </top>
        <bottom style="hair">
          <color theme="0" tint="-0.24994659260841701"/>
        </bottom>
      </border>
    </dxf>
    <dxf>
      <numFmt numFmtId="165" formatCode="_(* #,##0_);_(* \(#,##0\);_(* &quot;-&quot;??_);_(@_)"/>
      <border diagonalUp="0" diagonalDown="0" outline="0">
        <left/>
        <right/>
        <top style="hair">
          <color theme="0" tint="-0.24994659260841701"/>
        </top>
        <bottom style="hair">
          <color theme="0" tint="-0.24994659260841701"/>
        </bottom>
      </border>
    </dxf>
    <dxf>
      <numFmt numFmtId="165" formatCode="_(* #,##0_);_(* \(#,##0\);_(* &quot;-&quot;??_);_(@_)"/>
      <border diagonalUp="0" diagonalDown="0">
        <left/>
        <right/>
        <top style="hair">
          <color theme="0" tint="-0.24994659260841701"/>
        </top>
        <bottom style="hair">
          <color theme="0" tint="-0.24994659260841701"/>
        </bottom>
        <vertical/>
        <horizontal/>
      </border>
    </dxf>
    <dxf>
      <numFmt numFmtId="165" formatCode="_(* #,##0_);_(* \(#,##0\);_(* &quot;-&quot;??_);_(@_)"/>
      <border diagonalUp="0" diagonalDown="0">
        <left/>
        <right/>
        <top style="hair">
          <color theme="0" tint="-0.24994659260841701"/>
        </top>
        <bottom style="hair">
          <color theme="0" tint="-0.24994659260841701"/>
        </bottom>
        <vertical/>
        <horizontal/>
      </border>
    </dxf>
    <dxf>
      <numFmt numFmtId="165" formatCode="_(* #,##0_);_(* \(#,##0\);_(* &quot;-&quot;??_);_(@_)"/>
      <border diagonalUp="0" diagonalDown="0">
        <left/>
        <right/>
        <top style="hair">
          <color theme="0" tint="-0.24994659260841701"/>
        </top>
        <bottom style="hair">
          <color theme="0" tint="-0.24994659260841701"/>
        </bottom>
        <vertical/>
        <horizontal/>
      </border>
    </dxf>
    <dxf>
      <numFmt numFmtId="165" formatCode="_(* #,##0_);_(* \(#,##0\);_(* &quot;-&quot;??_);_(@_)"/>
      <border diagonalUp="0" diagonalDown="0">
        <left/>
        <right/>
        <top style="hair">
          <color theme="0" tint="-0.24994659260841701"/>
        </top>
        <bottom style="hair">
          <color theme="0" tint="-0.24994659260841701"/>
        </bottom>
        <vertical/>
        <horizontal/>
      </border>
    </dxf>
    <dxf>
      <numFmt numFmtId="165" formatCode="_(* #,##0_);_(* \(#,##0\);_(* &quot;-&quot;??_);_(@_)"/>
      <border diagonalUp="0" diagonalDown="0">
        <left/>
        <right/>
        <top style="hair">
          <color theme="0" tint="-0.24994659260841701"/>
        </top>
        <bottom style="hair">
          <color theme="0" tint="-0.24994659260841701"/>
        </bottom>
        <vertical/>
        <horizontal/>
      </border>
    </dxf>
    <dxf>
      <numFmt numFmtId="165" formatCode="_(* #,##0_);_(* \(#,##0\);_(* &quot;-&quot;??_);_(@_)"/>
      <border diagonalUp="0" diagonalDown="0">
        <left/>
        <right/>
        <top style="hair">
          <color theme="0" tint="-0.24994659260841701"/>
        </top>
        <bottom style="hair">
          <color theme="0" tint="-0.24994659260841701"/>
        </bottom>
        <vertical/>
        <horizontal/>
      </border>
    </dxf>
    <dxf>
      <numFmt numFmtId="165" formatCode="_(* #,##0_);_(* \(#,##0\);_(* &quot;-&quot;??_);_(@_)"/>
      <border diagonalUp="0" diagonalDown="0">
        <left/>
        <right/>
        <top style="hair">
          <color theme="0" tint="-0.24994659260841701"/>
        </top>
        <bottom style="hair">
          <color theme="0" tint="-0.24994659260841701"/>
        </bottom>
        <vertical/>
        <horizontal/>
      </border>
    </dxf>
    <dxf>
      <numFmt numFmtId="165" formatCode="_(* #,##0_);_(* \(#,##0\);_(* &quot;-&quot;??_);_(@_)"/>
      <border diagonalUp="0" diagonalDown="0">
        <left/>
        <right/>
        <top style="hair">
          <color theme="0" tint="-0.24994659260841701"/>
        </top>
        <bottom style="hair">
          <color theme="0" tint="-0.24994659260841701"/>
        </bottom>
        <vertical/>
        <horizontal/>
      </border>
    </dxf>
    <dxf>
      <numFmt numFmtId="165" formatCode="_(* #,##0_);_(* \(#,##0\);_(* &quot;-&quot;??_);_(@_)"/>
      <border diagonalUp="0" diagonalDown="0">
        <left/>
        <right/>
        <top style="hair">
          <color theme="0" tint="-0.24994659260841701"/>
        </top>
        <bottom style="hair">
          <color theme="0" tint="-0.24994659260841701"/>
        </bottom>
        <vertical/>
        <horizontal/>
      </border>
    </dxf>
    <dxf>
      <numFmt numFmtId="165" formatCode="_(* #,##0_);_(* \(#,##0\);_(* &quot;-&quot;??_);_(@_)"/>
      <border diagonalUp="0" diagonalDown="0">
        <left/>
        <right/>
        <top style="hair">
          <color theme="0" tint="-0.24994659260841701"/>
        </top>
        <bottom style="hair">
          <color theme="0" tint="-0.24994659260841701"/>
        </bottom>
        <vertical/>
        <horizontal/>
      </border>
    </dxf>
    <dxf>
      <numFmt numFmtId="165" formatCode="_(* #,##0_);_(* \(#,##0\);_(* &quot;-&quot;??_);_(@_)"/>
      <border diagonalUp="0" diagonalDown="0">
        <left/>
        <right/>
        <top style="hair">
          <color theme="0" tint="-0.24994659260841701"/>
        </top>
        <bottom style="hair">
          <color theme="0" tint="-0.24994659260841701"/>
        </bottom>
        <vertical/>
        <horizontal/>
      </border>
    </dxf>
    <dxf>
      <numFmt numFmtId="165" formatCode="_(* #,##0_);_(* \(#,##0\);_(* &quot;-&quot;??_);_(@_)"/>
      <border diagonalUp="0" diagonalDown="0">
        <left/>
        <right/>
        <top style="hair">
          <color theme="0" tint="-0.24994659260841701"/>
        </top>
        <bottom style="hair">
          <color theme="0" tint="-0.24994659260841701"/>
        </bottom>
        <vertical/>
        <horizontal/>
      </border>
    </dxf>
    <dxf>
      <numFmt numFmtId="165" formatCode="_(* #,##0_);_(* \(#,##0\);_(* &quot;-&quot;??_);_(@_)"/>
      <border diagonalUp="0" diagonalDown="0">
        <left/>
        <right/>
        <top style="hair">
          <color theme="0" tint="-0.24994659260841701"/>
        </top>
        <bottom style="hair">
          <color theme="0" tint="-0.24994659260841701"/>
        </bottom>
        <vertical/>
        <horizontal/>
      </border>
    </dxf>
    <dxf>
      <font>
        <b val="0"/>
        <i val="0"/>
        <strike val="0"/>
        <condense val="0"/>
        <extend val="0"/>
        <outline val="0"/>
        <shadow val="0"/>
        <u val="none"/>
        <vertAlign val="baseline"/>
        <sz val="11"/>
        <color theme="1"/>
        <name val="Aptos Display"/>
        <family val="2"/>
        <scheme val="major"/>
      </font>
      <numFmt numFmtId="166" formatCode="0.0%"/>
      <fill>
        <patternFill patternType="solid">
          <fgColor indexed="64"/>
          <bgColor rgb="FFFFFF99"/>
        </patternFill>
      </fill>
      <border diagonalUp="0" diagonalDown="0">
        <left/>
        <right/>
        <top style="hair">
          <color theme="0" tint="-0.24994659260841701"/>
        </top>
        <bottom style="hair">
          <color theme="0" tint="-0.24994659260841701"/>
        </bottom>
        <vertical/>
        <horizontal/>
      </border>
    </dxf>
    <dxf>
      <font>
        <b val="0"/>
        <i val="0"/>
        <strike val="0"/>
        <condense val="0"/>
        <extend val="0"/>
        <outline val="0"/>
        <shadow val="0"/>
        <u val="none"/>
        <vertAlign val="baseline"/>
        <sz val="11"/>
        <color theme="1"/>
        <name val="Aptos Display"/>
        <family val="2"/>
        <scheme val="major"/>
      </font>
      <numFmt numFmtId="166" formatCode="0.0%"/>
      <fill>
        <patternFill patternType="solid">
          <fgColor indexed="64"/>
          <bgColor rgb="FFFFFF99"/>
        </patternFill>
      </fill>
      <border diagonalUp="0" diagonalDown="0" outline="0">
        <left/>
        <right/>
        <top style="hair">
          <color theme="0" tint="-0.24994659260841701"/>
        </top>
        <bottom style="hair">
          <color theme="0" tint="-0.24994659260841701"/>
        </bottom>
      </border>
    </dxf>
    <dxf>
      <numFmt numFmtId="166" formatCode="0.0%"/>
      <fill>
        <patternFill patternType="solid">
          <fgColor indexed="64"/>
          <bgColor theme="5" tint="0.79998168889431442"/>
        </patternFill>
      </fill>
      <border diagonalUp="0" diagonalDown="0" outline="0">
        <left/>
        <right/>
        <top style="hair">
          <color theme="0" tint="-0.24994659260841701"/>
        </top>
        <bottom style="hair">
          <color theme="0" tint="-0.24994659260841701"/>
        </bottom>
      </border>
    </dxf>
    <dxf>
      <numFmt numFmtId="166" formatCode="0.0%"/>
      <border diagonalUp="0" diagonalDown="0" outline="0">
        <left/>
        <right/>
        <top style="hair">
          <color theme="0" tint="-0.24994659260841701"/>
        </top>
        <bottom style="hair">
          <color theme="0" tint="-0.24994659260841701"/>
        </bottom>
      </border>
    </dxf>
    <dxf>
      <numFmt numFmtId="164" formatCode="_(* #,##0.00_);_(* \(#,##0.00\);_(* &quot;-&quot;??_);_(@_)"/>
      <border diagonalUp="0" diagonalDown="0" outline="0">
        <left/>
        <right/>
        <top style="hair">
          <color theme="0" tint="-0.24994659260841701"/>
        </top>
        <bottom style="hair">
          <color theme="0" tint="-0.24994659260841701"/>
        </bottom>
      </border>
    </dxf>
    <dxf>
      <numFmt numFmtId="165" formatCode="_(* #,##0_);_(* \(#,##0\);_(* &quot;-&quot;??_);_(@_)"/>
      <border diagonalUp="0" diagonalDown="0" outline="0">
        <left/>
        <right/>
        <top style="hair">
          <color theme="0" tint="-0.24994659260841701"/>
        </top>
        <bottom style="hair">
          <color theme="0" tint="-0.24994659260841701"/>
        </bottom>
      </border>
    </dxf>
    <dxf>
      <numFmt numFmtId="165" formatCode="_(* #,##0_);_(* \(#,##0\);_(* &quot;-&quot;??_);_(@_)"/>
      <border diagonalUp="0" diagonalDown="0" outline="0">
        <left/>
        <right/>
        <top style="hair">
          <color theme="0" tint="-0.24994659260841701"/>
        </top>
        <bottom style="hair">
          <color theme="0" tint="-0.24994659260841701"/>
        </bottom>
      </border>
    </dxf>
    <dxf>
      <numFmt numFmtId="165" formatCode="_(* #,##0_);_(* \(#,##0\);_(* &quot;-&quot;??_);_(@_)"/>
      <border diagonalUp="0" diagonalDown="0" outline="0">
        <left/>
        <right/>
        <top style="hair">
          <color theme="0" tint="-0.24994659260841701"/>
        </top>
        <bottom style="hair">
          <color theme="0" tint="-0.24994659260841701"/>
        </bottom>
      </border>
    </dxf>
    <dxf>
      <numFmt numFmtId="165" formatCode="_(* #,##0_);_(* \(#,##0\);_(* &quot;-&quot;??_);_(@_)"/>
      <border diagonalUp="0" diagonalDown="0" outline="0">
        <left/>
        <right/>
        <top style="hair">
          <color theme="0" tint="-0.24994659260841701"/>
        </top>
        <bottom style="hair">
          <color theme="0" tint="-0.24994659260841701"/>
        </bottom>
      </border>
    </dxf>
    <dxf>
      <numFmt numFmtId="165" formatCode="_(* #,##0_);_(* \(#,##0\);_(* &quot;-&quot;??_);_(@_)"/>
      <border diagonalUp="0" diagonalDown="0" outline="0">
        <left/>
        <right/>
        <top style="hair">
          <color theme="0" tint="-0.24994659260841701"/>
        </top>
        <bottom style="hair">
          <color theme="0" tint="-0.24994659260841701"/>
        </bottom>
      </border>
    </dxf>
    <dxf>
      <numFmt numFmtId="165" formatCode="_(* #,##0_);_(* \(#,##0\);_(* &quot;-&quot;??_);_(@_)"/>
      <border diagonalUp="0" diagonalDown="0" outline="0">
        <left/>
        <right/>
        <top style="hair">
          <color theme="0" tint="-0.24994659260841701"/>
        </top>
        <bottom style="hair">
          <color theme="0" tint="-0.24994659260841701"/>
        </bottom>
      </border>
    </dxf>
    <dxf>
      <numFmt numFmtId="165" formatCode="_(* #,##0_);_(* \(#,##0\);_(* &quot;-&quot;??_);_(@_)"/>
      <border diagonalUp="0" diagonalDown="0" outline="0">
        <left/>
        <right/>
        <top style="hair">
          <color theme="0" tint="-0.24994659260841701"/>
        </top>
        <bottom style="hair">
          <color theme="0" tint="-0.24994659260841701"/>
        </bottom>
      </border>
    </dxf>
    <dxf>
      <numFmt numFmtId="165" formatCode="_(* #,##0_);_(* \(#,##0\);_(* &quot;-&quot;??_);_(@_)"/>
      <border diagonalUp="0" diagonalDown="0" outline="0">
        <left/>
        <right/>
        <top style="hair">
          <color theme="0" tint="-0.24994659260841701"/>
        </top>
        <bottom style="hair">
          <color theme="0" tint="-0.24994659260841701"/>
        </bottom>
      </border>
    </dxf>
    <dxf>
      <numFmt numFmtId="165" formatCode="_(* #,##0_);_(* \(#,##0\);_(* &quot;-&quot;??_);_(@_)"/>
      <border diagonalUp="0" diagonalDown="0" outline="0">
        <left/>
        <right/>
        <top style="hair">
          <color theme="0" tint="-0.24994659260841701"/>
        </top>
        <bottom style="hair">
          <color theme="0" tint="-0.24994659260841701"/>
        </bottom>
      </border>
    </dxf>
    <dxf>
      <numFmt numFmtId="165" formatCode="_(* #,##0_);_(* \(#,##0\);_(* &quot;-&quot;??_);_(@_)"/>
      <border diagonalUp="0" diagonalDown="0" outline="0">
        <left/>
        <right/>
        <top style="hair">
          <color theme="0" tint="-0.24994659260841701"/>
        </top>
        <bottom style="hair">
          <color theme="0" tint="-0.24994659260841701"/>
        </bottom>
      </border>
    </dxf>
    <dxf>
      <numFmt numFmtId="165" formatCode="_(* #,##0_);_(* \(#,##0\);_(* &quot;-&quot;??_);_(@_)"/>
      <border diagonalUp="0" diagonalDown="0" outline="0">
        <left/>
        <right/>
        <top style="hair">
          <color theme="0" tint="-0.24994659260841701"/>
        </top>
        <bottom style="hair">
          <color theme="0" tint="-0.24994659260841701"/>
        </bottom>
      </border>
    </dxf>
    <dxf>
      <numFmt numFmtId="165" formatCode="_(* #,##0_);_(* \(#,##0\);_(* &quot;-&quot;??_);_(@_)"/>
      <border diagonalUp="0" diagonalDown="0" outline="0">
        <left/>
        <right/>
        <top style="hair">
          <color theme="0" tint="-0.24994659260841701"/>
        </top>
        <bottom style="hair">
          <color theme="0" tint="-0.24994659260841701"/>
        </bottom>
      </border>
    </dxf>
    <dxf>
      <numFmt numFmtId="165" formatCode="_(* #,##0_);_(* \(#,##0\);_(* &quot;-&quot;??_);_(@_)"/>
      <border diagonalUp="0" diagonalDown="0" outline="0">
        <left/>
        <right/>
        <top style="hair">
          <color theme="0" tint="-0.24994659260841701"/>
        </top>
        <bottom style="hair">
          <color theme="0" tint="-0.24994659260841701"/>
        </bottom>
      </border>
    </dxf>
    <dxf>
      <numFmt numFmtId="165" formatCode="_(* #,##0_);_(* \(#,##0\);_(* &quot;-&quot;??_);_(@_)"/>
      <border diagonalUp="0" diagonalDown="0" outline="0">
        <left/>
        <right/>
        <top style="hair">
          <color theme="0" tint="-0.24994659260841701"/>
        </top>
        <bottom style="hair">
          <color theme="0" tint="-0.24994659260841701"/>
        </bottom>
      </border>
    </dxf>
    <dxf>
      <numFmt numFmtId="166" formatCode="0.0%"/>
      <border diagonalUp="0" diagonalDown="0">
        <left/>
        <right/>
        <top style="hair">
          <color theme="0" tint="-0.24994659260841701"/>
        </top>
        <bottom style="hair">
          <color theme="0" tint="-0.24994659260841701"/>
        </bottom>
        <vertical/>
        <horizontal/>
      </border>
    </dxf>
    <dxf>
      <numFmt numFmtId="166" formatCode="0.0%"/>
      <border diagonalUp="0" diagonalDown="0" outline="0">
        <left/>
        <right/>
        <top style="hair">
          <color theme="0" tint="-0.24994659260841701"/>
        </top>
        <bottom style="hair">
          <color theme="0" tint="-0.24994659260841701"/>
        </bottom>
      </border>
    </dxf>
    <dxf>
      <numFmt numFmtId="167" formatCode="_(* #,##0.0_);_(* \(#,##0.0\);_(* &quot;-&quot;??_);_(@_)"/>
      <border diagonalUp="0" diagonalDown="0" outline="0">
        <left/>
        <right/>
        <top style="hair">
          <color theme="0" tint="-0.24994659260841701"/>
        </top>
        <bottom style="hair">
          <color theme="0" tint="-0.24994659260841701"/>
        </bottom>
      </border>
    </dxf>
    <dxf>
      <border diagonalUp="0" diagonalDown="0" outline="0">
        <left/>
        <right/>
        <top style="hair">
          <color theme="0" tint="-0.24994659260841701"/>
        </top>
        <bottom style="hair">
          <color theme="0" tint="-0.24994659260841701"/>
        </bottom>
      </border>
    </dxf>
    <dxf>
      <numFmt numFmtId="167" formatCode="_(* #,##0.0_);_(* \(#,##0.0\);_(* &quot;-&quot;??_);_(@_)"/>
      <border diagonalUp="0" diagonalDown="0" outline="0">
        <left/>
        <right/>
        <top style="hair">
          <color theme="0" tint="-0.24994659260841701"/>
        </top>
        <bottom style="hair">
          <color theme="0" tint="-0.24994659260841701"/>
        </bottom>
      </border>
    </dxf>
    <dxf>
      <fill>
        <patternFill>
          <fgColor indexed="64"/>
          <bgColor rgb="FFFFFF99"/>
        </patternFill>
      </fill>
      <border diagonalUp="0" diagonalDown="0" outline="0">
        <left/>
        <right/>
        <top style="hair">
          <color theme="0" tint="-0.24994659260841701"/>
        </top>
        <bottom style="hair">
          <color theme="0" tint="-0.24994659260841701"/>
        </bottom>
      </border>
    </dxf>
    <dxf>
      <fill>
        <patternFill>
          <fgColor indexed="64"/>
          <bgColor rgb="FFFFFF99"/>
        </patternFill>
      </fill>
      <border diagonalUp="0" diagonalDown="0" outline="0">
        <left/>
        <right/>
        <top style="hair">
          <color theme="0" tint="-0.24994659260841701"/>
        </top>
        <bottom style="hair">
          <color theme="0" tint="-0.24994659260841701"/>
        </bottom>
      </border>
    </dxf>
    <dxf>
      <fill>
        <patternFill>
          <fgColor indexed="64"/>
          <bgColor rgb="FFFFFF99"/>
        </patternFill>
      </fill>
      <border diagonalUp="0" diagonalDown="0" outline="0">
        <left/>
        <right/>
        <top style="hair">
          <color theme="0" tint="-0.24994659260841701"/>
        </top>
        <bottom style="hair">
          <color theme="0" tint="-0.24994659260841701"/>
        </bottom>
      </border>
    </dxf>
    <dxf>
      <fill>
        <patternFill>
          <fgColor indexed="64"/>
          <bgColor rgb="FFFFFF99"/>
        </patternFill>
      </fill>
      <border diagonalUp="0" diagonalDown="0" outline="0">
        <left/>
        <right/>
        <top style="hair">
          <color theme="0" tint="-0.24994659260841701"/>
        </top>
        <bottom style="hair">
          <color theme="0" tint="-0.24994659260841701"/>
        </bottom>
      </border>
    </dxf>
    <dxf>
      <fill>
        <patternFill>
          <fgColor indexed="64"/>
          <bgColor rgb="FFFFFF99"/>
        </patternFill>
      </fill>
      <border diagonalUp="0" diagonalDown="0" outline="0">
        <left/>
        <right/>
        <top style="hair">
          <color theme="0" tint="-0.24994659260841701"/>
        </top>
        <bottom style="hair">
          <color theme="0" tint="-0.24994659260841701"/>
        </bottom>
      </border>
    </dxf>
    <dxf>
      <fill>
        <patternFill>
          <fgColor indexed="64"/>
          <bgColor rgb="FFFFFF99"/>
        </patternFill>
      </fill>
      <border diagonalUp="0" diagonalDown="0" outline="0">
        <left/>
        <right/>
        <top style="hair">
          <color theme="0" tint="-0.24994659260841701"/>
        </top>
        <bottom style="hair">
          <color theme="0" tint="-0.24994659260841701"/>
        </bottom>
      </border>
    </dxf>
    <dxf>
      <fill>
        <patternFill>
          <fgColor indexed="64"/>
          <bgColor rgb="FFFFFF99"/>
        </patternFill>
      </fill>
      <border diagonalUp="0" diagonalDown="0" outline="0">
        <left/>
        <right/>
        <top style="hair">
          <color theme="0" tint="-0.24994659260841701"/>
        </top>
        <bottom style="hair">
          <color theme="0" tint="-0.24994659260841701"/>
        </bottom>
      </border>
    </dxf>
    <dxf>
      <fill>
        <patternFill>
          <fgColor indexed="64"/>
          <bgColor rgb="FFFFFF99"/>
        </patternFill>
      </fill>
      <border diagonalUp="0" diagonalDown="0" outline="0">
        <left/>
        <right/>
        <top style="hair">
          <color theme="0" tint="-0.24994659260841701"/>
        </top>
        <bottom style="hair">
          <color theme="0" tint="-0.24994659260841701"/>
        </bottom>
      </border>
    </dxf>
    <dxf>
      <fill>
        <patternFill>
          <fgColor indexed="64"/>
          <bgColor rgb="FFFFFF99"/>
        </patternFill>
      </fill>
      <border diagonalUp="0" diagonalDown="0" outline="0">
        <left/>
        <right/>
        <top style="hair">
          <color theme="0" tint="-0.24994659260841701"/>
        </top>
        <bottom style="hair">
          <color theme="0" tint="-0.24994659260841701"/>
        </bottom>
      </border>
    </dxf>
    <dxf>
      <fill>
        <patternFill>
          <fgColor indexed="64"/>
          <bgColor rgb="FFFFFF99"/>
        </patternFill>
      </fill>
      <border diagonalUp="0" diagonalDown="0" outline="0">
        <left/>
        <right/>
        <top style="hair">
          <color theme="0" tint="-0.24994659260841701"/>
        </top>
        <bottom style="hair">
          <color theme="0" tint="-0.24994659260841701"/>
        </bottom>
      </border>
    </dxf>
    <dxf>
      <fill>
        <patternFill>
          <fgColor indexed="64"/>
          <bgColor rgb="FFFFFF99"/>
        </patternFill>
      </fill>
      <border diagonalUp="0" diagonalDown="0" outline="0">
        <left/>
        <right/>
        <top style="hair">
          <color theme="0" tint="-0.24994659260841701"/>
        </top>
        <bottom style="hair">
          <color theme="0" tint="-0.24994659260841701"/>
        </bottom>
      </border>
    </dxf>
    <dxf>
      <fill>
        <patternFill>
          <fgColor indexed="64"/>
          <bgColor rgb="FFFFFF99"/>
        </patternFill>
      </fill>
      <border diagonalUp="0" diagonalDown="0" outline="0">
        <left/>
        <right/>
        <top style="hair">
          <color theme="0" tint="-0.24994659260841701"/>
        </top>
        <bottom style="hair">
          <color theme="0" tint="-0.24994659260841701"/>
        </bottom>
      </border>
    </dxf>
    <dxf>
      <numFmt numFmtId="166" formatCode="0.0%"/>
      <border diagonalUp="0" diagonalDown="0" outline="0">
        <left/>
        <right/>
        <top style="hair">
          <color theme="0" tint="-0.24994659260841701"/>
        </top>
        <bottom style="hair">
          <color theme="0" tint="-0.24994659260841701"/>
        </bottom>
      </border>
    </dxf>
    <dxf>
      <numFmt numFmtId="164" formatCode="_(* #,##0.00_);_(* \(#,##0.00\);_(* &quot;-&quot;??_);_(@_)"/>
      <border diagonalUp="0" diagonalDown="0" outline="0">
        <left/>
        <right/>
        <top style="hair">
          <color theme="0" tint="-0.24994659260841701"/>
        </top>
        <bottom style="hair">
          <color theme="0" tint="-0.24994659260841701"/>
        </bottom>
      </border>
    </dxf>
    <dxf>
      <numFmt numFmtId="165" formatCode="_(* #,##0_);_(* \(#,##0\);_(* &quot;-&quot;??_);_(@_)"/>
      <border diagonalUp="0" diagonalDown="0" outline="0">
        <left/>
        <right/>
        <top style="hair">
          <color theme="0" tint="-0.24994659260841701"/>
        </top>
        <bottom style="hair">
          <color theme="0" tint="-0.24994659260841701"/>
        </bottom>
      </border>
    </dxf>
    <dxf>
      <border diagonalUp="0" diagonalDown="0" outline="0">
        <left/>
        <right/>
        <top style="hair">
          <color theme="0" tint="-0.24994659260841701"/>
        </top>
        <bottom style="hair">
          <color theme="0" tint="-0.24994659260841701"/>
        </bottom>
      </border>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left/>
        <right/>
        <top style="hair">
          <color theme="0" tint="-0.24994659260841701"/>
        </top>
        <bottom style="hair">
          <color theme="0" tint="-0.24994659260841701"/>
        </bottom>
        <vertical/>
        <horizontal style="hair">
          <color theme="0" tint="-0.24994659260841701"/>
        </horizontal>
      </border>
    </dxf>
    <dxf>
      <border diagonalUp="0" diagonalDown="0" outline="0">
        <left/>
        <right/>
        <top style="hair">
          <color theme="0" tint="-0.24994659260841701"/>
        </top>
        <bottom style="hair">
          <color theme="0" tint="-0.24994659260841701"/>
        </bottom>
      </border>
    </dxf>
    <dxf>
      <numFmt numFmtId="166" formatCode="0.0%"/>
      <fill>
        <patternFill>
          <fgColor indexed="64"/>
          <bgColor theme="5" tint="0.79998168889431442"/>
        </patternFill>
      </fill>
      <border diagonalUp="0" diagonalDown="0" outline="0">
        <left/>
        <right/>
        <top style="hair">
          <color theme="0" tint="-0.24994659260841701"/>
        </top>
        <bottom style="hair">
          <color theme="0" tint="-0.24994659260841701"/>
        </bottom>
      </border>
    </dxf>
    <dxf>
      <border diagonalUp="0" diagonalDown="0">
        <left/>
        <right/>
        <top style="hair">
          <color theme="0" tint="-0.24994659260841701"/>
        </top>
        <bottom style="hair">
          <color theme="0" tint="-0.24994659260841701"/>
        </bottom>
        <vertical/>
        <horizontal/>
      </border>
    </dxf>
    <dxf>
      <border diagonalUp="0" diagonalDown="0">
        <left/>
        <right/>
        <top style="hair">
          <color theme="0" tint="-0.24994659260841701"/>
        </top>
        <bottom style="hair">
          <color theme="0" tint="-0.24994659260841701"/>
        </bottom>
        <vertical/>
        <horizontal/>
      </border>
    </dxf>
    <dxf>
      <fill>
        <patternFill patternType="none">
          <fgColor indexed="64"/>
          <bgColor auto="1"/>
        </patternFill>
      </fill>
      <border diagonalUp="0" diagonalDown="0" outline="0">
        <left/>
        <right/>
        <top style="hair">
          <color theme="0" tint="-0.24994659260841701"/>
        </top>
        <bottom style="hair">
          <color theme="0" tint="-0.24994659260841701"/>
        </bottom>
      </border>
    </dxf>
    <dxf>
      <numFmt numFmtId="168" formatCode="_(* #,##0_);_(* \(#,##0\);;_(@_)"/>
      <border diagonalUp="0" diagonalDown="0">
        <left/>
        <right/>
        <top style="hair">
          <color theme="0" tint="-0.24994659260841701"/>
        </top>
        <bottom style="hair">
          <color theme="0" tint="-0.24994659260841701"/>
        </bottom>
        <vertical/>
        <horizontal/>
      </border>
    </dxf>
    <dxf>
      <border diagonalUp="0" diagonalDown="0">
        <left/>
        <right/>
        <top style="hair">
          <color theme="0" tint="-0.24994659260841701"/>
        </top>
        <bottom style="hair">
          <color theme="0" tint="-0.24994659260841701"/>
        </bottom>
        <vertical/>
        <horizontal/>
      </border>
    </dxf>
    <dxf>
      <border diagonalUp="0" diagonalDown="0" outline="0">
        <left/>
        <right/>
        <top style="hair">
          <color theme="0" tint="-0.24994659260841701"/>
        </top>
        <bottom style="hair">
          <color theme="0" tint="-0.24994659260841701"/>
        </bottom>
      </border>
    </dxf>
    <dxf>
      <fill>
        <patternFill patternType="solid">
          <fgColor indexed="64"/>
          <bgColor theme="5" tint="0.79998168889431442"/>
        </patternFill>
      </fill>
      <border diagonalUp="0" diagonalDown="0">
        <left/>
        <right/>
        <top style="hair">
          <color theme="0" tint="-0.24994659260841701"/>
        </top>
        <bottom style="hair">
          <color theme="0" tint="-0.24994659260841701"/>
        </bottom>
        <vertical/>
        <horizontal/>
      </border>
    </dxf>
    <dxf>
      <fill>
        <patternFill>
          <fgColor indexed="64"/>
          <bgColor theme="5" tint="0.79998168889431442"/>
        </patternFill>
      </fill>
      <border diagonalUp="0" diagonalDown="0" outline="0">
        <left/>
        <right/>
        <top style="hair">
          <color theme="0" tint="-0.24994659260841701"/>
        </top>
        <bottom style="hair">
          <color theme="0" tint="-0.24994659260841701"/>
        </bottom>
      </border>
    </dxf>
    <dxf>
      <border diagonalUp="0" diagonalDown="0" outline="0">
        <left/>
        <right/>
        <top style="hair">
          <color theme="0" tint="-0.24994659260841701"/>
        </top>
        <bottom style="hair">
          <color theme="0" tint="-0.24994659260841701"/>
        </bottom>
      </border>
    </dxf>
    <dxf>
      <fill>
        <patternFill>
          <fgColor indexed="64"/>
          <bgColor theme="5" tint="0.79998168889431442"/>
        </patternFill>
      </fill>
      <border diagonalUp="0" diagonalDown="0" outline="0">
        <left/>
        <right/>
        <top style="hair">
          <color theme="0" tint="-0.24994659260841701"/>
        </top>
        <bottom style="hair">
          <color theme="0" tint="-0.24994659260841701"/>
        </bottom>
      </border>
    </dxf>
    <dxf>
      <border diagonalUp="0" diagonalDown="0">
        <left/>
        <right/>
        <top style="hair">
          <color theme="0" tint="-0.24994659260841701"/>
        </top>
        <bottom style="hair">
          <color theme="0" tint="-0.24994659260841701"/>
        </bottom>
        <vertical/>
        <horizontal/>
      </border>
    </dxf>
    <dxf>
      <border diagonalUp="0" diagonalDown="0" outline="0">
        <left/>
        <right/>
        <top style="hair">
          <color theme="0" tint="-0.24994659260841701"/>
        </top>
        <bottom style="hair">
          <color theme="0" tint="-0.24994659260841701"/>
        </bottom>
      </border>
    </dxf>
    <dxf>
      <fill>
        <patternFill>
          <fgColor indexed="64"/>
          <bgColor theme="5" tint="0.79998168889431442"/>
        </patternFill>
      </fill>
      <border diagonalUp="0" diagonalDown="0" outline="0">
        <left/>
        <right/>
        <top style="hair">
          <color theme="0" tint="-0.24994659260841701"/>
        </top>
        <bottom style="hair">
          <color theme="0" tint="-0.24994659260841701"/>
        </bottom>
      </border>
    </dxf>
    <dxf>
      <border diagonalUp="0" diagonalDown="0" outline="0">
        <left/>
        <right/>
        <top style="hair">
          <color theme="0" tint="-0.24994659260841701"/>
        </top>
        <bottom style="hair">
          <color theme="0" tint="-0.24994659260841701"/>
        </bottom>
      </border>
    </dxf>
    <dxf>
      <border diagonalUp="0" diagonalDown="0" outline="0">
        <left/>
        <right/>
        <top style="hair">
          <color theme="0" tint="-0.24994659260841701"/>
        </top>
        <bottom style="hair">
          <color theme="0" tint="-0.24994659260841701"/>
        </bottom>
      </border>
    </dxf>
    <dxf>
      <fill>
        <patternFill patternType="solid">
          <fgColor indexed="64"/>
          <bgColor theme="5" tint="0.79998168889431442"/>
        </patternFill>
      </fill>
      <border diagonalUp="0" diagonalDown="0">
        <left/>
        <right/>
        <top style="hair">
          <color theme="0" tint="-0.24994659260841701"/>
        </top>
        <bottom style="hair">
          <color theme="0" tint="-0.24994659260841701"/>
        </bottom>
        <vertical/>
        <horizontal/>
      </border>
    </dxf>
    <dxf>
      <numFmt numFmtId="30" formatCode="@"/>
      <border diagonalUp="0" diagonalDown="0">
        <left/>
        <right/>
        <top style="hair">
          <color theme="0" tint="-0.24994659260841701"/>
        </top>
        <bottom/>
        <vertical/>
        <horizontal/>
      </border>
    </dxf>
    <dxf>
      <numFmt numFmtId="30" formatCode="@"/>
      <border diagonalUp="0" diagonalDown="0">
        <left/>
        <right/>
        <top style="hair">
          <color theme="0" tint="-0.24994659260841701"/>
        </top>
        <bottom style="hair">
          <color theme="0" tint="-0.24994659260841701"/>
        </bottom>
      </border>
    </dxf>
    <dxf>
      <alignment horizontal="center" vertical="bottom" textRotation="0" wrapText="0" indent="0" justifyLastLine="0" shrinkToFit="0" readingOrder="0"/>
      <border diagonalUp="0" diagonalDown="0">
        <left/>
        <right/>
        <top style="hair">
          <color theme="0" tint="-0.24994659260841701"/>
        </top>
        <bottom style="hair">
          <color theme="0" tint="-0.24994659260841701"/>
        </bottom>
        <vertical/>
        <horizontal/>
      </border>
    </dxf>
    <dxf>
      <alignment horizontal="center" vertical="bottom" textRotation="0" wrapText="0" indent="0" justifyLastLine="0" shrinkToFit="0" readingOrder="0"/>
      <border diagonalUp="0" diagonalDown="0">
        <left/>
        <right/>
        <top style="hair">
          <color theme="0" tint="-0.24994659260841701"/>
        </top>
        <bottom style="hair">
          <color theme="0" tint="-0.24994659260841701"/>
        </bottom>
        <vertical/>
        <horizontal/>
      </border>
    </dxf>
    <dxf>
      <alignment horizontal="center" vertical="bottom" textRotation="0" wrapText="0" indent="0" justifyLastLine="0" shrinkToFit="0" readingOrder="0"/>
      <border diagonalUp="0" diagonalDown="0">
        <left/>
        <right/>
        <top style="hair">
          <color theme="0" tint="-0.24994659260841701"/>
        </top>
        <bottom style="hair">
          <color theme="0" tint="-0.24994659260841701"/>
        </bottom>
        <vertical/>
        <horizontal style="hair">
          <color theme="0" tint="-0.24994659260841701"/>
        </horizontal>
      </border>
    </dxf>
    <dxf>
      <font>
        <b val="0"/>
        <i/>
        <strike val="0"/>
        <condense val="0"/>
        <extend val="0"/>
        <outline val="0"/>
        <shadow val="0"/>
        <u val="none"/>
        <vertAlign val="baseline"/>
        <sz val="11"/>
        <color theme="0" tint="-0.249977111117893"/>
        <name val="Aptos Display"/>
        <family val="2"/>
        <scheme val="major"/>
      </font>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s>
  <tableStyles count="0" defaultTableStyle="TableStyleMedium2" defaultPivotStyle="PivotStyleLight16"/>
  <colors>
    <mruColors>
      <color rgb="FFFFFF99"/>
      <color rgb="FFFF33CC"/>
      <color rgb="FFFF5050"/>
      <color rgb="FF0000FF"/>
      <color rgb="FFF87C56"/>
      <color rgb="FFFF9999"/>
      <color rgb="FFFFCCCC"/>
      <color rgb="FFCCFFCC"/>
      <color rgb="FF99FF99"/>
      <color rgb="FF00DF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customXml" Target="../customXml/item2.xml"/><Relationship Id="rId21" Type="http://schemas.openxmlformats.org/officeDocument/2006/relationships/styles" Target="styles.xml"/><Relationship Id="rId42" Type="http://schemas.openxmlformats.org/officeDocument/2006/relationships/customXml" Target="../customXml/item18.xml"/><Relationship Id="rId47" Type="http://schemas.openxmlformats.org/officeDocument/2006/relationships/customXml" Target="../customXml/item23.xml"/><Relationship Id="rId63" Type="http://schemas.openxmlformats.org/officeDocument/2006/relationships/customXml" Target="../customXml/item39.xml"/><Relationship Id="rId68" Type="http://schemas.openxmlformats.org/officeDocument/2006/relationships/customXml" Target="../customXml/item44.xml"/><Relationship Id="rId84" Type="http://schemas.openxmlformats.org/officeDocument/2006/relationships/customXml" Target="../customXml/item60.xml"/><Relationship Id="rId89" Type="http://schemas.openxmlformats.org/officeDocument/2006/relationships/customXml" Target="../customXml/item65.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customXml" Target="../customXml/item8.xml"/><Relationship Id="rId37" Type="http://schemas.openxmlformats.org/officeDocument/2006/relationships/customXml" Target="../customXml/item13.xml"/><Relationship Id="rId53" Type="http://schemas.openxmlformats.org/officeDocument/2006/relationships/customXml" Target="../customXml/item29.xml"/><Relationship Id="rId58" Type="http://schemas.openxmlformats.org/officeDocument/2006/relationships/customXml" Target="../customXml/item34.xml"/><Relationship Id="rId74" Type="http://schemas.openxmlformats.org/officeDocument/2006/relationships/customXml" Target="../customXml/item50.xml"/><Relationship Id="rId79" Type="http://schemas.openxmlformats.org/officeDocument/2006/relationships/customXml" Target="../customXml/item55.xml"/><Relationship Id="rId5" Type="http://schemas.openxmlformats.org/officeDocument/2006/relationships/worksheet" Target="worksheets/sheet5.xml"/><Relationship Id="rId90" Type="http://schemas.openxmlformats.org/officeDocument/2006/relationships/customXml" Target="../customXml/item66.xml"/><Relationship Id="rId95" Type="http://schemas.openxmlformats.org/officeDocument/2006/relationships/customXml" Target="../customXml/item71.xml"/><Relationship Id="rId22" Type="http://schemas.openxmlformats.org/officeDocument/2006/relationships/sharedStrings" Target="sharedStrings.xml"/><Relationship Id="rId27" Type="http://schemas.openxmlformats.org/officeDocument/2006/relationships/customXml" Target="../customXml/item3.xml"/><Relationship Id="rId43" Type="http://schemas.openxmlformats.org/officeDocument/2006/relationships/customXml" Target="../customXml/item19.xml"/><Relationship Id="rId48" Type="http://schemas.openxmlformats.org/officeDocument/2006/relationships/customXml" Target="../customXml/item24.xml"/><Relationship Id="rId64" Type="http://schemas.openxmlformats.org/officeDocument/2006/relationships/customXml" Target="../customXml/item40.xml"/><Relationship Id="rId69" Type="http://schemas.openxmlformats.org/officeDocument/2006/relationships/customXml" Target="../customXml/item45.xml"/><Relationship Id="rId80" Type="http://schemas.openxmlformats.org/officeDocument/2006/relationships/customXml" Target="../customXml/item56.xml"/><Relationship Id="rId85" Type="http://schemas.openxmlformats.org/officeDocument/2006/relationships/customXml" Target="../customXml/item6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59" Type="http://schemas.openxmlformats.org/officeDocument/2006/relationships/customXml" Target="../customXml/item35.xml"/><Relationship Id="rId67" Type="http://schemas.openxmlformats.org/officeDocument/2006/relationships/customXml" Target="../customXml/item43.xml"/><Relationship Id="rId20" Type="http://schemas.openxmlformats.org/officeDocument/2006/relationships/connections" Target="connections.xml"/><Relationship Id="rId41" Type="http://schemas.openxmlformats.org/officeDocument/2006/relationships/customXml" Target="../customXml/item17.xml"/><Relationship Id="rId54" Type="http://schemas.openxmlformats.org/officeDocument/2006/relationships/customXml" Target="../customXml/item30.xml"/><Relationship Id="rId62" Type="http://schemas.openxmlformats.org/officeDocument/2006/relationships/customXml" Target="../customXml/item38.xml"/><Relationship Id="rId70" Type="http://schemas.openxmlformats.org/officeDocument/2006/relationships/customXml" Target="../customXml/item46.xml"/><Relationship Id="rId75" Type="http://schemas.openxmlformats.org/officeDocument/2006/relationships/customXml" Target="../customXml/item51.xml"/><Relationship Id="rId83" Type="http://schemas.openxmlformats.org/officeDocument/2006/relationships/customXml" Target="../customXml/item59.xml"/><Relationship Id="rId88" Type="http://schemas.openxmlformats.org/officeDocument/2006/relationships/customXml" Target="../customXml/item64.xml"/><Relationship Id="rId91" Type="http://schemas.openxmlformats.org/officeDocument/2006/relationships/customXml" Target="../customXml/item67.xml"/><Relationship Id="rId96" Type="http://schemas.openxmlformats.org/officeDocument/2006/relationships/customXml" Target="../customXml/item7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4.xml"/><Relationship Id="rId36" Type="http://schemas.openxmlformats.org/officeDocument/2006/relationships/customXml" Target="../customXml/item12.xml"/><Relationship Id="rId49" Type="http://schemas.openxmlformats.org/officeDocument/2006/relationships/customXml" Target="../customXml/item25.xml"/><Relationship Id="rId57" Type="http://schemas.openxmlformats.org/officeDocument/2006/relationships/customXml" Target="../customXml/item33.xml"/><Relationship Id="rId10" Type="http://schemas.openxmlformats.org/officeDocument/2006/relationships/worksheet" Target="worksheets/sheet10.xml"/><Relationship Id="rId31" Type="http://schemas.openxmlformats.org/officeDocument/2006/relationships/customXml" Target="../customXml/item7.xml"/><Relationship Id="rId44" Type="http://schemas.openxmlformats.org/officeDocument/2006/relationships/customXml" Target="../customXml/item20.xml"/><Relationship Id="rId52" Type="http://schemas.openxmlformats.org/officeDocument/2006/relationships/customXml" Target="../customXml/item28.xml"/><Relationship Id="rId60" Type="http://schemas.openxmlformats.org/officeDocument/2006/relationships/customXml" Target="../customXml/item36.xml"/><Relationship Id="rId65" Type="http://schemas.openxmlformats.org/officeDocument/2006/relationships/customXml" Target="../customXml/item41.xml"/><Relationship Id="rId73" Type="http://schemas.openxmlformats.org/officeDocument/2006/relationships/customXml" Target="../customXml/item49.xml"/><Relationship Id="rId78" Type="http://schemas.openxmlformats.org/officeDocument/2006/relationships/customXml" Target="../customXml/item54.xml"/><Relationship Id="rId81" Type="http://schemas.openxmlformats.org/officeDocument/2006/relationships/customXml" Target="../customXml/item57.xml"/><Relationship Id="rId86" Type="http://schemas.openxmlformats.org/officeDocument/2006/relationships/customXml" Target="../customXml/item62.xml"/><Relationship Id="rId94" Type="http://schemas.openxmlformats.org/officeDocument/2006/relationships/customXml" Target="../customXml/item70.xml"/><Relationship Id="rId99" Type="http://schemas.openxmlformats.org/officeDocument/2006/relationships/customXml" Target="../customXml/item7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39" Type="http://schemas.openxmlformats.org/officeDocument/2006/relationships/customXml" Target="../customXml/item15.xml"/><Relationship Id="rId34" Type="http://schemas.openxmlformats.org/officeDocument/2006/relationships/customXml" Target="../customXml/item10.xml"/><Relationship Id="rId50" Type="http://schemas.openxmlformats.org/officeDocument/2006/relationships/customXml" Target="../customXml/item26.xml"/><Relationship Id="rId55" Type="http://schemas.openxmlformats.org/officeDocument/2006/relationships/customXml" Target="../customXml/item31.xml"/><Relationship Id="rId76" Type="http://schemas.openxmlformats.org/officeDocument/2006/relationships/customXml" Target="../customXml/item52.xml"/><Relationship Id="rId97" Type="http://schemas.openxmlformats.org/officeDocument/2006/relationships/customXml" Target="../customXml/item73.xml"/><Relationship Id="rId7" Type="http://schemas.openxmlformats.org/officeDocument/2006/relationships/worksheet" Target="worksheets/sheet7.xml"/><Relationship Id="rId71" Type="http://schemas.openxmlformats.org/officeDocument/2006/relationships/customXml" Target="../customXml/item47.xml"/><Relationship Id="rId92" Type="http://schemas.openxmlformats.org/officeDocument/2006/relationships/customXml" Target="../customXml/item68.xml"/><Relationship Id="rId2" Type="http://schemas.openxmlformats.org/officeDocument/2006/relationships/worksheet" Target="worksheets/sheet2.xml"/><Relationship Id="rId29" Type="http://schemas.openxmlformats.org/officeDocument/2006/relationships/customXml" Target="../customXml/item5.xml"/><Relationship Id="rId24" Type="http://schemas.openxmlformats.org/officeDocument/2006/relationships/calcChain" Target="calcChain.xml"/><Relationship Id="rId40" Type="http://schemas.openxmlformats.org/officeDocument/2006/relationships/customXml" Target="../customXml/item16.xml"/><Relationship Id="rId45" Type="http://schemas.openxmlformats.org/officeDocument/2006/relationships/customXml" Target="../customXml/item21.xml"/><Relationship Id="rId66" Type="http://schemas.openxmlformats.org/officeDocument/2006/relationships/customXml" Target="../customXml/item42.xml"/><Relationship Id="rId87" Type="http://schemas.openxmlformats.org/officeDocument/2006/relationships/customXml" Target="../customXml/item63.xml"/><Relationship Id="rId61" Type="http://schemas.openxmlformats.org/officeDocument/2006/relationships/customXml" Target="../customXml/item37.xml"/><Relationship Id="rId82" Type="http://schemas.openxmlformats.org/officeDocument/2006/relationships/customXml" Target="../customXml/item58.xml"/><Relationship Id="rId19" Type="http://schemas.openxmlformats.org/officeDocument/2006/relationships/theme" Target="theme/theme1.xml"/><Relationship Id="rId14" Type="http://schemas.openxmlformats.org/officeDocument/2006/relationships/worksheet" Target="worksheets/sheet14.xml"/><Relationship Id="rId30" Type="http://schemas.openxmlformats.org/officeDocument/2006/relationships/customXml" Target="../customXml/item6.xml"/><Relationship Id="rId35" Type="http://schemas.openxmlformats.org/officeDocument/2006/relationships/customXml" Target="../customXml/item11.xml"/><Relationship Id="rId56" Type="http://schemas.openxmlformats.org/officeDocument/2006/relationships/customXml" Target="../customXml/item32.xml"/><Relationship Id="rId77" Type="http://schemas.openxmlformats.org/officeDocument/2006/relationships/customXml" Target="../customXml/item53.xml"/><Relationship Id="rId100" Type="http://schemas.openxmlformats.org/officeDocument/2006/relationships/customXml" Target="../customXml/item76.xml"/><Relationship Id="rId8" Type="http://schemas.openxmlformats.org/officeDocument/2006/relationships/worksheet" Target="worksheets/sheet8.xml"/><Relationship Id="rId51" Type="http://schemas.openxmlformats.org/officeDocument/2006/relationships/customXml" Target="../customXml/item27.xml"/><Relationship Id="rId72" Type="http://schemas.openxmlformats.org/officeDocument/2006/relationships/customXml" Target="../customXml/item48.xml"/><Relationship Id="rId93" Type="http://schemas.openxmlformats.org/officeDocument/2006/relationships/customXml" Target="../customXml/item69.xml"/><Relationship Id="rId98" Type="http://schemas.openxmlformats.org/officeDocument/2006/relationships/customXml" Target="../customXml/item74.xml"/></Relationships>
</file>

<file path=xl/drawings/_rels/drawing1.xml.rels><?xml version="1.0" encoding="UTF-8" standalone="yes"?>
<Relationships xmlns="http://schemas.openxmlformats.org/package/2006/relationships"><Relationship Id="rId1" Type="http://schemas.openxmlformats.org/officeDocument/2006/relationships/hyperlink" Target="#Source_VC!A1"/></Relationships>
</file>

<file path=xl/drawings/drawing1.xml><?xml version="1.0" encoding="utf-8"?>
<xdr:wsDr xmlns:xdr="http://schemas.openxmlformats.org/drawingml/2006/spreadsheetDrawing" xmlns:a="http://schemas.openxmlformats.org/drawingml/2006/main">
  <xdr:twoCellAnchor editAs="oneCell">
    <xdr:from>
      <xdr:col>2</xdr:col>
      <xdr:colOff>605118</xdr:colOff>
      <xdr:row>0</xdr:row>
      <xdr:rowOff>381000</xdr:rowOff>
    </xdr:from>
    <xdr:to>
      <xdr:col>2</xdr:col>
      <xdr:colOff>851647</xdr:colOff>
      <xdr:row>1</xdr:row>
      <xdr:rowOff>156882</xdr:rowOff>
    </xdr:to>
    <xdr:sp macro="" textlink="">
      <xdr:nvSpPr>
        <xdr:cNvPr id="3" name="Arrow: Down 2">
          <a:extLst>
            <a:ext uri="{FF2B5EF4-FFF2-40B4-BE49-F238E27FC236}">
              <a16:creationId xmlns:a16="http://schemas.microsoft.com/office/drawing/2014/main" id="{FF7AF773-2673-0C88-F823-389E68F453C9}"/>
            </a:ext>
          </a:extLst>
        </xdr:cNvPr>
        <xdr:cNvSpPr/>
      </xdr:nvSpPr>
      <xdr:spPr>
        <a:xfrm>
          <a:off x="1568824" y="381000"/>
          <a:ext cx="246529" cy="201706"/>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0</xdr:row>
      <xdr:rowOff>1</xdr:rowOff>
    </xdr:from>
    <xdr:to>
      <xdr:col>4</xdr:col>
      <xdr:colOff>638735</xdr:colOff>
      <xdr:row>0</xdr:row>
      <xdr:rowOff>347383</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8BA791E0-0021-7FA1-72FC-DD51BFBCE0B7}"/>
            </a:ext>
          </a:extLst>
        </xdr:cNvPr>
        <xdr:cNvSpPr/>
      </xdr:nvSpPr>
      <xdr:spPr>
        <a:xfrm>
          <a:off x="0" y="1"/>
          <a:ext cx="3529853" cy="34738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300" b="1" u="sng">
              <a:solidFill>
                <a:srgbClr val="FFFF00"/>
              </a:solidFill>
            </a:rPr>
            <a:t>Check</a:t>
          </a:r>
          <a:r>
            <a:rPr lang="en-US" sz="1300" b="1" u="sng" baseline="0">
              <a:solidFill>
                <a:srgbClr val="FFFF00"/>
              </a:solidFill>
            </a:rPr>
            <a:t> sheet Souce_VC để lấy source</a:t>
          </a:r>
          <a:endParaRPr lang="en-US" sz="1300" b="1" u="sng">
            <a:solidFill>
              <a:srgbClr val="FFFF00"/>
            </a:solidFill>
          </a:endParaRPr>
        </a:p>
      </xdr:txBody>
    </xdr:sp>
    <xdr:clientData/>
  </xdr:twoCellAnchor>
  <xdr:twoCellAnchor>
    <xdr:from>
      <xdr:col>26</xdr:col>
      <xdr:colOff>560295</xdr:colOff>
      <xdr:row>0</xdr:row>
      <xdr:rowOff>67236</xdr:rowOff>
    </xdr:from>
    <xdr:to>
      <xdr:col>33</xdr:col>
      <xdr:colOff>168090</xdr:colOff>
      <xdr:row>3</xdr:row>
      <xdr:rowOff>168090</xdr:rowOff>
    </xdr:to>
    <xdr:sp macro="" textlink="">
      <xdr:nvSpPr>
        <xdr:cNvPr id="2" name="Rectangle 1">
          <a:extLst>
            <a:ext uri="{FF2B5EF4-FFF2-40B4-BE49-F238E27FC236}">
              <a16:creationId xmlns:a16="http://schemas.microsoft.com/office/drawing/2014/main" id="{C7D4BB7F-5E70-D6F0-8CC0-A4BC61712C68}"/>
            </a:ext>
          </a:extLst>
        </xdr:cNvPr>
        <xdr:cNvSpPr/>
      </xdr:nvSpPr>
      <xdr:spPr>
        <a:xfrm>
          <a:off x="16248530" y="67236"/>
          <a:ext cx="4392707" cy="918883"/>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FFFF00"/>
              </a:solidFill>
            </a:rPr>
            <a:t>SHEET</a:t>
          </a:r>
          <a:r>
            <a:rPr lang="en-US" sz="2000" b="1" baseline="0">
              <a:solidFill>
                <a:srgbClr val="FFFF00"/>
              </a:solidFill>
            </a:rPr>
            <a:t> NÀY DÀNH CHO BÊN PHÒNG XNK</a:t>
          </a:r>
          <a:endParaRPr lang="en-US" sz="2000" b="1">
            <a:solidFill>
              <a:srgbClr val="FFFF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152400</xdr:colOff>
      <xdr:row>5</xdr:row>
      <xdr:rowOff>171450</xdr:rowOff>
    </xdr:from>
    <xdr:to>
      <xdr:col>13</xdr:col>
      <xdr:colOff>454399</xdr:colOff>
      <xdr:row>10</xdr:row>
      <xdr:rowOff>147358</xdr:rowOff>
    </xdr:to>
    <xdr:sp macro="" textlink="">
      <xdr:nvSpPr>
        <xdr:cNvPr id="2" name="Rectangle 1">
          <a:extLst>
            <a:ext uri="{FF2B5EF4-FFF2-40B4-BE49-F238E27FC236}">
              <a16:creationId xmlns:a16="http://schemas.microsoft.com/office/drawing/2014/main" id="{8D896B8E-DDC2-4F41-91EC-BE8045451C0B}"/>
            </a:ext>
          </a:extLst>
        </xdr:cNvPr>
        <xdr:cNvSpPr/>
      </xdr:nvSpPr>
      <xdr:spPr>
        <a:xfrm>
          <a:off x="6591300" y="1123950"/>
          <a:ext cx="4416799" cy="918883"/>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FFFF00"/>
              </a:solidFill>
            </a:rPr>
            <a:t>SHEET</a:t>
          </a:r>
          <a:r>
            <a:rPr lang="en-US" sz="2000" b="1" baseline="0">
              <a:solidFill>
                <a:srgbClr val="FFFF00"/>
              </a:solidFill>
            </a:rPr>
            <a:t> NÀY DÀNH CHO BÊN PHÒNG XNK</a:t>
          </a:r>
          <a:endParaRPr lang="en-US" sz="2000" b="1">
            <a:solidFill>
              <a:srgbClr val="FFFF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1333500</xdr:colOff>
      <xdr:row>6</xdr:row>
      <xdr:rowOff>171450</xdr:rowOff>
    </xdr:from>
    <xdr:to>
      <xdr:col>8</xdr:col>
      <xdr:colOff>914400</xdr:colOff>
      <xdr:row>35</xdr:row>
      <xdr:rowOff>180975</xdr:rowOff>
    </xdr:to>
    <xdr:sp macro="" textlink="">
      <xdr:nvSpPr>
        <xdr:cNvPr id="2" name="Rectangle 1">
          <a:extLst>
            <a:ext uri="{FF2B5EF4-FFF2-40B4-BE49-F238E27FC236}">
              <a16:creationId xmlns:a16="http://schemas.microsoft.com/office/drawing/2014/main" id="{016BADD1-C808-2979-0602-9C8C9373A3EE}"/>
            </a:ext>
          </a:extLst>
        </xdr:cNvPr>
        <xdr:cNvSpPr/>
      </xdr:nvSpPr>
      <xdr:spPr>
        <a:xfrm>
          <a:off x="1685925" y="1657350"/>
          <a:ext cx="6429375" cy="53435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chưa</a:t>
          </a:r>
          <a:r>
            <a:rPr lang="en-US" sz="1100" baseline="0"/>
            <a:t> update</a:t>
          </a:r>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nh, Hoàng Duy" refreshedDate="45947.7129255787" createdVersion="8" refreshedVersion="8" minRefreshableVersion="3" recordCount="1752" xr:uid="{B09CCD03-8C6C-41C5-AB09-5428F622753F}">
  <cacheSource type="worksheet">
    <worksheetSource name="Data_Actual_LG_EXW"/>
  </cacheSource>
  <cacheFields count="35">
    <cacheField name="Year" numFmtId="0">
      <sharedItems containsSemiMixedTypes="0" containsString="0" containsNumber="1" containsInteger="1" minValue="2024" maxValue="2025" count="2">
        <n v="2024"/>
        <n v="2025"/>
      </sharedItems>
    </cacheField>
    <cacheField name="Month" numFmtId="0">
      <sharedItems containsSemiMixedTypes="0" containsString="0" containsNumber="1" containsInteger="1" minValue="1" maxValue="12" count="12">
        <n v="1"/>
        <n v="2"/>
        <n v="3"/>
        <n v="4"/>
        <n v="5"/>
        <n v="6"/>
        <n v="7"/>
        <n v="8"/>
        <n v="9"/>
        <n v="10"/>
        <n v="11"/>
        <n v="12"/>
      </sharedItems>
    </cacheField>
    <cacheField name="Kỳ" numFmtId="0">
      <sharedItems containsSemiMixedTypes="0" containsString="0" containsNumber="1" containsInteger="1" minValue="1" maxValue="16"/>
    </cacheField>
    <cacheField name="Mã KH" numFmtId="0">
      <sharedItems/>
    </cacheField>
    <cacheField name="Tên KH" numFmtId="0">
      <sharedItems/>
    </cacheField>
    <cacheField name="Mã SKU" numFmtId="0">
      <sharedItems count="131">
        <s v="110000337"/>
        <s v="110000339"/>
        <s v="110000360"/>
        <s v="110000361"/>
        <s v="110000364"/>
        <s v="110000366"/>
        <s v="110000425"/>
        <s v="THUEXUONG"/>
        <s v="110000332"/>
        <s v="110000354"/>
        <s v="110000329"/>
        <s v="110000400"/>
        <s v="110000414"/>
        <s v="110000415"/>
        <s v="110000416"/>
        <s v="110000417"/>
        <s v="110000418"/>
        <s v="160012597"/>
        <s v="160012600"/>
        <s v="160012602"/>
        <s v="160012614"/>
        <s v="160012615"/>
        <s v="160012616"/>
        <s v="160012617"/>
        <s v="800006265"/>
        <s v="800006273"/>
        <s v="TAITRO"/>
        <s v="OTHERS"/>
        <s v="150000104"/>
        <s v="160012374"/>
        <s v="110000410"/>
        <s v="110000421"/>
        <s v="110000383"/>
        <s v="110000355"/>
        <s v="110000381"/>
        <s v="VANCHUYEN"/>
        <s v="THUEMAY"/>
        <s v="KCKHONGPB"/>
        <s v="DIEUCHINH"/>
        <s v="DIEUCHINH-rPET"/>
        <s v="DIEUCHINH-Xơ sợi"/>
        <s v="XUATSUDUNG"/>
        <s v="CUTOFF-rPET"/>
        <s v="110000363"/>
        <s v="110000428"/>
        <s v="110000382"/>
        <s v="110000409"/>
        <s v="DIEUCHINH-GC"/>
        <s v="DIEUCHINH-rPP"/>
        <s v="110000367"/>
        <s v="110000426"/>
        <s v="110000407"/>
        <s v="110000411"/>
        <s v="110000376"/>
        <s v="110000343"/>
        <s v="110000345"/>
        <s v="110000432"/>
        <s v="110000435"/>
        <s v="110000359"/>
        <s v="DIEUCHINH-rHDPE thổi"/>
        <s v="KKHTK"/>
        <s v="110000373"/>
        <s v="110000436"/>
        <s v="110000374"/>
        <s v="160012345"/>
        <s v="160012451"/>
        <s v="160012452"/>
        <s v="160012454"/>
        <s v="DIEUCHINH-CPHT"/>
        <s v="110000440"/>
        <s v="110000333"/>
        <s v="110000461"/>
        <s v="110000462"/>
        <s v="110000463"/>
        <s v="110000441"/>
        <s v="160012726"/>
        <s v="160012727"/>
        <s v="160012728"/>
        <s v="160012729"/>
        <s v="160012743"/>
        <s v="110000365"/>
        <s v="110000358"/>
        <s v="CHUYENMA"/>
        <s v="110000481"/>
        <s v="110000392"/>
        <s v="110000471"/>
        <s v="110000472"/>
        <s v="110000341"/>
        <s v="110000469"/>
        <s v="DOIBATCH"/>
        <s v="110000482"/>
        <s v="110000419"/>
        <s v="110000420"/>
        <s v="TRUYENTHONG"/>
        <s v="ACTIVEBATCH"/>
        <s v="110000369"/>
        <s v="160012896"/>
        <s v="REBATE"/>
        <s v="110000443"/>
        <s v="VATKKT"/>
        <s v="GIAMGIA-rPET"/>
        <s v="TRICHTHUONG"/>
        <s v="CHIPHIIO"/>
        <s v="110000497"/>
        <s v="110000466"/>
        <s v="150000186"/>
        <s v="160012902"/>
        <s v="110000408"/>
        <s v="800006226"/>
        <s v="110000389"/>
        <s v="DIEUCHINH-GVHB"/>
        <s v="110000496"/>
        <s v="DIEUCHINH-rHDPE ép"/>
        <s v="110000495"/>
        <s v="110000412"/>
        <s v="110000413"/>
        <s v="110000470"/>
        <s v="110000499"/>
        <s v="110000423"/>
        <s v="110000502"/>
        <s v="110000483"/>
        <s v="110000505"/>
        <s v="160012912"/>
        <s v="110000503"/>
        <s v="110000506"/>
        <s v="160012611"/>
        <s v="160012951"/>
        <s v="160012607"/>
        <s v="110000508"/>
        <s v="160012837"/>
        <s v="110000335"/>
      </sharedItems>
    </cacheField>
    <cacheField name="Tên SKU" numFmtId="0">
      <sharedItems count="129">
        <s v="Hạt Nhựa rHDB03W01"/>
        <s v="Hạt Nhựa rHDPE MBF01"/>
        <s v="Hạt nhựa rHDI4L01"/>
        <s v="Hạt nhựa rHDI3R01"/>
        <s v="Hạt nhựa rHDI3Y01"/>
        <s v="Hạt nhựa rHDI3G01"/>
        <s v="Hạt Nhựa HCBF-Whi-U"/>
        <s v="Thuê xưởng, kho"/>
        <s v="Hạt nhựa rPET iSS01084G"/>
        <s v="Hạt nhựa rPET WSS01G 1"/>
        <s v="Hạt nhựa rPET WSS01"/>
        <s v="GC Hạt Nhựa rHDI4L01"/>
        <s v="GC Vảy HD Ép Đỏ"/>
        <s v="GC Vảy HD Ép Trắng"/>
        <s v="GC Vảy HD Ép Vàng"/>
        <s v="GC Vảy HD Ép Lá"/>
        <s v="GC Vảy HD Ép Dương"/>
        <s v="GC Phó Sản PET B1/B8 Vảy-Nắp ST"/>
        <s v="GC Phó Sản HD Ép Hỗn Hợp Nắp 1"/>
        <s v="GC Phó Sản HD Ép Hỗn Hợp Nắp 2"/>
        <s v="GC Phó Sản HD Ép Olefin PET 1 ST"/>
        <s v="GC Phó Sản HD Ép Olefin PET 2 ST"/>
        <s v="GC Vảy PET Sau Tách Olefin"/>
        <s v="GC Phó Sản HD Ép Hỗn Hợp Cuối ST"/>
        <s v="Tài trợ"/>
        <s v="Khác"/>
        <s v="Vảy HD thổi trong L1 HV01.1_KR"/>
        <s v="PS trả NCC HD thổi trong L1 HV01.1_TM"/>
        <s v="Vảy HD Ép Lá"/>
        <s v="Vảy PP Đỏ Nhạt"/>
        <s v="Hạt Nhựa rPET iSS84G-P"/>
        <s v="Hạt nhựa rPET iSS01G 1"/>
        <s v="Hạt nhựa rPET WSS04SD"/>
        <s v="Vận chuyển"/>
        <s v="Thuê máy"/>
        <s v="Chi phí giá thành không phân bổ được"/>
        <s v="Điều chỉnh"/>
        <s v="Điều chỉnh nhóm rPET"/>
        <s v="Điều chỉnh nhóm Xơ sợi"/>
        <s v="Chênh lệch MM60 và giá trị tồn khi xuất HTK đi sử dụng"/>
        <s v="Cut-off ngành rPET"/>
        <s v="Hạt nhựa rHDI3Gy01"/>
        <s v="Dây đai PET"/>
        <s v="Hạt nhựa rPET WSS04SB"/>
        <s v="Vảy HD Ép Vàng"/>
        <s v="Điều chỉnh nhóm gia công"/>
        <s v="Điều chỉnh nhóm rPP"/>
        <s v="Hạt nhựa rPP15R01"/>
        <s v="Hạt Nhựa HCBF-Yel-U"/>
        <s v="Vảy HD Ép Đỏ"/>
        <s v="Vảy HD Ép Dương"/>
        <s v="Hạt nhựa rPET iSS01L"/>
        <s v="Hạt Nhựa rHDB03G01"/>
        <s v="Hạt Nhựa rHDB03Y01"/>
        <s v="Hạt Nhựa rHDB03N01"/>
        <s v="Hạt Nhựa rPP20L03"/>
        <s v="Hạt nhựa rPET WSS03G"/>
        <s v="Điều chỉnh nhóm rHDPE thổi"/>
        <s v="Kiểm kê HTK"/>
        <s v="Hạt nhựa rHDI4DL01"/>
        <s v="Hạt nhựa rPET WSS05SB"/>
        <s v="Hạt Nhựa rHDB03N02"/>
        <s v="Phó sản máy Meyer"/>
        <s v="Phó Sản HD Thổi Vàng Vảy L1"/>
        <s v="Phó Sản HD Thổi Vàng Vảy L2"/>
        <s v="Phó Sản HD Thổi Vàng Vảy Tuyển Nổi"/>
        <s v="Điều chỉnh chi phí hỗ trợ khách hàng"/>
        <s v="Hạt Nhựa LDPE Thử Nghiệm"/>
        <s v="Hạt nhựa rPET WSS03"/>
        <s v="GC Hạt Nhựa rHDB01N01"/>
        <s v="GC Hạt Nhựa rHDB01N02"/>
        <s v="GC Hạt Nhựa rLDB1N03"/>
        <s v="Hạt Nhựa PP Thử Nghiệm"/>
        <s v="Phó Sản PET Bụi Tank A"/>
        <s v="Phó Sản PET Bụi Tank B"/>
        <s v="Phó Sản PET Bụi Tank C"/>
        <s v="Phó Sản PET Bụi Tank D"/>
        <s v="Phó Sản Trả NCC HD Thổi Vàng HV-03.1_TM"/>
        <s v="Hạt nhựa rHDI3W01"/>
        <s v="Hạt nhựa rPET WSS02G"/>
        <s v="Chuyển mã"/>
        <s v="Hạt Nhựa rHDPE PCF01"/>
        <s v="Hạt nhựa rPP20B01"/>
        <s v="Hạt Nhựa rPP20L05"/>
        <s v="Hạt Nhựa rPP20Gy01"/>
        <s v="Hạt nhựa rHDB04B01"/>
        <s v="Vảy HD Ép Dương Bình Thuận"/>
        <s v="Xuất HTK đổi batch"/>
        <s v="Hạt Nhựa rPP20W01"/>
        <s v="GC Vảy HD Ép Đen"/>
        <s v="GC Vảy HD Ép Đồng"/>
        <s v="Tài trợ truyền thông"/>
        <s v="Xuất HTK active batch"/>
        <s v="Hạt nhựa rPP25W01"/>
        <s v="Phó Sản PET Bụi LB"/>
        <s v="REBATE"/>
        <s v="Hạt Nhựa rHDA03N01"/>
        <s v="VAT không khấu trừ"/>
        <s v="Giảm giá hàng bán rPET"/>
        <s v="Trích thưởng"/>
        <s v="Điều chỉnh chi phí vào dự án IO"/>
        <s v="Hạt Nhựa rPET WSS01G-L"/>
        <s v="Hạt Nhựa rPET WSS05SB-2"/>
        <s v="Vảy PP Trắng Sữa PV-02_TM"/>
        <s v="Vảy PP Trắng Sữa PV-02_TM Trả NCC"/>
        <s v="Vảy HD Ép Trắng"/>
        <s v="Nhãn, PVC, OPP…"/>
        <s v="Hạt nhựa rPP20R02"/>
        <s v="Điều chỉnh GVHB"/>
        <s v="Hạt Nhựa rHDI7DL02"/>
        <s v="Điều chỉnh nhóm rHDPE ép"/>
        <s v="Hạt Nhựa rHDA03W01"/>
        <s v="Vảy HD Ép Đen"/>
        <s v="Vảy HD Ép Đồng"/>
        <s v="Hạt Nhựa rPP20L04"/>
        <s v="Hạt Nhựa rPET WSS01L"/>
        <s v="Vảy PP Dương Nhạt"/>
        <s v="Hạt Nhựa rLDB2N01"/>
        <s v="Hạt Nhựa rPET iSS01G-S"/>
        <s v="Vảy PET"/>
        <s v="Vảy HD Ép Dương Tách Màu Trả NCC"/>
        <s v="Hạt Nhựa rPET WSS01S"/>
        <s v="Hạt Nhựa rPET WSS01 &amp; WSS01G-L"/>
        <s v="Phó Sản HD Ép Hỗn Hợp Cuối ST"/>
        <s v="Phó Sản HD Ép Hỗn Hợp Cuối SSR"/>
        <s v="Phó Sản PET Zigzag Sau Lựa"/>
        <s v="Hạt Nhựa rPP20W02"/>
        <s v="Vảy HD Thổi Trong HV-01.1-TM GC"/>
        <s v="Hạt nhựa rPET WSS04"/>
      </sharedItems>
    </cacheField>
    <cacheField name="Nhóm SP 1" numFmtId="0">
      <sharedItems/>
    </cacheField>
    <cacheField name="Nhóm SP 2" numFmtId="0">
      <sharedItems/>
    </cacheField>
    <cacheField name="Nhóm SP 3" numFmtId="0">
      <sharedItems count="17">
        <s v="rHDPE thổi"/>
        <s v="rHDPE ép"/>
        <s v="Khác"/>
        <s v="rPET"/>
        <s v="DVGC"/>
        <s v="Phó sản"/>
        <s v="rPP"/>
        <s v="Xơ sợi"/>
        <s v="Khác-rPET"/>
        <s v="Khác-Xơ sợi"/>
        <s v="GC"/>
        <s v="Khác-GC"/>
        <s v="Khác-rPP"/>
        <s v="Khác-rHDPE thổi"/>
        <s v="rLDPE"/>
        <s v="Giảm giá"/>
        <s v="Khác-rHDPE ép"/>
      </sharedItems>
    </cacheField>
    <cacheField name="XK/NĐ" numFmtId="0">
      <sharedItems/>
    </cacheField>
    <cacheField name="Country" numFmtId="0">
      <sharedItems/>
    </cacheField>
    <cacheField name="Hàng bán trả lại" numFmtId="0">
      <sharedItems count="8">
        <s v="ok"/>
        <s v="Nhập đổi/trả"/>
        <s v="Xuất đổi/trả"/>
        <s v="x"/>
        <s v="Rebate"/>
        <s v="Điều chỉnh giá"/>
        <s v="Sai giá"/>
        <s v="Điều chỉnh SAP"/>
      </sharedItems>
    </cacheField>
    <cacheField name="SL" numFmtId="3">
      <sharedItems containsSemiMixedTypes="0" containsString="0" containsNumber="1" minValue="-1188000" maxValue="2376000"/>
    </cacheField>
    <cacheField name="Doanh thu KT (VND)" numFmtId="3">
      <sharedItems containsSemiMixedTypes="0" containsString="0" containsNumber="1" minValue="-38606672610" maxValue="72787646470"/>
    </cacheField>
    <cacheField name="Cp Pallet (VND)" numFmtId="3">
      <sharedItems containsSemiMixedTypes="0" containsString="0" containsNumber="1" minValue="-89131987.107692257" maxValue="178232314.41860464"/>
    </cacheField>
    <cacheField name="Cp hoa hồng (VND)" numFmtId="3">
      <sharedItems containsSemiMixedTypes="0" containsString="0" containsNumber="1" minValue="-579100089.1499995" maxValue="1091814697.0499997"/>
    </cacheField>
    <cacheField name="Cp vận chuyển (VND)" numFmtId="3">
      <sharedItems containsSemiMixedTypes="0" containsString="0" containsNumber="1" minValue="-446925600" maxValue="3850393530.9999995"/>
    </cacheField>
    <cacheField name="Doanh thu EXW (VND)" numFmtId="3">
      <sharedItems containsSemiMixedTypes="0" containsString="0" containsNumber="1" minValue="-37491514933.74234" maxValue="70849673649.551422"/>
    </cacheField>
    <cacheField name="Cp chai/vảy nhựa phế (VND)" numFmtId="0">
      <sharedItems containsNonDate="0" containsString="0" containsBlank="1"/>
    </cacheField>
    <cacheField name="Cp màu, hóa chất (VND)" numFmtId="0">
      <sharedItems containsNonDate="0" containsString="0" containsBlank="1"/>
    </cacheField>
    <cacheField name="Cp NVL phụ, bao  bì (VND)" numFmtId="0">
      <sharedItems containsNonDate="0" containsString="0" containsBlank="1"/>
    </cacheField>
    <cacheField name="Cp NC TT (VND)" numFmtId="0">
      <sharedItems containsNonDate="0" containsString="0" containsBlank="1"/>
    </cacheField>
    <cacheField name="Cp NC GT (VND)" numFmtId="0">
      <sharedItems containsNonDate="0" containsString="0" containsBlank="1"/>
    </cacheField>
    <cacheField name="CPSX chung (VND)" numFmtId="0">
      <sharedItems containsNonDate="0" containsString="0" containsBlank="1"/>
    </cacheField>
    <cacheField name="GV Khác (VND)" numFmtId="0">
      <sharedItems containsNonDate="0" containsString="0" containsBlank="1"/>
    </cacheField>
    <cacheField name="Cp điện (VND)" numFmtId="0">
      <sharedItems containsNonDate="0" containsString="0" containsBlank="1"/>
    </cacheField>
    <cacheField name="Cp KH SX (VND)" numFmtId="0">
      <sharedItems containsNonDate="0" containsString="0" containsBlank="1"/>
    </cacheField>
    <cacheField name="Cp gia công (VND)" numFmtId="0">
      <sharedItems containsNonDate="0" containsString="0" containsBlank="1"/>
    </cacheField>
    <cacheField name="LG EXW (VND)" numFmtId="0">
      <sharedItems containsNonDate="0" containsString="0" containsBlank="1"/>
    </cacheField>
    <cacheField name="Doanh thu EXW (USD)" numFmtId="3">
      <sharedItems containsSemiMixedTypes="0" containsString="0" containsNumber="1" minValue="-1488349.1438563829" maxValue="2810938.9366350351"/>
    </cacheField>
    <cacheField name="Doanh thu KT (USD)" numFmtId="3">
      <sharedItems containsSemiMixedTypes="0" containsString="0" containsNumber="1" minValue="-1532619" maxValue="2887827.8000000007"/>
    </cacheField>
    <cacheField name="Parent Company" numFmtId="3">
      <sharedItems count="206">
        <s v="DTP"/>
        <s v="Cty Thạnh Phát"/>
        <s v="Unilever"/>
        <s v="Coca Cola Việt Nam"/>
        <s v="Lavie"/>
        <s v="Ngọc Nghĩa"/>
        <s v="CÔNG TY  ĐẠI LỘC"/>
        <s v="Suntory"/>
        <s v="CÔNG TY PRO VIỆT NAM"/>
        <s v="Người mua hàng không lấy hóa đơn"/>
        <s v="MINH THÀNH"/>
        <s v="TIẾN THÀNH"/>
        <s v="Dung Avient"/>
        <s v="Plascene, Inc."/>
        <s v="Niagara Bottling, LLC"/>
        <s v="KOLON GLOBAL CORPORATION"/>
        <s v="Amcor FairField"/>
        <s v="Công ty TNHH MTV Đồng Lâm"/>
        <s v="Công ty TNHH Nhựa Khánh Nga"/>
        <s v="Chí phí phải trả khác- Open item"/>
        <s v="Kết chuyển CPSX không phân bổ được"/>
        <s v="Bán Ngoài"/>
        <s v="Aguarela do Mundo, SA"/>
        <s v="MILKYWAY"/>
        <s v="GIA TƯỜNG"/>
        <s v="CTY THỰC PHẨM VĨ HUY"/>
        <s v="Chori Vietnam Co., Ltd."/>
        <s v="ĐẠI NHẤT LONG"/>
        <s v="RỒNG VIỆT"/>
        <s v="Concord Textile VN"/>
        <s v="Fega"/>
        <s v="Niagara Mexico"/>
        <s v="NAM THIÊN LONG"/>
        <s v="Lix Việt Nam"/>
        <s v="Muji- DTP"/>
        <s v="MIDA"/>
        <s v="Hồng Kim Long An"/>
        <s v="Resinex"/>
        <s v="POLYMERS INTERNATIONAL"/>
        <s v="Inabata Singapore"/>
        <s v="Chấn Thuận Thành"/>
        <s v="Suntory- Honchuan Viet Nam"/>
        <s v="LINH CHI"/>
        <s v="Itochu"/>
        <s v="OUTEIRINHO TURISMO E INDUSTRIA SA"/>
        <s v="Custom Synthetic Fibers, LLC"/>
        <s v="Công ty TNHH SX Và TM Việt Thành"/>
        <s v="CTY VÂN LONG"/>
        <s v="BAO BÌ LIÊN MINH (APLAS)"/>
        <s v="Ngọc Hoàng Gia"/>
        <s v="WORLD ELASTOMER"/>
        <s v="International Gate SA"/>
        <s v="Uy Kiệt"/>
        <s v="Quick Pack Việt Nam"/>
        <s v="Plascene"/>
        <s v="Parker-DTP"/>
        <s v="Wiese"/>
        <s v="Genesis Polymers International"/>
        <s v="REYNERA"/>
        <s v="Motul -DTP"/>
        <s v="OK SUNG VINA"/>
        <s v="Nhựa Chí Minh"/>
        <s v="BPG SHINNIHON"/>
        <s v="PREMIUM WATER"/>
        <s v="Chi phí phân bổ"/>
        <s v="Hưng Dụ"/>
        <s v="HOÀNG TẤN"/>
        <s v="AN NHẬT"/>
        <s v="Dân Ôn Foods"/>
        <s v="Colgate- Hưng Dụ"/>
        <s v="Visual Plastic"/>
        <s v="MCP-Resinex"/>
        <s v="Magma International Co.,Ltd"/>
        <s v="NHỰA ĐỒNG NAI"/>
        <s v="TEXMAT VN"/>
        <s v="CTY AJINOMOTO"/>
        <s v="Nhựa Hồng Đông"/>
        <s v="BTS Bình Thuận"/>
        <s v="NHỰA VIỆT THÀNH"/>
        <s v="Phải trả khác đánh giá lại hàng tồn kho"/>
        <s v="Chênh lệch CPSX cấp dưới (lower level)"/>
        <s v="Chênh lệch CPSX đơn cấp (single level)"/>
        <s v="Nestle Việt Nam"/>
        <s v="TÂN TƯỜNG KHANG"/>
        <s v="TÂN LẬP THÀNH"/>
        <s v="THIÊN LONG LONG THÀNH"/>
        <s v="PakPot Australia"/>
        <s v="POLYRESIN EOOD"/>
        <s v="Mondelez"/>
        <s v="UPGREEN VIỆT NAM"/>
        <s v="NHỰA PHÚ MỸ"/>
        <s v="VI LỮ"/>
        <s v="Kao Việt Nam"/>
        <s v="Vinmar International"/>
        <s v="MAS CO.LTD"/>
        <s v="TNHH Nhựa Duy Tân"/>
        <s v="Vân Nga"/>
        <s v="L'Oreal VN"/>
        <s v="Phải thu khác-T/gian"/>
        <s v="Chi phí tiền lươngT 13 &amp; phép năm phải trả"/>
        <s v="Quỹ phúc lợi"/>
        <s v="CP hình thành TSDD(IO)"/>
        <s v="CH TTNT Tín Đạt"/>
        <s v="CH TTNT Thành Long"/>
        <s v="VẬN TẢI VIỆT Á"/>
        <s v="PHÚC LONG TÂY NINH"/>
        <s v="NHỰA TRƯỜNG AN"/>
        <s v="Thành phẩm nhựa"/>
        <s v="STARLINGER &amp; CO.Gesellschaft m.b.H"/>
        <s v="NH International Corp.     "/>
        <s v="Toyota Tsusho"/>
        <s v="SodaStream"/>
        <s v="Chi phí trả trước dài hạn cho BP gián tiếp"/>
        <s v="Cty Hàng Hóa Sài Gòn"/>
        <s v="HQ SBTSN-NGHH "/>
        <s v="Repi Thai Co., Ltd."/>
        <s v="PT khác (GRIR khác)"/>
        <s v="PT CP vận chuyển"/>
        <s v="Chi phí tiếp khách"/>
        <s v="CTY CP NƯỚC MT BÌNH DƯƠNG"/>
        <s v="ĐẠI LỤC"/>
        <s v="Kim Thuận Phát (Long An)"/>
        <s v="MEGA"/>
        <s v="DUROCOLOUR"/>
        <s v="Việt Thành Plast"/>
        <s v="LƯỚI BẢO NÔNG"/>
        <s v="NHỰA BUYO"/>
        <s v="TP-ĐC K/C số dư"/>
        <s v="Pentaplast SRL"/>
        <s v="Pragmatrade"/>
        <s v="PTI- Retal"/>
        <s v="KORYFES SA"/>
        <s v="MERAXIS AG"/>
        <s v="POLYCAD"/>
        <s v="GV DC CL từ CPSX TT"/>
        <s v="Chi phí thử mẫu, xuất mẫu"/>
        <s v="CH TTNT HOÀN HẢO"/>
        <s v="EATONE PRO"/>
        <s v="HUY THÀNH"/>
        <s v="TÂN HOA THỊNH"/>
        <s v="Mega Market"/>
        <s v="GREENU"/>
        <s v="Thuế GTGT được khấu trừ của hàng hoá, dịch vụ"/>
        <s v="Vật tư cơ khí kỹ thuật"/>
        <s v="ZHejiang Boretech Environmental"/>
        <s v="Nu-pure"/>
        <s v="CORAL A.E."/>
        <s v="COLLECTIVE POLYMERS"/>
        <s v="Phải trả khác- T/gian (Gắn TK151)"/>
        <s v="Chi phí thuê nhà, văn phòng, Xưởng, kho,"/>
        <s v="Chi phí bằng tiền khác"/>
        <s v="Quang Chí Bảo"/>
        <s v="TRƯỜNG THỊNH"/>
        <s v="Hailide Việt Nam"/>
        <s v="VIỆT NHẬT"/>
        <s v="GUNICA"/>
        <s v="Kim Hòa"/>
        <s v="Bao Bì Vinh Nam"/>
        <s v="MTVN Plastic"/>
        <s v="Bán thành phẩm nhựa"/>
        <s v="LION-ITOCHU"/>
        <s v="ITD Polyresin"/>
        <s v="TS thừa chờ g/quyết"/>
        <s v="CH TTNT Quang Phát"/>
        <s v="CÔNG TY TNHH PLB VN"/>
        <s v="ĐÔ THÀNH"/>
        <s v="Nguyên liệu chính"/>
        <s v="Nhiên liệu"/>
        <s v="MONTACHEM INTERNATIONAL"/>
        <s v="PIA"/>
        <s v="HQ HCM-Chuyển phát nhanh"/>
        <s v="Công ty Tôn Thép Hoàng Dung"/>
        <s v="Nhựa Âu Lạc"/>
        <s v="Minh Thông"/>
        <s v="LIVEFRESH LLC."/>
        <s v="VIVA PLAST GMBH."/>
        <s v="TRICON"/>
        <s v="VINMAR POLYMERS AMERICA LLC"/>
        <s v="GENESIS DISTRIBUCIÓN DE COLOMBIA SA"/>
        <s v="ANTEX"/>
        <s v="TAE BAEK"/>
        <s v="SHARPAK AYLESHAM LTD"/>
        <s v="NGŨ KIM TẤN PHÁT"/>
        <s v="THẠC HƯƠNG"/>
        <s v="LỢI TƯỜNG"/>
        <s v="THÀNH NGHĨA P.E.T"/>
        <s v="KHUÔN CHÍNH XÁC MINH ĐẠT"/>
        <s v="NHỰA LỘC PHÁT"/>
        <s v="PLENMA"/>
        <s v="NHỰA TC 2050"/>
        <s v="SESOTEC (THAILAND) LTD."/>
        <s v="TOYOTA TSUSHO ASIA PACIFIC"/>
        <s v="Svepol Americas Inc."/>
        <s v="RTCO"/>
        <s v="MHE ENTERPRISE"/>
        <s v="MARICO"/>
        <s v="YEI MACHINERY FACTORY CO."/>
        <s v="Tài trợ thương hiệu Duy Tân"/>
        <s v="CP tiệc, phúc lợi"/>
        <s v="CTY NGỌC NGHĨA - CỦ CHI"/>
        <s v="MEKONG BROS"/>
        <s v="Masan-Nước Khoáng Quảng Ninh"/>
        <s v="Masan- Tiêu Dùng MaSan"/>
        <s v="Masan- BỘT GIẶT NET"/>
        <s v="Masan-Vinacafé Biên Hòa"/>
        <s v="Tiền gửi NH VND VietinBank-CN Tây Sài Gòn"/>
      </sharedItems>
    </cacheField>
    <cacheField name="SKU | SKU name" numFmtId="3">
      <sharedItems count="131">
        <s v="110000337 | Hạt Nhựa rHDB03W01"/>
        <s v="110000339 | Hạt Nhựa rHDPE MBF01"/>
        <s v="110000360 | Hạt nhựa rHDI4L01"/>
        <s v="110000361 | Hạt nhựa rHDI3R01"/>
        <s v="110000364 | Hạt nhựa rHDI3Y01"/>
        <s v="110000366 | Hạt nhựa rHDI3G01"/>
        <s v="110000425 | Hạt Nhựa HCBF-Whi-U"/>
        <s v="THUEXUONG | Thuê xưởng, kho"/>
        <s v="110000332 | Hạt nhựa rPET iSS01084G"/>
        <s v="110000354 | Hạt nhựa rPET WSS01G 1"/>
        <s v="110000329 | Hạt nhựa rPET WSS01"/>
        <s v="110000400 | GC Hạt Nhựa rHDI4L01"/>
        <s v="110000414 | GC Vảy HD Ép Đỏ"/>
        <s v="110000415 | GC Vảy HD Ép Trắng"/>
        <s v="110000416 | GC Vảy HD Ép Vàng"/>
        <s v="110000417 | GC Vảy HD Ép Lá"/>
        <s v="110000418 | GC Vảy HD Ép Dương"/>
        <s v="160012597 | GC Phó Sản PET B1/B8 Vảy-Nắp ST"/>
        <s v="160012600 | GC Vảy HD Ép Vàng"/>
        <s v="160012602 | GC Vảy HD Ép Dương"/>
        <s v="160012614 | GC Phó Sản HD Ép Hỗn Hợp Nắp 1"/>
        <s v="160012615 | GC Phó Sản HD Ép Hỗn Hợp Nắp 2"/>
        <s v="160012616 | GC Phó Sản HD Ép Olefin PET 1 ST"/>
        <s v="160012617 | GC Phó Sản HD Ép Olefin PET 2 ST"/>
        <s v="800006265 | GC Vảy PET Sau Tách Olefin"/>
        <s v="800006273 | GC Phó Sản HD Ép Hỗn Hợp Cuối ST"/>
        <s v="TAITRO | Tài trợ"/>
        <s v="OTHERS | Khác"/>
        <s v="150000104 | Vảy HD thổi trong L1 HV01.1_KR"/>
        <s v="160012374 | PS trả NCC HD thổi trong L1 HV01.1_TM"/>
        <s v="110000410 | Vảy HD Ép Lá"/>
        <s v="110000421 | Vảy PP Đỏ Nhạt"/>
        <s v="110000383 | Hạt Nhựa rPET iSS84G-P"/>
        <s v="110000355 | Hạt nhựa rPET iSS01G 1"/>
        <s v="110000381 | Hạt nhựa rPET WSS04SD"/>
        <s v="VANCHUYEN | Vận chuyển"/>
        <s v="THUEMAY | Thuê máy"/>
        <s v="KCKHONGPB | Chi phí giá thành không phân bổ được"/>
        <s v="DIEUCHINH | Điều chỉnh"/>
        <s v="DIEUCHINH-rPET | Điều chỉnh nhóm rPET"/>
        <s v="DIEUCHINH-Xơ sợi | Điều chỉnh nhóm Xơ sợi"/>
        <s v="XUATSUDUNG | Chênh lệch MM60 và giá trị tồn khi xuất HTK đi sử dụng"/>
        <s v="CUTOFF-rPET | Cut-off ngành rPET"/>
        <s v="110000363 | Hạt nhựa rHDI3Gy01"/>
        <s v="110000428 | Dây đai PET"/>
        <s v="110000382 | Hạt nhựa rPET WSS04SB"/>
        <s v="110000409 | Vảy HD Ép Vàng"/>
        <s v="DIEUCHINH-GC | Điều chỉnh nhóm gia công"/>
        <s v="DIEUCHINH-rPP | Điều chỉnh nhóm rPP"/>
        <s v="110000367 | Hạt nhựa rPP15R01"/>
        <s v="110000426 | Hạt Nhựa HCBF-Yel-U"/>
        <s v="110000407 | Vảy HD Ép Đỏ"/>
        <s v="110000411 | Vảy HD Ép Dương"/>
        <s v="110000376 | Hạt nhựa rPET iSS01L"/>
        <s v="110000343 | Hạt Nhựa rHDB03G01"/>
        <s v="110000345 | Hạt Nhựa rHDB03Y01"/>
        <s v="110000432 | Hạt Nhựa rHDB03N01"/>
        <s v="110000435 | Hạt Nhựa rPP20L03"/>
        <s v="110000359 | Hạt nhựa rPET WSS03G"/>
        <s v="DIEUCHINH-rHDPE thổi | Điều chỉnh nhóm rHDPE thổi"/>
        <s v="KKHTK | Kiểm kê HTK"/>
        <s v="110000373 | Hạt nhựa rHDI4DL01"/>
        <s v="110000436 | Hạt nhựa rPET WSS05SB"/>
        <s v="110000374 | Hạt Nhựa rHDB03N02"/>
        <s v="160012345 | Phó sản máy Meyer"/>
        <s v="160012451 | Phó Sản HD Thổi Vàng Vảy L1"/>
        <s v="160012452 | Phó Sản HD Thổi Vàng Vảy L2"/>
        <s v="160012454 | Phó Sản HD Thổi Vàng Vảy Tuyển Nổi"/>
        <s v="DIEUCHINH-CPHT | Điều chỉnh chi phí hỗ trợ khách hàng"/>
        <s v="110000440 | Hạt Nhựa LDPE Thử Nghiệm"/>
        <s v="110000333 | Hạt nhựa rPET WSS03"/>
        <s v="110000461 | GC Hạt Nhựa rHDB01N01"/>
        <s v="110000462 | GC Hạt Nhựa rHDB01N02"/>
        <s v="110000463 | GC Hạt Nhựa rLDB1N03"/>
        <s v="110000441 | Hạt Nhựa PP Thử Nghiệm"/>
        <s v="160012726 | Phó Sản PET Bụi Tank A"/>
        <s v="160012727 | Phó Sản PET Bụi Tank B"/>
        <s v="160012728 | Phó Sản PET Bụi Tank C"/>
        <s v="160012729 | Phó Sản PET Bụi Tank D"/>
        <s v="160012743 | Phó Sản Trả NCC HD Thổi Vàng HV-03.1_TM"/>
        <s v="110000365 | Hạt nhựa rHDI3W01"/>
        <s v="110000358 | Hạt nhựa rPET WSS02G"/>
        <s v="CHUYENMA | Chuyển mã"/>
        <s v="110000481 | Hạt Nhựa rHDPE PCF01"/>
        <s v="110000392 | Hạt nhựa rPP20B01"/>
        <s v="110000471 | Hạt Nhựa rPP20L05"/>
        <s v="110000472 | Hạt Nhựa rPP20Gy01"/>
        <s v="110000341 | Hạt nhựa rHDB04B01"/>
        <s v="110000469 | Vảy HD Ép Dương Bình Thuận"/>
        <s v="DOIBATCH | Xuất HTK đổi batch"/>
        <s v="110000482 | Hạt Nhựa rPP20W01"/>
        <s v="110000419 | GC Vảy HD Ép Đen"/>
        <s v="110000420 | GC Vảy HD Ép Đồng"/>
        <s v="TRUYENTHONG | Tài trợ truyền thông"/>
        <s v="ACTIVEBATCH | Xuất HTK active batch"/>
        <s v="110000369 | Hạt nhựa rPP25W01"/>
        <s v="160012896 | Phó Sản PET Bụi LB"/>
        <s v="REBATE | REBATE"/>
        <s v="110000443 | Hạt Nhựa rHDA03N01"/>
        <s v="VATKKT | VAT không khấu trừ"/>
        <s v="GIAMGIA-rPET | Giảm giá hàng bán rPET"/>
        <s v="TRICHTHUONG | Trích thưởng"/>
        <s v="CHIPHIIO | Điều chỉnh chi phí vào dự án IO"/>
        <s v="110000497 | Hạt Nhựa rPET WSS01G-L"/>
        <s v="110000466 | Hạt Nhựa rPET WSS05SB-2"/>
        <s v="150000186 | Vảy PP Trắng Sữa PV-02_TM"/>
        <s v="160012902 | Vảy PP Trắng Sữa PV-02_TM Trả NCC"/>
        <s v="110000408 | Vảy HD Ép Trắng"/>
        <s v="800006226 | Nhãn, PVC, OPP…"/>
        <s v="110000389 | Hạt nhựa rPP20R02"/>
        <s v="DIEUCHINH-GVHB | Điều chỉnh GVHB"/>
        <s v="110000496 | Hạt Nhựa rHDI7DL02"/>
        <s v="DIEUCHINH-rHDPE ép | Điều chỉnh nhóm rHDPE ép"/>
        <s v="110000495 | Hạt Nhựa rHDA03W01"/>
        <s v="110000412 | Vảy HD Ép Đen"/>
        <s v="110000413 | Vảy HD Ép Đồng"/>
        <s v="110000470 | Hạt Nhựa rPP20L04"/>
        <s v="110000499 | Hạt Nhựa rPET WSS01L"/>
        <s v="110000423 | Vảy PP Dương Nhạt"/>
        <s v="110000502 | Hạt Nhựa rLDB2N01"/>
        <s v="110000483 | Hạt Nhựa rPET iSS01G-S"/>
        <s v="110000505 | Vảy PET"/>
        <s v="160012912 | Vảy HD Ép Dương Tách Màu Trả NCC"/>
        <s v="110000503 | Hạt Nhựa rPET WSS01S"/>
        <s v="110000506 | Hạt Nhựa rPET WSS01 &amp; WSS01G-L"/>
        <s v="160012611 | Phó Sản HD Ép Hỗn Hợp Cuối ST"/>
        <s v="160012951 | Phó Sản HD Ép Hỗn Hợp Cuối SSR"/>
        <s v="160012607 | Phó Sản PET Zigzag Sau Lựa"/>
        <s v="110000508 | Hạt Nhựa rPP20W02"/>
        <s v="160012837 | Vảy HD Thổi Trong HV-01.1-TM GC"/>
        <s v="110000335 | Hạt nhựa rPET WSS04"/>
      </sharedItems>
    </cacheField>
    <cacheField name="Price EXW (USD/ton)" numFmtId="0" formula=" IFERROR('Doanh thu EXW (USD)'/SL*10^3,0)" databaseField="0"/>
  </cacheFields>
  <extLst>
    <ext xmlns:x14="http://schemas.microsoft.com/office/spreadsheetml/2009/9/main" uri="{725AE2AE-9491-48be-B2B4-4EB974FC3084}">
      <x14:pivotCacheDefinition pivotCacheId="173421625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ường, Nguyễn Quốc (Dylan)" refreshedDate="45980.632222800923" createdVersion="8" refreshedVersion="8" minRefreshableVersion="3" recordCount="179" xr:uid="{24980949-DD82-4340-9772-26040DAF6F01}">
  <cacheSource type="worksheet">
    <worksheetSource name="KH_26_OPT4_KTQT_v4"/>
  </cacheSource>
  <cacheFields count="134">
    <cacheField name="STT" numFmtId="0">
      <sharedItems containsBlank="1" containsMixedTypes="1" containsNumber="1" containsInteger="1" minValue="1" maxValue="173"/>
    </cacheField>
    <cacheField name="Salesman" numFmtId="0">
      <sharedItems containsBlank="1"/>
    </cacheField>
    <cacheField name="SalesManager" numFmtId="0">
      <sharedItems containsBlank="1"/>
    </cacheField>
    <cacheField name="Mã khách" numFmtId="49">
      <sharedItems containsBlank="1"/>
    </cacheField>
    <cacheField name="Parent Account" numFmtId="0">
      <sharedItems count="92">
        <s v="Niagara Bottling, LLC"/>
        <s v="OUTEIRINHO TURISMO E INDUSTRIA SA"/>
        <s v="Unilever"/>
        <s v="Suntory"/>
        <s v="Lavie"/>
        <s v="SHARPAK AYLESHAM LTD"/>
        <s v="Quang Chí Bảo"/>
        <s v="New Developments - Vảy PET - XK"/>
        <s v="New Developments - Hạt PET - XK"/>
        <s v="MHE ENTERPRISE"/>
        <s v="Nhựa Đạt Hòa"/>
        <s v="Uy Kiệt"/>
        <s v="Vinmar International"/>
        <s v="Plascene"/>
        <s v="Hưng Dụ"/>
        <s v="New Developments - Hạt HDPE - NĐ"/>
        <s v="Svepol Americas Inc."/>
        <s v="Serioplast"/>
        <s v="Motul -DTP"/>
        <s v="KORYFES SA"/>
        <s v="Plascene, Inc."/>
        <s v="LION-ITOCHU"/>
        <s v="VINMAR POLYMERS AMERICA LLC"/>
        <s v="MTVN Plastic"/>
        <s v="Wiese"/>
        <s v="Pentaplast SRL"/>
        <s v="New Developments - Xơ sợi - XK"/>
        <s v="New Developments - Hạt PP - NĐ"/>
        <s v="NHỰA ĐỒNG NAI"/>
        <s v="Coca Cola Việt Nam"/>
        <s v="LƯỚI BẢO NÔNG"/>
        <s v="Genesis Polymers International"/>
        <s v="SodaStream"/>
        <s v="PIA"/>
        <s v="GENESIS DISTRIBUCIÓN DE COLOMBIA SA"/>
        <s v="ITD Polyresin"/>
        <s v="MAS CO.LTD"/>
        <s v="POLYCAD"/>
        <s v="HUY THÀNH"/>
        <s v="Tân Lập Thành"/>
        <s v="ĐẠI LỤC"/>
        <s v="THẠC HƯƠNG"/>
        <s v="NHỰA LỘC PHÁT"/>
        <s v="Fega"/>
        <s v="POLYRESIN EOOD"/>
        <s v="PTI- Retal"/>
        <s v="MONTACHEM INTERNATIONAL"/>
        <s v="TRICON"/>
        <s v="DTP"/>
        <s v="ANTEX"/>
        <s v="Mondelez"/>
        <s v="Hồng Kim Long An"/>
        <s v="International Gate SA"/>
        <s v="ĐÔ THÀNH"/>
        <s v="NHỰA TRƯỜNG AN"/>
        <s v="Resinex"/>
        <s v="LINH CHI"/>
        <s v="ĐẠI NHẤT LONG"/>
        <s v="LỢI TƯỜNG"/>
        <s v="Việt Thành Plast"/>
        <s v="REYNERA"/>
        <s v="Chấn Thuận Thành"/>
        <s v="MEGA"/>
        <s v="VIỆT NHẬT"/>
        <s v="AN NHẬT"/>
        <s v="PREMIUM WATER"/>
        <s v="Người mua hàng không lấy hóa đơn"/>
        <s v="CTY VÂN LONG"/>
        <s v="Muji- DTP"/>
        <s v="TÂN TƯỜNG KHANG"/>
        <s v="DUROCOLOUR"/>
        <s v="NHỰA BUYO"/>
        <s v="EATONE PRO"/>
        <s v="Hailide Việt Nam"/>
        <s v="TÂN HOA THỊNH"/>
        <s v="GUNICA"/>
        <s v="Kim Hòa"/>
        <s v="Nhựa Âu Lạc"/>
        <s v="Minh Thông"/>
        <s v="NGŨ KIM TẤN PHÁT"/>
        <s v="THÀNH NGHĨA P.E.T"/>
        <s v="NHỰA TC 2050"/>
        <s v="Pragmatrade"/>
        <s v="MERAXIS AG"/>
        <s v="Nu-pure"/>
        <s v="New Developments - Hạt PET - NĐ (WSS03G)"/>
        <s v="New Developments - Hạt PET - NĐ (iSS01G 1)"/>
        <s v="SANOFI-DTP"/>
        <s v="SC JOHNSON"/>
        <s v="NISHIN"/>
        <s v="New Developments - Hạt PET - NĐ (rHDPE thổi)"/>
        <s v=""/>
      </sharedItems>
    </cacheField>
    <cacheField name="Tên khách" numFmtId="0">
      <sharedItems containsBlank="1"/>
    </cacheField>
    <cacheField name="Phân loại khách" numFmtId="0">
      <sharedItems containsBlank="1"/>
    </cacheField>
    <cacheField name="Kênh bán hàng" numFmtId="0">
      <sharedItems containsBlank="1"/>
    </cacheField>
    <cacheField name="Địa điểm đến" numFmtId="0">
      <sharedItems containsBlank="1"/>
    </cacheField>
    <cacheField name="Nước đến" numFmtId="0">
      <sharedItems containsBlank="1"/>
    </cacheField>
    <cacheField name="Khu vực" numFmtId="0">
      <sharedItems containsBlank="1"/>
    </cacheField>
    <cacheField name="Incoterm" numFmtId="0">
      <sharedItems containsBlank="1"/>
    </cacheField>
    <cacheField name="Mã sản phẩm" numFmtId="0">
      <sharedItems containsBlank="1"/>
    </cacheField>
    <cacheField name="Tên sản phẩm" numFmtId="0">
      <sharedItems containsBlank="1"/>
    </cacheField>
    <cacheField name="Ngành hàng" numFmtId="0">
      <sharedItems containsBlank="1" count="7">
        <s v="rPET"/>
        <s v="Xơ sợi"/>
        <s v="rHDPE thổi"/>
        <s v="rHDPE ép"/>
        <s v="rPP"/>
        <s v="Phó sản"/>
        <m/>
      </sharedItems>
    </cacheField>
    <cacheField name="Nhóm sản phẩm" numFmtId="0">
      <sharedItems containsBlank="1"/>
    </cacheField>
    <cacheField name="IV/IM" numFmtId="0">
      <sharedItems containsBlank="1" count="9">
        <s v="0.78 ± 0.02"/>
        <s v=""/>
        <s v="0.80 ± 0.02"/>
        <s v="0.84 ± 0.03"/>
        <s v="0.55 ± 0.05"/>
        <s v="0.70 ± 0.02"/>
        <s v="0.65 ± 0.03"/>
        <m/>
        <s v="0.78 ± 0.03" u="1"/>
      </sharedItems>
    </cacheField>
    <cacheField name="Application" numFmtId="0">
      <sharedItems containsBlank="1" containsMixedTypes="1" containsNumber="1" containsInteger="1" minValue="0" maxValue="0" count="4">
        <n v="0"/>
        <s v="THỔI ỐNG"/>
        <s v="THỔI CHAI"/>
        <m/>
      </sharedItems>
    </cacheField>
    <cacheField name="Phân loại sản phẩm" numFmtId="0">
      <sharedItems containsBlank="1" count="2">
        <s v="Cũ"/>
        <m/>
      </sharedItems>
    </cacheField>
    <cacheField name="Price_Sheme" numFmtId="0">
      <sharedItems containsBlank="1"/>
    </cacheField>
    <cacheField name="Lấy" numFmtId="0">
      <sharedItems containsBlank="1"/>
    </cacheField>
    <cacheField name="Mức độ khả thi" numFmtId="0">
      <sharedItems containsString="0" containsBlank="1" containsNumber="1" minValue="0.8" maxValue="0.8"/>
    </cacheField>
    <cacheField name="SL-01" numFmtId="0">
      <sharedItems containsString="0" containsBlank="1" containsNumber="1" minValue="0" maxValue="660"/>
    </cacheField>
    <cacheField name="SL-02" numFmtId="0">
      <sharedItems containsString="0" containsBlank="1" containsNumber="1" minValue="0" maxValue="660"/>
    </cacheField>
    <cacheField name="SL-03" numFmtId="0">
      <sharedItems containsString="0" containsBlank="1" containsNumber="1" minValue="0" maxValue="660"/>
    </cacheField>
    <cacheField name="SL-04" numFmtId="0">
      <sharedItems containsString="0" containsBlank="1" containsNumber="1" minValue="0" maxValue="660"/>
    </cacheField>
    <cacheField name="SL-05" numFmtId="0">
      <sharedItems containsString="0" containsBlank="1" containsNumber="1" minValue="0" maxValue="660"/>
    </cacheField>
    <cacheField name="SL-06" numFmtId="0">
      <sharedItems containsString="0" containsBlank="1" containsNumber="1" minValue="0" maxValue="660"/>
    </cacheField>
    <cacheField name="SL-07" numFmtId="0">
      <sharedItems containsString="0" containsBlank="1" containsNumber="1" minValue="0" maxValue="660"/>
    </cacheField>
    <cacheField name="SL-08" numFmtId="0">
      <sharedItems containsString="0" containsBlank="1" containsNumber="1" minValue="0" maxValue="660"/>
    </cacheField>
    <cacheField name="SL-09" numFmtId="0">
      <sharedItems containsString="0" containsBlank="1" containsNumber="1" minValue="0" maxValue="660"/>
    </cacheField>
    <cacheField name="SL-10" numFmtId="0">
      <sharedItems containsString="0" containsBlank="1" containsNumber="1" minValue="0" maxValue="660"/>
    </cacheField>
    <cacheField name="SL-11" numFmtId="0">
      <sharedItems containsString="0" containsBlank="1" containsNumber="1" minValue="0" maxValue="660"/>
    </cacheField>
    <cacheField name="SL-12" numFmtId="0">
      <sharedItems containsString="0" containsBlank="1" containsNumber="1" minValue="0" maxValue="660"/>
    </cacheField>
    <cacheField name="SL-KH26" numFmtId="0">
      <sharedItems containsString="0" containsBlank="1" containsNumber="1" minValue="0" maxValue="7920"/>
    </cacheField>
    <cacheField name="SL-DB25" numFmtId="0">
      <sharedItems containsString="0" containsBlank="1" containsNumber="1" minValue="0" maxValue="13002"/>
    </cacheField>
    <cacheField name="SL-+/-" numFmtId="0">
      <sharedItems containsString="0" containsBlank="1" containsNumber="1" minValue="-7722" maxValue="4878.6562014309338"/>
    </cacheField>
    <cacheField name="SL-%+/-" numFmtId="0">
      <sharedItems containsString="0" containsBlank="1" containsNumber="1" minValue="-1" maxValue="598.99999999999989"/>
    </cacheField>
    <cacheField name="GB-01" numFmtId="0">
      <sharedItems containsString="0" containsBlank="1" containsNumber="1" containsInteger="1" minValue="500" maxValue="1302"/>
    </cacheField>
    <cacheField name="GB-02" numFmtId="0">
      <sharedItems containsString="0" containsBlank="1" containsNumber="1" containsInteger="1" minValue="500" maxValue="1302"/>
    </cacheField>
    <cacheField name="GB-03" numFmtId="0">
      <sharedItems containsString="0" containsBlank="1" containsNumber="1" containsInteger="1" minValue="500" maxValue="1302"/>
    </cacheField>
    <cacheField name="GB-04" numFmtId="0">
      <sharedItems containsString="0" containsBlank="1" containsNumber="1" containsInteger="1" minValue="500" maxValue="1302"/>
    </cacheField>
    <cacheField name="GB-05" numFmtId="0">
      <sharedItems containsString="0" containsBlank="1" containsNumber="1" containsInteger="1" minValue="500" maxValue="1302"/>
    </cacheField>
    <cacheField name="GB-06" numFmtId="0">
      <sharedItems containsString="0" containsBlank="1" containsNumber="1" containsInteger="1" minValue="500" maxValue="1302"/>
    </cacheField>
    <cacheField name="GB-07" numFmtId="0">
      <sharedItems containsString="0" containsBlank="1" containsNumber="1" containsInteger="1" minValue="500" maxValue="1302"/>
    </cacheField>
    <cacheField name="GB-08" numFmtId="0">
      <sharedItems containsString="0" containsBlank="1" containsNumber="1" containsInteger="1" minValue="500" maxValue="1302"/>
    </cacheField>
    <cacheField name="GB-09" numFmtId="0">
      <sharedItems containsString="0" containsBlank="1" containsNumber="1" containsInteger="1" minValue="500" maxValue="1302"/>
    </cacheField>
    <cacheField name="GB-10" numFmtId="0">
      <sharedItems containsString="0" containsBlank="1" containsNumber="1" containsInteger="1" minValue="500" maxValue="1302"/>
    </cacheField>
    <cacheField name="GB-11" numFmtId="0">
      <sharedItems containsString="0" containsBlank="1" containsNumber="1" containsInteger="1" minValue="500" maxValue="1302"/>
    </cacheField>
    <cacheField name="GB-12" numFmtId="0">
      <sharedItems containsString="0" containsBlank="1" containsNumber="1" containsInteger="1" minValue="500" maxValue="1302"/>
    </cacheField>
    <cacheField name="GB-DB25" numFmtId="0">
      <sharedItems containsString="0" containsBlank="1" containsNumber="1" minValue="0" maxValue="1302"/>
    </cacheField>
    <cacheField name="GB-KH25" numFmtId="0">
      <sharedItems containsNonDate="0" containsString="0" containsBlank="1"/>
    </cacheField>
    <cacheField name="GB-+/-" numFmtId="0">
      <sharedItems containsString="0" containsBlank="1" containsNumber="1" minValue="0" maxValue="1302"/>
    </cacheField>
    <cacheField name="GB-%+/-" numFmtId="0">
      <sharedItems containsString="0" containsBlank="1" containsNumber="1" containsInteger="1" minValue="0" maxValue="0"/>
    </cacheField>
    <cacheField name="Ghi chú" numFmtId="0">
      <sharedItems containsBlank="1"/>
    </cacheField>
    <cacheField name="DT-EXW-01" numFmtId="0">
      <sharedItems containsString="0" containsBlank="1" containsNumber="1" minValue="0" maxValue="18889200000"/>
    </cacheField>
    <cacheField name="DT-EXW-02" numFmtId="0">
      <sharedItems containsString="0" containsBlank="1" containsNumber="1" minValue="0" maxValue="18889200000"/>
    </cacheField>
    <cacheField name="DT-EXW-03" numFmtId="0">
      <sharedItems containsString="0" containsBlank="1" containsNumber="1" minValue="0" maxValue="18889200000"/>
    </cacheField>
    <cacheField name="DT-EXW-04" numFmtId="0">
      <sharedItems containsString="0" containsBlank="1" containsNumber="1" minValue="0" maxValue="18889200000"/>
    </cacheField>
    <cacheField name="DT-EXW-05" numFmtId="0">
      <sharedItems containsString="0" containsBlank="1" containsNumber="1" minValue="0" maxValue="18889200000"/>
    </cacheField>
    <cacheField name="DT-EXW-06" numFmtId="0">
      <sharedItems containsString="0" containsBlank="1" containsNumber="1" minValue="0" maxValue="18889200000"/>
    </cacheField>
    <cacheField name="DT-EXW-07" numFmtId="0">
      <sharedItems containsString="0" containsBlank="1" containsNumber="1" minValue="0" maxValue="18889200000"/>
    </cacheField>
    <cacheField name="DT-EXW-08" numFmtId="0">
      <sharedItems containsString="0" containsBlank="1" containsNumber="1" minValue="0" maxValue="18889200000"/>
    </cacheField>
    <cacheField name="DT-EXW-09" numFmtId="0">
      <sharedItems containsString="0" containsBlank="1" containsNumber="1" minValue="0" maxValue="18889200000"/>
    </cacheField>
    <cacheField name="DT-EXW-10" numFmtId="0">
      <sharedItems containsString="0" containsBlank="1" containsNumber="1" minValue="0" maxValue="18889200000"/>
    </cacheField>
    <cacheField name="DT-EXW-11" numFmtId="0">
      <sharedItems containsString="0" containsBlank="1" containsNumber="1" minValue="0" maxValue="18889200000"/>
    </cacheField>
    <cacheField name="DT-EXW-12" numFmtId="0">
      <sharedItems containsString="0" containsBlank="1" containsNumber="1" minValue="0" maxValue="18889200000"/>
    </cacheField>
    <cacheField name="DT-EXW-KH26" numFmtId="0">
      <sharedItems containsString="0" containsBlank="1" containsNumber="1" minValue="0" maxValue="226670400000"/>
    </cacheField>
    <cacheField name="DT-EXW-DB25" numFmtId="0">
      <sharedItems containsString="0" containsBlank="1" containsNumber="1" minValue="0" maxValue="369590112179.51868"/>
    </cacheField>
    <cacheField name="DT-EXW-+/-" numFmtId="0">
      <sharedItems containsString="0" containsBlank="1" containsNumber="1" minValue="-208682112179.51868" maxValue="125405857657.78214"/>
    </cacheField>
    <cacheField name="DT-EXW-%+/-" numFmtId="0">
      <sharedItems containsString="0" containsBlank="1" containsNumber="1" minValue="-1" maxValue="632.8870431893688"/>
    </cacheField>
    <cacheField name="CPHH-%-SL" numFmtId="0">
      <sharedItems containsBlank="1"/>
    </cacheField>
    <cacheField name="%HH" numFmtId="0">
      <sharedItems containsString="0" containsBlank="1" containsNumber="1" minValue="5.0000000000000001E-3" maxValue="1.4999999999999999E-2"/>
    </cacheField>
    <cacheField name="HH-SL" numFmtId="0">
      <sharedItems containsString="0" containsBlank="1" containsNumber="1" containsInteger="1" minValue="662500" maxValue="1000000"/>
    </cacheField>
    <cacheField name="CPHH-01" numFmtId="0">
      <sharedItems containsString="0" containsBlank="1" containsNumber="1" containsInteger="1" minValue="0" maxValue="283338000"/>
    </cacheField>
    <cacheField name="CPHH-02" numFmtId="0">
      <sharedItems containsString="0" containsBlank="1" containsNumber="1" containsInteger="1" minValue="0" maxValue="283338000"/>
    </cacheField>
    <cacheField name="CPHH-03" numFmtId="0">
      <sharedItems containsString="0" containsBlank="1" containsNumber="1" containsInteger="1" minValue="0" maxValue="283338000"/>
    </cacheField>
    <cacheField name="CPHH-04" numFmtId="0">
      <sharedItems containsString="0" containsBlank="1" containsNumber="1" containsInteger="1" minValue="0" maxValue="283338000"/>
    </cacheField>
    <cacheField name="CPHH-05" numFmtId="0">
      <sharedItems containsString="0" containsBlank="1" containsNumber="1" containsInteger="1" minValue="0" maxValue="283338000"/>
    </cacheField>
    <cacheField name="CPHH-06" numFmtId="0">
      <sharedItems containsString="0" containsBlank="1" containsNumber="1" containsInteger="1" minValue="0" maxValue="283338000"/>
    </cacheField>
    <cacheField name="CPHH-07" numFmtId="0">
      <sharedItems containsString="0" containsBlank="1" containsNumber="1" containsInteger="1" minValue="0" maxValue="283338000"/>
    </cacheField>
    <cacheField name="CPHH-08" numFmtId="0">
      <sharedItems containsString="0" containsBlank="1" containsNumber="1" containsInteger="1" minValue="0" maxValue="283338000"/>
    </cacheField>
    <cacheField name="CPHH-09" numFmtId="0">
      <sharedItems containsString="0" containsBlank="1" containsNumber="1" containsInteger="1" minValue="0" maxValue="283338000"/>
    </cacheField>
    <cacheField name="CPHH-10" numFmtId="0">
      <sharedItems containsString="0" containsBlank="1" containsNumber="1" containsInteger="1" minValue="0" maxValue="283338000"/>
    </cacheField>
    <cacheField name="CPHH-11" numFmtId="0">
      <sharedItems containsString="0" containsBlank="1" containsNumber="1" containsInteger="1" minValue="0" maxValue="283338000"/>
    </cacheField>
    <cacheField name="CPHH-12" numFmtId="0">
      <sharedItems containsString="0" containsBlank="1" containsNumber="1" containsInteger="1" minValue="0" maxValue="283338000"/>
    </cacheField>
    <cacheField name="CPHH-KH26" numFmtId="0">
      <sharedItems containsString="0" containsBlank="1" containsNumber="1" containsInteger="1" minValue="0" maxValue="3400056000"/>
    </cacheField>
    <cacheField name="ĐGVC-KNĐ" numFmtId="0">
      <sharedItems containsString="0" containsBlank="1" containsNumber="1" minValue="0" maxValue="610269.31818181823"/>
    </cacheField>
    <cacheField name="ĐGVC-KXK" numFmtId="0">
      <sharedItems containsString="0" containsBlank="1" containsNumber="1" minValue="0" maxValue="5348181.8181818184"/>
    </cacheField>
    <cacheField name="ĐGVCNĐ-KXK" numFmtId="0">
      <sharedItems containsString="0" containsBlank="1" containsNumber="1" containsInteger="1" minValue="0" maxValue="530000"/>
    </cacheField>
    <cacheField name="ĐGVCCT-KXK" numFmtId="0">
      <sharedItems containsString="0" containsBlank="1" containsNumber="1" minValue="0" maxValue="4818181.8181818184"/>
    </cacheField>
    <cacheField name="CPVC-01" numFmtId="165">
      <sharedItems containsString="0" containsBlank="1" containsNumber="1" minValue="0" maxValue="349800000"/>
    </cacheField>
    <cacheField name="CPVC-02" numFmtId="165">
      <sharedItems containsString="0" containsBlank="1" containsNumber="1" minValue="0" maxValue="349800000"/>
    </cacheField>
    <cacheField name="CPVC-03" numFmtId="165">
      <sharedItems containsString="0" containsBlank="1" containsNumber="1" minValue="0" maxValue="349800000"/>
    </cacheField>
    <cacheField name="CPVC-04" numFmtId="165">
      <sharedItems containsString="0" containsBlank="1" containsNumber="1" minValue="0" maxValue="349800000"/>
    </cacheField>
    <cacheField name="CPVC-05" numFmtId="165">
      <sharedItems containsString="0" containsBlank="1" containsNumber="1" minValue="0" maxValue="349800000"/>
    </cacheField>
    <cacheField name="CPVC-06" numFmtId="165">
      <sharedItems containsString="0" containsBlank="1" containsNumber="1" minValue="0" maxValue="349800000"/>
    </cacheField>
    <cacheField name="CPVC-07" numFmtId="165">
      <sharedItems containsString="0" containsBlank="1" containsNumber="1" minValue="0" maxValue="427854545.4545455"/>
    </cacheField>
    <cacheField name="CPVC-08" numFmtId="165">
      <sharedItems containsString="0" containsBlank="1" containsNumber="1" minValue="0" maxValue="427854545.4545455"/>
    </cacheField>
    <cacheField name="CPVC-09" numFmtId="165">
      <sharedItems containsString="0" containsBlank="1" containsNumber="1" minValue="0" maxValue="427854545.4545455"/>
    </cacheField>
    <cacheField name="CPVC-10" numFmtId="165">
      <sharedItems containsString="0" containsBlank="1" containsNumber="1" minValue="0" maxValue="427854545.4545455"/>
    </cacheField>
    <cacheField name="CPVC-11" numFmtId="165">
      <sharedItems containsString="0" containsBlank="1" containsNumber="1" minValue="0" maxValue="427854545.4545455"/>
    </cacheField>
    <cacheField name="CPVC-12" numFmtId="165">
      <sharedItems containsString="0" containsBlank="1" containsNumber="1" minValue="0" maxValue="427854545.4545455"/>
    </cacheField>
    <cacheField name="CPVC-KH26" numFmtId="165">
      <sharedItems containsString="0" containsBlank="1" containsNumber="1" minValue="0" maxValue="4197600000"/>
    </cacheField>
    <cacheField name="DT-01" numFmtId="0">
      <sharedItems containsString="0" containsBlank="1" containsNumber="1" minValue="0" maxValue="19522338000"/>
    </cacheField>
    <cacheField name="DT-02" numFmtId="0">
      <sharedItems containsString="0" containsBlank="1" containsNumber="1" minValue="0" maxValue="19522338000"/>
    </cacheField>
    <cacheField name="DT-03" numFmtId="0">
      <sharedItems containsString="0" containsBlank="1" containsNumber="1" minValue="0" maxValue="19522338000"/>
    </cacheField>
    <cacheField name="DT-04" numFmtId="0">
      <sharedItems containsString="0" containsBlank="1" containsNumber="1" minValue="0" maxValue="19522338000"/>
    </cacheField>
    <cacheField name="DT-05" numFmtId="0">
      <sharedItems containsString="0" containsBlank="1" containsNumber="1" minValue="0" maxValue="19522338000"/>
    </cacheField>
    <cacheField name="DT-06" numFmtId="0">
      <sharedItems containsString="0" containsBlank="1" containsNumber="1" minValue="0" maxValue="19522338000"/>
    </cacheField>
    <cacheField name="DT-07" numFmtId="0">
      <sharedItems containsString="0" containsBlank="1" containsNumber="1" minValue="0" maxValue="19522338000"/>
    </cacheField>
    <cacheField name="DT-08" numFmtId="0">
      <sharedItems containsString="0" containsBlank="1" containsNumber="1" minValue="0" maxValue="19522338000"/>
    </cacheField>
    <cacheField name="DT-09" numFmtId="0">
      <sharedItems containsString="0" containsBlank="1" containsNumber="1" minValue="0" maxValue="19522338000"/>
    </cacheField>
    <cacheField name="DT-10" numFmtId="0">
      <sharedItems containsString="0" containsBlank="1" containsNumber="1" minValue="0" maxValue="19522338000"/>
    </cacheField>
    <cacheField name="DT-11" numFmtId="0">
      <sharedItems containsString="0" containsBlank="1" containsNumber="1" minValue="0" maxValue="19522338000"/>
    </cacheField>
    <cacheField name="DT-12" numFmtId="0">
      <sharedItems containsString="0" containsBlank="1" containsNumber="1" minValue="0" maxValue="19522338000"/>
    </cacheField>
    <cacheField name="DT-KH26" numFmtId="0">
      <sharedItems containsString="0" containsBlank="1" containsNumber="1" minValue="0" maxValue="234268056000"/>
    </cacheField>
    <cacheField name="DT-DB25" numFmtId="0">
      <sharedItems containsNonDate="0" containsString="0" containsBlank="1"/>
    </cacheField>
    <cacheField name="DT-+/-" numFmtId="0">
      <sharedItems containsNonDate="0" containsString="0" containsBlank="1"/>
    </cacheField>
    <cacheField name="DT-%+/-" numFmtId="0">
      <sharedItems containsNonDate="0" containsString="0" containsBlank="1"/>
    </cacheField>
    <cacheField name="%CPDP" numFmtId="166">
      <sharedItems containsString="0" containsBlank="1" containsNumber="1" minValue="0.1" maxValue="0.1"/>
    </cacheField>
    <cacheField name="CPDP-01" numFmtId="165">
      <sharedItems containsString="0" containsBlank="1" containsNumber="1" containsInteger="1" minValue="0" maxValue="1049400000"/>
    </cacheField>
    <cacheField name="CPDP-02" numFmtId="165">
      <sharedItems containsString="0" containsBlank="1" containsNumber="1" containsInteger="1" minValue="0" maxValue="1049400000"/>
    </cacheField>
    <cacheField name="CPDP-03" numFmtId="165">
      <sharedItems containsString="0" containsBlank="1" containsNumber="1" containsInteger="1" minValue="0" maxValue="1049400000"/>
    </cacheField>
    <cacheField name="CPDP-04" numFmtId="165">
      <sharedItems containsString="0" containsBlank="1" containsNumber="1" containsInteger="1" minValue="0" maxValue="1049400000"/>
    </cacheField>
    <cacheField name="CPDP-05" numFmtId="165">
      <sharedItems containsString="0" containsBlank="1" containsNumber="1" containsInteger="1" minValue="0" maxValue="1049400000"/>
    </cacheField>
    <cacheField name="CPDP-06" numFmtId="165">
      <sharedItems containsString="0" containsBlank="1" containsNumber="1" containsInteger="1" minValue="0" maxValue="1049400000"/>
    </cacheField>
    <cacheField name="CPDP-07" numFmtId="165">
      <sharedItems containsString="0" containsBlank="1" containsNumber="1" containsInteger="1" minValue="0" maxValue="1049400000"/>
    </cacheField>
    <cacheField name="CPDP-08" numFmtId="165">
      <sharedItems containsString="0" containsBlank="1" containsNumber="1" containsInteger="1" minValue="0" maxValue="1049400000"/>
    </cacheField>
    <cacheField name="CPDP-09" numFmtId="165">
      <sharedItems containsString="0" containsBlank="1" containsNumber="1" containsInteger="1" minValue="0" maxValue="1049400000"/>
    </cacheField>
    <cacheField name="CPDP-10" numFmtId="165">
      <sharedItems containsString="0" containsBlank="1" containsNumber="1" containsInteger="1" minValue="0" maxValue="1049400000"/>
    </cacheField>
    <cacheField name="CPDP-11" numFmtId="165">
      <sharedItems containsString="0" containsBlank="1" containsNumber="1" containsInteger="1" minValue="0" maxValue="1049400000"/>
    </cacheField>
    <cacheField name="CPDP-12" numFmtId="165">
      <sharedItems containsString="0" containsBlank="1" containsNumber="1" containsInteger="1" minValue="0" maxValue="1049400000"/>
    </cacheField>
    <cacheField name="CPDP-KH26" numFmtId="0">
      <sharedItems containsString="0" containsBlank="1" containsNumber="1" containsInteger="1" minValue="0" maxValue="1259280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52">
  <r>
    <x v="0"/>
    <x v="0"/>
    <n v="1"/>
    <s v="1000"/>
    <s v="CPSX Nhựa Duy Tân"/>
    <x v="0"/>
    <x v="0"/>
    <s v="rHDPE"/>
    <s v="rHDPE thổi"/>
    <x v="0"/>
    <s v="NĐ"/>
    <s v="(blank)"/>
    <x v="0"/>
    <n v="11000"/>
    <n v="392018000"/>
    <n v="0"/>
    <n v="0"/>
    <n v="0"/>
    <n v="392018000"/>
    <m/>
    <m/>
    <m/>
    <m/>
    <m/>
    <m/>
    <m/>
    <m/>
    <m/>
    <m/>
    <m/>
    <n v="16082.744187773886"/>
    <n v="16082.744187773886"/>
    <x v="0"/>
    <x v="0"/>
  </r>
  <r>
    <x v="0"/>
    <x v="0"/>
    <n v="1"/>
    <s v="1000"/>
    <s v="CPSX Nhựa Duy Tân"/>
    <x v="1"/>
    <x v="1"/>
    <s v="rHDPE"/>
    <s v="rHDPE thổi"/>
    <x v="0"/>
    <s v="NĐ"/>
    <s v="(blank)"/>
    <x v="1"/>
    <n v="-15825"/>
    <n v="0"/>
    <n v="0"/>
    <n v="0"/>
    <n v="0"/>
    <n v="0"/>
    <m/>
    <m/>
    <m/>
    <m/>
    <m/>
    <m/>
    <m/>
    <m/>
    <m/>
    <m/>
    <m/>
    <n v="0"/>
    <n v="0"/>
    <x v="0"/>
    <x v="1"/>
  </r>
  <r>
    <x v="0"/>
    <x v="0"/>
    <n v="1"/>
    <s v="1000"/>
    <s v="CPSX Nhựa Duy Tân"/>
    <x v="1"/>
    <x v="1"/>
    <s v="rHDPE"/>
    <s v="rHDPE thổi"/>
    <x v="0"/>
    <s v="NĐ"/>
    <s v="(blank)"/>
    <x v="0"/>
    <n v="100000"/>
    <n v="3683800000"/>
    <n v="0"/>
    <n v="0"/>
    <n v="1430000"/>
    <n v="3682370000"/>
    <m/>
    <m/>
    <m/>
    <m/>
    <m/>
    <m/>
    <m/>
    <m/>
    <m/>
    <m/>
    <m/>
    <n v="151071.16182096975"/>
    <n v="151129.82832145828"/>
    <x v="0"/>
    <x v="1"/>
  </r>
  <r>
    <x v="0"/>
    <x v="0"/>
    <n v="1"/>
    <s v="1000"/>
    <s v="CPSX Nhựa Duy Tân"/>
    <x v="1"/>
    <x v="1"/>
    <s v="rHDPE"/>
    <s v="rHDPE thổi"/>
    <x v="0"/>
    <s v="NĐ"/>
    <s v="(blank)"/>
    <x v="2"/>
    <n v="15825"/>
    <n v="0"/>
    <n v="0"/>
    <n v="0"/>
    <n v="0"/>
    <n v="0"/>
    <m/>
    <m/>
    <m/>
    <m/>
    <m/>
    <m/>
    <m/>
    <m/>
    <m/>
    <m/>
    <m/>
    <n v="0"/>
    <n v="0"/>
    <x v="0"/>
    <x v="1"/>
  </r>
  <r>
    <x v="0"/>
    <x v="0"/>
    <n v="1"/>
    <s v="1000"/>
    <s v="CPSX Nhựa Duy Tân"/>
    <x v="2"/>
    <x v="2"/>
    <s v="rHDPE"/>
    <s v="rHDPE ép"/>
    <x v="1"/>
    <s v="NĐ"/>
    <s v="(blank)"/>
    <x v="0"/>
    <n v="9625"/>
    <n v="205726194.00000018"/>
    <n v="0"/>
    <n v="0"/>
    <n v="0"/>
    <n v="205726194.00000018"/>
    <m/>
    <m/>
    <m/>
    <m/>
    <m/>
    <m/>
    <m/>
    <m/>
    <m/>
    <m/>
    <m/>
    <n v="8440.0250774871201"/>
    <n v="8440.0250774871201"/>
    <x v="0"/>
    <x v="2"/>
  </r>
  <r>
    <x v="0"/>
    <x v="0"/>
    <n v="1"/>
    <s v="1000"/>
    <s v="CPSX Nhựa Duy Tân"/>
    <x v="3"/>
    <x v="3"/>
    <s v="rHDPE"/>
    <s v="rHDPE ép"/>
    <x v="1"/>
    <s v="NĐ"/>
    <s v="(blank)"/>
    <x v="0"/>
    <n v="9625"/>
    <n v="205726193.99999997"/>
    <n v="0"/>
    <n v="0"/>
    <n v="0"/>
    <n v="205726193.99999997"/>
    <m/>
    <m/>
    <m/>
    <m/>
    <m/>
    <m/>
    <m/>
    <m/>
    <m/>
    <m/>
    <m/>
    <n v="8440.025077487111"/>
    <n v="8440.025077487111"/>
    <x v="0"/>
    <x v="3"/>
  </r>
  <r>
    <x v="0"/>
    <x v="0"/>
    <n v="1"/>
    <s v="1000"/>
    <s v="CPSX Nhựa Duy Tân"/>
    <x v="4"/>
    <x v="4"/>
    <s v="rHDPE"/>
    <s v="rHDPE ép"/>
    <x v="1"/>
    <s v="NĐ"/>
    <s v="(blank)"/>
    <x v="0"/>
    <n v="5500"/>
    <n v="117557825.00000001"/>
    <n v="0"/>
    <n v="0"/>
    <n v="0"/>
    <n v="117557825.00000001"/>
    <m/>
    <m/>
    <m/>
    <m/>
    <m/>
    <m/>
    <m/>
    <m/>
    <m/>
    <m/>
    <m/>
    <n v="4822.8714669889896"/>
    <n v="4822.8714669889896"/>
    <x v="0"/>
    <x v="4"/>
  </r>
  <r>
    <x v="0"/>
    <x v="0"/>
    <n v="1"/>
    <s v="1000"/>
    <s v="CPSX Nhựa Duy Tân"/>
    <x v="5"/>
    <x v="5"/>
    <s v="rHDPE"/>
    <s v="rHDPE ép"/>
    <x v="1"/>
    <s v="NĐ"/>
    <s v="(blank)"/>
    <x v="0"/>
    <n v="5500"/>
    <n v="117557825.00000001"/>
    <n v="0"/>
    <n v="0"/>
    <n v="0"/>
    <n v="117557825.00000001"/>
    <m/>
    <m/>
    <m/>
    <m/>
    <m/>
    <m/>
    <m/>
    <m/>
    <m/>
    <m/>
    <m/>
    <n v="4822.8714669889896"/>
    <n v="4822.8714669889896"/>
    <x v="0"/>
    <x v="5"/>
  </r>
  <r>
    <x v="0"/>
    <x v="0"/>
    <n v="1"/>
    <s v="1000"/>
    <s v="CPSX Nhựa Duy Tân"/>
    <x v="6"/>
    <x v="6"/>
    <s v="rHDPE"/>
    <s v="rHDPE thổi"/>
    <x v="0"/>
    <s v="NĐ"/>
    <s v="(blank)"/>
    <x v="0"/>
    <n v="500"/>
    <n v="17819000"/>
    <n v="0"/>
    <n v="0"/>
    <n v="0"/>
    <n v="17819000"/>
    <m/>
    <m/>
    <m/>
    <m/>
    <m/>
    <m/>
    <m/>
    <m/>
    <m/>
    <m/>
    <m/>
    <n v="731.03382671699478"/>
    <n v="731.03382671699478"/>
    <x v="0"/>
    <x v="6"/>
  </r>
  <r>
    <x v="0"/>
    <x v="0"/>
    <n v="1"/>
    <s v="101290"/>
    <s v="Cty Thạnh Phát"/>
    <x v="7"/>
    <x v="7"/>
    <s v="Khác"/>
    <s v="Khác"/>
    <x v="2"/>
    <s v="NĐ"/>
    <s v="(blank)"/>
    <x v="0"/>
    <n v="0"/>
    <n v="0"/>
    <n v="0"/>
    <n v="0"/>
    <n v="0"/>
    <n v="0"/>
    <m/>
    <m/>
    <m/>
    <m/>
    <m/>
    <m/>
    <m/>
    <m/>
    <m/>
    <m/>
    <m/>
    <n v="0"/>
    <n v="0"/>
    <x v="1"/>
    <x v="7"/>
  </r>
  <r>
    <x v="0"/>
    <x v="0"/>
    <n v="1"/>
    <s v="102865"/>
    <s v="Dynaplast Bình Dương"/>
    <x v="1"/>
    <x v="1"/>
    <s v="rHDPE"/>
    <s v="rHDPE thổi"/>
    <x v="0"/>
    <s v="NĐ"/>
    <s v="(blank)"/>
    <x v="0"/>
    <n v="9625"/>
    <n v="356567750"/>
    <n v="0"/>
    <n v="0"/>
    <n v="0"/>
    <n v="356567750"/>
    <m/>
    <m/>
    <m/>
    <m/>
    <m/>
    <m/>
    <m/>
    <m/>
    <m/>
    <m/>
    <m/>
    <n v="14628.379076624318"/>
    <n v="14628.379076624318"/>
    <x v="2"/>
    <x v="1"/>
  </r>
  <r>
    <x v="0"/>
    <x v="0"/>
    <n v="1"/>
    <s v="102990"/>
    <s v="Coca-Cola Thủ Đức"/>
    <x v="8"/>
    <x v="8"/>
    <s v="rPET"/>
    <s v="rPET"/>
    <x v="3"/>
    <s v="NĐ"/>
    <s v="(blank)"/>
    <x v="1"/>
    <n v="-5904"/>
    <n v="0"/>
    <n v="0"/>
    <n v="0"/>
    <n v="0"/>
    <n v="0"/>
    <m/>
    <m/>
    <m/>
    <m/>
    <m/>
    <m/>
    <m/>
    <m/>
    <m/>
    <m/>
    <m/>
    <n v="0"/>
    <n v="0"/>
    <x v="3"/>
    <x v="8"/>
  </r>
  <r>
    <x v="0"/>
    <x v="0"/>
    <n v="1"/>
    <s v="102990"/>
    <s v="Coca-Cola Thủ Đức"/>
    <x v="8"/>
    <x v="8"/>
    <s v="rPET"/>
    <s v="rPET"/>
    <x v="3"/>
    <s v="NĐ"/>
    <s v="(blank)"/>
    <x v="0"/>
    <n v="145200"/>
    <n v="4715515200"/>
    <n v="24314404.963991482"/>
    <n v="0"/>
    <n v="26180000"/>
    <n v="4665020795.0360079"/>
    <m/>
    <m/>
    <m/>
    <m/>
    <m/>
    <m/>
    <m/>
    <m/>
    <m/>
    <m/>
    <m/>
    <n v="191384.92639932263"/>
    <n v="193456.48586330068"/>
    <x v="3"/>
    <x v="8"/>
  </r>
  <r>
    <x v="0"/>
    <x v="0"/>
    <n v="1"/>
    <s v="102990"/>
    <s v="Coca-Cola Thủ Đức"/>
    <x v="8"/>
    <x v="8"/>
    <s v="rPET"/>
    <s v="rPET"/>
    <x v="3"/>
    <s v="NĐ"/>
    <s v="(blank)"/>
    <x v="2"/>
    <n v="5904"/>
    <n v="0"/>
    <n v="0"/>
    <n v="0"/>
    <n v="0"/>
    <n v="0"/>
    <m/>
    <m/>
    <m/>
    <m/>
    <m/>
    <m/>
    <m/>
    <m/>
    <m/>
    <m/>
    <m/>
    <n v="0"/>
    <n v="0"/>
    <x v="3"/>
    <x v="8"/>
  </r>
  <r>
    <x v="0"/>
    <x v="0"/>
    <n v="1"/>
    <s v="104894"/>
    <s v="UNILEVER-NGỌC NGHĨA"/>
    <x v="9"/>
    <x v="9"/>
    <s v="rPET"/>
    <s v="rPET"/>
    <x v="3"/>
    <s v="NĐ"/>
    <s v="(blank)"/>
    <x v="1"/>
    <n v="-8600"/>
    <n v="0"/>
    <n v="0"/>
    <n v="0"/>
    <n v="602000"/>
    <n v="-602000"/>
    <m/>
    <m/>
    <m/>
    <m/>
    <m/>
    <m/>
    <m/>
    <m/>
    <m/>
    <m/>
    <m/>
    <n v="-24.697365939931021"/>
    <n v="0"/>
    <x v="2"/>
    <x v="9"/>
  </r>
  <r>
    <x v="0"/>
    <x v="0"/>
    <n v="1"/>
    <s v="104894"/>
    <s v="UNILEVER-NGỌC NGHĨA"/>
    <x v="9"/>
    <x v="9"/>
    <s v="rPET"/>
    <s v="rPET"/>
    <x v="3"/>
    <s v="NĐ"/>
    <s v="(blank)"/>
    <x v="0"/>
    <n v="242000"/>
    <n v="7858730000"/>
    <n v="40276367.588313311"/>
    <n v="0"/>
    <n v="33880000"/>
    <n v="7784573632.411685"/>
    <m/>
    <m/>
    <m/>
    <m/>
    <m/>
    <m/>
    <m/>
    <m/>
    <m/>
    <m/>
    <m/>
    <n v="319366.21874752402"/>
    <n v="322408.52264636895"/>
    <x v="2"/>
    <x v="9"/>
  </r>
  <r>
    <x v="0"/>
    <x v="0"/>
    <n v="1"/>
    <s v="104894"/>
    <s v="UNILEVER-NGỌC NGHĨA"/>
    <x v="9"/>
    <x v="9"/>
    <s v="rPET"/>
    <s v="rPET"/>
    <x v="3"/>
    <s v="NĐ"/>
    <s v="(blank)"/>
    <x v="2"/>
    <n v="8600"/>
    <n v="0"/>
    <n v="0"/>
    <n v="0"/>
    <n v="154000"/>
    <n v="-154000"/>
    <m/>
    <m/>
    <m/>
    <m/>
    <m/>
    <m/>
    <m/>
    <m/>
    <m/>
    <m/>
    <m/>
    <n v="-6.3179308218428192"/>
    <n v="0"/>
    <x v="2"/>
    <x v="9"/>
  </r>
  <r>
    <x v="0"/>
    <x v="0"/>
    <n v="1"/>
    <s v="104909"/>
    <s v="Công ty TNHH La Vie"/>
    <x v="10"/>
    <x v="10"/>
    <s v="rPET"/>
    <s v="rPET"/>
    <x v="3"/>
    <s v="NĐ"/>
    <s v="(blank)"/>
    <x v="1"/>
    <n v="-2200"/>
    <n v="0"/>
    <n v="0"/>
    <n v="0"/>
    <n v="0"/>
    <n v="0"/>
    <m/>
    <m/>
    <m/>
    <m/>
    <m/>
    <m/>
    <m/>
    <m/>
    <m/>
    <m/>
    <m/>
    <n v="0"/>
    <n v="0"/>
    <x v="4"/>
    <x v="10"/>
  </r>
  <r>
    <x v="0"/>
    <x v="0"/>
    <n v="1"/>
    <s v="104909"/>
    <s v="Công ty TNHH La Vie"/>
    <x v="10"/>
    <x v="10"/>
    <s v="rPET"/>
    <s v="rPET"/>
    <x v="3"/>
    <s v="NĐ"/>
    <s v="(blank)"/>
    <x v="0"/>
    <n v="88000"/>
    <n v="2680920000"/>
    <n v="7863282.874251497"/>
    <n v="0"/>
    <n v="12320000"/>
    <n v="2660736717.1257486"/>
    <m/>
    <m/>
    <m/>
    <m/>
    <m/>
    <m/>
    <m/>
    <m/>
    <m/>
    <m/>
    <m/>
    <n v="109158.12022037433"/>
    <n v="109986.14999282372"/>
    <x v="4"/>
    <x v="10"/>
  </r>
  <r>
    <x v="0"/>
    <x v="0"/>
    <n v="1"/>
    <s v="104909"/>
    <s v="Công ty TNHH La Vie"/>
    <x v="10"/>
    <x v="10"/>
    <s v="rPET"/>
    <s v="rPET"/>
    <x v="3"/>
    <s v="NĐ"/>
    <s v="(blank)"/>
    <x v="2"/>
    <n v="2200"/>
    <n v="0"/>
    <n v="0"/>
    <n v="0"/>
    <n v="3080000"/>
    <n v="-3080000"/>
    <m/>
    <m/>
    <m/>
    <m/>
    <m/>
    <m/>
    <m/>
    <m/>
    <m/>
    <m/>
    <m/>
    <n v="-126.35861643685639"/>
    <n v="0"/>
    <x v="4"/>
    <x v="10"/>
  </r>
  <r>
    <x v="0"/>
    <x v="0"/>
    <n v="1"/>
    <s v="105204"/>
    <s v="CTY NGỌC NGHĨA-TÂY NINH"/>
    <x v="9"/>
    <x v="9"/>
    <s v="rPET"/>
    <s v="rPET"/>
    <x v="3"/>
    <s v="NĐ"/>
    <s v="(blank)"/>
    <x v="1"/>
    <n v="-32392"/>
    <n v="0"/>
    <n v="0"/>
    <n v="0"/>
    <n v="1155000"/>
    <n v="-1155000"/>
    <m/>
    <m/>
    <m/>
    <m/>
    <m/>
    <m/>
    <m/>
    <m/>
    <m/>
    <m/>
    <m/>
    <n v="-47.38448116382115"/>
    <n v="0"/>
    <x v="5"/>
    <x v="9"/>
  </r>
  <r>
    <x v="0"/>
    <x v="0"/>
    <n v="1"/>
    <s v="105204"/>
    <s v="CTY NGỌC NGHĨA-TÂY NINH"/>
    <x v="9"/>
    <x v="9"/>
    <s v="rPET"/>
    <s v="rPET"/>
    <x v="3"/>
    <s v="NĐ"/>
    <s v="(blank)"/>
    <x v="0"/>
    <n v="202400"/>
    <n v="5936070800"/>
    <n v="33570874.028995693"/>
    <n v="0"/>
    <n v="27580712.340335689"/>
    <n v="5874919213.6306677"/>
    <m/>
    <m/>
    <m/>
    <m/>
    <m/>
    <m/>
    <m/>
    <m/>
    <m/>
    <m/>
    <m/>
    <n v="241021.64399762193"/>
    <n v="243530.41992182579"/>
    <x v="5"/>
    <x v="9"/>
  </r>
  <r>
    <x v="0"/>
    <x v="0"/>
    <n v="1"/>
    <s v="105204"/>
    <s v="CTY NGỌC NGHĨA-TÂY NINH"/>
    <x v="9"/>
    <x v="9"/>
    <s v="rPET"/>
    <s v="rPET"/>
    <x v="3"/>
    <s v="NĐ"/>
    <s v="(blank)"/>
    <x v="2"/>
    <n v="32392"/>
    <n v="0"/>
    <n v="0"/>
    <n v="0"/>
    <n v="3989287.6596643091"/>
    <n v="-3989287.6596643091"/>
    <m/>
    <m/>
    <m/>
    <m/>
    <m/>
    <m/>
    <m/>
    <m/>
    <m/>
    <m/>
    <m/>
    <n v="-163.66261988435289"/>
    <n v="0"/>
    <x v="5"/>
    <x v="9"/>
  </r>
  <r>
    <x v="0"/>
    <x v="0"/>
    <n v="1"/>
    <s v="105205"/>
    <s v="CÔNG TY  ĐẠI LỘC"/>
    <x v="11"/>
    <x v="11"/>
    <s v="Khác"/>
    <s v="DVGC"/>
    <x v="4"/>
    <s v="NĐ"/>
    <s v="(blank)"/>
    <x v="0"/>
    <n v="11150"/>
    <n v="75820000"/>
    <n v="0"/>
    <n v="0"/>
    <n v="0"/>
    <n v="75820000"/>
    <m/>
    <m/>
    <m/>
    <m/>
    <m/>
    <m/>
    <m/>
    <m/>
    <m/>
    <m/>
    <m/>
    <n v="3110.5552916371598"/>
    <n v="3110.5552916371598"/>
    <x v="6"/>
    <x v="11"/>
  </r>
  <r>
    <x v="0"/>
    <x v="0"/>
    <n v="1"/>
    <s v="105205"/>
    <s v="CÔNG TY  ĐẠI LỘC"/>
    <x v="12"/>
    <x v="12"/>
    <s v="Khác"/>
    <s v="DVGC"/>
    <x v="4"/>
    <s v="NĐ"/>
    <s v="(blank)"/>
    <x v="0"/>
    <n v="35250"/>
    <n v="112800000"/>
    <n v="0"/>
    <n v="0"/>
    <n v="0"/>
    <n v="112800000"/>
    <m/>
    <m/>
    <m/>
    <m/>
    <m/>
    <m/>
    <m/>
    <m/>
    <m/>
    <m/>
    <m/>
    <n v="4627.6791993757797"/>
    <n v="4627.6791993757797"/>
    <x v="6"/>
    <x v="12"/>
  </r>
  <r>
    <x v="0"/>
    <x v="0"/>
    <n v="1"/>
    <s v="105205"/>
    <s v="CÔNG TY  ĐẠI LỘC"/>
    <x v="13"/>
    <x v="13"/>
    <s v="Khác"/>
    <s v="DVGC"/>
    <x v="4"/>
    <s v="NĐ"/>
    <s v="(blank)"/>
    <x v="0"/>
    <n v="49250"/>
    <n v="157600000"/>
    <n v="0"/>
    <n v="0"/>
    <n v="0"/>
    <n v="157600000"/>
    <m/>
    <m/>
    <m/>
    <m/>
    <m/>
    <m/>
    <m/>
    <m/>
    <m/>
    <m/>
    <m/>
    <n v="6465.6227111845992"/>
    <n v="6465.6227111845992"/>
    <x v="6"/>
    <x v="13"/>
  </r>
  <r>
    <x v="0"/>
    <x v="0"/>
    <n v="1"/>
    <s v="105205"/>
    <s v="CÔNG TY  ĐẠI LỘC"/>
    <x v="14"/>
    <x v="14"/>
    <s v="Khác"/>
    <s v="DVGC"/>
    <x v="4"/>
    <s v="NĐ"/>
    <s v="(blank)"/>
    <x v="0"/>
    <n v="14250"/>
    <n v="45600000"/>
    <n v="0"/>
    <n v="0"/>
    <n v="0"/>
    <n v="45600000"/>
    <m/>
    <m/>
    <m/>
    <m/>
    <m/>
    <m/>
    <m/>
    <m/>
    <m/>
    <m/>
    <m/>
    <n v="1870.7639316625491"/>
    <n v="1870.7639316625491"/>
    <x v="6"/>
    <x v="14"/>
  </r>
  <r>
    <x v="0"/>
    <x v="0"/>
    <n v="1"/>
    <s v="105205"/>
    <s v="CÔNG TY  ĐẠI LỘC"/>
    <x v="15"/>
    <x v="15"/>
    <s v="Khác"/>
    <s v="DVGC"/>
    <x v="4"/>
    <s v="NĐ"/>
    <s v="(blank)"/>
    <x v="0"/>
    <n v="34250"/>
    <n v="109600000"/>
    <n v="0"/>
    <n v="0"/>
    <n v="0"/>
    <n v="109600000"/>
    <m/>
    <m/>
    <m/>
    <m/>
    <m/>
    <m/>
    <m/>
    <m/>
    <m/>
    <m/>
    <m/>
    <n v="4496.397519960864"/>
    <n v="4496.397519960864"/>
    <x v="6"/>
    <x v="15"/>
  </r>
  <r>
    <x v="0"/>
    <x v="0"/>
    <n v="1"/>
    <s v="105205"/>
    <s v="CÔNG TY  ĐẠI LỘC"/>
    <x v="16"/>
    <x v="16"/>
    <s v="Khác"/>
    <s v="DVGC"/>
    <x v="4"/>
    <s v="NĐ"/>
    <s v="(blank)"/>
    <x v="0"/>
    <n v="6000"/>
    <n v="19200000"/>
    <n v="0"/>
    <n v="0"/>
    <n v="0"/>
    <n v="19200000"/>
    <m/>
    <m/>
    <m/>
    <m/>
    <m/>
    <m/>
    <m/>
    <m/>
    <m/>
    <m/>
    <m/>
    <n v="787.69007648949446"/>
    <n v="787.69007648949446"/>
    <x v="6"/>
    <x v="16"/>
  </r>
  <r>
    <x v="0"/>
    <x v="0"/>
    <n v="1"/>
    <s v="105205"/>
    <s v="CÔNG TY  ĐẠI LỘC"/>
    <x v="17"/>
    <x v="17"/>
    <s v="Khác"/>
    <s v="DVGC"/>
    <x v="4"/>
    <s v="NĐ"/>
    <s v="(blank)"/>
    <x v="0"/>
    <n v="22910"/>
    <n v="73312000"/>
    <n v="0"/>
    <n v="0"/>
    <n v="0"/>
    <n v="73312000"/>
    <m/>
    <m/>
    <m/>
    <m/>
    <m/>
    <m/>
    <m/>
    <m/>
    <m/>
    <m/>
    <m/>
    <n v="3007.6632753957192"/>
    <n v="3007.6632753957192"/>
    <x v="6"/>
    <x v="17"/>
  </r>
  <r>
    <x v="0"/>
    <x v="0"/>
    <n v="1"/>
    <s v="105205"/>
    <s v="CÔNG TY  ĐẠI LỘC"/>
    <x v="18"/>
    <x v="14"/>
    <s v="Khác"/>
    <s v="DVGC"/>
    <x v="4"/>
    <s v="NĐ"/>
    <s v="(blank)"/>
    <x v="0"/>
    <n v="18500"/>
    <n v="59200000"/>
    <n v="0"/>
    <n v="0"/>
    <n v="0"/>
    <n v="59200000"/>
    <m/>
    <m/>
    <m/>
    <m/>
    <m/>
    <m/>
    <m/>
    <m/>
    <m/>
    <m/>
    <m/>
    <n v="2428.7110691759412"/>
    <n v="2428.7110691759412"/>
    <x v="6"/>
    <x v="18"/>
  </r>
  <r>
    <x v="0"/>
    <x v="0"/>
    <n v="1"/>
    <s v="105205"/>
    <s v="CÔNG TY  ĐẠI LỘC"/>
    <x v="19"/>
    <x v="16"/>
    <s v="Khác"/>
    <s v="DVGC"/>
    <x v="4"/>
    <s v="NĐ"/>
    <s v="(blank)"/>
    <x v="0"/>
    <n v="1500"/>
    <n v="4800000"/>
    <n v="0"/>
    <n v="0"/>
    <n v="0"/>
    <n v="4800000"/>
    <m/>
    <m/>
    <m/>
    <m/>
    <m/>
    <m/>
    <m/>
    <m/>
    <m/>
    <m/>
    <m/>
    <n v="196.92251912237359"/>
    <n v="196.92251912237359"/>
    <x v="6"/>
    <x v="19"/>
  </r>
  <r>
    <x v="0"/>
    <x v="0"/>
    <n v="1"/>
    <s v="105205"/>
    <s v="CÔNG TY  ĐẠI LỘC"/>
    <x v="20"/>
    <x v="18"/>
    <s v="Khác"/>
    <s v="DVGC"/>
    <x v="4"/>
    <s v="NĐ"/>
    <s v="(blank)"/>
    <x v="0"/>
    <n v="27000"/>
    <n v="86400000"/>
    <n v="0"/>
    <n v="0"/>
    <n v="0"/>
    <n v="86400000"/>
    <m/>
    <m/>
    <m/>
    <m/>
    <m/>
    <m/>
    <m/>
    <m/>
    <m/>
    <m/>
    <m/>
    <n v="3544.6053442027246"/>
    <n v="3544.6053442027246"/>
    <x v="6"/>
    <x v="20"/>
  </r>
  <r>
    <x v="0"/>
    <x v="0"/>
    <n v="1"/>
    <s v="105205"/>
    <s v="CÔNG TY  ĐẠI LỘC"/>
    <x v="21"/>
    <x v="19"/>
    <s v="Khác"/>
    <s v="DVGC"/>
    <x v="4"/>
    <s v="NĐ"/>
    <s v="(blank)"/>
    <x v="0"/>
    <n v="5900"/>
    <n v="18880000"/>
    <n v="0"/>
    <n v="0"/>
    <n v="0"/>
    <n v="18880000"/>
    <m/>
    <m/>
    <m/>
    <m/>
    <m/>
    <m/>
    <m/>
    <m/>
    <m/>
    <m/>
    <m/>
    <n v="774.56190854800286"/>
    <n v="774.56190854800286"/>
    <x v="6"/>
    <x v="21"/>
  </r>
  <r>
    <x v="0"/>
    <x v="0"/>
    <n v="1"/>
    <s v="105205"/>
    <s v="CÔNG TY  ĐẠI LỘC"/>
    <x v="22"/>
    <x v="20"/>
    <s v="Khác"/>
    <s v="DVGC"/>
    <x v="4"/>
    <s v="NĐ"/>
    <s v="(blank)"/>
    <x v="0"/>
    <n v="6814"/>
    <n v="21804800"/>
    <n v="0"/>
    <n v="0"/>
    <n v="0"/>
    <n v="21804800"/>
    <m/>
    <m/>
    <m/>
    <m/>
    <m/>
    <m/>
    <m/>
    <m/>
    <m/>
    <m/>
    <m/>
    <n v="894.55336353323582"/>
    <n v="894.55336353323582"/>
    <x v="6"/>
    <x v="22"/>
  </r>
  <r>
    <x v="0"/>
    <x v="0"/>
    <n v="1"/>
    <s v="105205"/>
    <s v="CÔNG TY  ĐẠI LỘC"/>
    <x v="23"/>
    <x v="21"/>
    <s v="Khác"/>
    <s v="DVGC"/>
    <x v="4"/>
    <s v="NĐ"/>
    <s v="(blank)"/>
    <x v="0"/>
    <n v="4374"/>
    <n v="13996800"/>
    <n v="0"/>
    <n v="0"/>
    <n v="0"/>
    <n v="13996800"/>
    <m/>
    <m/>
    <m/>
    <m/>
    <m/>
    <m/>
    <m/>
    <m/>
    <m/>
    <m/>
    <m/>
    <n v="574.22606576084138"/>
    <n v="574.22606576084138"/>
    <x v="6"/>
    <x v="23"/>
  </r>
  <r>
    <x v="0"/>
    <x v="0"/>
    <n v="1"/>
    <s v="105205"/>
    <s v="CÔNG TY  ĐẠI LỘC"/>
    <x v="24"/>
    <x v="22"/>
    <s v="Khác"/>
    <s v="DVGC"/>
    <x v="4"/>
    <s v="NĐ"/>
    <s v="(blank)"/>
    <x v="0"/>
    <n v="96045"/>
    <n v="307344000"/>
    <n v="0"/>
    <n v="0"/>
    <n v="0"/>
    <n v="307344000"/>
    <m/>
    <m/>
    <m/>
    <m/>
    <m/>
    <m/>
    <m/>
    <m/>
    <m/>
    <m/>
    <m/>
    <n v="12608.948899405581"/>
    <n v="12608.948899405581"/>
    <x v="6"/>
    <x v="24"/>
  </r>
  <r>
    <x v="0"/>
    <x v="0"/>
    <n v="1"/>
    <s v="105205"/>
    <s v="CÔNG TY  ĐẠI LỘC"/>
    <x v="25"/>
    <x v="23"/>
    <s v="Khác"/>
    <s v="DVGC"/>
    <x v="4"/>
    <s v="NĐ"/>
    <s v="(blank)"/>
    <x v="0"/>
    <n v="67000"/>
    <n v="214400000"/>
    <n v="0"/>
    <n v="0"/>
    <n v="0"/>
    <n v="214400000"/>
    <m/>
    <m/>
    <m/>
    <m/>
    <m/>
    <m/>
    <m/>
    <m/>
    <m/>
    <m/>
    <m/>
    <n v="8795.8725207993539"/>
    <n v="8795.8725207993539"/>
    <x v="6"/>
    <x v="25"/>
  </r>
  <r>
    <x v="0"/>
    <x v="0"/>
    <n v="1"/>
    <s v="105207"/>
    <s v="Suntory Sri Thái Bình Dương"/>
    <x v="8"/>
    <x v="8"/>
    <s v="rPET"/>
    <s v="rPET"/>
    <x v="3"/>
    <s v="NĐ"/>
    <s v="(blank)"/>
    <x v="1"/>
    <n v="-14300"/>
    <n v="0"/>
    <n v="0"/>
    <n v="0"/>
    <n v="0"/>
    <n v="0"/>
    <m/>
    <m/>
    <m/>
    <m/>
    <m/>
    <m/>
    <m/>
    <m/>
    <m/>
    <m/>
    <m/>
    <n v="0"/>
    <n v="0"/>
    <x v="7"/>
    <x v="8"/>
  </r>
  <r>
    <x v="0"/>
    <x v="0"/>
    <n v="1"/>
    <s v="105207"/>
    <s v="Suntory Sri Thái Bình Dương"/>
    <x v="8"/>
    <x v="8"/>
    <s v="rPET"/>
    <s v="rPET"/>
    <x v="3"/>
    <s v="NĐ"/>
    <s v="(blank)"/>
    <x v="0"/>
    <n v="14300"/>
    <n v="495666600"/>
    <n v="2555566.9341317369"/>
    <n v="0"/>
    <n v="1430000"/>
    <n v="491681033.06586826"/>
    <m/>
    <m/>
    <m/>
    <m/>
    <m/>
    <m/>
    <m/>
    <m/>
    <m/>
    <m/>
    <m/>
    <n v="20171.472424171217"/>
    <n v="20334.982399337896"/>
    <x v="7"/>
    <x v="8"/>
  </r>
  <r>
    <x v="0"/>
    <x v="0"/>
    <n v="1"/>
    <s v="105207"/>
    <s v="Suntory Sri Thái Bình Dương"/>
    <x v="8"/>
    <x v="8"/>
    <s v="rPET"/>
    <s v="rPET"/>
    <x v="3"/>
    <s v="NĐ"/>
    <s v="(blank)"/>
    <x v="2"/>
    <n v="14300"/>
    <n v="0"/>
    <n v="0"/>
    <n v="0"/>
    <n v="0"/>
    <n v="0"/>
    <m/>
    <m/>
    <m/>
    <m/>
    <m/>
    <m/>
    <m/>
    <m/>
    <m/>
    <m/>
    <m/>
    <n v="0"/>
    <n v="0"/>
    <x v="7"/>
    <x v="8"/>
  </r>
  <r>
    <x v="0"/>
    <x v="0"/>
    <n v="1"/>
    <s v="105213"/>
    <s v="CÔNG TY PRO VIỆT NAM"/>
    <x v="26"/>
    <x v="24"/>
    <s v="Khác"/>
    <s v="Khác"/>
    <x v="2"/>
    <s v="NĐ"/>
    <s v="(blank)"/>
    <x v="0"/>
    <n v="0"/>
    <n v="168223800"/>
    <n v="0"/>
    <n v="0"/>
    <n v="0"/>
    <n v="168223800"/>
    <m/>
    <m/>
    <m/>
    <m/>
    <m/>
    <m/>
    <m/>
    <m/>
    <m/>
    <m/>
    <m/>
    <n v="6901.4696817371569"/>
    <n v="6901.4696817371569"/>
    <x v="8"/>
    <x v="26"/>
  </r>
  <r>
    <x v="0"/>
    <x v="0"/>
    <n v="1"/>
    <s v="105214"/>
    <s v="Người mua hàng không lấy hóa đơn"/>
    <x v="27"/>
    <x v="25"/>
    <s v="Khác"/>
    <s v="Khác"/>
    <x v="2"/>
    <s v="NĐ"/>
    <s v="(blank)"/>
    <x v="0"/>
    <n v="0"/>
    <n v="24055556"/>
    <n v="0"/>
    <n v="0"/>
    <n v="0"/>
    <n v="24055556"/>
    <m/>
    <m/>
    <m/>
    <m/>
    <m/>
    <m/>
    <m/>
    <m/>
    <m/>
    <m/>
    <m/>
    <n v="986.89180966861011"/>
    <n v="986.89180966861011"/>
    <x v="9"/>
    <x v="27"/>
  </r>
  <r>
    <x v="0"/>
    <x v="0"/>
    <n v="1"/>
    <s v="105222"/>
    <s v="CN Cty Coca - Hà Nội"/>
    <x v="8"/>
    <x v="8"/>
    <s v="rPET"/>
    <s v="rPET"/>
    <x v="3"/>
    <s v="NĐ"/>
    <s v="(blank)"/>
    <x v="0"/>
    <n v="44000"/>
    <n v="1455916000"/>
    <n v="3931641.4371257485"/>
    <n v="0"/>
    <n v="22000000"/>
    <n v="1429984358.5628743"/>
    <m/>
    <m/>
    <m/>
    <m/>
    <m/>
    <m/>
    <m/>
    <m/>
    <m/>
    <m/>
    <m/>
    <n v="58665.858790373495"/>
    <n v="59729.717989702018"/>
    <x v="3"/>
    <x v="8"/>
  </r>
  <r>
    <x v="0"/>
    <x v="0"/>
    <n v="1"/>
    <s v="105223"/>
    <s v="Dynaplast Bắc Ninh"/>
    <x v="1"/>
    <x v="1"/>
    <s v="rHDPE"/>
    <s v="rHDPE thổi"/>
    <x v="0"/>
    <s v="NĐ"/>
    <s v="(blank)"/>
    <x v="0"/>
    <n v="60750"/>
    <n v="2291306500"/>
    <n v="0"/>
    <n v="0"/>
    <n v="43500000"/>
    <n v="2247806500"/>
    <m/>
    <m/>
    <m/>
    <m/>
    <m/>
    <m/>
    <m/>
    <m/>
    <m/>
    <m/>
    <m/>
    <n v="92217.441349926172"/>
    <n v="94002.051679472686"/>
    <x v="2"/>
    <x v="1"/>
  </r>
  <r>
    <x v="0"/>
    <x v="0"/>
    <n v="1"/>
    <s v="105247"/>
    <s v="MINH THÀNH"/>
    <x v="28"/>
    <x v="26"/>
    <s v="Khác"/>
    <s v="Phó sản"/>
    <x v="5"/>
    <s v="NĐ"/>
    <s v="(blank)"/>
    <x v="0"/>
    <n v="6678"/>
    <n v="150255000"/>
    <n v="0"/>
    <n v="0"/>
    <n v="0"/>
    <n v="150255000"/>
    <m/>
    <m/>
    <m/>
    <m/>
    <m/>
    <m/>
    <m/>
    <m/>
    <m/>
    <m/>
    <m/>
    <n v="6164.2902314025514"/>
    <n v="6164.2902314025514"/>
    <x v="10"/>
    <x v="28"/>
  </r>
  <r>
    <x v="0"/>
    <x v="0"/>
    <n v="1"/>
    <s v="105247"/>
    <s v="MINH THÀNH"/>
    <x v="29"/>
    <x v="27"/>
    <s v="Khác"/>
    <s v="Phó sản"/>
    <x v="5"/>
    <s v="NĐ"/>
    <s v="(blank)"/>
    <x v="0"/>
    <n v="3004"/>
    <n v="63684800"/>
    <n v="0"/>
    <n v="0"/>
    <n v="0"/>
    <n v="63684800"/>
    <m/>
    <m/>
    <m/>
    <m/>
    <m/>
    <m/>
    <m/>
    <m/>
    <m/>
    <m/>
    <m/>
    <n v="2612.7023428759458"/>
    <n v="2612.7023428759458"/>
    <x v="10"/>
    <x v="29"/>
  </r>
  <r>
    <x v="0"/>
    <x v="0"/>
    <n v="1"/>
    <s v="105253"/>
    <s v="TIẾN THÀNH"/>
    <x v="30"/>
    <x v="28"/>
    <s v="rHDPE"/>
    <s v="rHDPE ép"/>
    <x v="1"/>
    <s v="NĐ"/>
    <s v="(blank)"/>
    <x v="0"/>
    <n v="2250"/>
    <n v="45832500"/>
    <n v="589746.21556886227"/>
    <n v="0"/>
    <n v="0"/>
    <n v="45242753.784431137"/>
    <m/>
    <m/>
    <m/>
    <m/>
    <m/>
    <m/>
    <m/>
    <m/>
    <m/>
    <m/>
    <m/>
    <n v="1856.1077181798919"/>
    <n v="1880.3023661825391"/>
    <x v="11"/>
    <x v="30"/>
  </r>
  <r>
    <x v="0"/>
    <x v="0"/>
    <n v="1"/>
    <s v="105253"/>
    <s v="TIẾN THÀNH"/>
    <x v="31"/>
    <x v="29"/>
    <s v="rPP"/>
    <s v="rPP"/>
    <x v="6"/>
    <s v="NĐ"/>
    <s v="(blank)"/>
    <x v="0"/>
    <n v="15000"/>
    <n v="298605000"/>
    <n v="3758292.9576216694"/>
    <n v="0"/>
    <n v="0"/>
    <n v="294846707.04237831"/>
    <m/>
    <m/>
    <m/>
    <m/>
    <m/>
    <m/>
    <m/>
    <m/>
    <m/>
    <m/>
    <m/>
    <n v="12096.24089702534"/>
    <n v="12250.42683802841"/>
    <x v="11"/>
    <x v="31"/>
  </r>
  <r>
    <x v="0"/>
    <x v="0"/>
    <n v="1"/>
    <s v="105255"/>
    <s v="Dung Avient"/>
    <x v="8"/>
    <x v="8"/>
    <s v="rPET"/>
    <s v="rPET"/>
    <x v="3"/>
    <s v="NĐ"/>
    <s v="(blank)"/>
    <x v="0"/>
    <n v="25"/>
    <n v="859250"/>
    <n v="0"/>
    <n v="0"/>
    <n v="0"/>
    <n v="859250"/>
    <m/>
    <m/>
    <m/>
    <m/>
    <m/>
    <m/>
    <m/>
    <m/>
    <m/>
    <m/>
    <m/>
    <n v="35.251182199145731"/>
    <n v="35.251182199145731"/>
    <x v="12"/>
    <x v="8"/>
  </r>
  <r>
    <x v="0"/>
    <x v="0"/>
    <n v="1"/>
    <s v="105255"/>
    <s v="Dung Avient"/>
    <x v="32"/>
    <x v="30"/>
    <s v="rPET"/>
    <s v="rPET"/>
    <x v="3"/>
    <s v="NĐ"/>
    <s v="(blank)"/>
    <x v="0"/>
    <n v="25"/>
    <n v="859250"/>
    <n v="0"/>
    <n v="0"/>
    <n v="0"/>
    <n v="859250"/>
    <m/>
    <m/>
    <m/>
    <m/>
    <m/>
    <m/>
    <m/>
    <m/>
    <m/>
    <m/>
    <m/>
    <n v="35.251182199145731"/>
    <n v="35.251182199145731"/>
    <x v="12"/>
    <x v="32"/>
  </r>
  <r>
    <x v="0"/>
    <x v="0"/>
    <n v="1"/>
    <s v="200311"/>
    <s v="Plascene, Inc."/>
    <x v="9"/>
    <x v="9"/>
    <s v="rPET"/>
    <s v="rPET"/>
    <x v="3"/>
    <s v="XK"/>
    <s v="United States of America (the)"/>
    <x v="0"/>
    <n v="110000"/>
    <n v="3406724200"/>
    <n v="8850000"/>
    <n v="0"/>
    <n v="44903833"/>
    <n v="3352970366.9999995"/>
    <m/>
    <m/>
    <m/>
    <m/>
    <m/>
    <m/>
    <m/>
    <m/>
    <m/>
    <m/>
    <m/>
    <n v="137495.70322786574"/>
    <n v="139700"/>
    <x v="13"/>
    <x v="9"/>
  </r>
  <r>
    <x v="0"/>
    <x v="0"/>
    <n v="1"/>
    <s v="200319"/>
    <s v="Niagara Bottling, LLC"/>
    <x v="9"/>
    <x v="9"/>
    <s v="rPET"/>
    <s v="rPET"/>
    <x v="3"/>
    <s v="XK"/>
    <s v="United States of America (the)"/>
    <x v="0"/>
    <n v="616000"/>
    <n v="18018528000"/>
    <n v="49560000"/>
    <n v="270277920"/>
    <n v="222583412.28571412"/>
    <n v="17476106667.714298"/>
    <m/>
    <m/>
    <m/>
    <m/>
    <m/>
    <m/>
    <m/>
    <m/>
    <m/>
    <m/>
    <m/>
    <n v="716947.46035778895"/>
    <n v="739200"/>
    <x v="14"/>
    <x v="9"/>
  </r>
  <r>
    <x v="0"/>
    <x v="0"/>
    <n v="1"/>
    <s v="200319"/>
    <s v="Niagara Bottling, LLC"/>
    <x v="33"/>
    <x v="31"/>
    <s v="rPET"/>
    <s v="rPET"/>
    <x v="3"/>
    <s v="XK"/>
    <s v="United States of America (the)"/>
    <x v="0"/>
    <n v="396000"/>
    <n v="10808582400"/>
    <n v="31860000"/>
    <n v="162128736"/>
    <n v="143593277.71428567"/>
    <n v="10471000386.285715"/>
    <m/>
    <m/>
    <m/>
    <m/>
    <m/>
    <m/>
    <m/>
    <m/>
    <m/>
    <m/>
    <m/>
    <n v="429667.7405768343"/>
    <n v="443520"/>
    <x v="14"/>
    <x v="33"/>
  </r>
  <r>
    <x v="0"/>
    <x v="0"/>
    <n v="1"/>
    <s v="200345"/>
    <s v="KOLON GLOBAL CORPORATION"/>
    <x v="34"/>
    <x v="32"/>
    <s v="Xơ sợi"/>
    <s v="Xơ sợi"/>
    <x v="7"/>
    <s v="XK"/>
    <s v="Spain"/>
    <x v="0"/>
    <n v="22000"/>
    <n v="620194490.99999988"/>
    <n v="1770000"/>
    <n v="0"/>
    <n v="99075282"/>
    <n v="519349208.99999988"/>
    <m/>
    <m/>
    <m/>
    <m/>
    <m/>
    <m/>
    <m/>
    <m/>
    <m/>
    <m/>
    <m/>
    <n v="21460.711115702474"/>
    <n v="25627.871528925614"/>
    <x v="15"/>
    <x v="34"/>
  </r>
  <r>
    <x v="0"/>
    <x v="0"/>
    <n v="1"/>
    <s v="200349"/>
    <s v="Amcor FairField"/>
    <x v="32"/>
    <x v="30"/>
    <s v="rPET"/>
    <s v="rPET"/>
    <x v="3"/>
    <s v="XK"/>
    <s v="United States of America (the)"/>
    <x v="0"/>
    <n v="44000"/>
    <n v="2091208001"/>
    <n v="4956000"/>
    <n v="0"/>
    <n v="690804880"/>
    <n v="1395447121"/>
    <m/>
    <m/>
    <m/>
    <m/>
    <m/>
    <m/>
    <m/>
    <m/>
    <m/>
    <m/>
    <m/>
    <n v="57120.225992632011"/>
    <n v="85600.000040933286"/>
    <x v="16"/>
    <x v="32"/>
  </r>
  <r>
    <x v="0"/>
    <x v="0"/>
    <n v="1"/>
    <s v="300307"/>
    <s v="Công ty TNHH MTV Đồng Lâm"/>
    <x v="35"/>
    <x v="33"/>
    <s v="Khác"/>
    <s v="Khác"/>
    <x v="2"/>
    <s v="NĐ"/>
    <s v="(blank)"/>
    <x v="0"/>
    <n v="0"/>
    <n v="8500000"/>
    <n v="0"/>
    <n v="0"/>
    <n v="0"/>
    <n v="8500000"/>
    <m/>
    <m/>
    <m/>
    <m/>
    <m/>
    <m/>
    <m/>
    <m/>
    <m/>
    <m/>
    <m/>
    <n v="348.71696094586991"/>
    <n v="348.71696094586991"/>
    <x v="17"/>
    <x v="35"/>
  </r>
  <r>
    <x v="0"/>
    <x v="0"/>
    <n v="1"/>
    <s v="300313"/>
    <s v="Công ty TNHH Nhựa Khánh Nga"/>
    <x v="35"/>
    <x v="33"/>
    <s v="Khác"/>
    <s v="Khác"/>
    <x v="2"/>
    <s v="NĐ"/>
    <s v="(blank)"/>
    <x v="0"/>
    <n v="0"/>
    <n v="4500000"/>
    <n v="0"/>
    <n v="0"/>
    <n v="0"/>
    <n v="4500000"/>
    <m/>
    <m/>
    <m/>
    <m/>
    <m/>
    <m/>
    <m/>
    <m/>
    <m/>
    <m/>
    <m/>
    <n v="184.61486167722524"/>
    <n v="184.61486167722524"/>
    <x v="18"/>
    <x v="35"/>
  </r>
  <r>
    <x v="0"/>
    <x v="0"/>
    <n v="1"/>
    <s v="3358000400"/>
    <s v="Chí phí phải trả khác- Open item"/>
    <x v="36"/>
    <x v="34"/>
    <s v="Khác"/>
    <s v="Khác"/>
    <x v="2"/>
    <s v="NĐ"/>
    <s v="(blank)"/>
    <x v="0"/>
    <n v="0"/>
    <n v="0"/>
    <n v="0"/>
    <n v="0"/>
    <n v="0"/>
    <n v="0"/>
    <m/>
    <m/>
    <m/>
    <m/>
    <m/>
    <m/>
    <m/>
    <m/>
    <m/>
    <m/>
    <m/>
    <n v="0"/>
    <n v="0"/>
    <x v="19"/>
    <x v="36"/>
  </r>
  <r>
    <x v="0"/>
    <x v="0"/>
    <n v="1"/>
    <s v="6219000900"/>
    <s v="Kết chuyển CPSX không phân bổ được"/>
    <x v="37"/>
    <x v="35"/>
    <s v="Khác"/>
    <s v="Khác"/>
    <x v="2"/>
    <s v="NĐ"/>
    <s v="(blank)"/>
    <x v="0"/>
    <n v="0"/>
    <n v="0"/>
    <n v="0"/>
    <n v="0"/>
    <n v="0"/>
    <n v="0"/>
    <m/>
    <m/>
    <m/>
    <m/>
    <m/>
    <m/>
    <m/>
    <m/>
    <m/>
    <m/>
    <m/>
    <n v="0"/>
    <n v="0"/>
    <x v="20"/>
    <x v="37"/>
  </r>
  <r>
    <x v="0"/>
    <x v="0"/>
    <n v="1"/>
    <s v="BN"/>
    <s v="Bán Ngoài"/>
    <x v="38"/>
    <x v="36"/>
    <s v="Khác"/>
    <s v="Khác"/>
    <x v="2"/>
    <s v="NĐ"/>
    <s v="(blank)"/>
    <x v="0"/>
    <n v="0"/>
    <n v="0"/>
    <n v="0"/>
    <n v="0"/>
    <n v="999998.99999952316"/>
    <n v="-999998.99999952316"/>
    <m/>
    <m/>
    <m/>
    <m/>
    <m/>
    <m/>
    <m/>
    <m/>
    <m/>
    <m/>
    <m/>
    <n v="-41.025483791616786"/>
    <n v="0"/>
    <x v="21"/>
    <x v="38"/>
  </r>
  <r>
    <x v="0"/>
    <x v="0"/>
    <n v="1"/>
    <s v="BN"/>
    <s v="Bán Ngoài"/>
    <x v="39"/>
    <x v="37"/>
    <s v="Khác"/>
    <s v="Khác"/>
    <x v="8"/>
    <s v="NĐ"/>
    <s v="(blank)"/>
    <x v="0"/>
    <n v="0"/>
    <n v="0"/>
    <n v="0"/>
    <n v="-144135552"/>
    <n v="-385428991"/>
    <n v="529564543"/>
    <m/>
    <m/>
    <m/>
    <m/>
    <m/>
    <m/>
    <m/>
    <m/>
    <m/>
    <m/>
    <m/>
    <n v="21725.663301135064"/>
    <n v="0"/>
    <x v="21"/>
    <x v="39"/>
  </r>
  <r>
    <x v="0"/>
    <x v="0"/>
    <n v="1"/>
    <s v="BN"/>
    <s v="Bán Ngoài"/>
    <x v="40"/>
    <x v="38"/>
    <s v="Khác"/>
    <s v="Khác"/>
    <x v="9"/>
    <s v="NĐ"/>
    <s v="(blank)"/>
    <x v="0"/>
    <n v="0"/>
    <n v="0"/>
    <n v="0"/>
    <n v="0"/>
    <n v="8500000"/>
    <n v="-8500000"/>
    <m/>
    <m/>
    <m/>
    <m/>
    <m/>
    <m/>
    <m/>
    <m/>
    <m/>
    <m/>
    <m/>
    <n v="-348.71696094586991"/>
    <n v="0"/>
    <x v="21"/>
    <x v="40"/>
  </r>
  <r>
    <x v="0"/>
    <x v="0"/>
    <n v="1"/>
    <s v="BN"/>
    <s v="Bán Ngoài"/>
    <x v="41"/>
    <x v="39"/>
    <s v="Khác"/>
    <s v="Khác"/>
    <x v="2"/>
    <s v="NĐ"/>
    <s v="(blank)"/>
    <x v="0"/>
    <n v="0"/>
    <n v="0"/>
    <n v="0"/>
    <n v="0"/>
    <n v="0"/>
    <n v="0"/>
    <m/>
    <m/>
    <m/>
    <m/>
    <m/>
    <m/>
    <m/>
    <m/>
    <m/>
    <m/>
    <m/>
    <n v="0"/>
    <n v="0"/>
    <x v="21"/>
    <x v="41"/>
  </r>
  <r>
    <x v="0"/>
    <x v="0"/>
    <n v="15"/>
    <s v="200311"/>
    <s v="Plascene, Inc."/>
    <x v="42"/>
    <x v="40"/>
    <s v="Khác"/>
    <s v="Khác"/>
    <x v="2"/>
    <s v="XK"/>
    <s v="United States of America (the)"/>
    <x v="0"/>
    <n v="44000"/>
    <n v="1626653600"/>
    <n v="3540000"/>
    <n v="0"/>
    <n v="262694552.72727272"/>
    <n v="1360419047.2727273"/>
    <m/>
    <m/>
    <m/>
    <m/>
    <m/>
    <m/>
    <m/>
    <m/>
    <m/>
    <m/>
    <m/>
    <n v="56448.923123349676"/>
    <n v="67496"/>
    <x v="13"/>
    <x v="42"/>
  </r>
  <r>
    <x v="0"/>
    <x v="0"/>
    <n v="15"/>
    <s v="200319"/>
    <s v="Niagara Bottling, LLC"/>
    <x v="42"/>
    <x v="40"/>
    <s v="Khác"/>
    <s v="Khác"/>
    <x v="2"/>
    <s v="XK"/>
    <s v="United States of America (the)"/>
    <x v="0"/>
    <n v="176000"/>
    <n v="5115264000"/>
    <n v="14160000"/>
    <n v="51152640"/>
    <n v="61636852"/>
    <n v="4988314508"/>
    <m/>
    <m/>
    <m/>
    <m/>
    <m/>
    <m/>
    <m/>
    <m/>
    <m/>
    <m/>
    <m/>
    <n v="205958.48505367461"/>
    <n v="211200"/>
    <x v="14"/>
    <x v="42"/>
  </r>
  <r>
    <x v="0"/>
    <x v="0"/>
    <n v="15"/>
    <s v="200338"/>
    <s v="Aguarela do Mundo, SA"/>
    <x v="42"/>
    <x v="40"/>
    <s v="Khác"/>
    <s v="Khác"/>
    <x v="2"/>
    <s v="XK"/>
    <s v="Portugal"/>
    <x v="0"/>
    <n v="330000"/>
    <n v="9771095400"/>
    <n v="26550000"/>
    <n v="0"/>
    <n v="544196220"/>
    <n v="9200349180"/>
    <m/>
    <m/>
    <m/>
    <m/>
    <m/>
    <m/>
    <m/>
    <m/>
    <m/>
    <m/>
    <m/>
    <n v="382190.64412264642"/>
    <n v="405900"/>
    <x v="22"/>
    <x v="42"/>
  </r>
  <r>
    <x v="0"/>
    <x v="0"/>
    <n v="15"/>
    <s v="200343"/>
    <s v="MILKYWAY"/>
    <x v="42"/>
    <x v="40"/>
    <s v="Khác"/>
    <s v="Khác"/>
    <x v="2"/>
    <s v="XK"/>
    <s v="United States of America (the)"/>
    <x v="0"/>
    <n v="440000"/>
    <n v="11886336000.000002"/>
    <n v="34363600"/>
    <n v="0"/>
    <n v="168649121.27272728"/>
    <n v="11683323278.727278"/>
    <m/>
    <m/>
    <m/>
    <m/>
    <m/>
    <m/>
    <m/>
    <m/>
    <m/>
    <m/>
    <m/>
    <n v="484383.12867255847"/>
    <n v="492800.00000000006"/>
    <x v="23"/>
    <x v="42"/>
  </r>
  <r>
    <x v="0"/>
    <x v="1"/>
    <n v="2"/>
    <s v="1000"/>
    <s v="CPSX Nhựa Duy Tân"/>
    <x v="10"/>
    <x v="10"/>
    <s v="rPET"/>
    <s v="rPET"/>
    <x v="3"/>
    <s v="NĐ"/>
    <s v="(blank)"/>
    <x v="0"/>
    <n v="33000"/>
    <n v="1051501000"/>
    <n v="6239511.656131479"/>
    <n v="0"/>
    <n v="0"/>
    <n v="1045261488.3438685"/>
    <m/>
    <m/>
    <m/>
    <m/>
    <m/>
    <m/>
    <m/>
    <m/>
    <m/>
    <m/>
    <m/>
    <n v="42713.40878813008"/>
    <n v="42968.379257221903"/>
    <x v="0"/>
    <x v="10"/>
  </r>
  <r>
    <x v="0"/>
    <x v="1"/>
    <n v="2"/>
    <s v="1000"/>
    <s v="CPSX Nhựa Duy Tân"/>
    <x v="1"/>
    <x v="1"/>
    <s v="rHDPE"/>
    <s v="rHDPE thổi"/>
    <x v="0"/>
    <s v="NĐ"/>
    <s v="(blank)"/>
    <x v="0"/>
    <n v="100000"/>
    <n v="3683800000"/>
    <n v="0"/>
    <n v="0"/>
    <n v="0"/>
    <n v="3683800000"/>
    <m/>
    <m/>
    <m/>
    <m/>
    <m/>
    <m/>
    <m/>
    <m/>
    <m/>
    <m/>
    <m/>
    <n v="150534.25104470088"/>
    <n v="150534.25104470088"/>
    <x v="0"/>
    <x v="1"/>
  </r>
  <r>
    <x v="0"/>
    <x v="1"/>
    <n v="2"/>
    <s v="1000"/>
    <s v="CPSX Nhựa Duy Tân"/>
    <x v="9"/>
    <x v="9"/>
    <s v="rPET"/>
    <s v="rPET"/>
    <x v="3"/>
    <s v="NĐ"/>
    <s v="(blank)"/>
    <x v="0"/>
    <n v="68200"/>
    <n v="2215103000"/>
    <n v="12894990.756005056"/>
    <n v="0"/>
    <n v="0"/>
    <n v="2202208009.2439952"/>
    <m/>
    <m/>
    <m/>
    <m/>
    <m/>
    <m/>
    <m/>
    <m/>
    <m/>
    <m/>
    <m/>
    <n v="89990.698006457067"/>
    <n v="90517.636975913469"/>
    <x v="0"/>
    <x v="9"/>
  </r>
  <r>
    <x v="0"/>
    <x v="1"/>
    <n v="2"/>
    <s v="1000"/>
    <s v="CPSX Nhựa Duy Tân"/>
    <x v="43"/>
    <x v="41"/>
    <s v="rHDPE"/>
    <s v="rHDPE ép"/>
    <x v="1"/>
    <s v="NĐ"/>
    <s v="(blank)"/>
    <x v="0"/>
    <n v="200"/>
    <n v="3333400"/>
    <n v="0"/>
    <n v="0"/>
    <n v="0"/>
    <n v="3333400"/>
    <m/>
    <m/>
    <m/>
    <m/>
    <m/>
    <m/>
    <m/>
    <m/>
    <m/>
    <m/>
    <m/>
    <n v="136.21555796525487"/>
    <n v="136.21555796525487"/>
    <x v="0"/>
    <x v="43"/>
  </r>
  <r>
    <x v="0"/>
    <x v="1"/>
    <n v="2"/>
    <s v="102990"/>
    <s v="Coca-Cola Thủ Đức"/>
    <x v="8"/>
    <x v="8"/>
    <s v="rPET"/>
    <s v="rPET"/>
    <x v="3"/>
    <s v="NĐ"/>
    <s v="(blank)"/>
    <x v="0"/>
    <n v="74800"/>
    <n v="2449475600"/>
    <n v="14142893.087231353"/>
    <n v="0"/>
    <n v="13200000"/>
    <n v="2422132706.9127684"/>
    <m/>
    <m/>
    <m/>
    <m/>
    <m/>
    <m/>
    <m/>
    <m/>
    <m/>
    <m/>
    <m/>
    <n v="98977.667888047043"/>
    <n v="100095.00377280779"/>
    <x v="3"/>
    <x v="8"/>
  </r>
  <r>
    <x v="0"/>
    <x v="1"/>
    <n v="2"/>
    <s v="102990"/>
    <s v="Coca-Cola Thủ Đức"/>
    <x v="26"/>
    <x v="24"/>
    <s v="Khác"/>
    <s v="Khác"/>
    <x v="2"/>
    <s v="NĐ"/>
    <s v="(blank)"/>
    <x v="0"/>
    <n v="0"/>
    <n v="1016685281"/>
    <n v="0"/>
    <n v="0"/>
    <n v="0"/>
    <n v="1016685281"/>
    <m/>
    <m/>
    <m/>
    <m/>
    <m/>
    <m/>
    <m/>
    <m/>
    <m/>
    <m/>
    <m/>
    <n v="41545.674934444396"/>
    <n v="41545.674934444396"/>
    <x v="3"/>
    <x v="26"/>
  </r>
  <r>
    <x v="0"/>
    <x v="1"/>
    <n v="2"/>
    <s v="104894"/>
    <s v="UNILEVER-NGỌC NGHĨA"/>
    <x v="9"/>
    <x v="9"/>
    <s v="rPET"/>
    <s v="rPET"/>
    <x v="3"/>
    <s v="NĐ"/>
    <s v="(blank)"/>
    <x v="0"/>
    <n v="352000"/>
    <n v="11451616000"/>
    <n v="66554790.998735778"/>
    <n v="0"/>
    <n v="49280000"/>
    <n v="11335781209.001263"/>
    <m/>
    <m/>
    <m/>
    <m/>
    <m/>
    <m/>
    <m/>
    <m/>
    <m/>
    <m/>
    <m/>
    <n v="463223.66423356312"/>
    <n v="467957.11977075686"/>
    <x v="2"/>
    <x v="9"/>
  </r>
  <r>
    <x v="0"/>
    <x v="1"/>
    <n v="2"/>
    <s v="104909"/>
    <s v="Công ty TNHH La Vie"/>
    <x v="10"/>
    <x v="10"/>
    <s v="rPET"/>
    <s v="rPET"/>
    <x v="3"/>
    <s v="NĐ"/>
    <s v="(blank)"/>
    <x v="0"/>
    <n v="176000"/>
    <n v="5340280000"/>
    <n v="16638697.749683946"/>
    <n v="0"/>
    <n v="0"/>
    <n v="5323641302.2503157"/>
    <m/>
    <m/>
    <m/>
    <m/>
    <m/>
    <m/>
    <m/>
    <m/>
    <m/>
    <m/>
    <m/>
    <n v="217544.48022826633"/>
    <n v="218224.40147917782"/>
    <x v="4"/>
    <x v="10"/>
  </r>
  <r>
    <x v="0"/>
    <x v="1"/>
    <n v="2"/>
    <s v="105204"/>
    <s v="CTY NGỌC NGHĨA-TÂY NINH"/>
    <x v="9"/>
    <x v="9"/>
    <s v="rPET"/>
    <s v="rPET"/>
    <x v="3"/>
    <s v="NĐ"/>
    <s v="(blank)"/>
    <x v="0"/>
    <n v="88000"/>
    <n v="2577696000"/>
    <n v="16638697.749683945"/>
    <n v="0"/>
    <n v="12320000"/>
    <n v="2548737302.2503161"/>
    <m/>
    <m/>
    <m/>
    <m/>
    <m/>
    <m/>
    <m/>
    <m/>
    <m/>
    <m/>
    <m/>
    <n v="104151.21909548368"/>
    <n v="105334.58297978211"/>
    <x v="5"/>
    <x v="9"/>
  </r>
  <r>
    <x v="0"/>
    <x v="1"/>
    <n v="2"/>
    <s v="105207"/>
    <s v="Suntory Sri Thái Bình Dương"/>
    <x v="8"/>
    <x v="8"/>
    <s v="rPET"/>
    <s v="rPET"/>
    <x v="3"/>
    <s v="NĐ"/>
    <s v="(blank)"/>
    <x v="0"/>
    <n v="44000"/>
    <n v="1539194799.9999998"/>
    <n v="8319348.8748419723"/>
    <n v="0"/>
    <n v="3200000"/>
    <n v="1527675451.1251578"/>
    <m/>
    <m/>
    <m/>
    <m/>
    <m/>
    <m/>
    <m/>
    <m/>
    <m/>
    <m/>
    <m/>
    <n v="62426.700655437642"/>
    <n v="62897.425601253635"/>
    <x v="7"/>
    <x v="8"/>
  </r>
  <r>
    <x v="0"/>
    <x v="1"/>
    <n v="2"/>
    <s v="105214"/>
    <s v="Người mua hàng không lấy hóa đơn"/>
    <x v="27"/>
    <x v="25"/>
    <s v="Khác"/>
    <s v="Khác"/>
    <x v="2"/>
    <s v="NĐ"/>
    <s v="(blank)"/>
    <x v="0"/>
    <n v="0"/>
    <n v="12512500"/>
    <n v="0"/>
    <n v="0"/>
    <n v="0"/>
    <n v="12512500"/>
    <m/>
    <m/>
    <m/>
    <m/>
    <m/>
    <m/>
    <m/>
    <m/>
    <m/>
    <m/>
    <m/>
    <n v="511.3089245335849"/>
    <n v="511.3089245335849"/>
    <x v="9"/>
    <x v="27"/>
  </r>
  <r>
    <x v="0"/>
    <x v="1"/>
    <n v="2"/>
    <s v="105222"/>
    <s v="CN Cty Coca - Hà Nội"/>
    <x v="8"/>
    <x v="8"/>
    <s v="rPET"/>
    <s v="rPET"/>
    <x v="3"/>
    <s v="NĐ"/>
    <s v="(blank)"/>
    <x v="0"/>
    <n v="90200"/>
    <n v="3009523000"/>
    <n v="8735316.3185840715"/>
    <n v="0"/>
    <n v="48500000"/>
    <n v="2952287683.6814156"/>
    <m/>
    <m/>
    <m/>
    <m/>
    <m/>
    <m/>
    <m/>
    <m/>
    <m/>
    <m/>
    <m/>
    <n v="120641.84139515628"/>
    <n v="122980.69678234469"/>
    <x v="3"/>
    <x v="8"/>
  </r>
  <r>
    <x v="0"/>
    <x v="1"/>
    <n v="2"/>
    <s v="105229"/>
    <s v="GIA TƯỜNG"/>
    <x v="44"/>
    <x v="42"/>
    <s v="GC"/>
    <s v="GC"/>
    <x v="10"/>
    <s v="NĐ"/>
    <s v="(blank)"/>
    <x v="0"/>
    <n v="165000"/>
    <n v="2881500000"/>
    <n v="0"/>
    <n v="205650000"/>
    <n v="0"/>
    <n v="2675850000"/>
    <m/>
    <m/>
    <m/>
    <m/>
    <m/>
    <m/>
    <m/>
    <m/>
    <m/>
    <m/>
    <m/>
    <n v="109345.53332373171"/>
    <n v="117749.1840993826"/>
    <x v="24"/>
    <x v="44"/>
  </r>
  <r>
    <x v="0"/>
    <x v="1"/>
    <n v="2"/>
    <s v="105234"/>
    <s v="CTY THỰC PHẨM VĨ HUY"/>
    <x v="9"/>
    <x v="9"/>
    <s v="rPET"/>
    <s v="rPET"/>
    <x v="3"/>
    <s v="NĐ"/>
    <s v="(blank)"/>
    <x v="0"/>
    <n v="2200"/>
    <n v="71127760"/>
    <n v="0"/>
    <n v="0"/>
    <n v="0"/>
    <n v="71127760"/>
    <m/>
    <m/>
    <m/>
    <m/>
    <m/>
    <m/>
    <m/>
    <m/>
    <m/>
    <m/>
    <m/>
    <n v="2906.5541234831517"/>
    <n v="2906.5541234831517"/>
    <x v="25"/>
    <x v="9"/>
  </r>
  <r>
    <x v="0"/>
    <x v="1"/>
    <n v="2"/>
    <s v="105246"/>
    <s v="Chori Vietnam Co., Ltd."/>
    <x v="45"/>
    <x v="43"/>
    <s v="Xơ sợi"/>
    <s v="Xơ sợi"/>
    <x v="7"/>
    <s v="NĐ"/>
    <s v="(blank)"/>
    <x v="0"/>
    <n v="25"/>
    <n v="680900"/>
    <n v="0"/>
    <n v="0"/>
    <n v="0"/>
    <n v="680900"/>
    <m/>
    <m/>
    <m/>
    <m/>
    <m/>
    <m/>
    <m/>
    <m/>
    <m/>
    <m/>
    <m/>
    <n v="27.824195541651783"/>
    <n v="27.824195541651783"/>
    <x v="26"/>
    <x v="45"/>
  </r>
  <r>
    <x v="0"/>
    <x v="1"/>
    <n v="2"/>
    <s v="105247"/>
    <s v="MINH THÀNH"/>
    <x v="29"/>
    <x v="27"/>
    <s v="Khác"/>
    <s v="Phó sản"/>
    <x v="5"/>
    <s v="NĐ"/>
    <s v="(blank)"/>
    <x v="0"/>
    <n v="12202"/>
    <n v="258682400"/>
    <n v="0"/>
    <n v="0"/>
    <n v="5002200"/>
    <n v="253680200"/>
    <m/>
    <m/>
    <m/>
    <m/>
    <m/>
    <m/>
    <m/>
    <m/>
    <m/>
    <m/>
    <m/>
    <n v="10366.349669327848"/>
    <n v="10570.758820360968"/>
    <x v="10"/>
    <x v="29"/>
  </r>
  <r>
    <x v="0"/>
    <x v="1"/>
    <n v="2"/>
    <s v="105248"/>
    <s v="ĐẠI NHẤT LONG"/>
    <x v="30"/>
    <x v="28"/>
    <s v="rHDPE"/>
    <s v="rHDPE ép"/>
    <x v="1"/>
    <s v="NĐ"/>
    <s v="(blank)"/>
    <x v="0"/>
    <n v="19500"/>
    <n v="415272000"/>
    <n v="5407576.7686472824"/>
    <n v="0"/>
    <n v="0"/>
    <n v="409864423.23135275"/>
    <m/>
    <m/>
    <m/>
    <m/>
    <m/>
    <m/>
    <m/>
    <m/>
    <m/>
    <m/>
    <m/>
    <n v="16748.638357402677"/>
    <n v="16969.61276394892"/>
    <x v="27"/>
    <x v="30"/>
  </r>
  <r>
    <x v="0"/>
    <x v="1"/>
    <n v="2"/>
    <s v="105249"/>
    <s v="RỒNG VIỆT"/>
    <x v="29"/>
    <x v="27"/>
    <s v="Khác"/>
    <s v="Phó sản"/>
    <x v="5"/>
    <s v="NĐ"/>
    <s v="(blank)"/>
    <x v="0"/>
    <n v="43474"/>
    <n v="921648800"/>
    <n v="0"/>
    <n v="0"/>
    <n v="0"/>
    <n v="921648800"/>
    <m/>
    <m/>
    <m/>
    <m/>
    <m/>
    <m/>
    <m/>
    <m/>
    <m/>
    <m/>
    <m/>
    <n v="37662.118419633895"/>
    <n v="37662.118419633895"/>
    <x v="28"/>
    <x v="29"/>
  </r>
  <r>
    <x v="0"/>
    <x v="1"/>
    <n v="2"/>
    <s v="105250"/>
    <s v="Concord Textile VN"/>
    <x v="34"/>
    <x v="32"/>
    <s v="Xơ sợi"/>
    <s v="Xơ sợi"/>
    <x v="7"/>
    <s v="NĐ"/>
    <s v="(blank)"/>
    <x v="3"/>
    <n v="-50000"/>
    <n v="-1166125000"/>
    <n v="0"/>
    <n v="0"/>
    <n v="5016900"/>
    <n v="-1171141900"/>
    <m/>
    <m/>
    <m/>
    <m/>
    <m/>
    <m/>
    <m/>
    <m/>
    <m/>
    <m/>
    <m/>
    <n v="-47857.367062155383"/>
    <n v="-47652.357212525603"/>
    <x v="29"/>
    <x v="34"/>
  </r>
  <r>
    <x v="0"/>
    <x v="1"/>
    <n v="2"/>
    <s v="105253"/>
    <s v="TIẾN THÀNH"/>
    <x v="46"/>
    <x v="44"/>
    <s v="rHDPE"/>
    <s v="rHDPE ép"/>
    <x v="1"/>
    <s v="NĐ"/>
    <s v="(blank)"/>
    <x v="0"/>
    <n v="9750"/>
    <n v="198607500"/>
    <n v="2703788.3843236412"/>
    <n v="0"/>
    <n v="0"/>
    <n v="195903711.61567634"/>
    <m/>
    <m/>
    <m/>
    <m/>
    <m/>
    <m/>
    <m/>
    <m/>
    <m/>
    <m/>
    <m/>
    <n v="8005.379907959963"/>
    <n v="8115.8671112330831"/>
    <x v="11"/>
    <x v="46"/>
  </r>
  <r>
    <x v="0"/>
    <x v="1"/>
    <n v="2"/>
    <s v="105253"/>
    <s v="TIẾN THÀNH"/>
    <x v="30"/>
    <x v="28"/>
    <s v="rHDPE"/>
    <s v="rHDPE ép"/>
    <x v="1"/>
    <s v="NĐ"/>
    <s v="(blank)"/>
    <x v="0"/>
    <n v="7500"/>
    <n v="152775000"/>
    <n v="2079837.2187104931"/>
    <n v="0"/>
    <n v="0"/>
    <n v="150695162.78128952"/>
    <m/>
    <m/>
    <m/>
    <m/>
    <m/>
    <m/>
    <m/>
    <m/>
    <m/>
    <m/>
    <m/>
    <n v="6157.9845445845867"/>
    <n v="6242.9747009485254"/>
    <x v="11"/>
    <x v="30"/>
  </r>
  <r>
    <x v="0"/>
    <x v="1"/>
    <n v="2"/>
    <s v="105253"/>
    <s v="TIẾN THÀNH"/>
    <x v="31"/>
    <x v="29"/>
    <s v="rPP"/>
    <s v="rPP"/>
    <x v="6"/>
    <s v="NĐ"/>
    <s v="(blank)"/>
    <x v="0"/>
    <n v="15000"/>
    <n v="298605000"/>
    <n v="4159674.4374209861"/>
    <n v="0"/>
    <n v="0"/>
    <n v="294445325.56257904"/>
    <m/>
    <m/>
    <m/>
    <m/>
    <m/>
    <m/>
    <m/>
    <m/>
    <m/>
    <m/>
    <m/>
    <n v="12032.169650137346"/>
    <n v="12202.149962865224"/>
    <x v="11"/>
    <x v="31"/>
  </r>
  <r>
    <x v="0"/>
    <x v="1"/>
    <n v="2"/>
    <s v="200311"/>
    <s v="Plascene, Inc."/>
    <x v="9"/>
    <x v="9"/>
    <s v="rPET"/>
    <s v="rPET"/>
    <x v="3"/>
    <s v="XK"/>
    <s v="United States of America (the)"/>
    <x v="0"/>
    <n v="66000"/>
    <n v="2017709654.999999"/>
    <n v="5310000"/>
    <n v="0"/>
    <n v="26912400"/>
    <n v="1985487254.999999"/>
    <m/>
    <m/>
    <m/>
    <m/>
    <m/>
    <m/>
    <m/>
    <m/>
    <m/>
    <m/>
    <m/>
    <n v="81106.505514705845"/>
    <n v="82422.780024509761"/>
    <x v="13"/>
    <x v="9"/>
  </r>
  <r>
    <x v="0"/>
    <x v="1"/>
    <n v="2"/>
    <s v="200319"/>
    <s v="Niagara Bottling, LLC"/>
    <x v="9"/>
    <x v="9"/>
    <s v="rPET"/>
    <s v="rPET"/>
    <x v="3"/>
    <s v="XK"/>
    <s v="United Kingdom of Great Britain and Northern Ireland (the)"/>
    <x v="0"/>
    <n v="220000"/>
    <n v="6468000000"/>
    <n v="17700000"/>
    <n v="97020000"/>
    <n v="86054140.999999985"/>
    <n v="6267225858.999999"/>
    <m/>
    <m/>
    <m/>
    <m/>
    <m/>
    <m/>
    <m/>
    <m/>
    <m/>
    <m/>
    <m/>
    <n v="255805.13710204078"/>
    <n v="264000"/>
    <x v="14"/>
    <x v="9"/>
  </r>
  <r>
    <x v="0"/>
    <x v="1"/>
    <n v="2"/>
    <s v="200319"/>
    <s v="Niagara Bottling, LLC"/>
    <x v="9"/>
    <x v="9"/>
    <s v="rPET"/>
    <s v="rPET"/>
    <x v="3"/>
    <s v="XK"/>
    <s v="United States of America (the)"/>
    <x v="0"/>
    <n v="484000"/>
    <n v="14236200000"/>
    <n v="38940000"/>
    <n v="213543000"/>
    <n v="171781348"/>
    <n v="13811935652.000006"/>
    <m/>
    <m/>
    <m/>
    <m/>
    <m/>
    <m/>
    <m/>
    <m/>
    <m/>
    <m/>
    <m/>
    <n v="563491.20250454696"/>
    <n v="580800"/>
    <x v="14"/>
    <x v="9"/>
  </r>
  <r>
    <x v="0"/>
    <x v="1"/>
    <n v="2"/>
    <s v="200330"/>
    <s v="Fega"/>
    <x v="33"/>
    <x v="31"/>
    <s v="rPET"/>
    <s v="rPET"/>
    <x v="3"/>
    <s v="XK"/>
    <s v="Greece"/>
    <x v="0"/>
    <n v="44000"/>
    <n v="1369702400"/>
    <n v="3540000"/>
    <n v="0"/>
    <n v="25457300"/>
    <n v="1340705100"/>
    <m/>
    <m/>
    <m/>
    <m/>
    <m/>
    <m/>
    <m/>
    <m/>
    <m/>
    <m/>
    <m/>
    <n v="55127.580241193471"/>
    <n v="56320"/>
    <x v="30"/>
    <x v="33"/>
  </r>
  <r>
    <x v="0"/>
    <x v="1"/>
    <n v="2"/>
    <s v="200350"/>
    <s v="Niagara Mexico"/>
    <x v="9"/>
    <x v="9"/>
    <s v="rPET"/>
    <s v="rPET"/>
    <x v="3"/>
    <s v="XK"/>
    <s v="Mexico"/>
    <x v="0"/>
    <n v="220000"/>
    <n v="6437640000"/>
    <n v="17700000"/>
    <n v="96564600"/>
    <n v="85555322.999999985"/>
    <n v="6237820076.999999"/>
    <m/>
    <m/>
    <m/>
    <m/>
    <m/>
    <m/>
    <m/>
    <m/>
    <m/>
    <m/>
    <m/>
    <n v="255805.61264228672"/>
    <n v="264000"/>
    <x v="31"/>
    <x v="9"/>
  </r>
  <r>
    <x v="0"/>
    <x v="1"/>
    <n v="2"/>
    <s v="300307"/>
    <s v="Công ty TNHH MTV Đồng Lâm"/>
    <x v="35"/>
    <x v="33"/>
    <s v="Khác"/>
    <s v="Khác"/>
    <x v="2"/>
    <s v="NĐ"/>
    <s v="(blank)"/>
    <x v="0"/>
    <n v="0"/>
    <n v="9000000"/>
    <n v="0"/>
    <n v="0"/>
    <n v="0"/>
    <n v="9000000"/>
    <m/>
    <m/>
    <m/>
    <m/>
    <m/>
    <m/>
    <m/>
    <m/>
    <m/>
    <m/>
    <m/>
    <n v="367.77465101316795"/>
    <n v="367.77465101316795"/>
    <x v="17"/>
    <x v="35"/>
  </r>
  <r>
    <x v="0"/>
    <x v="1"/>
    <n v="2"/>
    <s v="300313"/>
    <s v="Công ty TNHH Nhựa Khánh Nga"/>
    <x v="35"/>
    <x v="33"/>
    <s v="Khác"/>
    <s v="Khác"/>
    <x v="2"/>
    <s v="NĐ"/>
    <s v="(blank)"/>
    <x v="0"/>
    <n v="0"/>
    <n v="18000000"/>
    <n v="0"/>
    <n v="0"/>
    <n v="0"/>
    <n v="18000000"/>
    <m/>
    <m/>
    <m/>
    <m/>
    <m/>
    <m/>
    <m/>
    <m/>
    <m/>
    <m/>
    <m/>
    <n v="735.54930202633591"/>
    <n v="735.54930202633591"/>
    <x v="18"/>
    <x v="35"/>
  </r>
  <r>
    <x v="0"/>
    <x v="1"/>
    <n v="2"/>
    <s v="BN"/>
    <s v="Bán Ngoài"/>
    <x v="38"/>
    <x v="36"/>
    <s v="Khác"/>
    <s v="Khác"/>
    <x v="2"/>
    <s v="NĐ"/>
    <s v="(blank)"/>
    <x v="0"/>
    <n v="0"/>
    <n v="0"/>
    <n v="0"/>
    <n v="0"/>
    <n v="2500000"/>
    <n v="-2500000"/>
    <m/>
    <m/>
    <m/>
    <m/>
    <m/>
    <m/>
    <m/>
    <m/>
    <m/>
    <m/>
    <m/>
    <n v="-102.15962528143554"/>
    <n v="0"/>
    <x v="21"/>
    <x v="38"/>
  </r>
  <r>
    <x v="0"/>
    <x v="1"/>
    <n v="2"/>
    <s v="BN"/>
    <s v="Bán Ngoài"/>
    <x v="47"/>
    <x v="45"/>
    <s v="Khác"/>
    <s v="Khác"/>
    <x v="11"/>
    <s v="NĐ"/>
    <s v="(blank)"/>
    <x v="0"/>
    <n v="0"/>
    <n v="0"/>
    <n v="0"/>
    <n v="-205650000"/>
    <n v="0"/>
    <n v="205650000"/>
    <m/>
    <m/>
    <m/>
    <m/>
    <m/>
    <m/>
    <m/>
    <m/>
    <m/>
    <m/>
    <m/>
    <n v="8403.6507756508872"/>
    <n v="0"/>
    <x v="21"/>
    <x v="47"/>
  </r>
  <r>
    <x v="0"/>
    <x v="1"/>
    <n v="2"/>
    <s v="BN"/>
    <s v="Bán Ngoài"/>
    <x v="39"/>
    <x v="37"/>
    <s v="Khác"/>
    <s v="Khác"/>
    <x v="8"/>
    <s v="NĐ"/>
    <s v="(blank)"/>
    <x v="0"/>
    <n v="0"/>
    <n v="0"/>
    <n v="0"/>
    <n v="-135709200"/>
    <n v="3438077"/>
    <n v="132271123"/>
    <m/>
    <m/>
    <m/>
    <m/>
    <m/>
    <m/>
    <m/>
    <m/>
    <m/>
    <m/>
    <m/>
    <n v="5405.1073444938675"/>
    <n v="0"/>
    <x v="21"/>
    <x v="39"/>
  </r>
  <r>
    <x v="0"/>
    <x v="1"/>
    <n v="2"/>
    <s v="BN"/>
    <s v="Bán Ngoài"/>
    <x v="48"/>
    <x v="46"/>
    <s v="Khác"/>
    <s v="Khác"/>
    <x v="12"/>
    <s v="NĐ"/>
    <s v="(blank)"/>
    <x v="0"/>
    <n v="0"/>
    <n v="0"/>
    <n v="0"/>
    <n v="0"/>
    <n v="0"/>
    <n v="0"/>
    <m/>
    <m/>
    <m/>
    <m/>
    <m/>
    <m/>
    <m/>
    <m/>
    <m/>
    <m/>
    <m/>
    <n v="0"/>
    <n v="0"/>
    <x v="21"/>
    <x v="48"/>
  </r>
  <r>
    <x v="0"/>
    <x v="1"/>
    <n v="2"/>
    <s v="BN"/>
    <s v="Bán Ngoài"/>
    <x v="37"/>
    <x v="35"/>
    <s v="Khác"/>
    <s v="Khác"/>
    <x v="2"/>
    <s v="NĐ"/>
    <s v="(blank)"/>
    <x v="0"/>
    <n v="0"/>
    <n v="0"/>
    <n v="0"/>
    <n v="0"/>
    <n v="0"/>
    <n v="0"/>
    <m/>
    <m/>
    <m/>
    <m/>
    <m/>
    <m/>
    <m/>
    <m/>
    <m/>
    <m/>
    <m/>
    <n v="0"/>
    <n v="0"/>
    <x v="21"/>
    <x v="37"/>
  </r>
  <r>
    <x v="0"/>
    <x v="1"/>
    <n v="2"/>
    <s v="BN"/>
    <s v="Bán Ngoài"/>
    <x v="36"/>
    <x v="34"/>
    <s v="Khác"/>
    <s v="Khác"/>
    <x v="2"/>
    <s v="NĐ"/>
    <s v="(blank)"/>
    <x v="0"/>
    <n v="0"/>
    <n v="0"/>
    <n v="0"/>
    <n v="0"/>
    <n v="0"/>
    <n v="0"/>
    <m/>
    <m/>
    <m/>
    <m/>
    <m/>
    <m/>
    <m/>
    <m/>
    <m/>
    <m/>
    <m/>
    <n v="0"/>
    <n v="0"/>
    <x v="21"/>
    <x v="36"/>
  </r>
  <r>
    <x v="0"/>
    <x v="1"/>
    <n v="2"/>
    <s v="BN"/>
    <s v="Bán Ngoài"/>
    <x v="7"/>
    <x v="7"/>
    <s v="Khác"/>
    <s v="Khác"/>
    <x v="2"/>
    <s v="NĐ"/>
    <s v="(blank)"/>
    <x v="0"/>
    <n v="0"/>
    <n v="0"/>
    <n v="0"/>
    <n v="0"/>
    <n v="0"/>
    <n v="0"/>
    <m/>
    <m/>
    <m/>
    <m/>
    <m/>
    <m/>
    <m/>
    <m/>
    <m/>
    <m/>
    <m/>
    <n v="0"/>
    <n v="0"/>
    <x v="21"/>
    <x v="7"/>
  </r>
  <r>
    <x v="0"/>
    <x v="1"/>
    <n v="2"/>
    <s v="BN"/>
    <s v="Bán Ngoài"/>
    <x v="41"/>
    <x v="39"/>
    <s v="Khác"/>
    <s v="Khác"/>
    <x v="2"/>
    <s v="NĐ"/>
    <s v="(blank)"/>
    <x v="0"/>
    <n v="0"/>
    <n v="0"/>
    <n v="0"/>
    <n v="0"/>
    <n v="0"/>
    <n v="0"/>
    <m/>
    <m/>
    <m/>
    <m/>
    <m/>
    <m/>
    <m/>
    <m/>
    <m/>
    <m/>
    <m/>
    <n v="0"/>
    <n v="0"/>
    <x v="21"/>
    <x v="41"/>
  </r>
  <r>
    <x v="0"/>
    <x v="2"/>
    <n v="3"/>
    <s v="1000"/>
    <s v="CPSX Nhựa Duy Tân"/>
    <x v="10"/>
    <x v="10"/>
    <s v="rPET"/>
    <s v="rPET"/>
    <x v="3"/>
    <s v="NĐ"/>
    <s v="(blank)"/>
    <x v="0"/>
    <n v="99000"/>
    <n v="3070237500"/>
    <n v="16881070"/>
    <n v="0"/>
    <n v="0"/>
    <n v="3053356430"/>
    <m/>
    <m/>
    <m/>
    <m/>
    <m/>
    <m/>
    <m/>
    <m/>
    <m/>
    <m/>
    <m/>
    <n v="124208.37542667465"/>
    <n v="124895.08538937756"/>
    <x v="0"/>
    <x v="10"/>
  </r>
  <r>
    <x v="0"/>
    <x v="2"/>
    <n v="3"/>
    <s v="1000"/>
    <s v="CPSX Nhựa Duy Tân"/>
    <x v="0"/>
    <x v="0"/>
    <s v="rHDPE"/>
    <s v="rHDPE thổi"/>
    <x v="0"/>
    <s v="NĐ"/>
    <s v="(blank)"/>
    <x v="0"/>
    <n v="300"/>
    <n v="10691400"/>
    <n v="0"/>
    <n v="0"/>
    <n v="0"/>
    <n v="10691400"/>
    <m/>
    <m/>
    <m/>
    <m/>
    <m/>
    <m/>
    <m/>
    <m/>
    <m/>
    <m/>
    <m/>
    <n v="434.91857419238448"/>
    <n v="434.91857419238448"/>
    <x v="0"/>
    <x v="0"/>
  </r>
  <r>
    <x v="0"/>
    <x v="2"/>
    <n v="3"/>
    <s v="1000"/>
    <s v="CPSX Nhựa Duy Tân"/>
    <x v="1"/>
    <x v="1"/>
    <s v="rHDPE"/>
    <s v="rHDPE thổi"/>
    <x v="0"/>
    <s v="NĐ"/>
    <s v="(blank)"/>
    <x v="0"/>
    <n v="110300"/>
    <n v="4063231400"/>
    <n v="0"/>
    <n v="0"/>
    <n v="0"/>
    <n v="4063231400"/>
    <m/>
    <m/>
    <m/>
    <m/>
    <m/>
    <m/>
    <m/>
    <m/>
    <m/>
    <m/>
    <m/>
    <n v="165289.37343114338"/>
    <n v="165289.37343114338"/>
    <x v="0"/>
    <x v="1"/>
  </r>
  <r>
    <x v="0"/>
    <x v="2"/>
    <n v="3"/>
    <s v="1000"/>
    <s v="CPSX Nhựa Duy Tân"/>
    <x v="9"/>
    <x v="9"/>
    <s v="rPET"/>
    <s v="rPET"/>
    <x v="3"/>
    <s v="NĐ"/>
    <s v="(blank)"/>
    <x v="1"/>
    <n v="-6600"/>
    <n v="0"/>
    <n v="0"/>
    <n v="0"/>
    <n v="0"/>
    <n v="0"/>
    <m/>
    <m/>
    <m/>
    <m/>
    <m/>
    <m/>
    <m/>
    <m/>
    <m/>
    <m/>
    <m/>
    <n v="0"/>
    <n v="0"/>
    <x v="0"/>
    <x v="9"/>
  </r>
  <r>
    <x v="0"/>
    <x v="2"/>
    <n v="3"/>
    <s v="1000"/>
    <s v="CPSX Nhựa Duy Tân"/>
    <x v="9"/>
    <x v="9"/>
    <s v="rPET"/>
    <s v="rPET"/>
    <x v="3"/>
    <s v="NĐ"/>
    <s v="(blank)"/>
    <x v="2"/>
    <n v="6600"/>
    <n v="0"/>
    <n v="0"/>
    <n v="0"/>
    <n v="0"/>
    <n v="0"/>
    <m/>
    <m/>
    <m/>
    <m/>
    <m/>
    <m/>
    <m/>
    <m/>
    <m/>
    <m/>
    <m/>
    <n v="0"/>
    <n v="0"/>
    <x v="0"/>
    <x v="9"/>
  </r>
  <r>
    <x v="0"/>
    <x v="2"/>
    <n v="3"/>
    <s v="1000"/>
    <s v="CPSX Nhựa Duy Tân"/>
    <x v="49"/>
    <x v="47"/>
    <s v="rPP"/>
    <s v="rPP"/>
    <x v="6"/>
    <s v="NĐ"/>
    <s v="(blank)"/>
    <x v="0"/>
    <n v="10000"/>
    <n v="223041001"/>
    <n v="0"/>
    <n v="0"/>
    <n v="0"/>
    <n v="223041001"/>
    <m/>
    <m/>
    <m/>
    <m/>
    <m/>
    <m/>
    <m/>
    <m/>
    <m/>
    <m/>
    <m/>
    <n v="9073.1498345737891"/>
    <n v="9073.1498345737891"/>
    <x v="0"/>
    <x v="49"/>
  </r>
  <r>
    <x v="0"/>
    <x v="2"/>
    <n v="3"/>
    <s v="1000"/>
    <s v="CPSX Nhựa Duy Tân"/>
    <x v="50"/>
    <x v="48"/>
    <s v="rHDPE"/>
    <s v="rHDPE thổi"/>
    <x v="0"/>
    <s v="NĐ"/>
    <s v="(blank)"/>
    <x v="0"/>
    <n v="33000"/>
    <n v="1176054000"/>
    <n v="0"/>
    <n v="0"/>
    <n v="0"/>
    <n v="1176054000"/>
    <m/>
    <m/>
    <m/>
    <m/>
    <m/>
    <m/>
    <m/>
    <m/>
    <m/>
    <m/>
    <m/>
    <n v="47841.043161162292"/>
    <n v="47841.043161162292"/>
    <x v="0"/>
    <x v="50"/>
  </r>
  <r>
    <x v="0"/>
    <x v="2"/>
    <n v="3"/>
    <s v="101290"/>
    <s v="Cty Thạnh Phát"/>
    <x v="7"/>
    <x v="7"/>
    <s v="Khác"/>
    <s v="Khác"/>
    <x v="2"/>
    <s v="NĐ"/>
    <s v="(blank)"/>
    <x v="0"/>
    <n v="0"/>
    <n v="0"/>
    <n v="0"/>
    <n v="0"/>
    <n v="0"/>
    <n v="0"/>
    <m/>
    <m/>
    <m/>
    <m/>
    <m/>
    <m/>
    <m/>
    <m/>
    <m/>
    <m/>
    <m/>
    <n v="0"/>
    <n v="0"/>
    <x v="1"/>
    <x v="7"/>
  </r>
  <r>
    <x v="0"/>
    <x v="2"/>
    <n v="3"/>
    <s v="104894"/>
    <s v="UNILEVER-NGỌC NGHĨA"/>
    <x v="9"/>
    <x v="9"/>
    <s v="rPET"/>
    <s v="rPET"/>
    <x v="3"/>
    <s v="NĐ"/>
    <s v="(blank)"/>
    <x v="0"/>
    <n v="330000"/>
    <n v="10735890000"/>
    <n v="63304012.5"/>
    <n v="0"/>
    <n v="46200000"/>
    <n v="10626385987.5"/>
    <m/>
    <m/>
    <m/>
    <m/>
    <m/>
    <m/>
    <m/>
    <m/>
    <m/>
    <m/>
    <m/>
    <n v="432273.8502442555"/>
    <n v="436728.39585894084"/>
    <x v="2"/>
    <x v="9"/>
  </r>
  <r>
    <x v="0"/>
    <x v="2"/>
    <n v="3"/>
    <s v="104909"/>
    <s v="Công ty TNHH La Vie"/>
    <x v="10"/>
    <x v="10"/>
    <s v="rPET"/>
    <s v="rPET"/>
    <x v="3"/>
    <s v="NĐ"/>
    <s v="(blank)"/>
    <x v="0"/>
    <n v="286000"/>
    <n v="8688350000"/>
    <n v="31652006.25"/>
    <n v="0"/>
    <n v="9240000"/>
    <n v="8647457993.75"/>
    <m/>
    <m/>
    <m/>
    <m/>
    <m/>
    <m/>
    <m/>
    <m/>
    <m/>
    <m/>
    <m/>
    <n v="351772.46207515267"/>
    <n v="353435.91990613053"/>
    <x v="4"/>
    <x v="10"/>
  </r>
  <r>
    <x v="0"/>
    <x v="2"/>
    <n v="3"/>
    <s v="105204"/>
    <s v="CTY NGỌC NGHĨA-TÂY NINH"/>
    <x v="8"/>
    <x v="8"/>
    <s v="rPET"/>
    <s v="rPET"/>
    <x v="3"/>
    <s v="NĐ"/>
    <s v="(blank)"/>
    <x v="1"/>
    <n v="-16500"/>
    <n v="0"/>
    <n v="0"/>
    <n v="0"/>
    <n v="0"/>
    <n v="0"/>
    <m/>
    <m/>
    <m/>
    <m/>
    <m/>
    <m/>
    <m/>
    <m/>
    <m/>
    <m/>
    <m/>
    <n v="0"/>
    <n v="0"/>
    <x v="5"/>
    <x v="8"/>
  </r>
  <r>
    <x v="0"/>
    <x v="2"/>
    <n v="3"/>
    <s v="105204"/>
    <s v="CTY NGỌC NGHĨA-TÂY NINH"/>
    <x v="8"/>
    <x v="8"/>
    <s v="rPET"/>
    <s v="rPET"/>
    <x v="3"/>
    <s v="NĐ"/>
    <s v="(blank)"/>
    <x v="0"/>
    <n v="16500"/>
    <n v="576612300"/>
    <n v="3165200.625"/>
    <n v="0"/>
    <n v="0"/>
    <n v="573447099.375"/>
    <m/>
    <m/>
    <m/>
    <m/>
    <m/>
    <m/>
    <m/>
    <m/>
    <m/>
    <m/>
    <m/>
    <n v="23327.421557039641"/>
    <n v="23456.179675046435"/>
    <x v="5"/>
    <x v="8"/>
  </r>
  <r>
    <x v="0"/>
    <x v="2"/>
    <n v="3"/>
    <s v="105204"/>
    <s v="CTY NGỌC NGHĨA-TÂY NINH"/>
    <x v="8"/>
    <x v="8"/>
    <s v="rPET"/>
    <s v="rPET"/>
    <x v="3"/>
    <s v="NĐ"/>
    <s v="(blank)"/>
    <x v="2"/>
    <n v="16500"/>
    <n v="0"/>
    <n v="0"/>
    <n v="0"/>
    <n v="0"/>
    <n v="0"/>
    <m/>
    <m/>
    <m/>
    <m/>
    <m/>
    <m/>
    <m/>
    <m/>
    <m/>
    <m/>
    <m/>
    <n v="0"/>
    <n v="0"/>
    <x v="5"/>
    <x v="8"/>
  </r>
  <r>
    <x v="0"/>
    <x v="2"/>
    <n v="3"/>
    <s v="105204"/>
    <s v="CTY NGỌC NGHĨA-TÂY NINH"/>
    <x v="9"/>
    <x v="9"/>
    <s v="rPET"/>
    <s v="rPET"/>
    <x v="3"/>
    <s v="NĐ"/>
    <s v="(blank)"/>
    <x v="0"/>
    <n v="66000"/>
    <n v="1964952000"/>
    <n v="12660802.5"/>
    <n v="0"/>
    <n v="9240000"/>
    <n v="1943051197.5"/>
    <m/>
    <m/>
    <m/>
    <m/>
    <m/>
    <m/>
    <m/>
    <m/>
    <m/>
    <m/>
    <m/>
    <n v="79041.945526264593"/>
    <n v="79932.854649201618"/>
    <x v="5"/>
    <x v="9"/>
  </r>
  <r>
    <x v="0"/>
    <x v="2"/>
    <n v="3"/>
    <s v="105204"/>
    <s v="CTY NGỌC NGHĨA-TÂY NINH"/>
    <x v="33"/>
    <x v="31"/>
    <s v="rPET"/>
    <s v="rPET"/>
    <x v="3"/>
    <s v="NĐ"/>
    <s v="(blank)"/>
    <x v="0"/>
    <n v="6600"/>
    <n v="219271800"/>
    <n v="1266080.25"/>
    <n v="0"/>
    <n v="0"/>
    <n v="218005719.75"/>
    <m/>
    <m/>
    <m/>
    <m/>
    <m/>
    <m/>
    <m/>
    <m/>
    <m/>
    <m/>
    <m/>
    <n v="8868.3181622102402"/>
    <n v="8919.821409412958"/>
    <x v="5"/>
    <x v="33"/>
  </r>
  <r>
    <x v="0"/>
    <x v="2"/>
    <n v="3"/>
    <s v="105207"/>
    <s v="Suntory Sri Thái Bình Dương"/>
    <x v="8"/>
    <x v="8"/>
    <s v="rPET"/>
    <s v="rPET"/>
    <x v="3"/>
    <s v="NĐ"/>
    <s v="(blank)"/>
    <x v="1"/>
    <n v="-25137"/>
    <n v="0"/>
    <n v="0"/>
    <n v="0"/>
    <n v="0"/>
    <n v="0"/>
    <m/>
    <m/>
    <m/>
    <m/>
    <m/>
    <m/>
    <m/>
    <m/>
    <m/>
    <m/>
    <m/>
    <n v="0"/>
    <n v="0"/>
    <x v="7"/>
    <x v="8"/>
  </r>
  <r>
    <x v="0"/>
    <x v="2"/>
    <n v="3"/>
    <s v="105207"/>
    <s v="Suntory Sri Thái Bình Dương"/>
    <x v="8"/>
    <x v="8"/>
    <s v="rPET"/>
    <s v="rPET"/>
    <x v="3"/>
    <s v="NĐ"/>
    <s v="(blank)"/>
    <x v="0"/>
    <n v="31900"/>
    <n v="1114783780"/>
    <n v="6119387.875"/>
    <n v="0"/>
    <n v="4800000"/>
    <n v="1103864392.125"/>
    <m/>
    <m/>
    <m/>
    <m/>
    <m/>
    <m/>
    <m/>
    <m/>
    <m/>
    <m/>
    <m/>
    <n v="44904.421079068052"/>
    <n v="45348.614038423111"/>
    <x v="7"/>
    <x v="8"/>
  </r>
  <r>
    <x v="0"/>
    <x v="2"/>
    <n v="3"/>
    <s v="105207"/>
    <s v="Suntory Sri Thái Bình Dương"/>
    <x v="8"/>
    <x v="8"/>
    <s v="rPET"/>
    <s v="rPET"/>
    <x v="3"/>
    <s v="NĐ"/>
    <s v="(blank)"/>
    <x v="2"/>
    <n v="25137"/>
    <n v="0"/>
    <n v="0"/>
    <n v="0"/>
    <n v="2500000"/>
    <n v="-2500000"/>
    <m/>
    <m/>
    <m/>
    <m/>
    <m/>
    <m/>
    <m/>
    <m/>
    <m/>
    <m/>
    <m/>
    <n v="-101.69822806002593"/>
    <n v="0"/>
    <x v="7"/>
    <x v="8"/>
  </r>
  <r>
    <x v="0"/>
    <x v="2"/>
    <n v="3"/>
    <s v="105214"/>
    <s v="Người mua hàng không lấy hóa đơn"/>
    <x v="27"/>
    <x v="25"/>
    <s v="Khác"/>
    <s v="Khác"/>
    <x v="2"/>
    <s v="NĐ"/>
    <s v="(blank)"/>
    <x v="0"/>
    <n v="0"/>
    <n v="4282602"/>
    <n v="0"/>
    <n v="0"/>
    <n v="0"/>
    <n v="4282602"/>
    <m/>
    <m/>
    <m/>
    <m/>
    <m/>
    <m/>
    <m/>
    <m/>
    <m/>
    <m/>
    <m/>
    <n v="174.21321395452927"/>
    <n v="174.21321395452927"/>
    <x v="9"/>
    <x v="27"/>
  </r>
  <r>
    <x v="0"/>
    <x v="2"/>
    <n v="3"/>
    <s v="105229"/>
    <s v="GIA TƯỜNG"/>
    <x v="44"/>
    <x v="42"/>
    <s v="GC"/>
    <s v="GC"/>
    <x v="10"/>
    <s v="NĐ"/>
    <s v="(blank)"/>
    <x v="0"/>
    <n v="58000"/>
    <n v="1017500000"/>
    <n v="0"/>
    <n v="72000000"/>
    <n v="0"/>
    <n v="945500000"/>
    <m/>
    <m/>
    <m/>
    <m/>
    <m/>
    <m/>
    <m/>
    <m/>
    <m/>
    <m/>
    <m/>
    <n v="38462.269852301804"/>
    <n v="41391.178820430556"/>
    <x v="24"/>
    <x v="44"/>
  </r>
  <r>
    <x v="0"/>
    <x v="2"/>
    <n v="3"/>
    <s v="105247"/>
    <s v="MINH THÀNH"/>
    <x v="29"/>
    <x v="27"/>
    <s v="Khác"/>
    <s v="Phó sản"/>
    <x v="5"/>
    <s v="NĐ"/>
    <s v="(blank)"/>
    <x v="0"/>
    <n v="5668"/>
    <n v="120161600"/>
    <n v="0"/>
    <n v="0"/>
    <n v="0"/>
    <n v="120161600"/>
    <m/>
    <m/>
    <m/>
    <m/>
    <m/>
    <m/>
    <m/>
    <m/>
    <m/>
    <m/>
    <m/>
    <n v="4888.0887203430448"/>
    <n v="4888.0887203430448"/>
    <x v="10"/>
    <x v="29"/>
  </r>
  <r>
    <x v="0"/>
    <x v="2"/>
    <n v="3"/>
    <s v="105248"/>
    <s v="ĐẠI NHẤT LONG"/>
    <x v="31"/>
    <x v="29"/>
    <s v="rPP"/>
    <s v="rPP"/>
    <x v="6"/>
    <s v="NĐ"/>
    <s v="(blank)"/>
    <x v="0"/>
    <n v="39000"/>
    <n v="862329000"/>
    <n v="10972695.5"/>
    <n v="0"/>
    <n v="0"/>
    <n v="851356304.5"/>
    <m/>
    <m/>
    <m/>
    <m/>
    <m/>
    <m/>
    <m/>
    <m/>
    <m/>
    <m/>
    <m/>
    <n v="34632.571046152749"/>
    <n v="35078.932521909643"/>
    <x v="27"/>
    <x v="31"/>
  </r>
  <r>
    <x v="0"/>
    <x v="2"/>
    <n v="3"/>
    <s v="105253"/>
    <s v="TIẾN THÀNH"/>
    <x v="51"/>
    <x v="49"/>
    <s v="rHDPE"/>
    <s v="rHDPE ép"/>
    <x v="1"/>
    <s v="NĐ"/>
    <s v="(blank)"/>
    <x v="0"/>
    <n v="6000"/>
    <n v="132666000"/>
    <n v="1688106.9999999998"/>
    <n v="0"/>
    <n v="0"/>
    <n v="130977893"/>
    <m/>
    <m/>
    <m/>
    <m/>
    <m/>
    <m/>
    <m/>
    <m/>
    <m/>
    <m/>
    <m/>
    <n v="5328.0878532542692"/>
    <n v="5396.75884952456"/>
    <x v="11"/>
    <x v="51"/>
  </r>
  <r>
    <x v="0"/>
    <x v="2"/>
    <n v="3"/>
    <s v="105253"/>
    <s v="TIẾN THÀNH"/>
    <x v="52"/>
    <x v="50"/>
    <s v="rHDPE"/>
    <s v="rHDPE ép"/>
    <x v="1"/>
    <s v="NĐ"/>
    <s v="(blank)"/>
    <x v="0"/>
    <n v="6000"/>
    <n v="132666000"/>
    <n v="1688106.9999999998"/>
    <n v="0"/>
    <n v="0"/>
    <n v="130977893"/>
    <m/>
    <m/>
    <m/>
    <m/>
    <m/>
    <m/>
    <m/>
    <m/>
    <m/>
    <m/>
    <m/>
    <n v="5328.0878532542692"/>
    <n v="5396.75884952456"/>
    <x v="11"/>
    <x v="52"/>
  </r>
  <r>
    <x v="0"/>
    <x v="2"/>
    <n v="3"/>
    <s v="105260"/>
    <s v="NAM THIÊN LONG"/>
    <x v="53"/>
    <x v="51"/>
    <s v="rPET"/>
    <s v="rPET"/>
    <x v="3"/>
    <s v="NĐ"/>
    <s v="(blank)"/>
    <x v="0"/>
    <n v="25"/>
    <n v="798200"/>
    <n v="0"/>
    <n v="0"/>
    <n v="0"/>
    <n v="798200"/>
    <m/>
    <m/>
    <m/>
    <m/>
    <m/>
    <m/>
    <m/>
    <m/>
    <m/>
    <m/>
    <m/>
    <n v="32.470210255005078"/>
    <n v="32.470210255005078"/>
    <x v="32"/>
    <x v="53"/>
  </r>
  <r>
    <x v="0"/>
    <x v="2"/>
    <n v="3"/>
    <s v="105263"/>
    <s v="Unilever Duy Tân"/>
    <x v="9"/>
    <x v="9"/>
    <s v="rPET"/>
    <s v="rPET"/>
    <x v="3"/>
    <s v="NĐ"/>
    <s v="(blank)"/>
    <x v="0"/>
    <n v="33000"/>
    <n v="1073589000"/>
    <n v="6330401.25"/>
    <n v="0"/>
    <n v="0"/>
    <n v="1067258598.75"/>
    <m/>
    <m/>
    <m/>
    <m/>
    <m/>
    <m/>
    <m/>
    <m/>
    <m/>
    <m/>
    <m/>
    <n v="43415.323349880477"/>
    <n v="43672.839585894071"/>
    <x v="2"/>
    <x v="9"/>
  </r>
  <r>
    <x v="0"/>
    <x v="2"/>
    <n v="3"/>
    <s v="105263"/>
    <s v="Unilever Duy Tân"/>
    <x v="6"/>
    <x v="6"/>
    <s v="rHDPE"/>
    <s v="rHDPE thổi"/>
    <x v="0"/>
    <s v="NĐ"/>
    <s v="(blank)"/>
    <x v="0"/>
    <n v="300"/>
    <n v="10625100"/>
    <n v="0"/>
    <n v="0"/>
    <n v="0"/>
    <n v="10625100"/>
    <m/>
    <m/>
    <m/>
    <m/>
    <m/>
    <m/>
    <m/>
    <m/>
    <m/>
    <m/>
    <m/>
    <n v="432.2215371842326"/>
    <n v="432.2215371842326"/>
    <x v="2"/>
    <x v="6"/>
  </r>
  <r>
    <x v="0"/>
    <x v="2"/>
    <n v="3"/>
    <s v="105264"/>
    <s v="Lix Việt Nam"/>
    <x v="0"/>
    <x v="0"/>
    <s v="rHDPE"/>
    <s v="rHDPE thổi"/>
    <x v="0"/>
    <s v="NĐ"/>
    <s v="(blank)"/>
    <x v="0"/>
    <n v="1000"/>
    <n v="33534000"/>
    <n v="0"/>
    <n v="0"/>
    <n v="0"/>
    <n v="33534000"/>
    <m/>
    <m/>
    <m/>
    <m/>
    <m/>
    <m/>
    <m/>
    <m/>
    <m/>
    <m/>
    <m/>
    <n v="1364.1393519059638"/>
    <n v="1364.1393519059638"/>
    <x v="33"/>
    <x v="0"/>
  </r>
  <r>
    <x v="0"/>
    <x v="2"/>
    <n v="3"/>
    <s v="105264"/>
    <s v="Lix Việt Nam"/>
    <x v="54"/>
    <x v="52"/>
    <s v="rHDPE"/>
    <s v="rHDPE thổi"/>
    <x v="0"/>
    <s v="NĐ"/>
    <s v="(blank)"/>
    <x v="0"/>
    <n v="1000"/>
    <n v="33534000"/>
    <n v="0"/>
    <n v="0"/>
    <n v="0"/>
    <n v="33534000"/>
    <m/>
    <m/>
    <m/>
    <m/>
    <m/>
    <m/>
    <m/>
    <m/>
    <m/>
    <m/>
    <m/>
    <n v="1364.1393519059638"/>
    <n v="1364.1393519059638"/>
    <x v="33"/>
    <x v="54"/>
  </r>
  <r>
    <x v="0"/>
    <x v="2"/>
    <n v="3"/>
    <s v="105264"/>
    <s v="Lix Việt Nam"/>
    <x v="55"/>
    <x v="53"/>
    <s v="rHDPE"/>
    <s v="rHDPE thổi"/>
    <x v="0"/>
    <s v="NĐ"/>
    <s v="(blank)"/>
    <x v="0"/>
    <n v="1000"/>
    <n v="33534000"/>
    <n v="0"/>
    <n v="0"/>
    <n v="0"/>
    <n v="33534000"/>
    <m/>
    <m/>
    <m/>
    <m/>
    <m/>
    <m/>
    <m/>
    <m/>
    <m/>
    <m/>
    <m/>
    <n v="1364.1393519059638"/>
    <n v="1364.1393519059638"/>
    <x v="33"/>
    <x v="55"/>
  </r>
  <r>
    <x v="0"/>
    <x v="2"/>
    <n v="3"/>
    <s v="105264"/>
    <s v="Lix Việt Nam"/>
    <x v="9"/>
    <x v="9"/>
    <s v="rPET"/>
    <s v="rPET"/>
    <x v="3"/>
    <s v="NĐ"/>
    <s v="(blank)"/>
    <x v="0"/>
    <n v="300"/>
    <n v="9315000"/>
    <n v="0"/>
    <n v="0"/>
    <n v="0"/>
    <n v="9315000"/>
    <m/>
    <m/>
    <m/>
    <m/>
    <m/>
    <m/>
    <m/>
    <m/>
    <m/>
    <m/>
    <m/>
    <n v="378.92759775165661"/>
    <n v="378.92759775165661"/>
    <x v="33"/>
    <x v="9"/>
  </r>
  <r>
    <x v="0"/>
    <x v="2"/>
    <n v="3"/>
    <s v="105264"/>
    <s v="Lix Việt Nam"/>
    <x v="56"/>
    <x v="54"/>
    <s v="rHDPE"/>
    <s v="rHDPE thổi"/>
    <x v="0"/>
    <s v="NĐ"/>
    <s v="(blank)"/>
    <x v="0"/>
    <n v="1000"/>
    <n v="33534000"/>
    <n v="0"/>
    <n v="0"/>
    <n v="0"/>
    <n v="33534000"/>
    <m/>
    <m/>
    <m/>
    <m/>
    <m/>
    <m/>
    <m/>
    <m/>
    <m/>
    <m/>
    <m/>
    <n v="1364.1393519059638"/>
    <n v="1364.1393519059638"/>
    <x v="33"/>
    <x v="56"/>
  </r>
  <r>
    <x v="0"/>
    <x v="2"/>
    <n v="3"/>
    <s v="105265"/>
    <s v="Muji- DTP"/>
    <x v="9"/>
    <x v="9"/>
    <s v="rPET"/>
    <s v="rPET"/>
    <x v="3"/>
    <s v="NĐ"/>
    <s v="(blank)"/>
    <x v="0"/>
    <n v="6600"/>
    <n v="204682500"/>
    <n v="1266080.25"/>
    <n v="0"/>
    <n v="0"/>
    <n v="203416419.75"/>
    <m/>
    <m/>
    <m/>
    <m/>
    <m/>
    <m/>
    <m/>
    <m/>
    <m/>
    <m/>
    <m/>
    <n v="8274.8357787557852"/>
    <n v="8326.339025958503"/>
    <x v="34"/>
    <x v="9"/>
  </r>
  <r>
    <x v="0"/>
    <x v="2"/>
    <n v="3"/>
    <s v="105266"/>
    <s v="MIDA"/>
    <x v="53"/>
    <x v="51"/>
    <s v="rPET"/>
    <s v="rPET"/>
    <x v="3"/>
    <s v="NĐ"/>
    <s v="(blank)"/>
    <x v="0"/>
    <n v="500"/>
    <n v="15680000"/>
    <n v="0"/>
    <n v="0"/>
    <n v="0"/>
    <n v="15680000"/>
    <m/>
    <m/>
    <m/>
    <m/>
    <m/>
    <m/>
    <m/>
    <m/>
    <m/>
    <m/>
    <m/>
    <n v="637.85128639248262"/>
    <n v="637.85128639248262"/>
    <x v="35"/>
    <x v="53"/>
  </r>
  <r>
    <x v="0"/>
    <x v="2"/>
    <n v="3"/>
    <s v="105267"/>
    <s v="Hồng Kim Long An"/>
    <x v="57"/>
    <x v="55"/>
    <s v="rPP"/>
    <s v="rPP"/>
    <x v="6"/>
    <s v="NĐ"/>
    <s v="(blank)"/>
    <x v="0"/>
    <n v="7000"/>
    <n v="171500000"/>
    <n v="0"/>
    <n v="0"/>
    <n v="0"/>
    <n v="171500000"/>
    <m/>
    <m/>
    <m/>
    <m/>
    <m/>
    <m/>
    <m/>
    <m/>
    <m/>
    <m/>
    <m/>
    <n v="6976.4984449177782"/>
    <n v="6976.4984449177782"/>
    <x v="36"/>
    <x v="57"/>
  </r>
  <r>
    <x v="0"/>
    <x v="2"/>
    <n v="3"/>
    <s v="200311"/>
    <s v="Plascene, Inc."/>
    <x v="9"/>
    <x v="9"/>
    <s v="rPET"/>
    <s v="rPET"/>
    <x v="3"/>
    <s v="XK"/>
    <s v="United States of America (the)"/>
    <x v="0"/>
    <n v="110000"/>
    <n v="3310100200"/>
    <n v="14160000"/>
    <n v="0"/>
    <n v="42840213.330000006"/>
    <n v="3253099986.6700001"/>
    <m/>
    <m/>
    <m/>
    <m/>
    <m/>
    <m/>
    <m/>
    <m/>
    <m/>
    <m/>
    <m/>
    <n v="132105.5041181095"/>
    <n v="134420"/>
    <x v="13"/>
    <x v="9"/>
  </r>
  <r>
    <x v="0"/>
    <x v="2"/>
    <n v="3"/>
    <s v="200319"/>
    <s v="Niagara Bottling, LLC"/>
    <x v="9"/>
    <x v="9"/>
    <s v="rPET"/>
    <s v="rPET"/>
    <x v="3"/>
    <s v="XK"/>
    <s v="United Kingdom of Great Britain and Northern Ireland (the)"/>
    <x v="0"/>
    <n v="110000"/>
    <n v="3255120000"/>
    <n v="8850000"/>
    <n v="48826800"/>
    <n v="43414273.000000007"/>
    <n v="3154028927"/>
    <m/>
    <m/>
    <m/>
    <m/>
    <m/>
    <m/>
    <m/>
    <m/>
    <m/>
    <m/>
    <m/>
    <n v="127900.60531224655"/>
    <n v="132000"/>
    <x v="14"/>
    <x v="9"/>
  </r>
  <r>
    <x v="0"/>
    <x v="2"/>
    <n v="3"/>
    <s v="200319"/>
    <s v="Niagara Bottling, LLC"/>
    <x v="9"/>
    <x v="9"/>
    <s v="rPET"/>
    <s v="rPET"/>
    <x v="3"/>
    <s v="XK"/>
    <s v="United States of America (the)"/>
    <x v="0"/>
    <n v="484000"/>
    <n v="14252832000"/>
    <n v="38940000"/>
    <n v="213792480"/>
    <n v="174919337.00000012"/>
    <n v="13825180182.999994"/>
    <m/>
    <m/>
    <m/>
    <m/>
    <m/>
    <m/>
    <m/>
    <m/>
    <m/>
    <m/>
    <m/>
    <n v="563373.46874695248"/>
    <n v="580800"/>
    <x v="14"/>
    <x v="9"/>
  </r>
  <r>
    <x v="0"/>
    <x v="2"/>
    <n v="3"/>
    <s v="200326"/>
    <s v="Resinex"/>
    <x v="1"/>
    <x v="1"/>
    <s v="rHDPE"/>
    <s v="rHDPE thổi"/>
    <x v="0"/>
    <s v="XK"/>
    <s v="Israel"/>
    <x v="0"/>
    <n v="12000"/>
    <n v="411162000"/>
    <n v="0"/>
    <n v="0"/>
    <n v="9458990"/>
    <n v="401703010"/>
    <m/>
    <m/>
    <m/>
    <m/>
    <m/>
    <m/>
    <m/>
    <m/>
    <m/>
    <m/>
    <m/>
    <n v="16296.268154158215"/>
    <n v="16680"/>
    <x v="37"/>
    <x v="1"/>
  </r>
  <r>
    <x v="0"/>
    <x v="2"/>
    <n v="3"/>
    <s v="200338"/>
    <s v="Aguarela do Mundo, SA"/>
    <x v="33"/>
    <x v="31"/>
    <s v="rPET"/>
    <s v="rPET"/>
    <x v="3"/>
    <s v="XK"/>
    <s v="Portugal"/>
    <x v="0"/>
    <n v="660000"/>
    <n v="22358077500"/>
    <n v="53100000"/>
    <n v="0"/>
    <n v="1728644858.999999"/>
    <n v="20576332641.000011"/>
    <m/>
    <m/>
    <m/>
    <m/>
    <m/>
    <m/>
    <m/>
    <m/>
    <m/>
    <m/>
    <m/>
    <n v="835180.10578424018"/>
    <n v="907500"/>
    <x v="22"/>
    <x v="33"/>
  </r>
  <r>
    <x v="0"/>
    <x v="2"/>
    <n v="3"/>
    <s v="200342"/>
    <s v="POLYMERS INTERNATIONAL"/>
    <x v="9"/>
    <x v="9"/>
    <s v="rPET"/>
    <s v="rPET"/>
    <x v="3"/>
    <s v="XK"/>
    <s v="Australia"/>
    <x v="0"/>
    <n v="44000"/>
    <n v="1377442000"/>
    <n v="3540000"/>
    <n v="0"/>
    <n v="48080699"/>
    <n v="1325821301"/>
    <m/>
    <m/>
    <m/>
    <m/>
    <m/>
    <m/>
    <m/>
    <m/>
    <m/>
    <m/>
    <m/>
    <n v="53785.853995943202"/>
    <n v="55880"/>
    <x v="38"/>
    <x v="9"/>
  </r>
  <r>
    <x v="0"/>
    <x v="2"/>
    <n v="3"/>
    <s v="200343"/>
    <s v="MILKYWAY"/>
    <x v="58"/>
    <x v="56"/>
    <s v="rPET"/>
    <s v="rPET"/>
    <x v="3"/>
    <s v="XK"/>
    <s v="United States of America (the)"/>
    <x v="0"/>
    <n v="176000"/>
    <n v="4833382400"/>
    <n v="14160000"/>
    <n v="96667648"/>
    <n v="66329864"/>
    <n v="4656224888"/>
    <m/>
    <m/>
    <m/>
    <m/>
    <m/>
    <m/>
    <m/>
    <m/>
    <m/>
    <m/>
    <m/>
    <n v="189894.9785731025"/>
    <n v="197120"/>
    <x v="23"/>
    <x v="58"/>
  </r>
  <r>
    <x v="0"/>
    <x v="2"/>
    <n v="3"/>
    <s v="200350"/>
    <s v="Niagara Mexico"/>
    <x v="9"/>
    <x v="9"/>
    <s v="rPET"/>
    <s v="rPET"/>
    <x v="3"/>
    <s v="XK"/>
    <s v="Mexico"/>
    <x v="0"/>
    <n v="220000"/>
    <n v="6507600000"/>
    <n v="17700000"/>
    <n v="97614000"/>
    <n v="79576974"/>
    <n v="6312709026.000001"/>
    <m/>
    <m/>
    <m/>
    <m/>
    <m/>
    <m/>
    <m/>
    <m/>
    <m/>
    <m/>
    <m/>
    <n v="256093.67245436111"/>
    <n v="264000"/>
    <x v="31"/>
    <x v="9"/>
  </r>
  <r>
    <x v="0"/>
    <x v="2"/>
    <n v="3"/>
    <s v="200351"/>
    <s v="Inabata Singapore"/>
    <x v="34"/>
    <x v="32"/>
    <s v="Xơ sợi"/>
    <s v="Xơ sợi"/>
    <x v="7"/>
    <s v="XK"/>
    <s v="United States of America (the)"/>
    <x v="0"/>
    <n v="75"/>
    <n v="7745850"/>
    <n v="0"/>
    <n v="0"/>
    <n v="6082756"/>
    <n v="1663094"/>
    <m/>
    <m/>
    <m/>
    <m/>
    <m/>
    <m/>
    <m/>
    <m/>
    <m/>
    <m/>
    <m/>
    <n v="67.632940219601466"/>
    <n v="315"/>
    <x v="39"/>
    <x v="34"/>
  </r>
  <r>
    <x v="0"/>
    <x v="2"/>
    <n v="3"/>
    <s v="300307"/>
    <s v="Công ty TNHH MTV Đồng Lâm"/>
    <x v="35"/>
    <x v="33"/>
    <s v="Khác"/>
    <s v="Khác"/>
    <x v="2"/>
    <s v="NĐ"/>
    <s v="(blank)"/>
    <x v="0"/>
    <n v="0"/>
    <n v="54000000"/>
    <n v="0"/>
    <n v="0"/>
    <n v="0"/>
    <n v="54000000"/>
    <m/>
    <m/>
    <m/>
    <m/>
    <m/>
    <m/>
    <m/>
    <m/>
    <m/>
    <m/>
    <m/>
    <n v="2196.6817260965599"/>
    <n v="2196.6817260965599"/>
    <x v="17"/>
    <x v="35"/>
  </r>
  <r>
    <x v="0"/>
    <x v="2"/>
    <n v="3"/>
    <s v="300313"/>
    <s v="Công ty TNHH Nhựa Khánh Nga"/>
    <x v="35"/>
    <x v="33"/>
    <s v="Khác"/>
    <s v="Khác"/>
    <x v="2"/>
    <s v="NĐ"/>
    <s v="(blank)"/>
    <x v="0"/>
    <n v="0"/>
    <n v="9000000"/>
    <n v="0"/>
    <n v="0"/>
    <n v="0"/>
    <n v="9000000"/>
    <m/>
    <m/>
    <m/>
    <m/>
    <m/>
    <m/>
    <m/>
    <m/>
    <m/>
    <m/>
    <m/>
    <n v="366.11362101609336"/>
    <n v="366.11362101609336"/>
    <x v="18"/>
    <x v="35"/>
  </r>
  <r>
    <x v="0"/>
    <x v="2"/>
    <n v="3"/>
    <s v="BN"/>
    <s v="Bán Ngoài"/>
    <x v="38"/>
    <x v="36"/>
    <s v="Khác"/>
    <s v="Khác"/>
    <x v="2"/>
    <s v="NĐ"/>
    <s v="(blank)"/>
    <x v="0"/>
    <n v="0"/>
    <n v="0"/>
    <n v="0"/>
    <n v="0"/>
    <n v="402009357.67000198"/>
    <n v="-402009357.67000198"/>
    <m/>
    <m/>
    <m/>
    <m/>
    <m/>
    <m/>
    <m/>
    <m/>
    <m/>
    <m/>
    <m/>
    <n v="-16353.455735435358"/>
    <n v="0"/>
    <x v="21"/>
    <x v="38"/>
  </r>
  <r>
    <x v="0"/>
    <x v="2"/>
    <n v="3"/>
    <s v="BN"/>
    <s v="Bán Ngoài"/>
    <x v="47"/>
    <x v="45"/>
    <s v="Khác"/>
    <s v="Khác"/>
    <x v="11"/>
    <s v="NĐ"/>
    <s v="(blank)"/>
    <x v="0"/>
    <n v="0"/>
    <n v="0"/>
    <n v="0"/>
    <n v="-72000000"/>
    <n v="0"/>
    <n v="72000000"/>
    <m/>
    <m/>
    <m/>
    <m/>
    <m/>
    <m/>
    <m/>
    <m/>
    <m/>
    <m/>
    <m/>
    <n v="2928.9089681287469"/>
    <n v="0"/>
    <x v="21"/>
    <x v="47"/>
  </r>
  <r>
    <x v="0"/>
    <x v="2"/>
    <n v="3"/>
    <s v="BN"/>
    <s v="Bán Ngoài"/>
    <x v="59"/>
    <x v="57"/>
    <s v="Khác"/>
    <s v="Khác"/>
    <x v="13"/>
    <s v="NĐ"/>
    <s v="(blank)"/>
    <x v="0"/>
    <n v="0"/>
    <n v="0"/>
    <n v="0"/>
    <n v="0"/>
    <n v="1835825"/>
    <n v="-1835825"/>
    <m/>
    <m/>
    <m/>
    <m/>
    <m/>
    <m/>
    <m/>
    <m/>
    <m/>
    <m/>
    <m/>
    <n v="-74.680059811318841"/>
    <n v="0"/>
    <x v="21"/>
    <x v="59"/>
  </r>
  <r>
    <x v="0"/>
    <x v="2"/>
    <n v="3"/>
    <s v="BN"/>
    <s v="Bán Ngoài"/>
    <x v="39"/>
    <x v="37"/>
    <s v="Khác"/>
    <s v="Khác"/>
    <x v="8"/>
    <s v="NĐ"/>
    <s v="(blank)"/>
    <x v="0"/>
    <n v="0"/>
    <n v="0"/>
    <n v="0"/>
    <n v="27781952"/>
    <n v="103320667"/>
    <n v="-131102619"/>
    <m/>
    <m/>
    <m/>
    <m/>
    <m/>
    <m/>
    <m/>
    <m/>
    <m/>
    <m/>
    <m/>
    <n v="-5333.1616185314879"/>
    <n v="0"/>
    <x v="21"/>
    <x v="39"/>
  </r>
  <r>
    <x v="0"/>
    <x v="2"/>
    <n v="3"/>
    <s v="BN"/>
    <s v="Bán Ngoài"/>
    <x v="48"/>
    <x v="46"/>
    <s v="Khác"/>
    <s v="Khác"/>
    <x v="12"/>
    <s v="NĐ"/>
    <s v="(blank)"/>
    <x v="0"/>
    <n v="0"/>
    <n v="0"/>
    <n v="0"/>
    <n v="0"/>
    <n v="0"/>
    <n v="0"/>
    <m/>
    <m/>
    <m/>
    <m/>
    <m/>
    <m/>
    <m/>
    <m/>
    <m/>
    <m/>
    <m/>
    <n v="0"/>
    <n v="0"/>
    <x v="21"/>
    <x v="48"/>
  </r>
  <r>
    <x v="0"/>
    <x v="2"/>
    <n v="3"/>
    <s v="BN"/>
    <s v="Bán Ngoài"/>
    <x v="40"/>
    <x v="38"/>
    <s v="Khác"/>
    <s v="Khác"/>
    <x v="9"/>
    <s v="NĐ"/>
    <s v="(blank)"/>
    <x v="0"/>
    <n v="0"/>
    <n v="0"/>
    <n v="0"/>
    <n v="0"/>
    <n v="-418976"/>
    <n v="418976"/>
    <m/>
    <m/>
    <m/>
    <m/>
    <m/>
    <m/>
    <m/>
    <m/>
    <m/>
    <m/>
    <m/>
    <n v="17.043646719870971"/>
    <n v="0"/>
    <x v="21"/>
    <x v="40"/>
  </r>
  <r>
    <x v="0"/>
    <x v="2"/>
    <n v="3"/>
    <s v="BN"/>
    <s v="Bán Ngoài"/>
    <x v="37"/>
    <x v="35"/>
    <s v="Khác"/>
    <s v="Khác"/>
    <x v="2"/>
    <s v="NĐ"/>
    <s v="(blank)"/>
    <x v="0"/>
    <n v="0"/>
    <n v="0"/>
    <n v="0"/>
    <n v="0"/>
    <n v="0"/>
    <n v="0"/>
    <m/>
    <m/>
    <m/>
    <m/>
    <m/>
    <m/>
    <m/>
    <m/>
    <m/>
    <m/>
    <m/>
    <n v="0"/>
    <n v="0"/>
    <x v="21"/>
    <x v="37"/>
  </r>
  <r>
    <x v="0"/>
    <x v="2"/>
    <n v="3"/>
    <s v="BN"/>
    <s v="Bán Ngoài"/>
    <x v="60"/>
    <x v="58"/>
    <s v="Khác"/>
    <s v="Khác"/>
    <x v="2"/>
    <s v="NĐ"/>
    <s v="(blank)"/>
    <x v="0"/>
    <n v="0"/>
    <n v="0"/>
    <n v="0"/>
    <n v="0"/>
    <n v="0"/>
    <n v="0"/>
    <m/>
    <m/>
    <m/>
    <m/>
    <m/>
    <m/>
    <m/>
    <m/>
    <m/>
    <m/>
    <m/>
    <n v="0"/>
    <n v="0"/>
    <x v="21"/>
    <x v="60"/>
  </r>
  <r>
    <x v="0"/>
    <x v="2"/>
    <n v="3"/>
    <s v="BN"/>
    <s v="Bán Ngoài"/>
    <x v="36"/>
    <x v="34"/>
    <s v="Khác"/>
    <s v="Khác"/>
    <x v="2"/>
    <s v="NĐ"/>
    <s v="(blank)"/>
    <x v="0"/>
    <n v="0"/>
    <n v="0"/>
    <n v="0"/>
    <n v="0"/>
    <n v="0"/>
    <n v="0"/>
    <m/>
    <m/>
    <m/>
    <m/>
    <m/>
    <m/>
    <m/>
    <m/>
    <m/>
    <m/>
    <m/>
    <n v="0"/>
    <n v="0"/>
    <x v="21"/>
    <x v="36"/>
  </r>
  <r>
    <x v="0"/>
    <x v="2"/>
    <n v="3"/>
    <s v="BN"/>
    <s v="Bán Ngoài"/>
    <x v="7"/>
    <x v="7"/>
    <s v="Khác"/>
    <s v="Khác"/>
    <x v="2"/>
    <s v="NĐ"/>
    <s v="(blank)"/>
    <x v="0"/>
    <n v="0"/>
    <n v="0"/>
    <n v="0"/>
    <n v="0"/>
    <n v="0"/>
    <n v="0"/>
    <m/>
    <m/>
    <m/>
    <m/>
    <m/>
    <m/>
    <m/>
    <m/>
    <m/>
    <m/>
    <m/>
    <n v="0"/>
    <n v="0"/>
    <x v="21"/>
    <x v="7"/>
  </r>
  <r>
    <x v="0"/>
    <x v="2"/>
    <n v="3"/>
    <s v="BN"/>
    <s v="Bán Ngoài"/>
    <x v="41"/>
    <x v="39"/>
    <s v="Khác"/>
    <s v="Khác"/>
    <x v="2"/>
    <s v="NĐ"/>
    <s v="(blank)"/>
    <x v="0"/>
    <n v="0"/>
    <n v="0"/>
    <n v="0"/>
    <n v="0"/>
    <n v="0"/>
    <n v="0"/>
    <m/>
    <m/>
    <m/>
    <m/>
    <m/>
    <m/>
    <m/>
    <m/>
    <m/>
    <m/>
    <m/>
    <n v="0"/>
    <n v="0"/>
    <x v="21"/>
    <x v="41"/>
  </r>
  <r>
    <x v="0"/>
    <x v="3"/>
    <n v="4"/>
    <s v="1000"/>
    <s v="CPSX Nhựa Duy Tân"/>
    <x v="10"/>
    <x v="10"/>
    <s v="rPET"/>
    <s v="rPET"/>
    <x v="3"/>
    <s v="NĐ"/>
    <s v="(blank)"/>
    <x v="0"/>
    <n v="88000"/>
    <n v="2729100000"/>
    <n v="17036670.627062708"/>
    <n v="0"/>
    <n v="0"/>
    <n v="2712063329.3729367"/>
    <m/>
    <m/>
    <m/>
    <m/>
    <m/>
    <m/>
    <m/>
    <m/>
    <m/>
    <m/>
    <m/>
    <n v="108246.91792844431"/>
    <n v="108926.90466296056"/>
    <x v="0"/>
    <x v="10"/>
  </r>
  <r>
    <x v="0"/>
    <x v="3"/>
    <n v="4"/>
    <s v="1000"/>
    <s v="CPSX Nhựa Duy Tân"/>
    <x v="1"/>
    <x v="1"/>
    <s v="rHDPE"/>
    <s v="rHDPE thổi"/>
    <x v="0"/>
    <s v="NĐ"/>
    <s v="(blank)"/>
    <x v="1"/>
    <n v="-1250"/>
    <n v="0"/>
    <n v="0"/>
    <n v="0"/>
    <n v="0"/>
    <n v="0"/>
    <m/>
    <m/>
    <m/>
    <m/>
    <m/>
    <m/>
    <m/>
    <m/>
    <m/>
    <m/>
    <m/>
    <n v="0"/>
    <n v="0"/>
    <x v="0"/>
    <x v="1"/>
  </r>
  <r>
    <x v="0"/>
    <x v="3"/>
    <n v="4"/>
    <s v="1000"/>
    <s v="CPSX Nhựa Duy Tân"/>
    <x v="1"/>
    <x v="1"/>
    <s v="rHDPE"/>
    <s v="rHDPE thổi"/>
    <x v="0"/>
    <s v="NĐ"/>
    <s v="(blank)"/>
    <x v="0"/>
    <n v="10000"/>
    <n v="368380000"/>
    <n v="0"/>
    <n v="0"/>
    <n v="0"/>
    <n v="368380000"/>
    <m/>
    <m/>
    <m/>
    <m/>
    <m/>
    <m/>
    <m/>
    <m/>
    <m/>
    <m/>
    <m/>
    <n v="14703.196343022024"/>
    <n v="14703.196343022024"/>
    <x v="0"/>
    <x v="1"/>
  </r>
  <r>
    <x v="0"/>
    <x v="3"/>
    <n v="4"/>
    <s v="1000"/>
    <s v="CPSX Nhựa Duy Tân"/>
    <x v="1"/>
    <x v="1"/>
    <s v="rHDPE"/>
    <s v="rHDPE thổi"/>
    <x v="0"/>
    <s v="NĐ"/>
    <s v="(blank)"/>
    <x v="2"/>
    <n v="1250"/>
    <n v="0"/>
    <n v="0"/>
    <n v="0"/>
    <n v="0"/>
    <n v="0"/>
    <m/>
    <m/>
    <m/>
    <m/>
    <m/>
    <m/>
    <m/>
    <m/>
    <m/>
    <m/>
    <m/>
    <n v="0"/>
    <n v="0"/>
    <x v="0"/>
    <x v="1"/>
  </r>
  <r>
    <x v="0"/>
    <x v="3"/>
    <n v="4"/>
    <s v="1000"/>
    <s v="CPSX Nhựa Duy Tân"/>
    <x v="43"/>
    <x v="41"/>
    <s v="rHDPE"/>
    <s v="rHDPE ép"/>
    <x v="1"/>
    <s v="NĐ"/>
    <s v="(blank)"/>
    <x v="0"/>
    <n v="150"/>
    <n v="2500050"/>
    <n v="0"/>
    <n v="0"/>
    <n v="0"/>
    <n v="2500050"/>
    <m/>
    <m/>
    <m/>
    <m/>
    <m/>
    <m/>
    <m/>
    <m/>
    <m/>
    <m/>
    <m/>
    <n v="99.784803782431766"/>
    <n v="99.784803782431766"/>
    <x v="0"/>
    <x v="43"/>
  </r>
  <r>
    <x v="0"/>
    <x v="3"/>
    <n v="4"/>
    <s v="1000"/>
    <s v="CPSX Nhựa Duy Tân"/>
    <x v="4"/>
    <x v="4"/>
    <s v="rHDPE"/>
    <s v="rHDPE ép"/>
    <x v="1"/>
    <s v="NĐ"/>
    <s v="(blank)"/>
    <x v="0"/>
    <n v="2750"/>
    <n v="62658750"/>
    <n v="0"/>
    <n v="0"/>
    <n v="0"/>
    <n v="62658750"/>
    <m/>
    <m/>
    <m/>
    <m/>
    <m/>
    <m/>
    <m/>
    <m/>
    <m/>
    <m/>
    <m/>
    <n v="2500.9064114727489"/>
    <n v="2500.9064114727489"/>
    <x v="0"/>
    <x v="4"/>
  </r>
  <r>
    <x v="0"/>
    <x v="3"/>
    <n v="4"/>
    <s v="1000"/>
    <s v="CPSX Nhựa Duy Tân"/>
    <x v="61"/>
    <x v="59"/>
    <s v="rHDPE"/>
    <s v="rHDPE ép"/>
    <x v="1"/>
    <s v="NĐ"/>
    <s v="(blank)"/>
    <x v="0"/>
    <n v="2750"/>
    <n v="62658750"/>
    <n v="0"/>
    <n v="0"/>
    <n v="0"/>
    <n v="62658750"/>
    <m/>
    <m/>
    <m/>
    <m/>
    <m/>
    <m/>
    <m/>
    <m/>
    <m/>
    <m/>
    <m/>
    <n v="2500.9064114727489"/>
    <n v="2500.9064114727489"/>
    <x v="0"/>
    <x v="61"/>
  </r>
  <r>
    <x v="0"/>
    <x v="3"/>
    <n v="4"/>
    <s v="1000"/>
    <s v="CPSX Nhựa Duy Tân"/>
    <x v="50"/>
    <x v="48"/>
    <s v="rHDPE"/>
    <s v="rHDPE thổi"/>
    <x v="0"/>
    <s v="NĐ"/>
    <s v="(blank)"/>
    <x v="0"/>
    <n v="17000"/>
    <n v="605846000"/>
    <n v="0"/>
    <n v="0"/>
    <n v="0"/>
    <n v="605846000"/>
    <m/>
    <m/>
    <m/>
    <m/>
    <m/>
    <m/>
    <m/>
    <m/>
    <m/>
    <m/>
    <m/>
    <n v="24181.206068827087"/>
    <n v="24181.206068827087"/>
    <x v="0"/>
    <x v="50"/>
  </r>
  <r>
    <x v="0"/>
    <x v="3"/>
    <n v="4"/>
    <s v="101290"/>
    <s v="Cty Thạnh Phát"/>
    <x v="7"/>
    <x v="7"/>
    <s v="Khác"/>
    <s v="Khác"/>
    <x v="2"/>
    <s v="NĐ"/>
    <s v="(blank)"/>
    <x v="0"/>
    <n v="0"/>
    <n v="0"/>
    <n v="0"/>
    <n v="0"/>
    <n v="0"/>
    <n v="0"/>
    <m/>
    <m/>
    <m/>
    <m/>
    <m/>
    <m/>
    <m/>
    <m/>
    <m/>
    <m/>
    <m/>
    <n v="0"/>
    <n v="0"/>
    <x v="1"/>
    <x v="7"/>
  </r>
  <r>
    <x v="0"/>
    <x v="3"/>
    <n v="4"/>
    <s v="102865"/>
    <s v="Dynaplast Bình Dương"/>
    <x v="1"/>
    <x v="1"/>
    <s v="rHDPE"/>
    <s v="rHDPE thổi"/>
    <x v="0"/>
    <s v="NĐ"/>
    <s v="(blank)"/>
    <x v="0"/>
    <n v="9625"/>
    <n v="356567750"/>
    <n v="0"/>
    <n v="0"/>
    <n v="0"/>
    <n v="356567750"/>
    <m/>
    <m/>
    <m/>
    <m/>
    <m/>
    <m/>
    <m/>
    <m/>
    <m/>
    <m/>
    <m/>
    <n v="14231.732552906215"/>
    <n v="14231.732552906215"/>
    <x v="2"/>
    <x v="1"/>
  </r>
  <r>
    <x v="0"/>
    <x v="3"/>
    <n v="4"/>
    <s v="102990"/>
    <s v="Coca-Cola Thủ Đức"/>
    <x v="8"/>
    <x v="8"/>
    <s v="rPET"/>
    <s v="rPET"/>
    <x v="3"/>
    <s v="NĐ"/>
    <s v="(blank)"/>
    <x v="0"/>
    <n v="72600"/>
    <n v="2400083400"/>
    <n v="14055253.267326735"/>
    <n v="0"/>
    <n v="13200000"/>
    <n v="2372828146.7326736"/>
    <m/>
    <m/>
    <m/>
    <m/>
    <m/>
    <m/>
    <m/>
    <m/>
    <m/>
    <m/>
    <m/>
    <n v="94706.982272814945"/>
    <n v="95794.82455569756"/>
    <x v="3"/>
    <x v="8"/>
  </r>
  <r>
    <x v="0"/>
    <x v="3"/>
    <n v="4"/>
    <s v="104894"/>
    <s v="UNILEVER-NGỌC NGHĨA"/>
    <x v="9"/>
    <x v="9"/>
    <s v="rPET"/>
    <s v="rPET"/>
    <x v="3"/>
    <s v="NĐ"/>
    <s v="(blank)"/>
    <x v="0"/>
    <n v="198000"/>
    <n v="6441534000"/>
    <n v="36202925.082508251"/>
    <n v="0"/>
    <n v="27720000"/>
    <n v="6377611074.917491"/>
    <m/>
    <m/>
    <m/>
    <m/>
    <m/>
    <m/>
    <m/>
    <m/>
    <m/>
    <m/>
    <m/>
    <n v="254550.37687698472"/>
    <n v="257101.74046433583"/>
    <x v="2"/>
    <x v="9"/>
  </r>
  <r>
    <x v="0"/>
    <x v="3"/>
    <n v="4"/>
    <s v="104909"/>
    <s v="Công ty TNHH La Vie"/>
    <x v="10"/>
    <x v="10"/>
    <s v="rPET"/>
    <s v="rPET"/>
    <x v="3"/>
    <s v="NĐ"/>
    <s v="(blank)"/>
    <x v="1"/>
    <n v="-2200"/>
    <n v="0"/>
    <n v="0"/>
    <n v="0"/>
    <n v="0"/>
    <n v="0"/>
    <m/>
    <m/>
    <m/>
    <m/>
    <m/>
    <m/>
    <m/>
    <m/>
    <m/>
    <m/>
    <m/>
    <n v="0"/>
    <n v="0"/>
    <x v="4"/>
    <x v="10"/>
  </r>
  <r>
    <x v="0"/>
    <x v="3"/>
    <n v="4"/>
    <s v="104909"/>
    <s v="Công ty TNHH La Vie"/>
    <x v="10"/>
    <x v="10"/>
    <s v="rPET"/>
    <s v="rPET"/>
    <x v="3"/>
    <s v="NĐ"/>
    <s v="(blank)"/>
    <x v="2"/>
    <n v="2200"/>
    <n v="0"/>
    <n v="0"/>
    <n v="0"/>
    <n v="0"/>
    <n v="0"/>
    <m/>
    <m/>
    <m/>
    <m/>
    <m/>
    <m/>
    <m/>
    <m/>
    <m/>
    <m/>
    <m/>
    <n v="0"/>
    <n v="0"/>
    <x v="4"/>
    <x v="10"/>
  </r>
  <r>
    <x v="0"/>
    <x v="3"/>
    <n v="4"/>
    <s v="105189"/>
    <s v="Công ty Chấn Thuận Thành"/>
    <x v="1"/>
    <x v="1"/>
    <s v="rHDPE"/>
    <s v="rHDPE thổi"/>
    <x v="0"/>
    <s v="NĐ"/>
    <s v="(blank)"/>
    <x v="0"/>
    <n v="2000"/>
    <n v="63250000"/>
    <n v="0"/>
    <n v="0"/>
    <n v="0"/>
    <n v="63250000"/>
    <m/>
    <m/>
    <m/>
    <m/>
    <m/>
    <m/>
    <m/>
    <m/>
    <m/>
    <m/>
    <m/>
    <n v="2524.5050455946116"/>
    <n v="2524.5050455946116"/>
    <x v="40"/>
    <x v="1"/>
  </r>
  <r>
    <x v="0"/>
    <x v="3"/>
    <n v="4"/>
    <s v="105194"/>
    <s v="Suntory Việt Nam"/>
    <x v="33"/>
    <x v="31"/>
    <s v="rPET"/>
    <s v="rPET"/>
    <x v="3"/>
    <s v="NĐ"/>
    <s v="(blank)"/>
    <x v="0"/>
    <n v="4400"/>
    <n v="153183399.59999999"/>
    <n v="851833.53135313536"/>
    <n v="0"/>
    <n v="7000000"/>
    <n v="145331566.06864685"/>
    <m/>
    <m/>
    <m/>
    <m/>
    <m/>
    <m/>
    <m/>
    <m/>
    <m/>
    <m/>
    <m/>
    <n v="5800.6367086872042"/>
    <n v="6114.0279081665713"/>
    <x v="7"/>
    <x v="33"/>
  </r>
  <r>
    <x v="0"/>
    <x v="3"/>
    <n v="4"/>
    <s v="105204"/>
    <s v="CTY NGỌC NGHĨA-TÂY NINH"/>
    <x v="9"/>
    <x v="9"/>
    <s v="rPET"/>
    <s v="rPET"/>
    <x v="3"/>
    <s v="NĐ"/>
    <s v="(blank)"/>
    <x v="0"/>
    <n v="110000"/>
    <n v="3274920000"/>
    <n v="21295838.283828385"/>
    <n v="0"/>
    <n v="15400000"/>
    <n v="3238224161.7161713"/>
    <m/>
    <m/>
    <m/>
    <m/>
    <m/>
    <m/>
    <m/>
    <m/>
    <m/>
    <m/>
    <m/>
    <n v="129247.64007934951"/>
    <n v="130712.28559555266"/>
    <x v="5"/>
    <x v="9"/>
  </r>
  <r>
    <x v="0"/>
    <x v="3"/>
    <n v="4"/>
    <s v="105205"/>
    <s v="CÔNG TY  ĐẠI LỘC"/>
    <x v="35"/>
    <x v="33"/>
    <s v="Khác"/>
    <s v="Khác"/>
    <x v="2"/>
    <s v="NĐ"/>
    <s v="(blank)"/>
    <x v="0"/>
    <n v="0"/>
    <n v="5400000"/>
    <n v="0"/>
    <n v="0"/>
    <n v="0"/>
    <n v="5400000"/>
    <m/>
    <m/>
    <m/>
    <m/>
    <m/>
    <m/>
    <m/>
    <m/>
    <m/>
    <m/>
    <m/>
    <n v="215.53086555274155"/>
    <n v="215.53086555274155"/>
    <x v="6"/>
    <x v="35"/>
  </r>
  <r>
    <x v="0"/>
    <x v="3"/>
    <n v="4"/>
    <s v="105207"/>
    <s v="Suntory Sri Thái Bình Dương"/>
    <x v="8"/>
    <x v="8"/>
    <s v="rPET"/>
    <s v="rPET"/>
    <x v="3"/>
    <s v="NĐ"/>
    <s v="(blank)"/>
    <x v="0"/>
    <n v="44000"/>
    <n v="1555127200.0000002"/>
    <n v="8518335.3135313541"/>
    <n v="0"/>
    <n v="6400000"/>
    <n v="1540208864.6864688"/>
    <m/>
    <m/>
    <m/>
    <m/>
    <m/>
    <m/>
    <m/>
    <m/>
    <m/>
    <m/>
    <m/>
    <n v="61474.546247755556"/>
    <n v="62069.983603816938"/>
    <x v="7"/>
    <x v="8"/>
  </r>
  <r>
    <x v="0"/>
    <x v="3"/>
    <n v="4"/>
    <s v="105214"/>
    <s v="Người mua hàng không lấy hóa đơn"/>
    <x v="27"/>
    <x v="25"/>
    <s v="Khác"/>
    <s v="Khác"/>
    <x v="2"/>
    <s v="NĐ"/>
    <s v="(blank)"/>
    <x v="0"/>
    <n v="0"/>
    <n v="41492594"/>
    <n v="0"/>
    <n v="0"/>
    <n v="0"/>
    <n v="41492594"/>
    <m/>
    <m/>
    <m/>
    <m/>
    <m/>
    <m/>
    <m/>
    <m/>
    <m/>
    <m/>
    <m/>
    <n v="1656.0990183052759"/>
    <n v="1656.0990183052759"/>
    <x v="9"/>
    <x v="27"/>
  </r>
  <r>
    <x v="0"/>
    <x v="3"/>
    <n v="4"/>
    <s v="105223"/>
    <s v="Dynaplast Bắc Ninh"/>
    <x v="1"/>
    <x v="1"/>
    <s v="rHDPE"/>
    <s v="rHDPE thổi"/>
    <x v="0"/>
    <s v="NĐ"/>
    <s v="(blank)"/>
    <x v="0"/>
    <n v="11000"/>
    <n v="418418000"/>
    <n v="0"/>
    <n v="0"/>
    <n v="11574074"/>
    <n v="406843926"/>
    <m/>
    <m/>
    <m/>
    <m/>
    <m/>
    <m/>
    <m/>
    <m/>
    <m/>
    <m/>
    <m/>
    <n v="16238.411762158432"/>
    <n v="16700.36920423093"/>
    <x v="2"/>
    <x v="1"/>
  </r>
  <r>
    <x v="0"/>
    <x v="3"/>
    <n v="4"/>
    <s v="105247"/>
    <s v="MINH THÀNH"/>
    <x v="29"/>
    <x v="27"/>
    <s v="Khác"/>
    <s v="Phó sản"/>
    <x v="5"/>
    <s v="NĐ"/>
    <s v="(blank)"/>
    <x v="0"/>
    <n v="2002"/>
    <n v="40440400"/>
    <n v="0"/>
    <n v="0"/>
    <n v="0"/>
    <n v="40440400"/>
    <m/>
    <m/>
    <m/>
    <m/>
    <m/>
    <m/>
    <m/>
    <m/>
    <m/>
    <m/>
    <m/>
    <n v="1614.1026694998313"/>
    <n v="1614.1026694998313"/>
    <x v="10"/>
    <x v="29"/>
  </r>
  <r>
    <x v="0"/>
    <x v="3"/>
    <n v="4"/>
    <s v="105248"/>
    <s v="ĐẠI NHẤT LONG"/>
    <x v="31"/>
    <x v="29"/>
    <s v="rPP"/>
    <s v="rPP"/>
    <x v="6"/>
    <s v="NĐ"/>
    <s v="(blank)"/>
    <x v="0"/>
    <n v="30500"/>
    <n v="674385500"/>
    <n v="8731293.6963696368"/>
    <n v="0"/>
    <n v="0"/>
    <n v="665654206.30363035"/>
    <m/>
    <m/>
    <m/>
    <m/>
    <m/>
    <m/>
    <m/>
    <m/>
    <m/>
    <m/>
    <m/>
    <n v="26568.338378415676"/>
    <n v="26916.831579855258"/>
    <x v="27"/>
    <x v="31"/>
  </r>
  <r>
    <x v="0"/>
    <x v="3"/>
    <n v="4"/>
    <s v="105253"/>
    <s v="TIẾN THÀNH"/>
    <x v="51"/>
    <x v="49"/>
    <s v="rHDPE"/>
    <s v="rHDPE ép"/>
    <x v="1"/>
    <s v="NĐ"/>
    <s v="(blank)"/>
    <x v="0"/>
    <n v="13750"/>
    <n v="311972500"/>
    <n v="3947920.7895404929"/>
    <n v="0"/>
    <n v="0"/>
    <n v="308024579.21045947"/>
    <m/>
    <m/>
    <m/>
    <m/>
    <m/>
    <m/>
    <m/>
    <m/>
    <m/>
    <m/>
    <m/>
    <n v="12294.222994212842"/>
    <n v="12451.796843269012"/>
    <x v="11"/>
    <x v="51"/>
  </r>
  <r>
    <x v="0"/>
    <x v="3"/>
    <n v="4"/>
    <s v="105253"/>
    <s v="TIẾN THÀNH"/>
    <x v="52"/>
    <x v="50"/>
    <s v="rHDPE"/>
    <s v="rHDPE ép"/>
    <x v="1"/>
    <s v="NĐ"/>
    <s v="(blank)"/>
    <x v="0"/>
    <n v="9000"/>
    <n v="198999000"/>
    <n v="2653789.0784463063"/>
    <n v="0"/>
    <n v="0"/>
    <n v="196345210.9215537"/>
    <m/>
    <m/>
    <m/>
    <m/>
    <m/>
    <m/>
    <m/>
    <m/>
    <m/>
    <m/>
    <m/>
    <n v="7836.7506031589028"/>
    <n v="7942.6716137277808"/>
    <x v="11"/>
    <x v="52"/>
  </r>
  <r>
    <x v="0"/>
    <x v="3"/>
    <n v="4"/>
    <s v="105263"/>
    <s v="Unilever Duy Tân"/>
    <x v="1"/>
    <x v="1"/>
    <s v="rHDPE"/>
    <s v="rHDPE thổi"/>
    <x v="0"/>
    <s v="NĐ"/>
    <s v="(blank)"/>
    <x v="0"/>
    <n v="100000"/>
    <n v="3509400000"/>
    <n v="3848645.4729810338"/>
    <n v="0"/>
    <n v="0"/>
    <n v="3505551354.52702"/>
    <m/>
    <m/>
    <m/>
    <m/>
    <m/>
    <m/>
    <m/>
    <m/>
    <m/>
    <m/>
    <m/>
    <n v="139917.50327422109"/>
    <n v="140071.11473533174"/>
    <x v="2"/>
    <x v="1"/>
  </r>
  <r>
    <x v="0"/>
    <x v="3"/>
    <n v="4"/>
    <s v="105263"/>
    <s v="Unilever Duy Tân"/>
    <x v="9"/>
    <x v="9"/>
    <s v="rPET"/>
    <s v="rPET"/>
    <x v="3"/>
    <s v="NĐ"/>
    <s v="(blank)"/>
    <x v="0"/>
    <n v="33000"/>
    <n v="1072269000"/>
    <n v="1270053.0060837409"/>
    <n v="0"/>
    <n v="0"/>
    <n v="1070998946.9939163"/>
    <m/>
    <m/>
    <m/>
    <m/>
    <m/>
    <m/>
    <m/>
    <m/>
    <m/>
    <m/>
    <m/>
    <n v="42746.91297253214"/>
    <n v="42797.604754698637"/>
    <x v="2"/>
    <x v="9"/>
  </r>
  <r>
    <x v="0"/>
    <x v="3"/>
    <n v="4"/>
    <s v="105263"/>
    <s v="Unilever Duy Tân"/>
    <x v="50"/>
    <x v="48"/>
    <s v="rHDPE"/>
    <s v="rHDPE thổi"/>
    <x v="0"/>
    <s v="NĐ"/>
    <s v="(blank)"/>
    <x v="0"/>
    <n v="33000"/>
    <n v="1116918000"/>
    <n v="1270053.0060837409"/>
    <n v="0"/>
    <n v="0"/>
    <n v="1115647946.9939163"/>
    <m/>
    <m/>
    <m/>
    <m/>
    <m/>
    <m/>
    <m/>
    <m/>
    <m/>
    <m/>
    <m/>
    <n v="44528.994012544055"/>
    <n v="44579.685794710553"/>
    <x v="2"/>
    <x v="50"/>
  </r>
  <r>
    <x v="0"/>
    <x v="3"/>
    <n v="4"/>
    <s v="105266"/>
    <s v="MIDA"/>
    <x v="53"/>
    <x v="51"/>
    <s v="rPET"/>
    <s v="rPET"/>
    <x v="3"/>
    <s v="NĐ"/>
    <s v="(blank)"/>
    <x v="0"/>
    <n v="225"/>
    <n v="7056000"/>
    <n v="0"/>
    <n v="0"/>
    <n v="0"/>
    <n v="7056000"/>
    <m/>
    <m/>
    <m/>
    <m/>
    <m/>
    <m/>
    <m/>
    <m/>
    <m/>
    <m/>
    <m/>
    <n v="281.62699765558227"/>
    <n v="281.62699765558227"/>
    <x v="35"/>
    <x v="53"/>
  </r>
  <r>
    <x v="0"/>
    <x v="3"/>
    <n v="4"/>
    <s v="105269"/>
    <s v="Suntory- Honchuan Viet Nam"/>
    <x v="33"/>
    <x v="31"/>
    <s v="rPET"/>
    <s v="rPET"/>
    <x v="3"/>
    <s v="NĐ"/>
    <s v="(blank)"/>
    <x v="0"/>
    <n v="4400"/>
    <n v="146183400"/>
    <n v="851833.53135313536"/>
    <n v="0"/>
    <n v="0"/>
    <n v="145331566.46864685"/>
    <m/>
    <m/>
    <m/>
    <m/>
    <m/>
    <m/>
    <m/>
    <m/>
    <m/>
    <m/>
    <m/>
    <n v="5800.6367246524533"/>
    <n v="5834.6360613782663"/>
    <x v="41"/>
    <x v="33"/>
  </r>
  <r>
    <x v="0"/>
    <x v="3"/>
    <n v="4"/>
    <s v="105271"/>
    <s v="Suntory- Ngọc Nghĩa Tây Ninh"/>
    <x v="8"/>
    <x v="8"/>
    <s v="rPET"/>
    <s v="rPET"/>
    <x v="3"/>
    <s v="NĐ"/>
    <s v="(blank)"/>
    <x v="0"/>
    <n v="44000"/>
    <n v="1555127200.0000002"/>
    <n v="8518335.3135313541"/>
    <n v="0"/>
    <n v="6160000"/>
    <n v="1540448864.6864688"/>
    <m/>
    <m/>
    <m/>
    <m/>
    <m/>
    <m/>
    <m/>
    <m/>
    <m/>
    <m/>
    <m/>
    <n v="61484.12539733568"/>
    <n v="62069.983603816938"/>
    <x v="7"/>
    <x v="8"/>
  </r>
  <r>
    <x v="0"/>
    <x v="3"/>
    <n v="4"/>
    <s v="105272"/>
    <s v="LINH CHI"/>
    <x v="62"/>
    <x v="60"/>
    <s v="Xơ sợi"/>
    <s v="Xơ sợi"/>
    <x v="7"/>
    <s v="NĐ"/>
    <s v="(blank)"/>
    <x v="0"/>
    <n v="5500"/>
    <n v="108372000"/>
    <n v="0"/>
    <n v="0"/>
    <n v="0"/>
    <n v="108372000"/>
    <m/>
    <m/>
    <m/>
    <m/>
    <m/>
    <m/>
    <m/>
    <m/>
    <m/>
    <m/>
    <m/>
    <n v="4325.4649929040197"/>
    <n v="4325.4649929040197"/>
    <x v="42"/>
    <x v="62"/>
  </r>
  <r>
    <x v="0"/>
    <x v="3"/>
    <n v="4"/>
    <s v="200311"/>
    <s v="Plascene, Inc."/>
    <x v="9"/>
    <x v="9"/>
    <s v="rPET"/>
    <s v="rPET"/>
    <x v="3"/>
    <s v="XK"/>
    <s v="United States of America (the)"/>
    <x v="0"/>
    <n v="110000"/>
    <n v="3277736000"/>
    <n v="8850000"/>
    <n v="0"/>
    <n v="46034265"/>
    <n v="3222851735"/>
    <m/>
    <m/>
    <m/>
    <m/>
    <m/>
    <m/>
    <m/>
    <m/>
    <m/>
    <m/>
    <m/>
    <n v="128707.78626173025"/>
    <n v="130900"/>
    <x v="13"/>
    <x v="9"/>
  </r>
  <r>
    <x v="0"/>
    <x v="3"/>
    <n v="4"/>
    <s v="200319"/>
    <s v="Niagara Bottling, LLC"/>
    <x v="9"/>
    <x v="9"/>
    <s v="rPET"/>
    <s v="rPET"/>
    <x v="3"/>
    <s v="XK"/>
    <s v="United Kingdom of Great Britain and Northern Ireland (the)"/>
    <x v="0"/>
    <n v="110000"/>
    <n v="3321120000"/>
    <n v="8850000"/>
    <n v="49816800"/>
    <n v="44637408"/>
    <n v="3217815792"/>
    <m/>
    <m/>
    <m/>
    <m/>
    <m/>
    <m/>
    <m/>
    <m/>
    <m/>
    <m/>
    <m/>
    <n v="127894.1093799682"/>
    <n v="132000"/>
    <x v="14"/>
    <x v="9"/>
  </r>
  <r>
    <x v="0"/>
    <x v="3"/>
    <n v="4"/>
    <s v="200319"/>
    <s v="Niagara Bottling, LLC"/>
    <x v="9"/>
    <x v="9"/>
    <s v="rPET"/>
    <s v="rPET"/>
    <x v="3"/>
    <s v="XK"/>
    <s v="United States of America (the)"/>
    <x v="0"/>
    <n v="814000"/>
    <n v="24238104000"/>
    <n v="65490000"/>
    <n v="363571560"/>
    <n v="302319434.99999994"/>
    <n v="23506723004.999989"/>
    <m/>
    <m/>
    <m/>
    <m/>
    <m/>
    <m/>
    <m/>
    <m/>
    <m/>
    <m/>
    <m/>
    <n v="947325.19654862513"/>
    <n v="976800"/>
    <x v="14"/>
    <x v="9"/>
  </r>
  <r>
    <x v="0"/>
    <x v="3"/>
    <n v="4"/>
    <s v="200324"/>
    <s v="Itochu"/>
    <x v="58"/>
    <x v="56"/>
    <s v="rPET"/>
    <s v="rPET"/>
    <x v="3"/>
    <s v="XK"/>
    <s v="Japan"/>
    <x v="0"/>
    <n v="1100"/>
    <n v="33211200"/>
    <n v="177000"/>
    <n v="0"/>
    <n v="4086479.8"/>
    <n v="28947720.199999999"/>
    <m/>
    <m/>
    <m/>
    <m/>
    <m/>
    <m/>
    <m/>
    <m/>
    <m/>
    <m/>
    <m/>
    <n v="1150.5453179650237"/>
    <n v="1320"/>
    <x v="43"/>
    <x v="58"/>
  </r>
  <r>
    <x v="0"/>
    <x v="3"/>
    <n v="4"/>
    <s v="200332"/>
    <s v="OUTEIRINHO TURISMO E INDUSTRIA SA"/>
    <x v="33"/>
    <x v="31"/>
    <s v="rPET"/>
    <s v="rPET"/>
    <x v="3"/>
    <s v="XK"/>
    <s v="Portugal"/>
    <x v="0"/>
    <n v="660000"/>
    <n v="22731508800"/>
    <n v="53100000"/>
    <n v="0"/>
    <n v="1698042205.9999988"/>
    <n v="20980366594.000008"/>
    <m/>
    <m/>
    <m/>
    <m/>
    <m/>
    <m/>
    <m/>
    <m/>
    <m/>
    <m/>
    <m/>
    <n v="831498.33105544245"/>
    <n v="900900"/>
    <x v="44"/>
    <x v="33"/>
  </r>
  <r>
    <x v="0"/>
    <x v="3"/>
    <n v="4"/>
    <s v="200343"/>
    <s v="MILKYWAY"/>
    <x v="58"/>
    <x v="56"/>
    <s v="rPET"/>
    <s v="rPET"/>
    <x v="3"/>
    <s v="XK"/>
    <s v="United States of America (the)"/>
    <x v="0"/>
    <n v="440000"/>
    <n v="12117270000"/>
    <n v="35400000"/>
    <n v="242345400"/>
    <n v="168726221"/>
    <n v="11670798379"/>
    <m/>
    <m/>
    <m/>
    <m/>
    <m/>
    <m/>
    <m/>
    <m/>
    <m/>
    <m/>
    <m/>
    <n v="464047.6492644134"/>
    <n v="481800"/>
    <x v="23"/>
    <x v="58"/>
  </r>
  <r>
    <x v="0"/>
    <x v="3"/>
    <n v="4"/>
    <s v="200353"/>
    <s v="Custom Synthetic Fibers, LLC"/>
    <x v="62"/>
    <x v="60"/>
    <s v="Xơ sợi"/>
    <s v="Xơ sợi"/>
    <x v="7"/>
    <s v="XK"/>
    <s v="United States of America (the)"/>
    <x v="0"/>
    <n v="220000"/>
    <n v="4426400000"/>
    <n v="17700000"/>
    <n v="55330000"/>
    <n v="714789120"/>
    <n v="3638580880"/>
    <m/>
    <m/>
    <m/>
    <m/>
    <m/>
    <m/>
    <m/>
    <m/>
    <m/>
    <m/>
    <m/>
    <n v="144675.18409542742"/>
    <n v="176000"/>
    <x v="45"/>
    <x v="62"/>
  </r>
  <r>
    <x v="0"/>
    <x v="3"/>
    <n v="4"/>
    <s v="300307"/>
    <s v="Công ty TNHH MTV Đồng Lâm"/>
    <x v="35"/>
    <x v="33"/>
    <s v="Khác"/>
    <s v="Khác"/>
    <x v="2"/>
    <s v="NĐ"/>
    <s v="(blank)"/>
    <x v="0"/>
    <n v="0"/>
    <n v="57000000"/>
    <n v="0"/>
    <n v="0"/>
    <n v="0"/>
    <n v="57000000"/>
    <m/>
    <m/>
    <m/>
    <m/>
    <m/>
    <m/>
    <m/>
    <m/>
    <m/>
    <m/>
    <m/>
    <n v="2275.0480252789384"/>
    <n v="2275.0480252789384"/>
    <x v="17"/>
    <x v="35"/>
  </r>
  <r>
    <x v="0"/>
    <x v="3"/>
    <n v="4"/>
    <s v="300313"/>
    <s v="Công ty TNHH Nhựa Khánh Nga"/>
    <x v="35"/>
    <x v="33"/>
    <s v="Khác"/>
    <s v="Khác"/>
    <x v="2"/>
    <s v="NĐ"/>
    <s v="(blank)"/>
    <x v="0"/>
    <n v="0"/>
    <n v="4500000"/>
    <n v="0"/>
    <n v="0"/>
    <n v="0"/>
    <n v="4500000"/>
    <m/>
    <m/>
    <m/>
    <m/>
    <m/>
    <m/>
    <m/>
    <m/>
    <m/>
    <m/>
    <m/>
    <n v="179.60905462728462"/>
    <n v="179.60905462728462"/>
    <x v="18"/>
    <x v="35"/>
  </r>
  <r>
    <x v="0"/>
    <x v="3"/>
    <n v="4"/>
    <s v="3358000400"/>
    <s v="Chí phí phải trả khác- Open item"/>
    <x v="36"/>
    <x v="34"/>
    <s v="Khác"/>
    <s v="Khác"/>
    <x v="2"/>
    <s v="NĐ"/>
    <s v="(blank)"/>
    <x v="0"/>
    <n v="0"/>
    <n v="0"/>
    <n v="0"/>
    <n v="0"/>
    <n v="0"/>
    <n v="0"/>
    <m/>
    <m/>
    <m/>
    <m/>
    <m/>
    <m/>
    <m/>
    <m/>
    <m/>
    <m/>
    <m/>
    <n v="0"/>
    <n v="0"/>
    <x v="19"/>
    <x v="36"/>
  </r>
  <r>
    <x v="0"/>
    <x v="3"/>
    <n v="4"/>
    <s v="6219000900"/>
    <s v="Kết chuyển CPSX không phân bổ được"/>
    <x v="37"/>
    <x v="35"/>
    <s v="Khác"/>
    <s v="Khác"/>
    <x v="2"/>
    <s v="NĐ"/>
    <s v="(blank)"/>
    <x v="0"/>
    <n v="0"/>
    <n v="0"/>
    <n v="0"/>
    <n v="0"/>
    <n v="0"/>
    <n v="0"/>
    <m/>
    <m/>
    <m/>
    <m/>
    <m/>
    <m/>
    <m/>
    <m/>
    <m/>
    <m/>
    <m/>
    <n v="0"/>
    <n v="0"/>
    <x v="20"/>
    <x v="37"/>
  </r>
  <r>
    <x v="0"/>
    <x v="3"/>
    <n v="4"/>
    <s v="BN"/>
    <s v="Bán Ngoài"/>
    <x v="38"/>
    <x v="36"/>
    <s v="Khác"/>
    <s v="Khác"/>
    <x v="2"/>
    <s v="NĐ"/>
    <s v="(blank)"/>
    <x v="0"/>
    <n v="0"/>
    <n v="0.399993896484375"/>
    <n v="-5310000"/>
    <n v="0"/>
    <n v="350000.2"/>
    <n v="4960000.1999938963"/>
    <m/>
    <m/>
    <m/>
    <m/>
    <m/>
    <m/>
    <m/>
    <m/>
    <m/>
    <m/>
    <m/>
    <n v="197.9690993048992"/>
    <n v="1.5965005689831676E-5"/>
    <x v="21"/>
    <x v="38"/>
  </r>
  <r>
    <x v="0"/>
    <x v="3"/>
    <n v="4"/>
    <s v="BN"/>
    <s v="Bán Ngoài"/>
    <x v="47"/>
    <x v="45"/>
    <s v="Khác"/>
    <s v="Khác"/>
    <x v="11"/>
    <s v="NĐ"/>
    <s v="(blank)"/>
    <x v="0"/>
    <n v="0"/>
    <n v="0"/>
    <n v="0"/>
    <n v="277650000"/>
    <n v="0"/>
    <n v="-277650000"/>
    <m/>
    <m/>
    <m/>
    <m/>
    <m/>
    <m/>
    <m/>
    <m/>
    <m/>
    <m/>
    <m/>
    <n v="-11081.878670503462"/>
    <n v="0"/>
    <x v="21"/>
    <x v="47"/>
  </r>
  <r>
    <x v="0"/>
    <x v="3"/>
    <n v="4"/>
    <s v="BN"/>
    <s v="Bán Ngoài"/>
    <x v="39"/>
    <x v="37"/>
    <s v="Khác"/>
    <s v="Khác"/>
    <x v="8"/>
    <s v="NĐ"/>
    <s v="(blank)"/>
    <x v="0"/>
    <n v="0"/>
    <n v="0"/>
    <n v="0"/>
    <n v="-41128472"/>
    <n v="83923995"/>
    <n v="-42795523"/>
    <m/>
    <m/>
    <m/>
    <m/>
    <m/>
    <m/>
    <m/>
    <m/>
    <m/>
    <m/>
    <m/>
    <n v="-1708.102984068935"/>
    <n v="0"/>
    <x v="21"/>
    <x v="39"/>
  </r>
  <r>
    <x v="0"/>
    <x v="3"/>
    <n v="4"/>
    <s v="BN"/>
    <s v="Bán Ngoài"/>
    <x v="40"/>
    <x v="38"/>
    <s v="Khác"/>
    <s v="Khác"/>
    <x v="9"/>
    <s v="NĐ"/>
    <s v="(blank)"/>
    <x v="0"/>
    <n v="0"/>
    <n v="0"/>
    <n v="0"/>
    <n v="0"/>
    <n v="-12184994"/>
    <n v="12184994"/>
    <m/>
    <m/>
    <m/>
    <m/>
    <m/>
    <m/>
    <m/>
    <m/>
    <m/>
    <m/>
    <m/>
    <n v="486.34116732869677"/>
    <n v="0"/>
    <x v="21"/>
    <x v="40"/>
  </r>
  <r>
    <x v="0"/>
    <x v="3"/>
    <n v="4"/>
    <s v="BN"/>
    <s v="Bán Ngoài"/>
    <x v="41"/>
    <x v="39"/>
    <s v="Khác"/>
    <s v="Khác"/>
    <x v="2"/>
    <s v="NĐ"/>
    <s v="(blank)"/>
    <x v="0"/>
    <n v="0"/>
    <n v="0"/>
    <n v="0"/>
    <n v="0"/>
    <n v="0"/>
    <n v="0"/>
    <m/>
    <m/>
    <m/>
    <m/>
    <m/>
    <m/>
    <m/>
    <m/>
    <m/>
    <m/>
    <m/>
    <n v="0"/>
    <n v="0"/>
    <x v="21"/>
    <x v="41"/>
  </r>
  <r>
    <x v="0"/>
    <x v="4"/>
    <n v="5"/>
    <s v="1000"/>
    <s v="CPSX Nhựa Duy Tân"/>
    <x v="10"/>
    <x v="10"/>
    <s v="rPET"/>
    <s v="rPET"/>
    <x v="3"/>
    <s v="NĐ"/>
    <s v="(blank)"/>
    <x v="3"/>
    <n v="-4400"/>
    <n v="-136455000"/>
    <n v="0"/>
    <n v="0"/>
    <n v="0"/>
    <n v="-136455000"/>
    <m/>
    <m/>
    <m/>
    <m/>
    <m/>
    <m/>
    <m/>
    <m/>
    <m/>
    <m/>
    <m/>
    <n v="-5404.136957008569"/>
    <n v="-5404.136957008569"/>
    <x v="0"/>
    <x v="10"/>
  </r>
  <r>
    <x v="0"/>
    <x v="4"/>
    <n v="5"/>
    <s v="1000"/>
    <s v="CPSX Nhựa Duy Tân"/>
    <x v="1"/>
    <x v="1"/>
    <s v="rHDPE"/>
    <s v="rHDPE thổi"/>
    <x v="0"/>
    <s v="NĐ"/>
    <s v="(blank)"/>
    <x v="1"/>
    <n v="-2325"/>
    <n v="0"/>
    <n v="0"/>
    <n v="0"/>
    <n v="0"/>
    <n v="0"/>
    <m/>
    <m/>
    <m/>
    <m/>
    <m/>
    <m/>
    <m/>
    <m/>
    <m/>
    <m/>
    <m/>
    <n v="0"/>
    <n v="0"/>
    <x v="0"/>
    <x v="1"/>
  </r>
  <r>
    <x v="0"/>
    <x v="4"/>
    <n v="5"/>
    <s v="1000"/>
    <s v="CPSX Nhựa Duy Tân"/>
    <x v="1"/>
    <x v="1"/>
    <s v="rHDPE"/>
    <s v="rHDPE thổi"/>
    <x v="0"/>
    <s v="NĐ"/>
    <s v="(blank)"/>
    <x v="0"/>
    <n v="99700"/>
    <n v="3498871800"/>
    <n v="5466597.42857143"/>
    <n v="0"/>
    <n v="0"/>
    <n v="3493405202.5714278"/>
    <m/>
    <m/>
    <m/>
    <m/>
    <m/>
    <m/>
    <m/>
    <m/>
    <m/>
    <m/>
    <m/>
    <n v="138352.13191911081"/>
    <n v="138568.62996749918"/>
    <x v="0"/>
    <x v="1"/>
  </r>
  <r>
    <x v="0"/>
    <x v="4"/>
    <n v="5"/>
    <s v="1000"/>
    <s v="CPSX Nhựa Duy Tân"/>
    <x v="1"/>
    <x v="1"/>
    <s v="rHDPE"/>
    <s v="rHDPE thổi"/>
    <x v="0"/>
    <s v="NĐ"/>
    <s v="(blank)"/>
    <x v="2"/>
    <n v="2325"/>
    <n v="0"/>
    <n v="0"/>
    <n v="0"/>
    <n v="0"/>
    <n v="0"/>
    <m/>
    <m/>
    <m/>
    <m/>
    <m/>
    <m/>
    <m/>
    <m/>
    <m/>
    <m/>
    <m/>
    <n v="0"/>
    <n v="0"/>
    <x v="0"/>
    <x v="1"/>
  </r>
  <r>
    <x v="0"/>
    <x v="4"/>
    <n v="5"/>
    <s v="1000"/>
    <s v="CPSX Nhựa Duy Tân"/>
    <x v="9"/>
    <x v="9"/>
    <s v="rPET"/>
    <s v="rPET"/>
    <x v="3"/>
    <s v="NĐ"/>
    <s v="(blank)"/>
    <x v="0"/>
    <n v="44000"/>
    <n v="1429692000"/>
    <n v="2429598.8571428573"/>
    <n v="0"/>
    <n v="0"/>
    <n v="1427262401.1428571"/>
    <m/>
    <m/>
    <m/>
    <m/>
    <m/>
    <m/>
    <m/>
    <m/>
    <m/>
    <m/>
    <m/>
    <n v="56525.01915917264"/>
    <n v="56621.240514011908"/>
    <x v="0"/>
    <x v="9"/>
  </r>
  <r>
    <x v="0"/>
    <x v="4"/>
    <n v="5"/>
    <s v="1000"/>
    <s v="CPSX Nhựa Duy Tân"/>
    <x v="3"/>
    <x v="3"/>
    <s v="rHDPE"/>
    <s v="rHDPE ép"/>
    <x v="1"/>
    <s v="NĐ"/>
    <s v="(blank)"/>
    <x v="0"/>
    <n v="10000"/>
    <n v="227850000"/>
    <n v="0"/>
    <n v="0"/>
    <n v="0"/>
    <n v="227850000"/>
    <m/>
    <m/>
    <m/>
    <m/>
    <m/>
    <m/>
    <m/>
    <m/>
    <m/>
    <m/>
    <m/>
    <n v="9023.7265446806814"/>
    <n v="9023.7265446806814"/>
    <x v="0"/>
    <x v="3"/>
  </r>
  <r>
    <x v="0"/>
    <x v="4"/>
    <n v="5"/>
    <s v="1000"/>
    <s v="CPSX Nhựa Duy Tân"/>
    <x v="4"/>
    <x v="4"/>
    <s v="rHDPE"/>
    <s v="rHDPE ép"/>
    <x v="1"/>
    <s v="NĐ"/>
    <s v="(blank)"/>
    <x v="0"/>
    <n v="18250"/>
    <n v="416948250"/>
    <n v="0"/>
    <n v="0"/>
    <n v="0"/>
    <n v="416948250"/>
    <m/>
    <m/>
    <m/>
    <m/>
    <m/>
    <m/>
    <m/>
    <m/>
    <m/>
    <m/>
    <m/>
    <n v="16512.736411161539"/>
    <n v="16512.736411161539"/>
    <x v="0"/>
    <x v="4"/>
  </r>
  <r>
    <x v="0"/>
    <x v="4"/>
    <n v="5"/>
    <s v="1000"/>
    <s v="CPSX Nhựa Duy Tân"/>
    <x v="61"/>
    <x v="59"/>
    <s v="rHDPE"/>
    <s v="rHDPE ép"/>
    <x v="1"/>
    <s v="NĐ"/>
    <s v="(blank)"/>
    <x v="0"/>
    <n v="18250"/>
    <n v="416948250"/>
    <n v="0"/>
    <n v="0"/>
    <n v="0"/>
    <n v="416948250"/>
    <m/>
    <m/>
    <m/>
    <m/>
    <m/>
    <m/>
    <m/>
    <m/>
    <m/>
    <m/>
    <m/>
    <n v="16512.736411161539"/>
    <n v="16512.736411161539"/>
    <x v="0"/>
    <x v="61"/>
  </r>
  <r>
    <x v="0"/>
    <x v="4"/>
    <n v="5"/>
    <s v="1000"/>
    <s v="CPSX Nhựa Duy Tân"/>
    <x v="6"/>
    <x v="6"/>
    <s v="rHDPE"/>
    <s v="rHDPE thổi"/>
    <x v="0"/>
    <s v="NĐ"/>
    <s v="(blank)"/>
    <x v="0"/>
    <n v="11000"/>
    <n v="372306000"/>
    <n v="607399.71428571432"/>
    <n v="0"/>
    <n v="0"/>
    <n v="371698600.28571427"/>
    <m/>
    <m/>
    <m/>
    <m/>
    <m/>
    <m/>
    <m/>
    <m/>
    <m/>
    <m/>
    <m/>
    <n v="14720.678191875595"/>
    <n v="14744.73353058541"/>
    <x v="0"/>
    <x v="6"/>
  </r>
  <r>
    <x v="0"/>
    <x v="4"/>
    <n v="5"/>
    <s v="101290"/>
    <s v="Cty Thạnh Phát"/>
    <x v="7"/>
    <x v="7"/>
    <s v="Khác"/>
    <s v="Khác"/>
    <x v="2"/>
    <s v="NĐ"/>
    <s v="(blank)"/>
    <x v="0"/>
    <n v="0"/>
    <n v="0"/>
    <n v="0"/>
    <n v="0"/>
    <n v="0"/>
    <n v="0"/>
    <m/>
    <m/>
    <m/>
    <m/>
    <m/>
    <m/>
    <m/>
    <m/>
    <m/>
    <m/>
    <m/>
    <n v="0"/>
    <n v="0"/>
    <x v="1"/>
    <x v="7"/>
  </r>
  <r>
    <x v="0"/>
    <x v="4"/>
    <n v="5"/>
    <s v="102865"/>
    <s v="Dynaplast Bình Dương"/>
    <x v="1"/>
    <x v="1"/>
    <s v="rHDPE"/>
    <s v="rHDPE thổi"/>
    <x v="0"/>
    <s v="NĐ"/>
    <s v="(blank)"/>
    <x v="0"/>
    <n v="9625"/>
    <n v="339781750"/>
    <n v="0"/>
    <n v="0"/>
    <n v="0"/>
    <n v="339781750"/>
    <m/>
    <m/>
    <m/>
    <m/>
    <m/>
    <m/>
    <m/>
    <m/>
    <m/>
    <m/>
    <m/>
    <n v="13456.64953641894"/>
    <n v="13456.64953641894"/>
    <x v="2"/>
    <x v="1"/>
  </r>
  <r>
    <x v="0"/>
    <x v="4"/>
    <n v="5"/>
    <s v="104894"/>
    <s v="UNILEVER-NGỌC NGHĨA"/>
    <x v="9"/>
    <x v="9"/>
    <s v="rPET"/>
    <s v="rPET"/>
    <x v="3"/>
    <s v="NĐ"/>
    <s v="(blank)"/>
    <x v="0"/>
    <n v="264000"/>
    <n v="8578152000"/>
    <n v="51021576"/>
    <n v="0"/>
    <n v="36960000"/>
    <n v="8490170424"/>
    <m/>
    <m/>
    <m/>
    <m/>
    <m/>
    <m/>
    <m/>
    <m/>
    <m/>
    <m/>
    <m/>
    <n v="336243.03806851717"/>
    <n v="339727.44308407156"/>
    <x v="2"/>
    <x v="9"/>
  </r>
  <r>
    <x v="0"/>
    <x v="4"/>
    <n v="5"/>
    <s v="104909"/>
    <s v="Công ty TNHH La Vie"/>
    <x v="10"/>
    <x v="10"/>
    <s v="rPET"/>
    <s v="rPET"/>
    <x v="3"/>
    <s v="NĐ"/>
    <s v="(blank)"/>
    <x v="0"/>
    <n v="1400000"/>
    <n v="43382500000"/>
    <n v="0"/>
    <n v="0"/>
    <n v="0"/>
    <n v="43382500000"/>
    <m/>
    <m/>
    <m/>
    <m/>
    <m/>
    <m/>
    <m/>
    <m/>
    <m/>
    <m/>
    <m/>
    <n v="1718111.9895747628"/>
    <n v="1718111.9895747628"/>
    <x v="4"/>
    <x v="10"/>
  </r>
  <r>
    <x v="0"/>
    <x v="4"/>
    <n v="5"/>
    <s v="105189"/>
    <s v="Công ty Chấn Thuận Thành"/>
    <x v="1"/>
    <x v="1"/>
    <s v="rHDPE"/>
    <s v="rHDPE thổi"/>
    <x v="0"/>
    <s v="NĐ"/>
    <s v="(blank)"/>
    <x v="0"/>
    <n v="1375"/>
    <n v="43791000"/>
    <n v="0"/>
    <n v="0"/>
    <n v="1600000"/>
    <n v="42191000"/>
    <m/>
    <m/>
    <m/>
    <m/>
    <m/>
    <m/>
    <m/>
    <m/>
    <m/>
    <m/>
    <m/>
    <n v="1670.9240581374704"/>
    <n v="1734.2901431560751"/>
    <x v="40"/>
    <x v="1"/>
  </r>
  <r>
    <x v="0"/>
    <x v="4"/>
    <n v="5"/>
    <s v="105204"/>
    <s v="CTY NGỌC NGHĨA-TÂY NINH"/>
    <x v="9"/>
    <x v="9"/>
    <s v="rPET"/>
    <s v="rPET"/>
    <x v="3"/>
    <s v="NĐ"/>
    <s v="(blank)"/>
    <x v="0"/>
    <n v="22000"/>
    <n v="694276000"/>
    <n v="4251798"/>
    <n v="0"/>
    <n v="3080000"/>
    <n v="686944202"/>
    <m/>
    <m/>
    <m/>
    <m/>
    <m/>
    <m/>
    <m/>
    <m/>
    <m/>
    <m/>
    <m/>
    <n v="27205.602941855996"/>
    <n v="27495.970026485516"/>
    <x v="5"/>
    <x v="9"/>
  </r>
  <r>
    <x v="0"/>
    <x v="4"/>
    <n v="5"/>
    <s v="105205"/>
    <s v="CÔNG TY  ĐẠI LỘC"/>
    <x v="35"/>
    <x v="33"/>
    <s v="Khác"/>
    <s v="Khác"/>
    <x v="2"/>
    <s v="NĐ"/>
    <s v="(blank)"/>
    <x v="0"/>
    <n v="0"/>
    <n v="2700000"/>
    <n v="0"/>
    <n v="0"/>
    <n v="0"/>
    <n v="2700000"/>
    <m/>
    <m/>
    <m/>
    <m/>
    <m/>
    <m/>
    <m/>
    <m/>
    <m/>
    <m/>
    <m/>
    <n v="106.93026846889551"/>
    <n v="106.93026846889551"/>
    <x v="6"/>
    <x v="35"/>
  </r>
  <r>
    <x v="0"/>
    <x v="4"/>
    <n v="5"/>
    <s v="105208"/>
    <s v="Công ty TNHH SX Và TM Việt Thành"/>
    <x v="33"/>
    <x v="31"/>
    <s v="rPET"/>
    <s v="rPET"/>
    <x v="3"/>
    <s v="NĐ"/>
    <s v="(blank)"/>
    <x v="0"/>
    <n v="1100"/>
    <n v="36379200"/>
    <n v="212589.9"/>
    <n v="0"/>
    <n v="0"/>
    <n v="36166610.100000001"/>
    <m/>
    <m/>
    <m/>
    <m/>
    <m/>
    <m/>
    <m/>
    <m/>
    <m/>
    <m/>
    <m/>
    <n v="1432.3353065195806"/>
    <n v="1440.754675068016"/>
    <x v="46"/>
    <x v="33"/>
  </r>
  <r>
    <x v="0"/>
    <x v="4"/>
    <n v="5"/>
    <s v="105209"/>
    <s v="Công ty TNHH MTV Đồng Lâm"/>
    <x v="35"/>
    <x v="33"/>
    <s v="Khác"/>
    <s v="Khác"/>
    <x v="2"/>
    <s v="NĐ"/>
    <s v="(blank)"/>
    <x v="0"/>
    <n v="0"/>
    <n v="77000000"/>
    <n v="0"/>
    <n v="0"/>
    <n v="0"/>
    <n v="77000000"/>
    <m/>
    <m/>
    <m/>
    <m/>
    <m/>
    <m/>
    <m/>
    <m/>
    <m/>
    <m/>
    <m/>
    <n v="3049.4928415203531"/>
    <n v="3049.4928415203531"/>
    <x v="17"/>
    <x v="35"/>
  </r>
  <r>
    <x v="0"/>
    <x v="4"/>
    <n v="5"/>
    <s v="105214"/>
    <s v="Người mua hàng không lấy hóa đơn"/>
    <x v="27"/>
    <x v="25"/>
    <s v="Khác"/>
    <s v="Khác"/>
    <x v="2"/>
    <s v="NĐ"/>
    <s v="(blank)"/>
    <x v="0"/>
    <n v="0"/>
    <n v="22297140"/>
    <n v="0"/>
    <n v="0"/>
    <n v="0"/>
    <n v="22297140"/>
    <m/>
    <m/>
    <m/>
    <m/>
    <m/>
    <m/>
    <m/>
    <m/>
    <m/>
    <m/>
    <m/>
    <n v="883.05154306983275"/>
    <n v="883.05154306983275"/>
    <x v="9"/>
    <x v="27"/>
  </r>
  <r>
    <x v="0"/>
    <x v="4"/>
    <n v="5"/>
    <s v="105219"/>
    <s v="CTY VÂN LONG"/>
    <x v="63"/>
    <x v="61"/>
    <s v="rHDPE"/>
    <s v="rHDPE thổi"/>
    <x v="0"/>
    <s v="NĐ"/>
    <s v="(blank)"/>
    <x v="0"/>
    <n v="200"/>
    <n v="6873000"/>
    <n v="0"/>
    <n v="0"/>
    <n v="0"/>
    <n v="6873000"/>
    <m/>
    <m/>
    <m/>
    <m/>
    <m/>
    <m/>
    <m/>
    <m/>
    <m/>
    <m/>
    <m/>
    <n v="272.19693895804397"/>
    <n v="272.19693895804397"/>
    <x v="47"/>
    <x v="63"/>
  </r>
  <r>
    <x v="0"/>
    <x v="4"/>
    <n v="5"/>
    <s v="105222"/>
    <s v="CN Cty Coca - Hà Nội"/>
    <x v="8"/>
    <x v="8"/>
    <s v="rPET"/>
    <s v="rPET"/>
    <x v="3"/>
    <s v="NĐ"/>
    <s v="(blank)"/>
    <x v="0"/>
    <n v="44000"/>
    <n v="1513116000"/>
    <n v="4251798"/>
    <n v="0"/>
    <n v="23148148"/>
    <n v="1485716054"/>
    <m/>
    <m/>
    <m/>
    <m/>
    <m/>
    <m/>
    <m/>
    <m/>
    <m/>
    <m/>
    <m/>
    <n v="58840.006119543723"/>
    <n v="59925.148186881961"/>
    <x v="3"/>
    <x v="8"/>
  </r>
  <r>
    <x v="0"/>
    <x v="4"/>
    <n v="5"/>
    <s v="105223"/>
    <s v="Dynaplast Bắc Ninh"/>
    <x v="1"/>
    <x v="1"/>
    <s v="rHDPE"/>
    <s v="rHDPE thổi"/>
    <x v="0"/>
    <s v="NĐ"/>
    <s v="(blank)"/>
    <x v="0"/>
    <n v="25000"/>
    <n v="897550000"/>
    <n v="0"/>
    <n v="0"/>
    <n v="16250000"/>
    <n v="881300000"/>
    <m/>
    <m/>
    <m/>
    <m/>
    <m/>
    <m/>
    <m/>
    <m/>
    <m/>
    <m/>
    <m/>
    <n v="34902.831704310222"/>
    <n v="35546.39350528043"/>
    <x v="2"/>
    <x v="1"/>
  </r>
  <r>
    <x v="0"/>
    <x v="4"/>
    <n v="5"/>
    <s v="105223"/>
    <s v="Dynaplast Bắc Ninh"/>
    <x v="50"/>
    <x v="48"/>
    <s v="rHDPE"/>
    <s v="rHDPE thổi"/>
    <x v="0"/>
    <s v="NĐ"/>
    <s v="(blank)"/>
    <x v="0"/>
    <n v="2500"/>
    <n v="91615000"/>
    <n v="0"/>
    <n v="0"/>
    <n v="5500000"/>
    <n v="86115000"/>
    <m/>
    <m/>
    <m/>
    <m/>
    <m/>
    <m/>
    <m/>
    <m/>
    <m/>
    <m/>
    <m/>
    <n v="3410.4815071107173"/>
    <n v="3628.3024243621708"/>
    <x v="2"/>
    <x v="50"/>
  </r>
  <r>
    <x v="0"/>
    <x v="4"/>
    <n v="5"/>
    <s v="105229"/>
    <s v="GIA TƯỜNG"/>
    <x v="44"/>
    <x v="42"/>
    <s v="GC"/>
    <s v="GC"/>
    <x v="10"/>
    <s v="NĐ"/>
    <s v="(blank)"/>
    <x v="0"/>
    <n v="222000"/>
    <n v="4012499999.9999995"/>
    <n v="0"/>
    <n v="290250000"/>
    <n v="0"/>
    <n v="3722249999.9999995"/>
    <m/>
    <m/>
    <m/>
    <m/>
    <m/>
    <m/>
    <m/>
    <m/>
    <m/>
    <m/>
    <m/>
    <n v="147415.25622531341"/>
    <n v="158910.2600857197"/>
    <x v="24"/>
    <x v="44"/>
  </r>
  <r>
    <x v="0"/>
    <x v="4"/>
    <n v="5"/>
    <s v="105234"/>
    <s v="CTY THỰC PHẨM VĨ HUY"/>
    <x v="9"/>
    <x v="9"/>
    <s v="rPET"/>
    <s v="rPET"/>
    <x v="3"/>
    <s v="NĐ"/>
    <s v="(blank)"/>
    <x v="0"/>
    <n v="1100"/>
    <n v="36429250"/>
    <n v="212589.9"/>
    <n v="0"/>
    <n v="0"/>
    <n v="36216660.100000001"/>
    <m/>
    <m/>
    <m/>
    <m/>
    <m/>
    <m/>
    <m/>
    <m/>
    <m/>
    <m/>
    <m/>
    <n v="1434.317476866569"/>
    <n v="1442.7368454150044"/>
    <x v="25"/>
    <x v="9"/>
  </r>
  <r>
    <x v="0"/>
    <x v="4"/>
    <n v="5"/>
    <s v="105246"/>
    <s v="Chori Vietnam Co., Ltd."/>
    <x v="45"/>
    <x v="43"/>
    <s v="Xơ sợi"/>
    <s v="Xơ sợi"/>
    <x v="7"/>
    <s v="NĐ"/>
    <s v="(blank)"/>
    <x v="0"/>
    <n v="50"/>
    <n v="1401350"/>
    <n v="0"/>
    <n v="0"/>
    <n v="0"/>
    <n v="1401350"/>
    <m/>
    <m/>
    <m/>
    <m/>
    <m/>
    <m/>
    <m/>
    <m/>
    <m/>
    <m/>
    <m/>
    <n v="55.498789525513601"/>
    <n v="55.498789525513601"/>
    <x v="26"/>
    <x v="45"/>
  </r>
  <r>
    <x v="0"/>
    <x v="4"/>
    <n v="5"/>
    <s v="105247"/>
    <s v="MINH THÀNH"/>
    <x v="64"/>
    <x v="62"/>
    <s v="Khác"/>
    <s v="Phó sản"/>
    <x v="5"/>
    <s v="NĐ"/>
    <s v="(blank)"/>
    <x v="0"/>
    <n v="552"/>
    <n v="10488000"/>
    <n v="0"/>
    <n v="0"/>
    <n v="0"/>
    <n v="10488000"/>
    <m/>
    <m/>
    <m/>
    <m/>
    <m/>
    <m/>
    <m/>
    <m/>
    <m/>
    <m/>
    <m/>
    <n v="415.36468729695412"/>
    <n v="415.36468729695412"/>
    <x v="10"/>
    <x v="64"/>
  </r>
  <r>
    <x v="0"/>
    <x v="4"/>
    <n v="5"/>
    <s v="105247"/>
    <s v="MINH THÀNH"/>
    <x v="29"/>
    <x v="27"/>
    <s v="Khác"/>
    <s v="Phó sản"/>
    <x v="5"/>
    <s v="NĐ"/>
    <s v="(blank)"/>
    <x v="0"/>
    <n v="17988"/>
    <n v="363357600"/>
    <n v="0"/>
    <n v="0"/>
    <n v="0"/>
    <n v="363357600"/>
    <m/>
    <m/>
    <m/>
    <m/>
    <m/>
    <m/>
    <m/>
    <m/>
    <m/>
    <m/>
    <m/>
    <n v="14390.342858597611"/>
    <n v="14390.342858597611"/>
    <x v="10"/>
    <x v="29"/>
  </r>
  <r>
    <x v="0"/>
    <x v="4"/>
    <n v="5"/>
    <s v="105247"/>
    <s v="MINH THÀNH"/>
    <x v="65"/>
    <x v="63"/>
    <s v="Khác"/>
    <s v="Phó sản"/>
    <x v="5"/>
    <s v="NĐ"/>
    <s v="(blank)"/>
    <x v="0"/>
    <n v="4340"/>
    <n v="82460000"/>
    <n v="0"/>
    <n v="0"/>
    <n v="0"/>
    <n v="82460000"/>
    <m/>
    <m/>
    <m/>
    <m/>
    <m/>
    <m/>
    <m/>
    <m/>
    <m/>
    <m/>
    <m/>
    <n v="3265.7296066463418"/>
    <n v="3265.7296066463418"/>
    <x v="10"/>
    <x v="65"/>
  </r>
  <r>
    <x v="0"/>
    <x v="4"/>
    <n v="5"/>
    <s v="105247"/>
    <s v="MINH THÀNH"/>
    <x v="66"/>
    <x v="64"/>
    <s v="Khác"/>
    <s v="Phó sản"/>
    <x v="5"/>
    <s v="NĐ"/>
    <s v="(blank)"/>
    <x v="0"/>
    <n v="9000"/>
    <n v="171000000"/>
    <n v="0"/>
    <n v="0"/>
    <n v="0"/>
    <n v="171000000"/>
    <m/>
    <m/>
    <m/>
    <m/>
    <m/>
    <m/>
    <m/>
    <m/>
    <m/>
    <m/>
    <m/>
    <n v="6772.2503363633823"/>
    <n v="6772.2503363633823"/>
    <x v="10"/>
    <x v="66"/>
  </r>
  <r>
    <x v="0"/>
    <x v="4"/>
    <n v="5"/>
    <s v="105247"/>
    <s v="MINH THÀNH"/>
    <x v="67"/>
    <x v="65"/>
    <s v="Khác"/>
    <s v="Phó sản"/>
    <x v="5"/>
    <s v="NĐ"/>
    <s v="(blank)"/>
    <x v="0"/>
    <n v="500"/>
    <n v="9500000"/>
    <n v="0"/>
    <n v="0"/>
    <n v="0"/>
    <n v="9500000"/>
    <m/>
    <m/>
    <m/>
    <m/>
    <m/>
    <m/>
    <m/>
    <m/>
    <m/>
    <m/>
    <m/>
    <n v="376.23612979796565"/>
    <n v="376.23612979796565"/>
    <x v="10"/>
    <x v="67"/>
  </r>
  <r>
    <x v="0"/>
    <x v="4"/>
    <n v="5"/>
    <s v="105248"/>
    <s v="ĐẠI NHẤT LONG"/>
    <x v="31"/>
    <x v="29"/>
    <s v="rPP"/>
    <s v="rPP"/>
    <x v="6"/>
    <s v="NĐ"/>
    <s v="(blank)"/>
    <x v="0"/>
    <n v="35250"/>
    <n v="779412750"/>
    <n v="9991725.3000000007"/>
    <n v="0"/>
    <n v="0"/>
    <n v="769421024.70000005"/>
    <m/>
    <m/>
    <m/>
    <m/>
    <m/>
    <m/>
    <m/>
    <m/>
    <m/>
    <m/>
    <m/>
    <n v="30471.998791401358"/>
    <n v="30867.709113177829"/>
    <x v="27"/>
    <x v="31"/>
  </r>
  <r>
    <x v="0"/>
    <x v="4"/>
    <n v="5"/>
    <s v="105255"/>
    <s v="Dung Avient"/>
    <x v="10"/>
    <x v="10"/>
    <s v="rPET"/>
    <s v="rPET"/>
    <x v="3"/>
    <s v="NĐ"/>
    <s v="(blank)"/>
    <x v="0"/>
    <n v="100"/>
    <n v="3310200"/>
    <n v="0"/>
    <n v="0"/>
    <n v="0"/>
    <n v="3310200"/>
    <m/>
    <m/>
    <m/>
    <m/>
    <m/>
    <m/>
    <m/>
    <m/>
    <m/>
    <m/>
    <m/>
    <n v="131.0965091428659"/>
    <n v="131.0965091428659"/>
    <x v="12"/>
    <x v="10"/>
  </r>
  <r>
    <x v="0"/>
    <x v="4"/>
    <n v="5"/>
    <s v="105265"/>
    <s v="Muji- DTP"/>
    <x v="9"/>
    <x v="9"/>
    <s v="rPET"/>
    <s v="rPET"/>
    <x v="3"/>
    <s v="NĐ"/>
    <s v="(blank)"/>
    <x v="0"/>
    <n v="11000"/>
    <n v="364035100"/>
    <n v="2125899"/>
    <n v="0"/>
    <n v="0"/>
    <n v="361909201"/>
    <m/>
    <m/>
    <m/>
    <m/>
    <m/>
    <m/>
    <m/>
    <m/>
    <m/>
    <m/>
    <m/>
    <n v="14332.980749738321"/>
    <n v="14417.174435222674"/>
    <x v="34"/>
    <x v="9"/>
  </r>
  <r>
    <x v="0"/>
    <x v="4"/>
    <n v="5"/>
    <s v="105271"/>
    <s v="Suntory- Ngọc Nghĩa Tây Ninh"/>
    <x v="8"/>
    <x v="8"/>
    <s v="rPET"/>
    <s v="rPET"/>
    <x v="3"/>
    <s v="NĐ"/>
    <s v="(blank)"/>
    <x v="0"/>
    <n v="44000"/>
    <n v="1546312000"/>
    <n v="8928775.8000000007"/>
    <n v="0"/>
    <n v="6160000"/>
    <n v="1523172984.2"/>
    <m/>
    <m/>
    <m/>
    <m/>
    <m/>
    <m/>
    <m/>
    <m/>
    <m/>
    <m/>
    <m/>
    <n v="60323.44300928693"/>
    <n v="61239.836035805463"/>
    <x v="7"/>
    <x v="8"/>
  </r>
  <r>
    <x v="0"/>
    <x v="4"/>
    <n v="5"/>
    <s v="105271"/>
    <s v="Suntory- Ngọc Nghĩa Tây Ninh"/>
    <x v="68"/>
    <x v="66"/>
    <s v="Khác"/>
    <s v="Khác"/>
    <x v="2"/>
    <s v="NĐ"/>
    <s v="(blank)"/>
    <x v="0"/>
    <n v="0"/>
    <n v="0"/>
    <n v="0"/>
    <n v="0"/>
    <n v="0"/>
    <n v="8050240"/>
    <m/>
    <m/>
    <m/>
    <m/>
    <m/>
    <m/>
    <m/>
    <m/>
    <m/>
    <m/>
    <m/>
    <n v="318.82012016260791"/>
    <n v="0"/>
    <x v="7"/>
    <x v="68"/>
  </r>
  <r>
    <x v="0"/>
    <x v="4"/>
    <n v="5"/>
    <s v="105272"/>
    <s v="LINH CHI"/>
    <x v="62"/>
    <x v="60"/>
    <s v="Xơ sợi"/>
    <s v="Xơ sợi"/>
    <x v="7"/>
    <s v="NĐ"/>
    <s v="(blank)"/>
    <x v="0"/>
    <n v="71500"/>
    <n v="1452264000"/>
    <n v="13818343.500000002"/>
    <n v="0"/>
    <n v="0"/>
    <n v="1438445656.4999998"/>
    <m/>
    <m/>
    <m/>
    <m/>
    <m/>
    <m/>
    <m/>
    <m/>
    <m/>
    <m/>
    <m/>
    <n v="56967.918602763573"/>
    <n v="57515.177558411873"/>
    <x v="42"/>
    <x v="62"/>
  </r>
  <r>
    <x v="0"/>
    <x v="4"/>
    <n v="5"/>
    <s v="105275"/>
    <s v="BAO BÌ LIÊN MINH (APLAS)"/>
    <x v="69"/>
    <x v="67"/>
    <s v="rLDPE"/>
    <s v="rLDPE"/>
    <x v="14"/>
    <s v="NĐ"/>
    <s v="(blank)"/>
    <x v="0"/>
    <n v="4885"/>
    <n v="173425624"/>
    <n v="850359.6"/>
    <n v="0"/>
    <n v="0"/>
    <n v="172575264.40000001"/>
    <m/>
    <m/>
    <m/>
    <m/>
    <m/>
    <m/>
    <m/>
    <m/>
    <m/>
    <m/>
    <m/>
    <n v="6834.6367975491203"/>
    <n v="6868.3142717428618"/>
    <x v="48"/>
    <x v="69"/>
  </r>
  <r>
    <x v="0"/>
    <x v="4"/>
    <n v="5"/>
    <s v="105277"/>
    <s v="Ngọc Hoàng Gia"/>
    <x v="62"/>
    <x v="60"/>
    <s v="Xơ sợi"/>
    <s v="Xơ sợi"/>
    <x v="7"/>
    <s v="NĐ"/>
    <s v="(blank)"/>
    <x v="0"/>
    <n v="11000"/>
    <n v="181500000"/>
    <n v="2125899"/>
    <n v="0"/>
    <n v="0"/>
    <n v="179374101"/>
    <m/>
    <m/>
    <m/>
    <m/>
    <m/>
    <m/>
    <m/>
    <m/>
    <m/>
    <m/>
    <m/>
    <n v="7103.896583813621"/>
    <n v="7188.0902692979753"/>
    <x v="49"/>
    <x v="62"/>
  </r>
  <r>
    <x v="0"/>
    <x v="4"/>
    <n v="5"/>
    <s v="105278"/>
    <s v="WORLD ELASTOMER"/>
    <x v="70"/>
    <x v="68"/>
    <s v="rPET"/>
    <s v="rPET"/>
    <x v="3"/>
    <s v="NĐ"/>
    <s v="(blank)"/>
    <x v="0"/>
    <n v="25"/>
    <n v="800000"/>
    <n v="0"/>
    <n v="0"/>
    <n v="0"/>
    <n v="800000"/>
    <m/>
    <m/>
    <m/>
    <m/>
    <m/>
    <m/>
    <m/>
    <m/>
    <m/>
    <m/>
    <m/>
    <n v="31.683042509302371"/>
    <n v="31.683042509302371"/>
    <x v="50"/>
    <x v="70"/>
  </r>
  <r>
    <x v="0"/>
    <x v="4"/>
    <n v="5"/>
    <s v="200311"/>
    <s v="Plascene, Inc."/>
    <x v="9"/>
    <x v="9"/>
    <s v="rPET"/>
    <s v="rPET"/>
    <x v="3"/>
    <s v="XK"/>
    <s v="United States of America (the)"/>
    <x v="0"/>
    <n v="88000"/>
    <n v="2686302080"/>
    <n v="7080000"/>
    <n v="0"/>
    <n v="37970132"/>
    <n v="2641251948"/>
    <m/>
    <m/>
    <m/>
    <m/>
    <m/>
    <m/>
    <m/>
    <m/>
    <m/>
    <m/>
    <m/>
    <n v="104521.24843688168"/>
    <n v="106304"/>
    <x v="13"/>
    <x v="9"/>
  </r>
  <r>
    <x v="0"/>
    <x v="4"/>
    <n v="5"/>
    <s v="200319"/>
    <s v="Niagara Bottling, LLC"/>
    <x v="9"/>
    <x v="9"/>
    <s v="rPET"/>
    <s v="rPET"/>
    <x v="3"/>
    <s v="XK"/>
    <s v="United States of America (the)"/>
    <x v="0"/>
    <n v="352000"/>
    <n v="10663488000"/>
    <n v="28320000"/>
    <n v="159952320"/>
    <n v="139567792"/>
    <n v="10335647888"/>
    <m/>
    <m/>
    <m/>
    <m/>
    <m/>
    <m/>
    <m/>
    <m/>
    <m/>
    <m/>
    <m/>
    <n v="409413.59266789595"/>
    <n v="422400"/>
    <x v="14"/>
    <x v="9"/>
  </r>
  <r>
    <x v="0"/>
    <x v="4"/>
    <n v="5"/>
    <s v="200342"/>
    <s v="POLYMERS INTERNATIONAL"/>
    <x v="9"/>
    <x v="9"/>
    <s v="rPET"/>
    <s v="rPET"/>
    <x v="3"/>
    <s v="XK"/>
    <s v="Australia"/>
    <x v="0"/>
    <n v="44000"/>
    <n v="1398474000"/>
    <n v="3540000"/>
    <n v="0"/>
    <n v="51651565"/>
    <n v="1343282435"/>
    <m/>
    <m/>
    <m/>
    <m/>
    <m/>
    <m/>
    <m/>
    <m/>
    <m/>
    <m/>
    <m/>
    <n v="53252.13139255908"/>
    <n v="55440"/>
    <x v="38"/>
    <x v="9"/>
  </r>
  <r>
    <x v="0"/>
    <x v="4"/>
    <n v="5"/>
    <s v="200343"/>
    <s v="MILKYWAY"/>
    <x v="58"/>
    <x v="56"/>
    <s v="rPET"/>
    <s v="rPET"/>
    <x v="3"/>
    <s v="XK"/>
    <s v="United States of America (the)"/>
    <x v="0"/>
    <n v="330000"/>
    <n v="9090818000"/>
    <n v="26550000"/>
    <n v="181816360"/>
    <n v="128689893.00000001"/>
    <n v="8753761747"/>
    <m/>
    <m/>
    <m/>
    <m/>
    <m/>
    <m/>
    <m/>
    <m/>
    <m/>
    <m/>
    <m/>
    <n v="346363.61278073397"/>
    <n v="359700"/>
    <x v="23"/>
    <x v="58"/>
  </r>
  <r>
    <x v="0"/>
    <x v="4"/>
    <n v="5"/>
    <s v="200350"/>
    <s v="Niagara Mexico"/>
    <x v="9"/>
    <x v="9"/>
    <s v="rPET"/>
    <s v="rPET"/>
    <x v="3"/>
    <s v="XK"/>
    <s v="Mexico"/>
    <x v="0"/>
    <n v="220000"/>
    <n v="6659400000"/>
    <n v="17700000"/>
    <n v="99891000"/>
    <n v="79236047.999999985"/>
    <n v="6462572951.999999"/>
    <m/>
    <m/>
    <m/>
    <m/>
    <m/>
    <m/>
    <m/>
    <m/>
    <m/>
    <m/>
    <m/>
    <n v="256197.14242706756"/>
    <n v="264000"/>
    <x v="31"/>
    <x v="9"/>
  </r>
  <r>
    <x v="0"/>
    <x v="4"/>
    <n v="5"/>
    <s v="200355"/>
    <s v="International Gate SA"/>
    <x v="33"/>
    <x v="31"/>
    <s v="rPET"/>
    <s v="rPET"/>
    <x v="3"/>
    <s v="XK"/>
    <s v="Poland"/>
    <x v="0"/>
    <n v="22000"/>
    <n v="749628000"/>
    <n v="1770000"/>
    <n v="0"/>
    <n v="69460225"/>
    <n v="678397775"/>
    <m/>
    <m/>
    <m/>
    <m/>
    <m/>
    <m/>
    <m/>
    <m/>
    <m/>
    <m/>
    <m/>
    <n v="26877.883320126784"/>
    <n v="29700"/>
    <x v="51"/>
    <x v="33"/>
  </r>
  <r>
    <x v="0"/>
    <x v="4"/>
    <n v="5"/>
    <s v="300313"/>
    <s v="Công ty TNHH Nhựa Khánh Nga"/>
    <x v="35"/>
    <x v="33"/>
    <s v="Khác"/>
    <s v="Khác"/>
    <x v="2"/>
    <s v="NĐ"/>
    <s v="(blank)"/>
    <x v="0"/>
    <n v="0"/>
    <n v="16500000"/>
    <n v="0"/>
    <n v="0"/>
    <n v="0"/>
    <n v="16500000"/>
    <m/>
    <m/>
    <m/>
    <m/>
    <m/>
    <m/>
    <m/>
    <m/>
    <m/>
    <m/>
    <m/>
    <n v="653.46275175436142"/>
    <n v="653.46275175436142"/>
    <x v="18"/>
    <x v="35"/>
  </r>
  <r>
    <x v="0"/>
    <x v="4"/>
    <n v="5"/>
    <s v="3358000400"/>
    <s v="Chí phí phải trả khác- Open item"/>
    <x v="36"/>
    <x v="34"/>
    <s v="Khác"/>
    <s v="Khác"/>
    <x v="2"/>
    <s v="NĐ"/>
    <s v="(blank)"/>
    <x v="0"/>
    <n v="0"/>
    <n v="0"/>
    <n v="0"/>
    <n v="0"/>
    <n v="0"/>
    <n v="0"/>
    <m/>
    <m/>
    <m/>
    <m/>
    <m/>
    <m/>
    <m/>
    <m/>
    <m/>
    <m/>
    <m/>
    <n v="0"/>
    <n v="0"/>
    <x v="19"/>
    <x v="36"/>
  </r>
  <r>
    <x v="0"/>
    <x v="4"/>
    <n v="5"/>
    <s v="6219000900"/>
    <s v="Kết chuyển CPSX không phân bổ được"/>
    <x v="37"/>
    <x v="35"/>
    <s v="Khác"/>
    <s v="Khác"/>
    <x v="2"/>
    <s v="NĐ"/>
    <s v="(blank)"/>
    <x v="0"/>
    <n v="0"/>
    <n v="0"/>
    <n v="0"/>
    <n v="0"/>
    <n v="0"/>
    <n v="0"/>
    <m/>
    <m/>
    <m/>
    <m/>
    <m/>
    <m/>
    <m/>
    <m/>
    <m/>
    <m/>
    <m/>
    <n v="0"/>
    <n v="0"/>
    <x v="20"/>
    <x v="37"/>
  </r>
  <r>
    <x v="0"/>
    <x v="4"/>
    <n v="5"/>
    <s v="BN"/>
    <s v="Bán Ngoài"/>
    <x v="38"/>
    <x v="36"/>
    <s v="Khác"/>
    <s v="Khác"/>
    <x v="2"/>
    <s v="NĐ"/>
    <s v="(blank)"/>
    <x v="0"/>
    <n v="0"/>
    <n v="0"/>
    <n v="0"/>
    <n v="0"/>
    <n v="-210235725"/>
    <n v="210235725"/>
    <m/>
    <m/>
    <m/>
    <m/>
    <m/>
    <m/>
    <m/>
    <m/>
    <m/>
    <m/>
    <m/>
    <n v="8326.1342651862542"/>
    <n v="0"/>
    <x v="21"/>
    <x v="38"/>
  </r>
  <r>
    <x v="0"/>
    <x v="4"/>
    <n v="5"/>
    <s v="BN"/>
    <s v="Bán Ngoài"/>
    <x v="59"/>
    <x v="57"/>
    <s v="Khác"/>
    <s v="Khác"/>
    <x v="13"/>
    <s v="NĐ"/>
    <s v="(blank)"/>
    <x v="0"/>
    <n v="0"/>
    <n v="0"/>
    <n v="0"/>
    <n v="0"/>
    <n v="0"/>
    <n v="0"/>
    <m/>
    <m/>
    <m/>
    <m/>
    <m/>
    <m/>
    <m/>
    <m/>
    <m/>
    <m/>
    <m/>
    <n v="0"/>
    <n v="0"/>
    <x v="21"/>
    <x v="59"/>
  </r>
  <r>
    <x v="0"/>
    <x v="4"/>
    <n v="5"/>
    <s v="BN"/>
    <s v="Bán Ngoài"/>
    <x v="39"/>
    <x v="37"/>
    <s v="Khác"/>
    <s v="Khác"/>
    <x v="8"/>
    <s v="NĐ"/>
    <s v="(blank)"/>
    <x v="0"/>
    <n v="0"/>
    <n v="0"/>
    <n v="0"/>
    <n v="341000"/>
    <n v="-43077644"/>
    <n v="42736644"/>
    <m/>
    <m/>
    <m/>
    <m/>
    <m/>
    <m/>
    <m/>
    <m/>
    <m/>
    <m/>
    <m/>
    <n v="1692.5336356961529"/>
    <n v="0"/>
    <x v="21"/>
    <x v="39"/>
  </r>
  <r>
    <x v="0"/>
    <x v="4"/>
    <n v="5"/>
    <s v="BN"/>
    <s v="Bán Ngoài"/>
    <x v="60"/>
    <x v="58"/>
    <s v="Khác"/>
    <s v="Khác"/>
    <x v="2"/>
    <s v="NĐ"/>
    <s v="(blank)"/>
    <x v="0"/>
    <n v="0"/>
    <n v="0"/>
    <n v="0"/>
    <n v="0"/>
    <n v="0"/>
    <n v="0"/>
    <m/>
    <m/>
    <m/>
    <m/>
    <m/>
    <m/>
    <m/>
    <m/>
    <m/>
    <m/>
    <m/>
    <n v="0"/>
    <n v="0"/>
    <x v="21"/>
    <x v="60"/>
  </r>
  <r>
    <x v="0"/>
    <x v="4"/>
    <n v="5"/>
    <s v="BN"/>
    <s v="Bán Ngoài"/>
    <x v="41"/>
    <x v="39"/>
    <s v="Khác"/>
    <s v="Khác"/>
    <x v="2"/>
    <s v="NĐ"/>
    <s v="(blank)"/>
    <x v="0"/>
    <n v="0"/>
    <n v="0"/>
    <n v="0"/>
    <n v="0"/>
    <n v="0"/>
    <n v="0"/>
    <m/>
    <m/>
    <m/>
    <m/>
    <m/>
    <m/>
    <m/>
    <m/>
    <m/>
    <m/>
    <m/>
    <n v="0"/>
    <n v="0"/>
    <x v="21"/>
    <x v="41"/>
  </r>
  <r>
    <x v="0"/>
    <x v="5"/>
    <n v="6"/>
    <s v="1000"/>
    <s v="CPSX Nhựa Duy Tân"/>
    <x v="61"/>
    <x v="59"/>
    <s v="rHDPE"/>
    <s v="rHDPE ép"/>
    <x v="1"/>
    <s v="NĐ"/>
    <s v="(blank)"/>
    <x v="0"/>
    <n v="11000"/>
    <n v="251757000"/>
    <n v="0"/>
    <n v="0"/>
    <n v="0"/>
    <n v="251757000"/>
    <m/>
    <m/>
    <m/>
    <m/>
    <m/>
    <m/>
    <m/>
    <m/>
    <m/>
    <m/>
    <m/>
    <n v="9965.4871629156496"/>
    <n v="9965.4871629156496"/>
    <x v="0"/>
    <x v="61"/>
  </r>
  <r>
    <x v="0"/>
    <x v="5"/>
    <n v="6"/>
    <s v="101290"/>
    <s v="Cty Thạnh Phát"/>
    <x v="7"/>
    <x v="7"/>
    <s v="Khác"/>
    <s v="Khác"/>
    <x v="2"/>
    <s v="NĐ"/>
    <s v="(blank)"/>
    <x v="0"/>
    <n v="0"/>
    <n v="0"/>
    <n v="0"/>
    <n v="0"/>
    <n v="0"/>
    <n v="0"/>
    <m/>
    <m/>
    <m/>
    <m/>
    <m/>
    <m/>
    <m/>
    <m/>
    <m/>
    <m/>
    <m/>
    <n v="0"/>
    <n v="0"/>
    <x v="1"/>
    <x v="7"/>
  </r>
  <r>
    <x v="0"/>
    <x v="5"/>
    <n v="6"/>
    <s v="102990"/>
    <s v="Coca-Cola Thủ Đức"/>
    <x v="8"/>
    <x v="8"/>
    <s v="rPET"/>
    <s v="rPET"/>
    <x v="3"/>
    <s v="NĐ"/>
    <s v="(blank)"/>
    <x v="0"/>
    <n v="116600"/>
    <n v="3936066200"/>
    <n v="22533517.793517407"/>
    <n v="0"/>
    <n v="19360000"/>
    <n v="3894172682.2064829"/>
    <m/>
    <m/>
    <m/>
    <m/>
    <m/>
    <m/>
    <m/>
    <m/>
    <m/>
    <m/>
    <m/>
    <n v="154145.97359638661"/>
    <n v="155804.27630010757"/>
    <x v="3"/>
    <x v="8"/>
  </r>
  <r>
    <x v="0"/>
    <x v="5"/>
    <n v="6"/>
    <s v="104877"/>
    <s v="Công ty trách nhiệm hữu hạn Uy Kiệt"/>
    <x v="58"/>
    <x v="56"/>
    <s v="rPET"/>
    <s v="rPET"/>
    <x v="3"/>
    <s v="NĐ"/>
    <s v="(blank)"/>
    <x v="0"/>
    <n v="110000"/>
    <n v="2996510000"/>
    <n v="21258035.654261705"/>
    <n v="0"/>
    <n v="24200000"/>
    <n v="2951051964.3457384"/>
    <m/>
    <m/>
    <m/>
    <m/>
    <m/>
    <m/>
    <m/>
    <m/>
    <m/>
    <m/>
    <m/>
    <n v="116813.71508154477"/>
    <n v="118613.11478349508"/>
    <x v="52"/>
    <x v="58"/>
  </r>
  <r>
    <x v="0"/>
    <x v="5"/>
    <n v="6"/>
    <s v="104894"/>
    <s v="UNILEVER-NGỌC NGHĨA"/>
    <x v="9"/>
    <x v="9"/>
    <s v="rPET"/>
    <s v="rPET"/>
    <x v="3"/>
    <s v="NĐ"/>
    <s v="(blank)"/>
    <x v="0"/>
    <n v="220000"/>
    <n v="7148460000"/>
    <n v="42516071.308523417"/>
    <n v="0"/>
    <n v="30800000"/>
    <n v="7075143928.6914759"/>
    <m/>
    <m/>
    <m/>
    <m/>
    <m/>
    <m/>
    <m/>
    <m/>
    <m/>
    <m/>
    <m/>
    <n v="280060.75698850676"/>
    <n v="282962.88232150843"/>
    <x v="2"/>
    <x v="9"/>
  </r>
  <r>
    <x v="0"/>
    <x v="5"/>
    <n v="6"/>
    <s v="104909"/>
    <s v="Công ty TNHH La Vie"/>
    <x v="10"/>
    <x v="10"/>
    <s v="rPET"/>
    <s v="rPET"/>
    <x v="3"/>
    <s v="NĐ"/>
    <s v="(blank)"/>
    <x v="0"/>
    <n v="600000"/>
    <n v="18592500000"/>
    <n v="0"/>
    <n v="0"/>
    <n v="0"/>
    <n v="18592500000"/>
    <m/>
    <m/>
    <m/>
    <m/>
    <m/>
    <m/>
    <m/>
    <m/>
    <m/>
    <m/>
    <m/>
    <n v="735960.94677212229"/>
    <n v="735960.94677212229"/>
    <x v="4"/>
    <x v="10"/>
  </r>
  <r>
    <x v="0"/>
    <x v="5"/>
    <n v="6"/>
    <s v="105194"/>
    <s v="Suntory Việt Nam"/>
    <x v="8"/>
    <x v="8"/>
    <s v="rPET"/>
    <s v="rPET"/>
    <x v="3"/>
    <s v="NĐ"/>
    <s v="(blank)"/>
    <x v="0"/>
    <n v="6600"/>
    <n v="239069575.80000001"/>
    <n v="1275482.1392557023"/>
    <n v="0"/>
    <n v="10600000"/>
    <n v="227194093.66074431"/>
    <m/>
    <m/>
    <m/>
    <m/>
    <m/>
    <m/>
    <m/>
    <m/>
    <m/>
    <m/>
    <m/>
    <n v="8993.1951201611191"/>
    <n v="9463.2712841294979"/>
    <x v="7"/>
    <x v="8"/>
  </r>
  <r>
    <x v="0"/>
    <x v="5"/>
    <n v="6"/>
    <s v="105194"/>
    <s v="Suntory Việt Nam"/>
    <x v="33"/>
    <x v="31"/>
    <s v="rPET"/>
    <s v="rPET"/>
    <x v="3"/>
    <s v="NĐ"/>
    <s v="(blank)"/>
    <x v="0"/>
    <n v="92400"/>
    <n v="3299883325.1999998"/>
    <n v="17856749.949579831"/>
    <n v="0"/>
    <n v="101000000"/>
    <n v="3158888415.2504201"/>
    <m/>
    <m/>
    <m/>
    <m/>
    <m/>
    <m/>
    <m/>
    <m/>
    <m/>
    <m/>
    <m/>
    <n v="125040.66203228121"/>
    <n v="130621.76986697492"/>
    <x v="7"/>
    <x v="33"/>
  </r>
  <r>
    <x v="0"/>
    <x v="5"/>
    <n v="6"/>
    <s v="105194"/>
    <s v="Suntory Việt Nam"/>
    <x v="68"/>
    <x v="66"/>
    <s v="Khác"/>
    <s v="Khác"/>
    <x v="2"/>
    <s v="NĐ"/>
    <s v="(blank)"/>
    <x v="0"/>
    <n v="0"/>
    <n v="0"/>
    <n v="0"/>
    <n v="0"/>
    <n v="0"/>
    <n v="22138160"/>
    <m/>
    <m/>
    <m/>
    <m/>
    <m/>
    <m/>
    <m/>
    <m/>
    <m/>
    <m/>
    <m/>
    <n v="876.31148008028651"/>
    <n v="0"/>
    <x v="7"/>
    <x v="68"/>
  </r>
  <r>
    <x v="0"/>
    <x v="5"/>
    <n v="6"/>
    <s v="105204"/>
    <s v="CTY NGỌC NGHĨA-TÂY NINH"/>
    <x v="9"/>
    <x v="9"/>
    <s v="rPET"/>
    <s v="rPET"/>
    <x v="3"/>
    <s v="NĐ"/>
    <s v="(blank)"/>
    <x v="1"/>
    <n v="-94230"/>
    <n v="0"/>
    <n v="0"/>
    <n v="0"/>
    <n v="1929200"/>
    <n v="-1929200"/>
    <m/>
    <m/>
    <m/>
    <m/>
    <m/>
    <m/>
    <m/>
    <m/>
    <m/>
    <m/>
    <m/>
    <n v="-76.364978271495403"/>
    <n v="0"/>
    <x v="5"/>
    <x v="9"/>
  </r>
  <r>
    <x v="0"/>
    <x v="5"/>
    <n v="6"/>
    <s v="105204"/>
    <s v="CTY NGỌC NGHĨA-TÂY NINH"/>
    <x v="9"/>
    <x v="9"/>
    <s v="rPET"/>
    <s v="rPET"/>
    <x v="3"/>
    <s v="NĐ"/>
    <s v="(blank)"/>
    <x v="2"/>
    <n v="94230"/>
    <n v="0"/>
    <n v="0"/>
    <n v="0"/>
    <n v="13192200"/>
    <n v="-13192200"/>
    <m/>
    <m/>
    <m/>
    <m/>
    <m/>
    <m/>
    <m/>
    <m/>
    <m/>
    <m/>
    <m/>
    <n v="-522.19679989281656"/>
    <n v="0"/>
    <x v="5"/>
    <x v="9"/>
  </r>
  <r>
    <x v="0"/>
    <x v="5"/>
    <n v="6"/>
    <s v="105209"/>
    <s v="Công ty TNHH MTV Đồng Lâm"/>
    <x v="35"/>
    <x v="33"/>
    <s v="Khác"/>
    <s v="Khác"/>
    <x v="2"/>
    <s v="NĐ"/>
    <s v="(blank)"/>
    <x v="0"/>
    <n v="0"/>
    <n v="68000000"/>
    <n v="0"/>
    <n v="0"/>
    <n v="0"/>
    <n v="68000000"/>
    <m/>
    <m/>
    <m/>
    <m/>
    <m/>
    <m/>
    <m/>
    <m/>
    <m/>
    <m/>
    <m/>
    <n v="2691.6952739278913"/>
    <n v="2691.6952739278913"/>
    <x v="17"/>
    <x v="35"/>
  </r>
  <r>
    <x v="0"/>
    <x v="5"/>
    <n v="6"/>
    <s v="105214"/>
    <s v="Người mua hàng không lấy hóa đơn"/>
    <x v="27"/>
    <x v="25"/>
    <s v="Khác"/>
    <s v="Khác"/>
    <x v="2"/>
    <s v="NĐ"/>
    <s v="(blank)"/>
    <x v="0"/>
    <n v="0"/>
    <n v="40287109"/>
    <n v="0"/>
    <n v="0"/>
    <n v="0"/>
    <n v="40287109"/>
    <m/>
    <m/>
    <m/>
    <m/>
    <m/>
    <m/>
    <m/>
    <m/>
    <m/>
    <m/>
    <m/>
    <n v="1594.7150131693795"/>
    <n v="1594.7150131693795"/>
    <x v="9"/>
    <x v="27"/>
  </r>
  <r>
    <x v="0"/>
    <x v="5"/>
    <n v="6"/>
    <s v="105229"/>
    <s v="GIA TƯỜNG"/>
    <x v="44"/>
    <x v="42"/>
    <s v="GC"/>
    <s v="GC"/>
    <x v="10"/>
    <s v="NĐ"/>
    <s v="(blank)"/>
    <x v="0"/>
    <n v="511260"/>
    <n v="9377919950"/>
    <n v="0"/>
    <n v="682162000"/>
    <n v="0"/>
    <n v="8695757950"/>
    <m/>
    <m/>
    <m/>
    <m/>
    <m/>
    <m/>
    <m/>
    <m/>
    <m/>
    <m/>
    <m/>
    <n v="344210.74378288072"/>
    <n v="371213.27659836889"/>
    <x v="24"/>
    <x v="44"/>
  </r>
  <r>
    <x v="0"/>
    <x v="5"/>
    <n v="6"/>
    <s v="105243"/>
    <s v="Unilever"/>
    <x v="26"/>
    <x v="24"/>
    <s v="Khác"/>
    <s v="Khác"/>
    <x v="2"/>
    <s v="NĐ"/>
    <s v="(blank)"/>
    <x v="0"/>
    <n v="0"/>
    <n v="586000000"/>
    <n v="0"/>
    <n v="0"/>
    <n v="0"/>
    <n v="586000000"/>
    <m/>
    <m/>
    <m/>
    <m/>
    <m/>
    <m/>
    <m/>
    <m/>
    <m/>
    <m/>
    <m/>
    <n v="23196.079860613885"/>
    <n v="23196.079860613885"/>
    <x v="2"/>
    <x v="26"/>
  </r>
  <r>
    <x v="0"/>
    <x v="5"/>
    <n v="6"/>
    <s v="105247"/>
    <s v="MINH THÀNH"/>
    <x v="29"/>
    <x v="27"/>
    <s v="Khác"/>
    <s v="Phó sản"/>
    <x v="5"/>
    <s v="NĐ"/>
    <s v="(blank)"/>
    <x v="0"/>
    <n v="7078"/>
    <n v="146514600"/>
    <n v="0"/>
    <n v="0"/>
    <n v="0"/>
    <n v="146514600"/>
    <m/>
    <m/>
    <m/>
    <m/>
    <m/>
    <m/>
    <m/>
    <m/>
    <m/>
    <m/>
    <m/>
    <n v="5799.5978879622853"/>
    <n v="5799.5978879622853"/>
    <x v="10"/>
    <x v="29"/>
  </r>
  <r>
    <x v="0"/>
    <x v="5"/>
    <n v="6"/>
    <s v="105248"/>
    <s v="ĐẠI NHẤT LONG"/>
    <x v="31"/>
    <x v="29"/>
    <s v="rPP"/>
    <s v="rPP"/>
    <x v="6"/>
    <s v="NĐ"/>
    <s v="(blank)"/>
    <x v="0"/>
    <n v="5250"/>
    <n v="116082750"/>
    <n v="1488062.4957983193"/>
    <n v="0"/>
    <n v="0"/>
    <n v="114594687.50420168"/>
    <m/>
    <m/>
    <m/>
    <m/>
    <m/>
    <m/>
    <m/>
    <m/>
    <m/>
    <m/>
    <m/>
    <n v="4536.0879231221061"/>
    <n v="4594.9910229346015"/>
    <x v="27"/>
    <x v="31"/>
  </r>
  <r>
    <x v="0"/>
    <x v="5"/>
    <n v="6"/>
    <s v="105249"/>
    <s v="RỒNG VIỆT"/>
    <x v="29"/>
    <x v="27"/>
    <s v="Khác"/>
    <s v="Phó sản"/>
    <x v="5"/>
    <s v="NĐ"/>
    <s v="(blank)"/>
    <x v="0"/>
    <n v="23454"/>
    <n v="485497800"/>
    <n v="0"/>
    <n v="0"/>
    <n v="0"/>
    <n v="485497800"/>
    <m/>
    <m/>
    <m/>
    <m/>
    <m/>
    <m/>
    <m/>
    <m/>
    <m/>
    <m/>
    <m/>
    <n v="19217.825496505713"/>
    <n v="19217.825496505713"/>
    <x v="28"/>
    <x v="29"/>
  </r>
  <r>
    <x v="0"/>
    <x v="5"/>
    <n v="6"/>
    <s v="105263"/>
    <s v="Unilever Duy Tân"/>
    <x v="1"/>
    <x v="1"/>
    <s v="rHDPE"/>
    <s v="rHDPE thổi"/>
    <x v="0"/>
    <s v="NĐ"/>
    <s v="(blank)"/>
    <x v="0"/>
    <n v="88000"/>
    <n v="3088272000"/>
    <n v="0"/>
    <n v="0"/>
    <n v="0"/>
    <n v="3088272000"/>
    <m/>
    <m/>
    <m/>
    <m/>
    <m/>
    <m/>
    <m/>
    <m/>
    <m/>
    <m/>
    <m/>
    <n v="122245.39922064469"/>
    <n v="122245.39922064469"/>
    <x v="2"/>
    <x v="1"/>
  </r>
  <r>
    <x v="0"/>
    <x v="5"/>
    <n v="6"/>
    <s v="105263"/>
    <s v="Unilever Duy Tân"/>
    <x v="50"/>
    <x v="48"/>
    <s v="rHDPE"/>
    <s v="rHDPE thổi"/>
    <x v="0"/>
    <s v="NĐ"/>
    <s v="(blank)"/>
    <x v="0"/>
    <n v="27500"/>
    <n v="930765000"/>
    <n v="0"/>
    <n v="0"/>
    <n v="0"/>
    <n v="930765000"/>
    <m/>
    <m/>
    <m/>
    <m/>
    <m/>
    <m/>
    <m/>
    <m/>
    <m/>
    <m/>
    <m/>
    <n v="36843.172818198436"/>
    <n v="36843.172818198436"/>
    <x v="2"/>
    <x v="50"/>
  </r>
  <r>
    <x v="0"/>
    <x v="5"/>
    <n v="6"/>
    <s v="105271"/>
    <s v="Suntory- Ngọc Nghĩa Tây Ninh"/>
    <x v="8"/>
    <x v="8"/>
    <s v="rPET"/>
    <s v="rPET"/>
    <x v="3"/>
    <s v="NĐ"/>
    <s v="(blank)"/>
    <x v="0"/>
    <n v="22000"/>
    <n v="787644000"/>
    <n v="4251607.1308523407"/>
    <n v="0"/>
    <n v="3080000"/>
    <n v="774777852.86914766"/>
    <m/>
    <m/>
    <m/>
    <m/>
    <m/>
    <m/>
    <m/>
    <m/>
    <m/>
    <m/>
    <m/>
    <n v="30668.615954586527"/>
    <n v="31177.906357906766"/>
    <x v="7"/>
    <x v="8"/>
  </r>
  <r>
    <x v="0"/>
    <x v="5"/>
    <n v="6"/>
    <s v="105271"/>
    <s v="Suntory- Ngọc Nghĩa Tây Ninh"/>
    <x v="68"/>
    <x v="66"/>
    <s v="Khác"/>
    <s v="Khác"/>
    <x v="2"/>
    <s v="NĐ"/>
    <s v="(blank)"/>
    <x v="0"/>
    <n v="0"/>
    <n v="0"/>
    <n v="0"/>
    <n v="0"/>
    <n v="0"/>
    <n v="5534540"/>
    <m/>
    <m/>
    <m/>
    <m/>
    <m/>
    <m/>
    <m/>
    <m/>
    <m/>
    <m/>
    <m/>
    <n v="219.07787002007163"/>
    <n v="0"/>
    <x v="7"/>
    <x v="68"/>
  </r>
  <r>
    <x v="0"/>
    <x v="5"/>
    <n v="6"/>
    <s v="105272"/>
    <s v="LINH CHI"/>
    <x v="62"/>
    <x v="60"/>
    <s v="Xơ sợi"/>
    <s v="Xơ sợi"/>
    <x v="7"/>
    <s v="NĐ"/>
    <s v="(blank)"/>
    <x v="0"/>
    <n v="14300"/>
    <n v="291176600"/>
    <n v="2763544.6350540216"/>
    <n v="0"/>
    <n v="0"/>
    <n v="288413055.36494601"/>
    <m/>
    <m/>
    <m/>
    <m/>
    <m/>
    <m/>
    <m/>
    <m/>
    <m/>
    <m/>
    <m/>
    <n v="11416.4714421313"/>
    <n v="11525.862913211648"/>
    <x v="42"/>
    <x v="62"/>
  </r>
  <r>
    <x v="0"/>
    <x v="5"/>
    <n v="6"/>
    <s v="105277"/>
    <s v="Ngọc Hoàng Gia"/>
    <x v="62"/>
    <x v="60"/>
    <s v="Xơ sợi"/>
    <s v="Xơ sợi"/>
    <x v="7"/>
    <s v="NĐ"/>
    <s v="(blank)"/>
    <x v="0"/>
    <n v="171600"/>
    <n v="2831400000"/>
    <n v="33162535.620648261"/>
    <n v="0"/>
    <n v="0"/>
    <n v="2798237464.3793511"/>
    <m/>
    <m/>
    <m/>
    <m/>
    <m/>
    <m/>
    <m/>
    <m/>
    <m/>
    <m/>
    <m/>
    <n v="110764.74350290983"/>
    <n v="112077.44115587401"/>
    <x v="49"/>
    <x v="62"/>
  </r>
  <r>
    <x v="0"/>
    <x v="5"/>
    <n v="6"/>
    <s v="105279"/>
    <s v="Quick Pack Việt Nam"/>
    <x v="71"/>
    <x v="69"/>
    <s v="Khác"/>
    <s v="DVGC"/>
    <x v="4"/>
    <s v="NĐ"/>
    <s v="(blank)"/>
    <x v="0"/>
    <n v="3443"/>
    <n v="47353197"/>
    <n v="0"/>
    <n v="0"/>
    <n v="0"/>
    <n v="47353197"/>
    <m/>
    <m/>
    <m/>
    <m/>
    <m/>
    <m/>
    <m/>
    <m/>
    <m/>
    <m/>
    <m/>
    <n v="1874.4173025040648"/>
    <n v="1874.4173025040648"/>
    <x v="53"/>
    <x v="71"/>
  </r>
  <r>
    <x v="0"/>
    <x v="5"/>
    <n v="6"/>
    <s v="105279"/>
    <s v="Quick Pack Việt Nam"/>
    <x v="72"/>
    <x v="70"/>
    <s v="Khác"/>
    <s v="DVGC"/>
    <x v="4"/>
    <s v="NĐ"/>
    <s v="(blank)"/>
    <x v="0"/>
    <n v="350"/>
    <n v="4813715"/>
    <n v="0"/>
    <n v="0"/>
    <n v="0"/>
    <n v="4813715"/>
    <m/>
    <m/>
    <m/>
    <m/>
    <m/>
    <m/>
    <m/>
    <m/>
    <m/>
    <m/>
    <m/>
    <n v="190.54491052258527"/>
    <n v="190.54491052258527"/>
    <x v="53"/>
    <x v="72"/>
  </r>
  <r>
    <x v="0"/>
    <x v="5"/>
    <n v="6"/>
    <s v="105279"/>
    <s v="Quick Pack Việt Nam"/>
    <x v="73"/>
    <x v="71"/>
    <s v="Khác"/>
    <s v="DVGC"/>
    <x v="4"/>
    <s v="NĐ"/>
    <s v="(blank)"/>
    <x v="0"/>
    <n v="4990"/>
    <n v="68629815"/>
    <n v="0"/>
    <n v="0"/>
    <n v="0"/>
    <n v="68629815"/>
    <m/>
    <m/>
    <m/>
    <m/>
    <m/>
    <m/>
    <m/>
    <m/>
    <m/>
    <m/>
    <m/>
    <n v="2716.6257159712573"/>
    <n v="2716.6257159712573"/>
    <x v="53"/>
    <x v="73"/>
  </r>
  <r>
    <x v="0"/>
    <x v="5"/>
    <n v="6"/>
    <s v="105281"/>
    <s v="Plascene- DTP"/>
    <x v="10"/>
    <x v="10"/>
    <s v="rPET"/>
    <s v="rPET"/>
    <x v="3"/>
    <s v="NĐ"/>
    <s v="(blank)"/>
    <x v="0"/>
    <n v="55000"/>
    <n v="1751337500"/>
    <n v="10629017.827130854"/>
    <n v="0"/>
    <n v="0"/>
    <n v="1740708482.1728692"/>
    <m/>
    <m/>
    <m/>
    <m/>
    <m/>
    <m/>
    <m/>
    <m/>
    <m/>
    <m/>
    <m/>
    <n v="68903.776393395659"/>
    <n v="69324.512820627773"/>
    <x v="54"/>
    <x v="10"/>
  </r>
  <r>
    <x v="0"/>
    <x v="5"/>
    <n v="6"/>
    <s v="105281"/>
    <s v="Plascene- DTP"/>
    <x v="9"/>
    <x v="9"/>
    <s v="rPET"/>
    <s v="rPET"/>
    <x v="3"/>
    <s v="NĐ"/>
    <s v="(blank)"/>
    <x v="0"/>
    <n v="99000"/>
    <n v="3152407500"/>
    <n v="19132232.088835537"/>
    <n v="0"/>
    <n v="0"/>
    <n v="3133275267.9111638"/>
    <m/>
    <m/>
    <m/>
    <m/>
    <m/>
    <m/>
    <m/>
    <m/>
    <m/>
    <m/>
    <m/>
    <n v="124026.7975081122"/>
    <n v="124784.12307712999"/>
    <x v="54"/>
    <x v="9"/>
  </r>
  <r>
    <x v="0"/>
    <x v="5"/>
    <n v="6"/>
    <s v="105283"/>
    <s v="Parker-DTP"/>
    <x v="8"/>
    <x v="8"/>
    <s v="rPET"/>
    <s v="rPET"/>
    <x v="3"/>
    <s v="NĐ"/>
    <s v="(blank)"/>
    <x v="0"/>
    <n v="500"/>
    <n v="16553000"/>
    <n v="212580.35654261705"/>
    <n v="0"/>
    <n v="0"/>
    <n v="16340419.643457383"/>
    <m/>
    <m/>
    <m/>
    <m/>
    <m/>
    <m/>
    <m/>
    <m/>
    <m/>
    <m/>
    <m/>
    <n v="646.81515188665753"/>
    <n v="655.22988043129976"/>
    <x v="55"/>
    <x v="8"/>
  </r>
  <r>
    <x v="0"/>
    <x v="5"/>
    <n v="6"/>
    <s v="200311"/>
    <s v="Plascene, Inc."/>
    <x v="9"/>
    <x v="9"/>
    <s v="rPET"/>
    <s v="rPET"/>
    <x v="3"/>
    <s v="XK"/>
    <s v="United States of America (the)"/>
    <x v="0"/>
    <n v="88000"/>
    <n v="2705779120"/>
    <n v="6999564.7272727275"/>
    <n v="0"/>
    <n v="38450876"/>
    <n v="2660328679.2727275"/>
    <m/>
    <m/>
    <m/>
    <m/>
    <m/>
    <m/>
    <m/>
    <m/>
    <m/>
    <m/>
    <m/>
    <n v="105297.04740427369"/>
    <n v="107096"/>
    <x v="13"/>
    <x v="9"/>
  </r>
  <r>
    <x v="0"/>
    <x v="5"/>
    <n v="6"/>
    <s v="200319"/>
    <s v="Niagara Bottling, LLC"/>
    <x v="9"/>
    <x v="9"/>
    <s v="rPET"/>
    <s v="rPET"/>
    <x v="3"/>
    <s v="XK"/>
    <s v="United States of America (the)"/>
    <x v="0"/>
    <n v="88000"/>
    <n v="2667456000"/>
    <n v="6999564.7272727275"/>
    <n v="40011840"/>
    <n v="34487320"/>
    <n v="2585957275.2727275"/>
    <m/>
    <m/>
    <m/>
    <m/>
    <m/>
    <m/>
    <m/>
    <m/>
    <m/>
    <m/>
    <m/>
    <n v="102373.60551356799"/>
    <n v="105600"/>
    <x v="14"/>
    <x v="9"/>
  </r>
  <r>
    <x v="0"/>
    <x v="5"/>
    <n v="6"/>
    <s v="200344"/>
    <s v="Wiese"/>
    <x v="8"/>
    <x v="8"/>
    <s v="rPET"/>
    <s v="rPET"/>
    <x v="3"/>
    <s v="XK"/>
    <s v="Mexico"/>
    <x v="0"/>
    <n v="44000"/>
    <n v="1489329600"/>
    <n v="3499782.3636363638"/>
    <n v="0"/>
    <n v="22566848"/>
    <n v="1463262969.6363637"/>
    <m/>
    <m/>
    <m/>
    <m/>
    <m/>
    <m/>
    <m/>
    <m/>
    <m/>
    <m/>
    <m/>
    <n v="57928.066889800626"/>
    <n v="58960"/>
    <x v="56"/>
    <x v="8"/>
  </r>
  <r>
    <x v="0"/>
    <x v="5"/>
    <n v="6"/>
    <s v="200357"/>
    <s v="Genesis Polymers International"/>
    <x v="8"/>
    <x v="8"/>
    <s v="rPET"/>
    <s v="rPET"/>
    <x v="3"/>
    <s v="XK"/>
    <s v="Mexico"/>
    <x v="0"/>
    <n v="22000"/>
    <n v="891171820"/>
    <n v="2166561.1818181816"/>
    <n v="0"/>
    <n v="167031597"/>
    <n v="721973661.81818187"/>
    <m/>
    <m/>
    <m/>
    <m/>
    <m/>
    <m/>
    <m/>
    <m/>
    <m/>
    <m/>
    <m/>
    <n v="28570.386300679933"/>
    <n v="35266"/>
    <x v="57"/>
    <x v="8"/>
  </r>
  <r>
    <x v="0"/>
    <x v="5"/>
    <n v="6"/>
    <s v="200358"/>
    <s v="REYNERA"/>
    <x v="35"/>
    <x v="33"/>
    <s v="Khác"/>
    <s v="Khác"/>
    <x v="2"/>
    <s v="NĐ"/>
    <s v="(blank)"/>
    <x v="0"/>
    <n v="0"/>
    <n v="69532932"/>
    <n v="0"/>
    <n v="0"/>
    <n v="0"/>
    <n v="69532932"/>
    <m/>
    <m/>
    <m/>
    <m/>
    <m/>
    <m/>
    <m/>
    <m/>
    <m/>
    <m/>
    <m/>
    <n v="2752.37447715808"/>
    <n v="2752.37447715808"/>
    <x v="58"/>
    <x v="35"/>
  </r>
  <r>
    <x v="0"/>
    <x v="5"/>
    <n v="6"/>
    <s v="300313"/>
    <s v="Công ty TNHH Nhựa Khánh Nga"/>
    <x v="35"/>
    <x v="33"/>
    <s v="Khác"/>
    <s v="Khác"/>
    <x v="2"/>
    <s v="NĐ"/>
    <s v="(blank)"/>
    <x v="0"/>
    <n v="0"/>
    <n v="15000000"/>
    <n v="0"/>
    <n v="0"/>
    <n v="0"/>
    <n v="15000000"/>
    <m/>
    <m/>
    <m/>
    <m/>
    <m/>
    <m/>
    <m/>
    <m/>
    <m/>
    <m/>
    <m/>
    <n v="593.75631042527016"/>
    <n v="593.75631042527016"/>
    <x v="18"/>
    <x v="35"/>
  </r>
  <r>
    <x v="0"/>
    <x v="5"/>
    <n v="6"/>
    <s v="3358000400"/>
    <s v="Chí phí phải trả khác- Open item"/>
    <x v="36"/>
    <x v="34"/>
    <s v="Khác"/>
    <s v="Khác"/>
    <x v="2"/>
    <s v="NĐ"/>
    <s v="(blank)"/>
    <x v="0"/>
    <n v="0"/>
    <n v="0"/>
    <n v="0"/>
    <n v="0"/>
    <n v="0"/>
    <n v="0"/>
    <m/>
    <m/>
    <m/>
    <m/>
    <m/>
    <m/>
    <m/>
    <m/>
    <m/>
    <m/>
    <m/>
    <n v="0"/>
    <n v="0"/>
    <x v="19"/>
    <x v="36"/>
  </r>
  <r>
    <x v="0"/>
    <x v="5"/>
    <n v="6"/>
    <s v="6219000900"/>
    <s v="Kết chuyển CPSX không phân bổ được"/>
    <x v="37"/>
    <x v="35"/>
    <s v="Khác"/>
    <s v="Khác"/>
    <x v="2"/>
    <s v="NĐ"/>
    <s v="(blank)"/>
    <x v="0"/>
    <n v="0"/>
    <n v="0"/>
    <n v="0"/>
    <n v="0"/>
    <n v="0"/>
    <n v="0"/>
    <m/>
    <m/>
    <m/>
    <m/>
    <m/>
    <m/>
    <m/>
    <m/>
    <m/>
    <m/>
    <m/>
    <n v="0"/>
    <n v="0"/>
    <x v="20"/>
    <x v="37"/>
  </r>
  <r>
    <x v="0"/>
    <x v="5"/>
    <n v="6"/>
    <s v="BN"/>
    <s v="Bán Ngoài"/>
    <x v="59"/>
    <x v="57"/>
    <s v="Khác"/>
    <s v="Khác"/>
    <x v="13"/>
    <s v="NĐ"/>
    <s v="(blank)"/>
    <x v="0"/>
    <n v="0"/>
    <n v="0"/>
    <n v="0"/>
    <n v="0"/>
    <n v="21750000"/>
    <n v="-21750000"/>
    <m/>
    <m/>
    <m/>
    <m/>
    <m/>
    <m/>
    <m/>
    <m/>
    <m/>
    <m/>
    <m/>
    <n v="-860.94665011664176"/>
    <n v="0"/>
    <x v="21"/>
    <x v="59"/>
  </r>
  <r>
    <x v="0"/>
    <x v="5"/>
    <n v="6"/>
    <s v="BN"/>
    <s v="Bán Ngoài"/>
    <x v="39"/>
    <x v="37"/>
    <s v="Khác"/>
    <s v="Khác"/>
    <x v="8"/>
    <s v="NĐ"/>
    <s v="(blank)"/>
    <x v="0"/>
    <n v="0"/>
    <n v="0"/>
    <n v="0"/>
    <n v="537734472"/>
    <n v="13605557"/>
    <n v="-551340029"/>
    <m/>
    <m/>
    <m/>
    <m/>
    <m/>
    <m/>
    <m/>
    <m/>
    <m/>
    <m/>
    <m/>
    <n v="-21824.108093920098"/>
    <n v="0"/>
    <x v="21"/>
    <x v="39"/>
  </r>
  <r>
    <x v="0"/>
    <x v="5"/>
    <n v="6"/>
    <s v="BN"/>
    <s v="Bán Ngoài"/>
    <x v="40"/>
    <x v="38"/>
    <s v="Khác"/>
    <s v="Khác"/>
    <x v="9"/>
    <s v="NĐ"/>
    <s v="(blank)"/>
    <x v="0"/>
    <n v="0"/>
    <n v="0"/>
    <n v="0"/>
    <n v="0"/>
    <n v="12603970"/>
    <n v="-12603970"/>
    <m/>
    <m/>
    <m/>
    <m/>
    <m/>
    <m/>
    <m/>
    <m/>
    <m/>
    <m/>
    <m/>
    <n v="-498.91244826071949"/>
    <n v="0"/>
    <x v="21"/>
    <x v="40"/>
  </r>
  <r>
    <x v="0"/>
    <x v="5"/>
    <n v="6"/>
    <s v="BN"/>
    <s v="Bán Ngoài"/>
    <x v="27"/>
    <x v="25"/>
    <s v="Khác"/>
    <s v="Khác"/>
    <x v="2"/>
    <s v="NĐ"/>
    <s v="(blank)"/>
    <x v="0"/>
    <n v="0"/>
    <n v="0"/>
    <n v="0"/>
    <n v="0"/>
    <n v="0"/>
    <n v="0"/>
    <m/>
    <m/>
    <m/>
    <m/>
    <m/>
    <m/>
    <m/>
    <m/>
    <m/>
    <m/>
    <m/>
    <n v="0"/>
    <n v="0"/>
    <x v="21"/>
    <x v="27"/>
  </r>
  <r>
    <x v="0"/>
    <x v="5"/>
    <n v="6"/>
    <s v="BN"/>
    <s v="Bán Ngoài"/>
    <x v="41"/>
    <x v="39"/>
    <s v="Khác"/>
    <s v="Khác"/>
    <x v="2"/>
    <s v="NĐ"/>
    <s v="(blank)"/>
    <x v="0"/>
    <n v="0"/>
    <n v="0"/>
    <n v="0"/>
    <n v="0"/>
    <n v="0"/>
    <n v="0"/>
    <m/>
    <m/>
    <m/>
    <m/>
    <m/>
    <m/>
    <m/>
    <m/>
    <m/>
    <m/>
    <m/>
    <n v="0"/>
    <n v="0"/>
    <x v="21"/>
    <x v="41"/>
  </r>
  <r>
    <x v="0"/>
    <x v="6"/>
    <n v="7"/>
    <s v="1000"/>
    <s v="CPSX Nhựa Duy Tân"/>
    <x v="9"/>
    <x v="9"/>
    <s v="rPET"/>
    <s v="rPET"/>
    <x v="3"/>
    <s v="NĐ"/>
    <s v="(blank)"/>
    <x v="0"/>
    <n v="16500"/>
    <n v="546202799.99999988"/>
    <n v="3202541.8139097746"/>
    <n v="0"/>
    <n v="0"/>
    <n v="543000258.18609011"/>
    <m/>
    <m/>
    <m/>
    <m/>
    <m/>
    <m/>
    <m/>
    <m/>
    <m/>
    <m/>
    <m/>
    <n v="21558.374274682017"/>
    <n v="21685.522639740298"/>
    <x v="0"/>
    <x v="9"/>
  </r>
  <r>
    <x v="0"/>
    <x v="6"/>
    <n v="7"/>
    <s v="1000"/>
    <s v="CPSX Nhựa Duy Tân"/>
    <x v="74"/>
    <x v="72"/>
    <s v="rPP"/>
    <s v="rPP"/>
    <x v="6"/>
    <s v="NĐ"/>
    <s v="(blank)"/>
    <x v="1"/>
    <n v="-250"/>
    <n v="0"/>
    <n v="0"/>
    <n v="0"/>
    <n v="0"/>
    <n v="0"/>
    <m/>
    <m/>
    <m/>
    <m/>
    <m/>
    <m/>
    <m/>
    <m/>
    <m/>
    <m/>
    <m/>
    <n v="0"/>
    <n v="0"/>
    <x v="0"/>
    <x v="74"/>
  </r>
  <r>
    <x v="0"/>
    <x v="6"/>
    <n v="7"/>
    <s v="1000"/>
    <s v="CPSX Nhựa Duy Tân"/>
    <x v="74"/>
    <x v="72"/>
    <s v="rPP"/>
    <s v="rPP"/>
    <x v="6"/>
    <s v="NĐ"/>
    <s v="(blank)"/>
    <x v="0"/>
    <n v="300"/>
    <n v="7317590"/>
    <n v="0"/>
    <n v="0"/>
    <n v="0"/>
    <n v="7317590"/>
    <m/>
    <m/>
    <m/>
    <m/>
    <m/>
    <m/>
    <m/>
    <m/>
    <m/>
    <m/>
    <m/>
    <n v="290.52535727267826"/>
    <n v="290.52535727267826"/>
    <x v="0"/>
    <x v="74"/>
  </r>
  <r>
    <x v="0"/>
    <x v="6"/>
    <n v="7"/>
    <s v="1000"/>
    <s v="CPSX Nhựa Duy Tân"/>
    <x v="74"/>
    <x v="72"/>
    <s v="rPP"/>
    <s v="rPP"/>
    <x v="6"/>
    <s v="NĐ"/>
    <s v="(blank)"/>
    <x v="2"/>
    <n v="250"/>
    <n v="0"/>
    <n v="0"/>
    <n v="0"/>
    <n v="0"/>
    <n v="0"/>
    <m/>
    <m/>
    <m/>
    <m/>
    <m/>
    <m/>
    <m/>
    <m/>
    <m/>
    <m/>
    <m/>
    <n v="0"/>
    <n v="0"/>
    <x v="0"/>
    <x v="74"/>
  </r>
  <r>
    <x v="0"/>
    <x v="6"/>
    <n v="7"/>
    <s v="101290"/>
    <s v="Cty Thạnh Phát"/>
    <x v="7"/>
    <x v="7"/>
    <s v="Khác"/>
    <s v="Khác"/>
    <x v="2"/>
    <s v="NĐ"/>
    <s v="(blank)"/>
    <x v="0"/>
    <n v="0"/>
    <n v="0"/>
    <n v="0"/>
    <n v="0"/>
    <n v="0"/>
    <n v="0"/>
    <m/>
    <m/>
    <m/>
    <m/>
    <m/>
    <m/>
    <m/>
    <m/>
    <m/>
    <m/>
    <m/>
    <n v="0"/>
    <n v="0"/>
    <x v="1"/>
    <x v="7"/>
  </r>
  <r>
    <x v="0"/>
    <x v="6"/>
    <n v="7"/>
    <s v="102865"/>
    <s v="Dynaplast Bình Dương"/>
    <x v="1"/>
    <x v="1"/>
    <s v="rHDPE"/>
    <s v="rHDPE thổi"/>
    <x v="0"/>
    <s v="NĐ"/>
    <s v="(blank)"/>
    <x v="0"/>
    <n v="9625"/>
    <n v="339781750"/>
    <n v="0"/>
    <n v="0"/>
    <n v="0"/>
    <n v="339781750"/>
    <m/>
    <m/>
    <m/>
    <m/>
    <m/>
    <m/>
    <m/>
    <m/>
    <m/>
    <m/>
    <m/>
    <n v="13490.126436912406"/>
    <n v="13490.126436912406"/>
    <x v="2"/>
    <x v="1"/>
  </r>
  <r>
    <x v="0"/>
    <x v="6"/>
    <n v="7"/>
    <s v="102990"/>
    <s v="Coca-Cola Thủ Đức"/>
    <x v="8"/>
    <x v="8"/>
    <s v="rPET"/>
    <s v="rPET"/>
    <x v="3"/>
    <s v="NĐ"/>
    <s v="(blank)"/>
    <x v="1"/>
    <n v="-3413"/>
    <n v="0"/>
    <n v="-640508.36278195493"/>
    <n v="0"/>
    <n v="0"/>
    <n v="640508.36278195493"/>
    <m/>
    <m/>
    <m/>
    <m/>
    <m/>
    <m/>
    <m/>
    <m/>
    <m/>
    <m/>
    <m/>
    <n v="25.429673011656252"/>
    <n v="0"/>
    <x v="3"/>
    <x v="8"/>
  </r>
  <r>
    <x v="0"/>
    <x v="6"/>
    <n v="7"/>
    <s v="102990"/>
    <s v="Coca-Cola Thủ Đức"/>
    <x v="8"/>
    <x v="8"/>
    <s v="rPET"/>
    <s v="rPET"/>
    <x v="3"/>
    <s v="NĐ"/>
    <s v="(blank)"/>
    <x v="2"/>
    <n v="3413"/>
    <n v="0"/>
    <n v="640508.36278195493"/>
    <n v="0"/>
    <n v="0"/>
    <n v="-640508.36278195493"/>
    <m/>
    <m/>
    <m/>
    <m/>
    <m/>
    <m/>
    <m/>
    <m/>
    <m/>
    <m/>
    <m/>
    <n v="-25.429673011656252"/>
    <n v="0"/>
    <x v="3"/>
    <x v="8"/>
  </r>
  <r>
    <x v="0"/>
    <x v="6"/>
    <n v="7"/>
    <s v="104894"/>
    <s v="UNILEVER-NGỌC NGHĨA"/>
    <x v="9"/>
    <x v="9"/>
    <s v="rPET"/>
    <s v="rPET"/>
    <x v="3"/>
    <s v="NĐ"/>
    <s v="(blank)"/>
    <x v="0"/>
    <n v="198000"/>
    <n v="6433614000"/>
    <n v="38430501.766917296"/>
    <n v="0"/>
    <n v="27720000"/>
    <n v="6367463498.2330828"/>
    <m/>
    <m/>
    <m/>
    <m/>
    <m/>
    <m/>
    <m/>
    <m/>
    <m/>
    <m/>
    <m/>
    <n v="252803.12339785427"/>
    <n v="255429.4523066344"/>
    <x v="2"/>
    <x v="9"/>
  </r>
  <r>
    <x v="0"/>
    <x v="6"/>
    <n v="7"/>
    <s v="104909"/>
    <s v="Công ty TNHH La Vie"/>
    <x v="10"/>
    <x v="10"/>
    <s v="rPET"/>
    <s v="rPET"/>
    <x v="3"/>
    <s v="NĐ"/>
    <s v="(blank)"/>
    <x v="0"/>
    <n v="88000"/>
    <n v="2946950160"/>
    <n v="17080223.007518798"/>
    <n v="0"/>
    <n v="0"/>
    <n v="2929869936.9924812"/>
    <m/>
    <m/>
    <m/>
    <m/>
    <m/>
    <m/>
    <m/>
    <m/>
    <m/>
    <m/>
    <m/>
    <n v="116322.65680466109"/>
    <n v="117000.78141830525"/>
    <x v="4"/>
    <x v="10"/>
  </r>
  <r>
    <x v="0"/>
    <x v="6"/>
    <n v="7"/>
    <s v="105194"/>
    <s v="Suntory Việt Nam"/>
    <x v="8"/>
    <x v="8"/>
    <s v="rPET"/>
    <s v="rPET"/>
    <x v="3"/>
    <s v="NĐ"/>
    <s v="(blank)"/>
    <x v="0"/>
    <n v="4400"/>
    <n v="159379717"/>
    <n v="854011.15037593991"/>
    <n v="0"/>
    <n v="7000000"/>
    <n v="151525705.84962407"/>
    <m/>
    <m/>
    <m/>
    <m/>
    <m/>
    <m/>
    <m/>
    <m/>
    <m/>
    <m/>
    <m/>
    <n v="6015.923251775077"/>
    <n v="6327.7457774271797"/>
    <x v="7"/>
    <x v="8"/>
  </r>
  <r>
    <x v="0"/>
    <x v="6"/>
    <n v="7"/>
    <s v="105208"/>
    <s v="Công ty TNHH SX Và TM Việt Thành"/>
    <x v="33"/>
    <x v="31"/>
    <s v="rPET"/>
    <s v="rPET"/>
    <x v="3"/>
    <s v="NĐ"/>
    <s v="(blank)"/>
    <x v="0"/>
    <n v="4400"/>
    <n v="149050000"/>
    <n v="854011.15037593991"/>
    <n v="0"/>
    <n v="0"/>
    <n v="148195988.84962407"/>
    <m/>
    <m/>
    <m/>
    <m/>
    <m/>
    <m/>
    <m/>
    <m/>
    <m/>
    <m/>
    <m/>
    <n v="5883.7257357838953"/>
    <n v="5917.6319664661041"/>
    <x v="46"/>
    <x v="33"/>
  </r>
  <r>
    <x v="0"/>
    <x v="6"/>
    <n v="7"/>
    <s v="105209"/>
    <s v="Công ty TNHH MTV Đồng Lâm"/>
    <x v="35"/>
    <x v="33"/>
    <s v="Khác"/>
    <s v="Khác"/>
    <x v="2"/>
    <s v="NĐ"/>
    <s v="(blank)"/>
    <x v="0"/>
    <n v="0"/>
    <n v="61000000"/>
    <n v="0"/>
    <n v="0"/>
    <n v="0"/>
    <n v="61000000"/>
    <m/>
    <m/>
    <m/>
    <m/>
    <m/>
    <m/>
    <m/>
    <m/>
    <m/>
    <m/>
    <m/>
    <n v="2421.8419990233633"/>
    <n v="2421.8419990233633"/>
    <x v="17"/>
    <x v="35"/>
  </r>
  <r>
    <x v="0"/>
    <x v="6"/>
    <n v="7"/>
    <s v="105214"/>
    <s v="Người mua hàng không lấy hóa đơn"/>
    <x v="75"/>
    <x v="73"/>
    <s v="Khác"/>
    <s v="Phó sản"/>
    <x v="5"/>
    <s v="NĐ"/>
    <s v="(blank)"/>
    <x v="0"/>
    <n v="1550"/>
    <n v="7462963.1591796875"/>
    <n v="0"/>
    <n v="0"/>
    <n v="0"/>
    <n v="7462963.1591796875"/>
    <m/>
    <m/>
    <m/>
    <m/>
    <m/>
    <m/>
    <m/>
    <m/>
    <m/>
    <m/>
    <m/>
    <n v="296.29701009943363"/>
    <n v="296.29701009943363"/>
    <x v="9"/>
    <x v="75"/>
  </r>
  <r>
    <x v="0"/>
    <x v="6"/>
    <n v="7"/>
    <s v="105214"/>
    <s v="Người mua hàng không lấy hóa đơn"/>
    <x v="76"/>
    <x v="74"/>
    <s v="Khác"/>
    <s v="Phó sản"/>
    <x v="5"/>
    <s v="NĐ"/>
    <s v="(blank)"/>
    <x v="0"/>
    <n v="1560"/>
    <n v="7511111.30859375"/>
    <n v="0"/>
    <n v="0"/>
    <n v="0"/>
    <n v="7511111.30859375"/>
    <m/>
    <m/>
    <m/>
    <m/>
    <m/>
    <m/>
    <m/>
    <m/>
    <m/>
    <m/>
    <m/>
    <n v="298.20860371297834"/>
    <n v="298.20860371297834"/>
    <x v="9"/>
    <x v="76"/>
  </r>
  <r>
    <x v="0"/>
    <x v="6"/>
    <n v="7"/>
    <s v="105214"/>
    <s v="Người mua hàng không lấy hóa đơn"/>
    <x v="77"/>
    <x v="75"/>
    <s v="Khác"/>
    <s v="Phó sản"/>
    <x v="5"/>
    <s v="NĐ"/>
    <s v="(blank)"/>
    <x v="0"/>
    <n v="3560"/>
    <n v="17140741.19140625"/>
    <n v="0"/>
    <n v="0"/>
    <n v="0"/>
    <n v="17140741.19140625"/>
    <m/>
    <m/>
    <m/>
    <m/>
    <m/>
    <m/>
    <m/>
    <m/>
    <m/>
    <m/>
    <m/>
    <n v="680.52732642192495"/>
    <n v="680.52732642192495"/>
    <x v="9"/>
    <x v="77"/>
  </r>
  <r>
    <x v="0"/>
    <x v="6"/>
    <n v="7"/>
    <s v="105214"/>
    <s v="Người mua hàng không lấy hóa đơn"/>
    <x v="78"/>
    <x v="76"/>
    <s v="Khác"/>
    <s v="Phó sản"/>
    <x v="5"/>
    <s v="NĐ"/>
    <s v="(blank)"/>
    <x v="0"/>
    <n v="3570"/>
    <n v="17188889.340820313"/>
    <n v="0"/>
    <n v="0"/>
    <n v="0"/>
    <n v="17188889.340820313"/>
    <m/>
    <m/>
    <m/>
    <m/>
    <m/>
    <m/>
    <m/>
    <m/>
    <m/>
    <m/>
    <m/>
    <n v="682.43892003546966"/>
    <n v="682.43892003546966"/>
    <x v="9"/>
    <x v="78"/>
  </r>
  <r>
    <x v="0"/>
    <x v="6"/>
    <n v="7"/>
    <s v="105214"/>
    <s v="Người mua hàng không lấy hóa đơn"/>
    <x v="27"/>
    <x v="25"/>
    <s v="Khác"/>
    <s v="Khác"/>
    <x v="2"/>
    <s v="NĐ"/>
    <s v="(blank)"/>
    <x v="0"/>
    <n v="0"/>
    <n v="44527928"/>
    <n v="0"/>
    <n v="0"/>
    <n v="0"/>
    <n v="44527928"/>
    <m/>
    <m/>
    <m/>
    <m/>
    <m/>
    <m/>
    <m/>
    <m/>
    <m/>
    <m/>
    <m/>
    <n v="1767.8623960637442"/>
    <n v="1767.8623960637442"/>
    <x v="9"/>
    <x v="27"/>
  </r>
  <r>
    <x v="0"/>
    <x v="6"/>
    <n v="7"/>
    <s v="105229"/>
    <s v="GIA TƯỜNG"/>
    <x v="44"/>
    <x v="42"/>
    <s v="GC"/>
    <s v="GC"/>
    <x v="10"/>
    <s v="NĐ"/>
    <s v="(blank)"/>
    <x v="0"/>
    <n v="180000"/>
    <n v="3288000000"/>
    <n v="0"/>
    <n v="238800000"/>
    <n v="0"/>
    <n v="3049200000"/>
    <m/>
    <m/>
    <m/>
    <m/>
    <m/>
    <m/>
    <m/>
    <m/>
    <m/>
    <m/>
    <m/>
    <n v="121060.3380888859"/>
    <n v="130541.25398014458"/>
    <x v="24"/>
    <x v="44"/>
  </r>
  <r>
    <x v="0"/>
    <x v="6"/>
    <n v="7"/>
    <s v="105234"/>
    <s v="CTY THỰC PHẨM VĨ HUY"/>
    <x v="9"/>
    <x v="9"/>
    <s v="rPET"/>
    <s v="rPET"/>
    <x v="3"/>
    <s v="NĐ"/>
    <s v="(blank)"/>
    <x v="0"/>
    <n v="1100"/>
    <n v="36400650"/>
    <n v="213502.78759398498"/>
    <n v="0"/>
    <n v="0"/>
    <n v="36187147.212406017"/>
    <m/>
    <m/>
    <m/>
    <m/>
    <m/>
    <m/>
    <m/>
    <m/>
    <m/>
    <m/>
    <m/>
    <n v="1436.7139826860021"/>
    <n v="1445.190540356554"/>
    <x v="25"/>
    <x v="9"/>
  </r>
  <r>
    <x v="0"/>
    <x v="6"/>
    <n v="7"/>
    <s v="105247"/>
    <s v="MINH THÀNH"/>
    <x v="29"/>
    <x v="27"/>
    <s v="Khác"/>
    <s v="Phó sản"/>
    <x v="5"/>
    <s v="NĐ"/>
    <s v="(blank)"/>
    <x v="0"/>
    <n v="5964"/>
    <n v="123454800"/>
    <n v="0"/>
    <n v="0"/>
    <n v="0"/>
    <n v="123454800"/>
    <m/>
    <m/>
    <m/>
    <m/>
    <m/>
    <m/>
    <m/>
    <m/>
    <m/>
    <m/>
    <m/>
    <n v="4901.4429446070417"/>
    <n v="4901.4429446070417"/>
    <x v="10"/>
    <x v="29"/>
  </r>
  <r>
    <x v="0"/>
    <x v="6"/>
    <n v="7"/>
    <s v="105249"/>
    <s v="RỒNG VIỆT"/>
    <x v="79"/>
    <x v="77"/>
    <s v="Khác"/>
    <s v="Phó sản"/>
    <x v="5"/>
    <s v="NĐ"/>
    <s v="(blank)"/>
    <x v="0"/>
    <n v="6424"/>
    <n v="122056000"/>
    <n v="0"/>
    <n v="0"/>
    <n v="0"/>
    <n v="122056000"/>
    <m/>
    <m/>
    <m/>
    <m/>
    <m/>
    <m/>
    <m/>
    <m/>
    <m/>
    <m/>
    <m/>
    <n v="4845.9073284064862"/>
    <n v="4845.9073284064862"/>
    <x v="28"/>
    <x v="79"/>
  </r>
  <r>
    <x v="0"/>
    <x v="6"/>
    <n v="7"/>
    <s v="105263"/>
    <s v="Unilever Duy Tân"/>
    <x v="1"/>
    <x v="1"/>
    <s v="rHDPE"/>
    <s v="rHDPE thổi"/>
    <x v="0"/>
    <s v="NĐ"/>
    <s v="(blank)"/>
    <x v="0"/>
    <n v="66000"/>
    <n v="2316204000"/>
    <n v="0"/>
    <n v="0"/>
    <n v="0"/>
    <n v="2316204000"/>
    <m/>
    <m/>
    <m/>
    <m/>
    <m/>
    <m/>
    <m/>
    <m/>
    <m/>
    <m/>
    <m/>
    <n v="91958.690582064126"/>
    <n v="91958.690582064126"/>
    <x v="2"/>
    <x v="1"/>
  </r>
  <r>
    <x v="0"/>
    <x v="6"/>
    <n v="7"/>
    <s v="105263"/>
    <s v="Unilever Duy Tân"/>
    <x v="9"/>
    <x v="9"/>
    <s v="rPET"/>
    <s v="rPET"/>
    <x v="3"/>
    <s v="NĐ"/>
    <s v="(blank)"/>
    <x v="0"/>
    <n v="11000"/>
    <n v="357423000"/>
    <n v="1067513.9379699249"/>
    <n v="0"/>
    <n v="0"/>
    <n v="356355486.06203008"/>
    <m/>
    <m/>
    <m/>
    <m/>
    <m/>
    <m/>
    <m/>
    <m/>
    <m/>
    <m/>
    <m/>
    <n v="14148.142339793594"/>
    <n v="14190.525128146355"/>
    <x v="2"/>
    <x v="9"/>
  </r>
  <r>
    <x v="0"/>
    <x v="6"/>
    <n v="7"/>
    <s v="105263"/>
    <s v="Unilever Duy Tân"/>
    <x v="50"/>
    <x v="48"/>
    <s v="rHDPE"/>
    <s v="rHDPE thổi"/>
    <x v="0"/>
    <s v="NĐ"/>
    <s v="(blank)"/>
    <x v="0"/>
    <n v="11000"/>
    <n v="372306000"/>
    <n v="1067513.9379699249"/>
    <n v="0"/>
    <n v="0"/>
    <n v="371238486.06203008"/>
    <m/>
    <m/>
    <m/>
    <m/>
    <m/>
    <m/>
    <m/>
    <m/>
    <m/>
    <m/>
    <m/>
    <n v="14739.032085227442"/>
    <n v="14781.414873580203"/>
    <x v="2"/>
    <x v="50"/>
  </r>
  <r>
    <x v="0"/>
    <x v="6"/>
    <n v="7"/>
    <s v="105266"/>
    <s v="MIDA"/>
    <x v="9"/>
    <x v="9"/>
    <s v="rPET"/>
    <s v="rPET"/>
    <x v="3"/>
    <s v="NĐ"/>
    <s v="(blank)"/>
    <x v="0"/>
    <n v="200"/>
    <n v="6640000"/>
    <n v="0"/>
    <n v="0"/>
    <n v="0"/>
    <n v="6640000"/>
    <m/>
    <m/>
    <m/>
    <m/>
    <m/>
    <m/>
    <m/>
    <m/>
    <m/>
    <m/>
    <m/>
    <n v="263.62345694287103"/>
    <n v="263.62345694287103"/>
    <x v="35"/>
    <x v="9"/>
  </r>
  <r>
    <x v="0"/>
    <x v="6"/>
    <n v="7"/>
    <s v="105266"/>
    <s v="MIDA"/>
    <x v="53"/>
    <x v="51"/>
    <s v="rPET"/>
    <s v="rPET"/>
    <x v="3"/>
    <s v="NĐ"/>
    <s v="(blank)"/>
    <x v="0"/>
    <n v="300"/>
    <n v="9551400"/>
    <n v="213502.78759398498"/>
    <n v="0"/>
    <n v="0"/>
    <n v="9337897.212406015"/>
    <m/>
    <m/>
    <m/>
    <m/>
    <m/>
    <m/>
    <m/>
    <m/>
    <m/>
    <m/>
    <m/>
    <n v="370.73625658308322"/>
    <n v="379.21281425363532"/>
    <x v="35"/>
    <x v="53"/>
  </r>
  <r>
    <x v="0"/>
    <x v="6"/>
    <n v="7"/>
    <s v="105271"/>
    <s v="Suntory- Ngọc Nghĩa Tây Ninh"/>
    <x v="8"/>
    <x v="8"/>
    <s v="rPET"/>
    <s v="rPET"/>
    <x v="3"/>
    <s v="NĐ"/>
    <s v="(blank)"/>
    <x v="0"/>
    <n v="22000"/>
    <n v="794002000"/>
    <n v="4270055.7518796995"/>
    <n v="0"/>
    <n v="3080000"/>
    <n v="781117404.24812031"/>
    <m/>
    <m/>
    <m/>
    <m/>
    <m/>
    <m/>
    <m/>
    <m/>
    <m/>
    <m/>
    <m/>
    <n v="31012.179275019811"/>
    <n v="31523.727719812272"/>
    <x v="7"/>
    <x v="8"/>
  </r>
  <r>
    <x v="0"/>
    <x v="6"/>
    <n v="7"/>
    <s v="105271"/>
    <s v="Suntory- Ngọc Nghĩa Tây Ninh"/>
    <x v="33"/>
    <x v="31"/>
    <s v="rPET"/>
    <s v="rPET"/>
    <x v="3"/>
    <s v="NĐ"/>
    <s v="(blank)"/>
    <x v="0"/>
    <n v="2200"/>
    <n v="78278200"/>
    <n v="427005.57518796995"/>
    <n v="0"/>
    <n v="0"/>
    <n v="77851194.424812034"/>
    <m/>
    <m/>
    <m/>
    <m/>
    <m/>
    <m/>
    <m/>
    <m/>
    <m/>
    <m/>
    <m/>
    <n v="3090.8736447892347"/>
    <n v="3107.8267601303387"/>
    <x v="7"/>
    <x v="33"/>
  </r>
  <r>
    <x v="0"/>
    <x v="6"/>
    <n v="7"/>
    <s v="105271"/>
    <s v="Suntory- Ngọc Nghĩa Tây Ninh"/>
    <x v="68"/>
    <x v="66"/>
    <s v="Khác"/>
    <s v="Khác"/>
    <x v="2"/>
    <s v="NĐ"/>
    <s v="(blank)"/>
    <x v="0"/>
    <n v="0"/>
    <n v="0"/>
    <n v="0"/>
    <n v="0"/>
    <n v="0"/>
    <n v="5534540"/>
    <m/>
    <m/>
    <m/>
    <m/>
    <m/>
    <m/>
    <m/>
    <m/>
    <m/>
    <m/>
    <m/>
    <n v="219.7341215946683"/>
    <n v="0"/>
    <x v="7"/>
    <x v="68"/>
  </r>
  <r>
    <x v="0"/>
    <x v="6"/>
    <n v="7"/>
    <s v="105272"/>
    <s v="LINH CHI"/>
    <x v="62"/>
    <x v="60"/>
    <s v="Xơ sợi"/>
    <s v="Xơ sợi"/>
    <x v="7"/>
    <s v="NĐ"/>
    <s v="(blank)"/>
    <x v="1"/>
    <n v="-8800"/>
    <n v="0"/>
    <n v="0"/>
    <n v="0"/>
    <n v="0"/>
    <n v="0"/>
    <m/>
    <m/>
    <m/>
    <m/>
    <m/>
    <m/>
    <m/>
    <m/>
    <m/>
    <m/>
    <m/>
    <n v="0"/>
    <n v="0"/>
    <x v="42"/>
    <x v="62"/>
  </r>
  <r>
    <x v="0"/>
    <x v="6"/>
    <n v="7"/>
    <s v="105272"/>
    <s v="LINH CHI"/>
    <x v="62"/>
    <x v="60"/>
    <s v="Xơ sợi"/>
    <s v="Xơ sợi"/>
    <x v="7"/>
    <s v="NĐ"/>
    <s v="(blank)"/>
    <x v="2"/>
    <n v="8800"/>
    <n v="0"/>
    <n v="0"/>
    <n v="0"/>
    <n v="0"/>
    <n v="0"/>
    <m/>
    <m/>
    <m/>
    <m/>
    <m/>
    <m/>
    <m/>
    <m/>
    <m/>
    <m/>
    <m/>
    <n v="0"/>
    <n v="0"/>
    <x v="42"/>
    <x v="62"/>
  </r>
  <r>
    <x v="0"/>
    <x v="6"/>
    <n v="7"/>
    <s v="105277"/>
    <s v="Ngọc Hoàng Gia"/>
    <x v="62"/>
    <x v="60"/>
    <s v="Xơ sợi"/>
    <s v="Xơ sợi"/>
    <x v="7"/>
    <s v="NĐ"/>
    <s v="(blank)"/>
    <x v="0"/>
    <n v="165000"/>
    <n v="2722500000"/>
    <n v="32025418.139097743"/>
    <n v="0"/>
    <n v="0"/>
    <n v="2690474581.8609023"/>
    <m/>
    <m/>
    <m/>
    <m/>
    <m/>
    <m/>
    <m/>
    <m/>
    <m/>
    <m/>
    <m/>
    <n v="106818.1039287796"/>
    <n v="108089.58757936239"/>
    <x v="49"/>
    <x v="62"/>
  </r>
  <r>
    <x v="0"/>
    <x v="6"/>
    <n v="7"/>
    <s v="105281"/>
    <s v="Plascene- DTP"/>
    <x v="9"/>
    <x v="9"/>
    <s v="rPET"/>
    <s v="rPET"/>
    <x v="3"/>
    <s v="NĐ"/>
    <s v="(blank)"/>
    <x v="0"/>
    <n v="67100"/>
    <n v="2170014000"/>
    <n v="13023670.043233084"/>
    <n v="0"/>
    <n v="0"/>
    <n v="2156990329.9567671"/>
    <m/>
    <m/>
    <m/>
    <m/>
    <m/>
    <m/>
    <m/>
    <m/>
    <m/>
    <m/>
    <m/>
    <n v="85637.537255353454"/>
    <n v="86154.607273257134"/>
    <x v="54"/>
    <x v="9"/>
  </r>
  <r>
    <x v="0"/>
    <x v="6"/>
    <n v="7"/>
    <s v="105284"/>
    <s v="Motul -DTP"/>
    <x v="1"/>
    <x v="1"/>
    <s v="rHDPE"/>
    <s v="rHDPE thổi"/>
    <x v="0"/>
    <s v="NĐ"/>
    <s v="(blank)"/>
    <x v="0"/>
    <n v="22000"/>
    <n v="756280800"/>
    <n v="0"/>
    <n v="0"/>
    <n v="0"/>
    <n v="756280800"/>
    <m/>
    <m/>
    <m/>
    <m/>
    <m/>
    <m/>
    <m/>
    <m/>
    <m/>
    <m/>
    <m/>
    <n v="30026.108270409648"/>
    <n v="30026.108270409648"/>
    <x v="59"/>
    <x v="1"/>
  </r>
  <r>
    <x v="0"/>
    <x v="6"/>
    <n v="7"/>
    <s v="105285"/>
    <s v="OK SUNG VINA"/>
    <x v="80"/>
    <x v="78"/>
    <s v="rHDPE"/>
    <s v="rHDPE ép"/>
    <x v="1"/>
    <s v="NĐ"/>
    <s v="(blank)"/>
    <x v="0"/>
    <n v="50"/>
    <n v="1668350"/>
    <n v="0"/>
    <n v="0"/>
    <n v="0"/>
    <n v="1668350"/>
    <m/>
    <m/>
    <m/>
    <m/>
    <m/>
    <m/>
    <m/>
    <m/>
    <m/>
    <m/>
    <m/>
    <n v="66.237378673288987"/>
    <n v="66.237378673288987"/>
    <x v="60"/>
    <x v="80"/>
  </r>
  <r>
    <x v="0"/>
    <x v="6"/>
    <n v="7"/>
    <s v="105288"/>
    <s v="Nhựa Chí Minh"/>
    <x v="81"/>
    <x v="79"/>
    <s v="rPET"/>
    <s v="rPET"/>
    <x v="3"/>
    <s v="NĐ"/>
    <s v="(blank)"/>
    <x v="0"/>
    <n v="500"/>
    <n v="16198326"/>
    <n v="213502.78759398498"/>
    <n v="0"/>
    <n v="0"/>
    <n v="15984823.212406015"/>
    <m/>
    <m/>
    <m/>
    <m/>
    <m/>
    <m/>
    <m/>
    <m/>
    <m/>
    <m/>
    <m/>
    <n v="634.63469184866301"/>
    <n v="643.11124951921511"/>
    <x v="61"/>
    <x v="81"/>
  </r>
  <r>
    <x v="0"/>
    <x v="6"/>
    <n v="7"/>
    <s v="105289"/>
    <s v="BPG SHINNIHON"/>
    <x v="51"/>
    <x v="49"/>
    <s v="rHDPE"/>
    <s v="rHDPE ép"/>
    <x v="1"/>
    <s v="NĐ"/>
    <s v="(blank)"/>
    <x v="0"/>
    <n v="2250"/>
    <n v="50400000"/>
    <n v="640508.36278195493"/>
    <n v="0"/>
    <n v="0"/>
    <n v="49759491.637218043"/>
    <m/>
    <m/>
    <m/>
    <m/>
    <m/>
    <m/>
    <m/>
    <m/>
    <m/>
    <m/>
    <m/>
    <n v="1975.5676507715816"/>
    <n v="2000.997323783238"/>
    <x v="62"/>
    <x v="51"/>
  </r>
  <r>
    <x v="0"/>
    <x v="6"/>
    <n v="7"/>
    <s v="200319"/>
    <s v="Niagara Bottling, LLC"/>
    <x v="9"/>
    <x v="9"/>
    <s v="rPET"/>
    <s v="rPET"/>
    <x v="3"/>
    <s v="XK"/>
    <s v="United Kingdom of Great Britain and Northern Ireland (the)"/>
    <x v="0"/>
    <n v="110000"/>
    <n v="3338141730"/>
    <n v="8572920.5588822346"/>
    <n v="50072125.949999996"/>
    <n v="45492158"/>
    <n v="3234004525.4911175"/>
    <m/>
    <m/>
    <m/>
    <m/>
    <m/>
    <m/>
    <m/>
    <m/>
    <m/>
    <m/>
    <m/>
    <n v="127978.01842070112"/>
    <n v="132099"/>
    <x v="14"/>
    <x v="9"/>
  </r>
  <r>
    <x v="0"/>
    <x v="6"/>
    <n v="7"/>
    <s v="200319"/>
    <s v="Niagara Bottling, LLC"/>
    <x v="9"/>
    <x v="9"/>
    <s v="rPET"/>
    <s v="rPET"/>
    <x v="3"/>
    <s v="XK"/>
    <s v="United States of America (the)"/>
    <x v="0"/>
    <n v="726000"/>
    <n v="22009849054"/>
    <n v="56581275.688622795"/>
    <n v="330147735.81"/>
    <n v="285148695"/>
    <n v="21337971347.501373"/>
    <m/>
    <m/>
    <m/>
    <m/>
    <m/>
    <m/>
    <m/>
    <m/>
    <m/>
    <m/>
    <m/>
    <n v="847312.63317283464"/>
    <n v="873991.87996814051"/>
    <x v="14"/>
    <x v="9"/>
  </r>
  <r>
    <x v="0"/>
    <x v="6"/>
    <n v="7"/>
    <s v="200324"/>
    <s v="Itochu"/>
    <x v="58"/>
    <x v="56"/>
    <s v="rPET"/>
    <s v="rPET"/>
    <x v="3"/>
    <s v="XK"/>
    <s v="Japan"/>
    <x v="0"/>
    <n v="1100"/>
    <n v="33158400"/>
    <n v="171458.41117764471"/>
    <n v="0"/>
    <n v="4065411"/>
    <n v="28921530.588822354"/>
    <m/>
    <m/>
    <m/>
    <m/>
    <m/>
    <m/>
    <m/>
    <m/>
    <m/>
    <m/>
    <m/>
    <n v="1151.3348164340109"/>
    <n v="1320"/>
    <x v="43"/>
    <x v="58"/>
  </r>
  <r>
    <x v="0"/>
    <x v="6"/>
    <n v="7"/>
    <s v="200344"/>
    <s v="Wiese"/>
    <x v="8"/>
    <x v="8"/>
    <s v="rPET"/>
    <s v="rPET"/>
    <x v="3"/>
    <s v="XK"/>
    <s v="Mexico"/>
    <x v="0"/>
    <n v="44000"/>
    <n v="1484612800.0000002"/>
    <n v="3429168.2235528943"/>
    <n v="0"/>
    <n v="20275008"/>
    <n v="1460908623.7764473"/>
    <m/>
    <m/>
    <m/>
    <m/>
    <m/>
    <m/>
    <m/>
    <m/>
    <m/>
    <m/>
    <m/>
    <n v="58018.610952202034"/>
    <n v="58960.000000000007"/>
    <x v="56"/>
    <x v="8"/>
  </r>
  <r>
    <x v="0"/>
    <x v="6"/>
    <n v="7"/>
    <s v="200358"/>
    <s v="REYNERA"/>
    <x v="35"/>
    <x v="33"/>
    <s v="Khác"/>
    <s v="Khác"/>
    <x v="2"/>
    <s v="NĐ"/>
    <s v="(blank)"/>
    <x v="0"/>
    <n v="0"/>
    <n v="-5150588"/>
    <n v="0"/>
    <n v="0"/>
    <n v="0"/>
    <n v="-5150588"/>
    <m/>
    <m/>
    <m/>
    <m/>
    <m/>
    <m/>
    <m/>
    <m/>
    <m/>
    <m/>
    <m/>
    <n v="-204.49033341091399"/>
    <n v="-204.49033341091399"/>
    <x v="58"/>
    <x v="35"/>
  </r>
  <r>
    <x v="0"/>
    <x v="6"/>
    <n v="7"/>
    <s v="200359"/>
    <s v="PREMIUM WATER"/>
    <x v="58"/>
    <x v="56"/>
    <s v="rPET"/>
    <s v="rPET"/>
    <x v="3"/>
    <s v="XK"/>
    <s v="United States of America (the)"/>
    <x v="0"/>
    <n v="211200"/>
    <n v="5632153120"/>
    <n v="17145841.117764469"/>
    <n v="0"/>
    <n v="88095408"/>
    <n v="5526911870.8822365"/>
    <m/>
    <m/>
    <m/>
    <m/>
    <m/>
    <m/>
    <m/>
    <m/>
    <m/>
    <m/>
    <m/>
    <n v="219688.75979892546"/>
    <n v="223872"/>
    <x v="63"/>
    <x v="58"/>
  </r>
  <r>
    <x v="0"/>
    <x v="6"/>
    <n v="7"/>
    <s v="2421100100"/>
    <s v="Chi phí phân bổ"/>
    <x v="27"/>
    <x v="25"/>
    <s v="Khác"/>
    <s v="Khác"/>
    <x v="2"/>
    <s v="NĐ"/>
    <s v="(blank)"/>
    <x v="0"/>
    <n v="0"/>
    <n v="0"/>
    <n v="0"/>
    <n v="0"/>
    <n v="0"/>
    <n v="0"/>
    <m/>
    <m/>
    <m/>
    <m/>
    <m/>
    <m/>
    <m/>
    <m/>
    <m/>
    <m/>
    <m/>
    <n v="0"/>
    <n v="0"/>
    <x v="64"/>
    <x v="27"/>
  </r>
  <r>
    <x v="0"/>
    <x v="6"/>
    <n v="7"/>
    <s v="3358000400"/>
    <s v="Chí phí phải trả khác- Open item"/>
    <x v="36"/>
    <x v="34"/>
    <s v="Khác"/>
    <s v="Khác"/>
    <x v="2"/>
    <s v="NĐ"/>
    <s v="(blank)"/>
    <x v="0"/>
    <n v="0"/>
    <n v="0"/>
    <n v="0"/>
    <n v="0"/>
    <n v="0"/>
    <n v="0"/>
    <m/>
    <m/>
    <m/>
    <m/>
    <m/>
    <m/>
    <m/>
    <m/>
    <m/>
    <m/>
    <m/>
    <n v="0"/>
    <n v="0"/>
    <x v="19"/>
    <x v="36"/>
  </r>
  <r>
    <x v="0"/>
    <x v="6"/>
    <n v="7"/>
    <s v="6219000900"/>
    <s v="Kết chuyển CPSX không phân bổ được"/>
    <x v="37"/>
    <x v="35"/>
    <s v="Khác"/>
    <s v="Khác"/>
    <x v="2"/>
    <s v="NĐ"/>
    <s v="(blank)"/>
    <x v="0"/>
    <n v="0"/>
    <n v="0"/>
    <n v="0"/>
    <n v="0"/>
    <n v="0"/>
    <n v="0"/>
    <m/>
    <m/>
    <m/>
    <m/>
    <m/>
    <m/>
    <m/>
    <m/>
    <m/>
    <m/>
    <m/>
    <n v="0"/>
    <n v="0"/>
    <x v="20"/>
    <x v="37"/>
  </r>
  <r>
    <x v="0"/>
    <x v="6"/>
    <n v="7"/>
    <s v="BN"/>
    <s v="Bán Ngoài"/>
    <x v="82"/>
    <x v="80"/>
    <s v="Khác"/>
    <s v="Khác"/>
    <x v="2"/>
    <s v="NĐ"/>
    <s v="(blank)"/>
    <x v="0"/>
    <n v="0"/>
    <n v="0"/>
    <n v="0"/>
    <n v="0"/>
    <n v="0"/>
    <n v="0"/>
    <m/>
    <m/>
    <m/>
    <m/>
    <m/>
    <m/>
    <m/>
    <m/>
    <m/>
    <m/>
    <m/>
    <n v="0"/>
    <n v="0"/>
    <x v="21"/>
    <x v="82"/>
  </r>
  <r>
    <x v="0"/>
    <x v="6"/>
    <n v="7"/>
    <s v="BN"/>
    <s v="Bán Ngoài"/>
    <x v="39"/>
    <x v="37"/>
    <s v="Khác"/>
    <s v="Khác"/>
    <x v="8"/>
    <s v="NĐ"/>
    <s v="(blank)"/>
    <x v="0"/>
    <n v="0"/>
    <n v="0"/>
    <n v="0"/>
    <n v="87488978.239999831"/>
    <n v="238193833.00000021"/>
    <n v="-325682811.24000001"/>
    <m/>
    <m/>
    <m/>
    <m/>
    <m/>
    <m/>
    <m/>
    <m/>
    <m/>
    <m/>
    <m/>
    <n v="-12931.461370024026"/>
    <n v="0"/>
    <x v="21"/>
    <x v="39"/>
  </r>
  <r>
    <x v="0"/>
    <x v="6"/>
    <n v="7"/>
    <s v="BN"/>
    <s v="Bán Ngoài"/>
    <x v="41"/>
    <x v="39"/>
    <s v="Khác"/>
    <s v="Khác"/>
    <x v="2"/>
    <s v="NĐ"/>
    <s v="(blank)"/>
    <x v="0"/>
    <n v="0"/>
    <n v="0"/>
    <n v="0"/>
    <n v="0"/>
    <n v="0"/>
    <n v="0"/>
    <m/>
    <m/>
    <m/>
    <m/>
    <m/>
    <m/>
    <m/>
    <m/>
    <m/>
    <m/>
    <m/>
    <n v="0"/>
    <n v="0"/>
    <x v="21"/>
    <x v="41"/>
  </r>
  <r>
    <x v="0"/>
    <x v="7"/>
    <n v="8"/>
    <s v="1000"/>
    <s v="CPSX Nhựa Duy Tân"/>
    <x v="9"/>
    <x v="9"/>
    <s v="rPET"/>
    <s v="rPET"/>
    <x v="3"/>
    <s v="NĐ"/>
    <s v="(blank)"/>
    <x v="0"/>
    <n v="33000"/>
    <n v="1092019500"/>
    <n v="4270055.7469244292"/>
    <n v="0"/>
    <n v="0"/>
    <n v="1087749444.2530756"/>
    <m/>
    <m/>
    <m/>
    <m/>
    <m/>
    <m/>
    <m/>
    <m/>
    <m/>
    <m/>
    <m/>
    <n v="43673.749775426673"/>
    <n v="43845.194906659402"/>
    <x v="0"/>
    <x v="9"/>
  </r>
  <r>
    <x v="0"/>
    <x v="7"/>
    <n v="8"/>
    <s v="1000"/>
    <s v="CPSX Nhựa Duy Tân"/>
    <x v="2"/>
    <x v="2"/>
    <s v="rHDPE"/>
    <s v="rHDPE ép"/>
    <x v="1"/>
    <s v="NĐ"/>
    <s v="(blank)"/>
    <x v="0"/>
    <n v="11000"/>
    <n v="247384422.99999997"/>
    <n v="0"/>
    <n v="0"/>
    <n v="0"/>
    <n v="247384422.99999997"/>
    <m/>
    <m/>
    <m/>
    <m/>
    <m/>
    <m/>
    <m/>
    <m/>
    <m/>
    <m/>
    <m/>
    <n v="9932.623220836691"/>
    <n v="9932.623220836691"/>
    <x v="0"/>
    <x v="2"/>
  </r>
  <r>
    <x v="0"/>
    <x v="7"/>
    <n v="8"/>
    <s v="1000"/>
    <s v="CPSX Nhựa Duy Tân"/>
    <x v="3"/>
    <x v="3"/>
    <s v="rHDPE"/>
    <s v="rHDPE ép"/>
    <x v="1"/>
    <s v="NĐ"/>
    <s v="(blank)"/>
    <x v="0"/>
    <n v="5500"/>
    <n v="123692212"/>
    <n v="0"/>
    <n v="0"/>
    <n v="0"/>
    <n v="123692212"/>
    <m/>
    <m/>
    <m/>
    <m/>
    <m/>
    <m/>
    <m/>
    <m/>
    <m/>
    <m/>
    <m/>
    <n v="4966.3116304936266"/>
    <n v="4966.3116304936266"/>
    <x v="0"/>
    <x v="3"/>
  </r>
  <r>
    <x v="0"/>
    <x v="7"/>
    <n v="8"/>
    <s v="1000"/>
    <s v="CPSX Nhựa Duy Tân"/>
    <x v="49"/>
    <x v="47"/>
    <s v="rPP"/>
    <s v="rPP"/>
    <x v="6"/>
    <s v="NĐ"/>
    <s v="(blank)"/>
    <x v="0"/>
    <n v="9625"/>
    <n v="221375000"/>
    <n v="0"/>
    <n v="0"/>
    <n v="0"/>
    <n v="221375000"/>
    <m/>
    <m/>
    <m/>
    <m/>
    <m/>
    <m/>
    <m/>
    <m/>
    <m/>
    <m/>
    <m/>
    <n v="8888.330311374224"/>
    <n v="8888.330311374224"/>
    <x v="0"/>
    <x v="49"/>
  </r>
  <r>
    <x v="0"/>
    <x v="7"/>
    <n v="8"/>
    <s v="101290"/>
    <s v="Cty Thạnh Phát"/>
    <x v="7"/>
    <x v="7"/>
    <s v="Khác"/>
    <s v="Khác"/>
    <x v="2"/>
    <s v="NĐ"/>
    <s v="(blank)"/>
    <x v="0"/>
    <n v="0"/>
    <n v="0"/>
    <n v="0"/>
    <n v="0"/>
    <n v="0"/>
    <n v="0"/>
    <m/>
    <m/>
    <m/>
    <m/>
    <m/>
    <m/>
    <m/>
    <m/>
    <m/>
    <m/>
    <m/>
    <n v="0"/>
    <n v="0"/>
    <x v="1"/>
    <x v="7"/>
  </r>
  <r>
    <x v="0"/>
    <x v="7"/>
    <n v="8"/>
    <s v="102865"/>
    <s v="Dynaplast Bình Dương"/>
    <x v="1"/>
    <x v="1"/>
    <s v="rHDPE"/>
    <s v="rHDPE thổi"/>
    <x v="0"/>
    <s v="NĐ"/>
    <s v="(blank)"/>
    <x v="0"/>
    <n v="9625"/>
    <n v="339781750"/>
    <n v="0"/>
    <n v="0"/>
    <n v="0"/>
    <n v="339781750"/>
    <m/>
    <m/>
    <m/>
    <m/>
    <m/>
    <m/>
    <m/>
    <m/>
    <m/>
    <m/>
    <m/>
    <n v="13642.427680527517"/>
    <n v="13642.427680527517"/>
    <x v="2"/>
    <x v="1"/>
  </r>
  <r>
    <x v="0"/>
    <x v="7"/>
    <n v="8"/>
    <s v="104894"/>
    <s v="UNILEVER-NGỌC NGHĨA"/>
    <x v="9"/>
    <x v="9"/>
    <s v="rPET"/>
    <s v="rPET"/>
    <x v="3"/>
    <s v="NĐ"/>
    <s v="(blank)"/>
    <x v="0"/>
    <n v="176000"/>
    <n v="5718768000"/>
    <n v="34160445.975395434"/>
    <n v="0"/>
    <n v="24640000"/>
    <n v="5659967554.0246048"/>
    <m/>
    <m/>
    <m/>
    <m/>
    <m/>
    <m/>
    <m/>
    <m/>
    <m/>
    <m/>
    <m/>
    <n v="227250.86921211306"/>
    <n v="229611.74007054517"/>
    <x v="2"/>
    <x v="9"/>
  </r>
  <r>
    <x v="0"/>
    <x v="7"/>
    <n v="8"/>
    <s v="104909"/>
    <s v="Công ty TNHH La Vie"/>
    <x v="10"/>
    <x v="10"/>
    <s v="rPET"/>
    <s v="rPET"/>
    <x v="3"/>
    <s v="NĐ"/>
    <s v="(blank)"/>
    <x v="0"/>
    <n v="154000"/>
    <n v="5157162780"/>
    <n v="29890390.228471003"/>
    <n v="0"/>
    <n v="0"/>
    <n v="5127272389.7715282"/>
    <m/>
    <m/>
    <m/>
    <m/>
    <m/>
    <m/>
    <m/>
    <m/>
    <m/>
    <m/>
    <m/>
    <n v="205862.85983818609"/>
    <n v="207062.97575681523"/>
    <x v="4"/>
    <x v="10"/>
  </r>
  <r>
    <x v="0"/>
    <x v="7"/>
    <n v="8"/>
    <s v="105194"/>
    <s v="Suntory Việt Nam"/>
    <x v="8"/>
    <x v="8"/>
    <s v="rPET"/>
    <s v="rPET"/>
    <x v="3"/>
    <s v="NĐ"/>
    <s v="(blank)"/>
    <x v="0"/>
    <n v="660000"/>
    <n v="24265302138"/>
    <n v="128101672.40773289"/>
    <n v="0"/>
    <n v="528333333.33333337"/>
    <n v="23442830932.258923"/>
    <m/>
    <m/>
    <m/>
    <m/>
    <m/>
    <m/>
    <m/>
    <m/>
    <m/>
    <m/>
    <m/>
    <n v="941242.79959172639"/>
    <n v="974265.47942558653"/>
    <x v="7"/>
    <x v="8"/>
  </r>
  <r>
    <x v="0"/>
    <x v="7"/>
    <n v="8"/>
    <s v="105194"/>
    <s v="Suntory Việt Nam"/>
    <x v="8"/>
    <x v="8"/>
    <s v="rPET"/>
    <s v="rPET"/>
    <x v="3"/>
    <s v="NĐ"/>
    <s v="(blank)"/>
    <x v="3"/>
    <n v="-8800"/>
    <n v="-322927136.40000004"/>
    <n v="0"/>
    <n v="0"/>
    <n v="0"/>
    <n v="-320713320.40000004"/>
    <m/>
    <m/>
    <m/>
    <m/>
    <m/>
    <m/>
    <m/>
    <m/>
    <m/>
    <m/>
    <m/>
    <n v="-12876.819545896302"/>
    <n v="-12965.705498947031"/>
    <x v="7"/>
    <x v="8"/>
  </r>
  <r>
    <x v="0"/>
    <x v="7"/>
    <n v="8"/>
    <s v="105194"/>
    <s v="Suntory Việt Nam"/>
    <x v="33"/>
    <x v="31"/>
    <s v="rPET"/>
    <s v="rPET"/>
    <x v="3"/>
    <s v="NĐ"/>
    <s v="(blank)"/>
    <x v="0"/>
    <n v="4400"/>
    <n v="157137301.00000021"/>
    <n v="854011.14938488579"/>
    <n v="0"/>
    <n v="0"/>
    <n v="156283289.85061532"/>
    <m/>
    <m/>
    <m/>
    <m/>
    <m/>
    <m/>
    <m/>
    <m/>
    <m/>
    <m/>
    <m/>
    <n v="6274.861670651645"/>
    <n v="6309.1506968981912"/>
    <x v="7"/>
    <x v="33"/>
  </r>
  <r>
    <x v="0"/>
    <x v="7"/>
    <n v="8"/>
    <s v="105194"/>
    <s v="Suntory Việt Nam"/>
    <x v="33"/>
    <x v="31"/>
    <s v="rPET"/>
    <s v="rPET"/>
    <x v="3"/>
    <s v="NĐ"/>
    <s v="(blank)"/>
    <x v="3"/>
    <n v="-79200"/>
    <n v="-2828471421.5999999"/>
    <n v="0"/>
    <n v="0"/>
    <n v="67000000"/>
    <n v="-2879974709.5999999"/>
    <m/>
    <m/>
    <m/>
    <m/>
    <m/>
    <m/>
    <m/>
    <m/>
    <m/>
    <m/>
    <m/>
    <n v="-115632.598565009"/>
    <n v="-113564.71268870932"/>
    <x v="7"/>
    <x v="33"/>
  </r>
  <r>
    <x v="0"/>
    <x v="7"/>
    <n v="8"/>
    <s v="105204"/>
    <s v="CTY NGỌC NGHĨA-TÂY NINH"/>
    <x v="8"/>
    <x v="8"/>
    <s v="rPET"/>
    <s v="rPET"/>
    <x v="3"/>
    <s v="NĐ"/>
    <s v="(blank)"/>
    <x v="0"/>
    <n v="22000"/>
    <n v="798072000"/>
    <n v="4270055.7469244292"/>
    <n v="0"/>
    <n v="3080000"/>
    <n v="785187404.2530756"/>
    <m/>
    <m/>
    <m/>
    <m/>
    <m/>
    <m/>
    <m/>
    <m/>
    <m/>
    <m/>
    <m/>
    <n v="31525.714309799474"/>
    <n v="32043.038049730323"/>
    <x v="5"/>
    <x v="8"/>
  </r>
  <r>
    <x v="0"/>
    <x v="7"/>
    <n v="8"/>
    <s v="105204"/>
    <s v="CTY NGỌC NGHĨA-TÂY NINH"/>
    <x v="9"/>
    <x v="9"/>
    <s v="rPET"/>
    <s v="rPET"/>
    <x v="3"/>
    <s v="NĐ"/>
    <s v="(blank)"/>
    <x v="1"/>
    <n v="-2200"/>
    <n v="0"/>
    <n v="0"/>
    <n v="0"/>
    <n v="0"/>
    <n v="0"/>
    <m/>
    <m/>
    <m/>
    <m/>
    <m/>
    <m/>
    <m/>
    <m/>
    <m/>
    <m/>
    <m/>
    <n v="0"/>
    <n v="0"/>
    <x v="5"/>
    <x v="9"/>
  </r>
  <r>
    <x v="0"/>
    <x v="7"/>
    <n v="8"/>
    <s v="105204"/>
    <s v="CTY NGỌC NGHĨA-TÂY NINH"/>
    <x v="9"/>
    <x v="9"/>
    <s v="rPET"/>
    <s v="rPET"/>
    <x v="3"/>
    <s v="NĐ"/>
    <s v="(blank)"/>
    <x v="0"/>
    <n v="24200"/>
    <n v="765772700"/>
    <n v="4697061.3216168722"/>
    <n v="0"/>
    <n v="0"/>
    <n v="761075638.67838311"/>
    <m/>
    <m/>
    <m/>
    <m/>
    <m/>
    <m/>
    <m/>
    <m/>
    <m/>
    <m/>
    <m/>
    <n v="30557.613409434536"/>
    <n v="30746.203053790541"/>
    <x v="5"/>
    <x v="9"/>
  </r>
  <r>
    <x v="0"/>
    <x v="7"/>
    <n v="8"/>
    <s v="105204"/>
    <s v="CTY NGỌC NGHĨA-TÂY NINH"/>
    <x v="9"/>
    <x v="9"/>
    <s v="rPET"/>
    <s v="rPET"/>
    <x v="3"/>
    <s v="NĐ"/>
    <s v="(blank)"/>
    <x v="2"/>
    <n v="2200"/>
    <n v="0"/>
    <n v="0"/>
    <n v="0"/>
    <n v="0"/>
    <n v="0"/>
    <m/>
    <m/>
    <m/>
    <m/>
    <m/>
    <m/>
    <m/>
    <m/>
    <m/>
    <m/>
    <m/>
    <n v="0"/>
    <n v="0"/>
    <x v="5"/>
    <x v="9"/>
  </r>
  <r>
    <x v="0"/>
    <x v="7"/>
    <n v="8"/>
    <s v="105204"/>
    <s v="CTY NGỌC NGHĨA-TÂY NINH"/>
    <x v="68"/>
    <x v="66"/>
    <s v="Khác"/>
    <s v="Khác"/>
    <x v="2"/>
    <s v="NĐ"/>
    <s v="(blank)"/>
    <x v="0"/>
    <n v="0"/>
    <n v="0"/>
    <n v="0"/>
    <n v="0"/>
    <n v="0"/>
    <n v="153860212"/>
    <m/>
    <m/>
    <m/>
    <m/>
    <m/>
    <m/>
    <m/>
    <m/>
    <m/>
    <m/>
    <m/>
    <n v="6177.5737370256993"/>
    <n v="0"/>
    <x v="5"/>
    <x v="68"/>
  </r>
  <r>
    <x v="0"/>
    <x v="7"/>
    <n v="8"/>
    <s v="105207"/>
    <s v="Suntory Sri Thái Bình Dương"/>
    <x v="8"/>
    <x v="8"/>
    <s v="rPET"/>
    <s v="rPET"/>
    <x v="3"/>
    <s v="NĐ"/>
    <s v="(blank)"/>
    <x v="3"/>
    <n v="-29981.8"/>
    <n v="-1059670743"/>
    <n v="0"/>
    <n v="0"/>
    <n v="0"/>
    <n v="-1059670743"/>
    <m/>
    <m/>
    <m/>
    <m/>
    <m/>
    <m/>
    <m/>
    <m/>
    <m/>
    <m/>
    <m/>
    <n v="-42546.374184453292"/>
    <n v="-42546.374184453292"/>
    <x v="7"/>
    <x v="8"/>
  </r>
  <r>
    <x v="0"/>
    <x v="7"/>
    <n v="8"/>
    <s v="105209"/>
    <s v="Công ty TNHH MTV Đồng Lâm"/>
    <x v="35"/>
    <x v="33"/>
    <s v="Khác"/>
    <s v="Khác"/>
    <x v="2"/>
    <s v="NĐ"/>
    <s v="(blank)"/>
    <x v="0"/>
    <n v="0"/>
    <n v="39000000"/>
    <n v="0"/>
    <n v="0"/>
    <n v="0"/>
    <n v="39000000"/>
    <m/>
    <m/>
    <m/>
    <m/>
    <m/>
    <m/>
    <m/>
    <m/>
    <m/>
    <m/>
    <m/>
    <n v="1565.8718560975483"/>
    <n v="1565.8718560975483"/>
    <x v="17"/>
    <x v="35"/>
  </r>
  <r>
    <x v="0"/>
    <x v="7"/>
    <n v="8"/>
    <s v="105214"/>
    <s v="Người mua hàng không lấy hóa đơn"/>
    <x v="27"/>
    <x v="25"/>
    <s v="Khác"/>
    <s v="Khác"/>
    <x v="2"/>
    <s v="NĐ"/>
    <s v="(blank)"/>
    <x v="0"/>
    <n v="0"/>
    <n v="180515352"/>
    <n v="0"/>
    <n v="0"/>
    <n v="0"/>
    <n v="180515352"/>
    <m/>
    <m/>
    <m/>
    <m/>
    <m/>
    <m/>
    <m/>
    <m/>
    <m/>
    <m/>
    <m/>
    <n v="7247.7925459062117"/>
    <n v="7247.7925459062117"/>
    <x v="9"/>
    <x v="27"/>
  </r>
  <r>
    <x v="0"/>
    <x v="7"/>
    <n v="8"/>
    <s v="105222"/>
    <s v="CN Cty Coca - Hà Nội"/>
    <x v="8"/>
    <x v="8"/>
    <s v="rPET"/>
    <s v="rPET"/>
    <x v="3"/>
    <s v="NĐ"/>
    <s v="(blank)"/>
    <x v="0"/>
    <n v="57200"/>
    <n v="1965849600"/>
    <n v="11102144.942003515"/>
    <n v="0"/>
    <n v="34722222.222222239"/>
    <n v="1920025232.8357744"/>
    <m/>
    <m/>
    <m/>
    <m/>
    <m/>
    <m/>
    <m/>
    <m/>
    <m/>
    <m/>
    <m/>
    <n v="77090.089104991843"/>
    <n v="78929.963127195457"/>
    <x v="3"/>
    <x v="8"/>
  </r>
  <r>
    <x v="0"/>
    <x v="7"/>
    <n v="8"/>
    <s v="105223"/>
    <s v="Dynaplast Bắc Ninh"/>
    <x v="1"/>
    <x v="1"/>
    <s v="rHDPE"/>
    <s v="rHDPE thổi"/>
    <x v="0"/>
    <s v="NĐ"/>
    <s v="(blank)"/>
    <x v="0"/>
    <n v="11000"/>
    <n v="399234000"/>
    <n v="0"/>
    <n v="0"/>
    <n v="11574074.074074103"/>
    <n v="387659925.92592591"/>
    <m/>
    <m/>
    <m/>
    <m/>
    <m/>
    <m/>
    <m/>
    <m/>
    <m/>
    <m/>
    <m/>
    <n v="15564.763275494044"/>
    <n v="16029.468835826887"/>
    <x v="2"/>
    <x v="1"/>
  </r>
  <r>
    <x v="0"/>
    <x v="7"/>
    <n v="8"/>
    <s v="105229"/>
    <s v="GIA TƯỜNG"/>
    <x v="44"/>
    <x v="42"/>
    <s v="GC"/>
    <s v="GC"/>
    <x v="10"/>
    <s v="NĐ"/>
    <s v="(blank)"/>
    <x v="0"/>
    <n v="380000"/>
    <n v="7215000000"/>
    <n v="0"/>
    <n v="531500000"/>
    <n v="0"/>
    <n v="6683500000"/>
    <m/>
    <m/>
    <m/>
    <m/>
    <m/>
    <m/>
    <m/>
    <m/>
    <m/>
    <m/>
    <m/>
    <n v="268346.27051866578"/>
    <n v="289686.29337804642"/>
    <x v="24"/>
    <x v="44"/>
  </r>
  <r>
    <x v="0"/>
    <x v="7"/>
    <n v="8"/>
    <s v="105247"/>
    <s v="MINH THÀNH"/>
    <x v="79"/>
    <x v="77"/>
    <s v="Khác"/>
    <s v="Phó sản"/>
    <x v="5"/>
    <s v="NĐ"/>
    <s v="(blank)"/>
    <x v="0"/>
    <n v="866"/>
    <n v="16454000"/>
    <n v="0"/>
    <n v="0"/>
    <n v="0"/>
    <n v="16454000"/>
    <m/>
    <m/>
    <m/>
    <m/>
    <m/>
    <m/>
    <m/>
    <m/>
    <m/>
    <m/>
    <m/>
    <n v="660.63732103151438"/>
    <n v="660.63732103151438"/>
    <x v="10"/>
    <x v="79"/>
  </r>
  <r>
    <x v="0"/>
    <x v="7"/>
    <n v="8"/>
    <s v="105249"/>
    <s v="RỒNG VIỆT"/>
    <x v="29"/>
    <x v="27"/>
    <s v="Khác"/>
    <s v="Phó sản"/>
    <x v="5"/>
    <s v="NĐ"/>
    <s v="(blank)"/>
    <x v="0"/>
    <n v="2330"/>
    <n v="49396000"/>
    <n v="0"/>
    <n v="0"/>
    <n v="0"/>
    <n v="49396000"/>
    <m/>
    <m/>
    <m/>
    <m/>
    <m/>
    <m/>
    <m/>
    <m/>
    <m/>
    <m/>
    <m/>
    <n v="1983.2770821485767"/>
    <n v="1983.2770821485767"/>
    <x v="28"/>
    <x v="29"/>
  </r>
  <r>
    <x v="0"/>
    <x v="7"/>
    <n v="8"/>
    <s v="105263"/>
    <s v="Unilever Duy Tân"/>
    <x v="1"/>
    <x v="1"/>
    <s v="rHDPE"/>
    <s v="rHDPE thổi"/>
    <x v="0"/>
    <s v="NĐ"/>
    <s v="(blank)"/>
    <x v="0"/>
    <n v="22000"/>
    <n v="772068000"/>
    <n v="0"/>
    <n v="0"/>
    <n v="0"/>
    <n v="772068000"/>
    <m/>
    <m/>
    <m/>
    <m/>
    <m/>
    <m/>
    <m/>
    <m/>
    <m/>
    <m/>
    <m/>
    <n v="30998.962876756974"/>
    <n v="30998.962876756974"/>
    <x v="2"/>
    <x v="1"/>
  </r>
  <r>
    <x v="0"/>
    <x v="7"/>
    <n v="8"/>
    <s v="105263"/>
    <s v="Unilever Duy Tân"/>
    <x v="9"/>
    <x v="9"/>
    <s v="rPET"/>
    <s v="rPET"/>
    <x v="3"/>
    <s v="NĐ"/>
    <s v="(blank)"/>
    <x v="0"/>
    <n v="22000"/>
    <n v="714846000"/>
    <n v="4270055.7469244292"/>
    <n v="0"/>
    <n v="0"/>
    <n v="710575944.2530756"/>
    <m/>
    <m/>
    <m/>
    <m/>
    <m/>
    <m/>
    <m/>
    <m/>
    <m/>
    <m/>
    <m/>
    <n v="28530.022377585425"/>
    <n v="28701.467508818154"/>
    <x v="2"/>
    <x v="9"/>
  </r>
  <r>
    <x v="0"/>
    <x v="7"/>
    <n v="8"/>
    <s v="105263"/>
    <s v="Unilever Duy Tân"/>
    <x v="6"/>
    <x v="6"/>
    <s v="rHDPE"/>
    <s v="rHDPE thổi"/>
    <x v="0"/>
    <s v="NĐ"/>
    <s v="(blank)"/>
    <x v="0"/>
    <n v="5500"/>
    <n v="186153000"/>
    <n v="0"/>
    <n v="0"/>
    <n v="0"/>
    <n v="186153000"/>
    <m/>
    <m/>
    <m/>
    <m/>
    <m/>
    <m/>
    <m/>
    <m/>
    <m/>
    <m/>
    <m/>
    <n v="7474.1472725160747"/>
    <n v="7474.1472725160747"/>
    <x v="2"/>
    <x v="6"/>
  </r>
  <r>
    <x v="0"/>
    <x v="7"/>
    <n v="8"/>
    <s v="105263"/>
    <s v="Unilever Duy Tân"/>
    <x v="50"/>
    <x v="48"/>
    <s v="rHDPE"/>
    <s v="rHDPE thổi"/>
    <x v="0"/>
    <s v="NĐ"/>
    <s v="(blank)"/>
    <x v="0"/>
    <n v="16500"/>
    <n v="558459000"/>
    <n v="0"/>
    <n v="0"/>
    <n v="0"/>
    <n v="558459000"/>
    <m/>
    <m/>
    <m/>
    <m/>
    <m/>
    <m/>
    <m/>
    <m/>
    <m/>
    <m/>
    <m/>
    <n v="22422.441817548224"/>
    <n v="22422.441817548224"/>
    <x v="2"/>
    <x v="50"/>
  </r>
  <r>
    <x v="0"/>
    <x v="7"/>
    <n v="8"/>
    <s v="105263"/>
    <s v="Unilever Duy Tân"/>
    <x v="83"/>
    <x v="81"/>
    <s v="rHDPE"/>
    <s v="rHDPE thổi"/>
    <x v="0"/>
    <s v="NĐ"/>
    <s v="(blank)"/>
    <x v="0"/>
    <n v="11000"/>
    <n v="386034000"/>
    <n v="0"/>
    <n v="0"/>
    <n v="0"/>
    <n v="386034000"/>
    <m/>
    <m/>
    <m/>
    <m/>
    <m/>
    <m/>
    <m/>
    <m/>
    <m/>
    <m/>
    <m/>
    <n v="15499.481438378487"/>
    <n v="15499.481438378487"/>
    <x v="2"/>
    <x v="83"/>
  </r>
  <r>
    <x v="0"/>
    <x v="7"/>
    <n v="8"/>
    <s v="105266"/>
    <s v="MIDA"/>
    <x v="9"/>
    <x v="9"/>
    <s v="rPET"/>
    <s v="rPET"/>
    <x v="3"/>
    <s v="NĐ"/>
    <s v="(blank)"/>
    <x v="0"/>
    <n v="300"/>
    <n v="9960000"/>
    <n v="213502.78734622145"/>
    <n v="0"/>
    <n v="0"/>
    <n v="9746497.2126537785"/>
    <m/>
    <m/>
    <m/>
    <m/>
    <m/>
    <m/>
    <m/>
    <m/>
    <m/>
    <m/>
    <m/>
    <n v="391.32732514942956"/>
    <n v="399.89958171106616"/>
    <x v="35"/>
    <x v="9"/>
  </r>
  <r>
    <x v="0"/>
    <x v="7"/>
    <n v="8"/>
    <s v="105266"/>
    <s v="MIDA"/>
    <x v="53"/>
    <x v="51"/>
    <s v="rPET"/>
    <s v="rPET"/>
    <x v="3"/>
    <s v="NĐ"/>
    <s v="(blank)"/>
    <x v="0"/>
    <n v="300"/>
    <n v="9551400"/>
    <n v="213502.78734622145"/>
    <n v="0"/>
    <n v="0"/>
    <n v="9337897.2126537785"/>
    <m/>
    <m/>
    <m/>
    <m/>
    <m/>
    <m/>
    <m/>
    <m/>
    <m/>
    <m/>
    <m/>
    <n v="374.9218061647768"/>
    <n v="383.4940627264134"/>
    <x v="35"/>
    <x v="53"/>
  </r>
  <r>
    <x v="0"/>
    <x v="7"/>
    <n v="8"/>
    <s v="105267"/>
    <s v="Hồng Kim Long An"/>
    <x v="57"/>
    <x v="55"/>
    <s v="rPP"/>
    <s v="rPP"/>
    <x v="6"/>
    <s v="NĐ"/>
    <s v="(blank)"/>
    <x v="0"/>
    <n v="7000"/>
    <n v="175000000"/>
    <n v="0"/>
    <n v="0"/>
    <n v="0"/>
    <n v="175000000"/>
    <m/>
    <m/>
    <m/>
    <m/>
    <m/>
    <m/>
    <m/>
    <m/>
    <m/>
    <m/>
    <m/>
    <n v="7026.3480722325885"/>
    <n v="7026.3480722325885"/>
    <x v="36"/>
    <x v="57"/>
  </r>
  <r>
    <x v="0"/>
    <x v="7"/>
    <n v="8"/>
    <s v="105281"/>
    <s v="Plascene- DTP"/>
    <x v="9"/>
    <x v="9"/>
    <s v="rPET"/>
    <s v="rPET"/>
    <x v="3"/>
    <s v="NĐ"/>
    <s v="(blank)"/>
    <x v="0"/>
    <n v="99000"/>
    <n v="3200457150"/>
    <n v="19215250.861159932"/>
    <n v="0"/>
    <n v="0"/>
    <n v="3181241899.1388402"/>
    <m/>
    <m/>
    <m/>
    <m/>
    <m/>
    <m/>
    <m/>
    <m/>
    <m/>
    <m/>
    <m/>
    <n v="127728.64505896988"/>
    <n v="128500.14814951716"/>
    <x v="54"/>
    <x v="9"/>
  </r>
  <r>
    <x v="0"/>
    <x v="7"/>
    <n v="8"/>
    <s v="105284"/>
    <s v="Motul -DTP"/>
    <x v="1"/>
    <x v="1"/>
    <s v="rHDPE"/>
    <s v="rHDPE thổi"/>
    <x v="0"/>
    <s v="NĐ"/>
    <s v="(blank)"/>
    <x v="1"/>
    <n v="-11650"/>
    <n v="0"/>
    <n v="0"/>
    <n v="0"/>
    <n v="0"/>
    <n v="0"/>
    <m/>
    <m/>
    <m/>
    <m/>
    <m/>
    <m/>
    <m/>
    <m/>
    <m/>
    <m/>
    <m/>
    <n v="0"/>
    <n v="0"/>
    <x v="59"/>
    <x v="1"/>
  </r>
  <r>
    <x v="0"/>
    <x v="7"/>
    <n v="8"/>
    <s v="105284"/>
    <s v="Motul -DTP"/>
    <x v="1"/>
    <x v="1"/>
    <s v="rHDPE"/>
    <s v="rHDPE thổi"/>
    <x v="0"/>
    <s v="NĐ"/>
    <s v="(blank)"/>
    <x v="0"/>
    <n v="44000"/>
    <n v="1512027000"/>
    <n v="0"/>
    <n v="0"/>
    <n v="0"/>
    <n v="1512027000"/>
    <m/>
    <m/>
    <m/>
    <m/>
    <m/>
    <m/>
    <m/>
    <m/>
    <m/>
    <m/>
    <m/>
    <n v="60708.731409220709"/>
    <n v="60708.731409220709"/>
    <x v="59"/>
    <x v="1"/>
  </r>
  <r>
    <x v="0"/>
    <x v="7"/>
    <n v="8"/>
    <s v="105284"/>
    <s v="Motul -DTP"/>
    <x v="1"/>
    <x v="1"/>
    <s v="rHDPE"/>
    <s v="rHDPE thổi"/>
    <x v="0"/>
    <s v="NĐ"/>
    <s v="(blank)"/>
    <x v="2"/>
    <n v="11650"/>
    <n v="0"/>
    <n v="0"/>
    <n v="0"/>
    <n v="0"/>
    <n v="0"/>
    <m/>
    <m/>
    <m/>
    <m/>
    <m/>
    <m/>
    <m/>
    <m/>
    <m/>
    <m/>
    <m/>
    <n v="0"/>
    <n v="0"/>
    <x v="59"/>
    <x v="1"/>
  </r>
  <r>
    <x v="0"/>
    <x v="7"/>
    <n v="8"/>
    <s v="105287"/>
    <s v="CÔNG TY TNHH HƯNG DỤ"/>
    <x v="58"/>
    <x v="56"/>
    <s v="rPET"/>
    <s v="rPET"/>
    <x v="3"/>
    <s v="NĐ"/>
    <s v="(blank)"/>
    <x v="0"/>
    <n v="5500"/>
    <n v="168300000"/>
    <n v="1067513.9367311073"/>
    <n v="0"/>
    <n v="0"/>
    <n v="167232486.0632689"/>
    <m/>
    <m/>
    <m/>
    <m/>
    <m/>
    <m/>
    <m/>
    <m/>
    <m/>
    <m/>
    <m/>
    <n v="6714.4780346589296"/>
    <n v="6757.3393174671119"/>
    <x v="65"/>
    <x v="58"/>
  </r>
  <r>
    <x v="0"/>
    <x v="7"/>
    <n v="8"/>
    <s v="105290"/>
    <s v="HOÀNG TẤN"/>
    <x v="75"/>
    <x v="73"/>
    <s v="Khác"/>
    <s v="Phó sản"/>
    <x v="5"/>
    <s v="NĐ"/>
    <s v="(blank)"/>
    <x v="0"/>
    <n v="20349"/>
    <n v="101745000"/>
    <n v="0"/>
    <n v="0"/>
    <n v="0"/>
    <n v="101745000"/>
    <m/>
    <m/>
    <m/>
    <m/>
    <m/>
    <m/>
    <m/>
    <m/>
    <m/>
    <m/>
    <m/>
    <n v="4085.1187691960267"/>
    <n v="4085.1187691960267"/>
    <x v="66"/>
    <x v="75"/>
  </r>
  <r>
    <x v="0"/>
    <x v="7"/>
    <n v="8"/>
    <s v="105290"/>
    <s v="HOÀNG TẤN"/>
    <x v="76"/>
    <x v="74"/>
    <s v="Khác"/>
    <s v="Phó sản"/>
    <x v="5"/>
    <s v="NĐ"/>
    <s v="(blank)"/>
    <x v="0"/>
    <n v="54750"/>
    <n v="273750000"/>
    <n v="0"/>
    <n v="0"/>
    <n v="0"/>
    <n v="273750000"/>
    <m/>
    <m/>
    <m/>
    <m/>
    <m/>
    <m/>
    <m/>
    <m/>
    <m/>
    <m/>
    <m/>
    <n v="10991.215912992406"/>
    <n v="10991.215912992406"/>
    <x v="66"/>
    <x v="76"/>
  </r>
  <r>
    <x v="0"/>
    <x v="7"/>
    <n v="8"/>
    <s v="105290"/>
    <s v="HOÀNG TẤN"/>
    <x v="77"/>
    <x v="75"/>
    <s v="Khác"/>
    <s v="Phó sản"/>
    <x v="5"/>
    <s v="NĐ"/>
    <s v="(blank)"/>
    <x v="0"/>
    <n v="56821"/>
    <n v="284105000"/>
    <n v="0"/>
    <n v="0"/>
    <n v="0"/>
    <n v="284105000"/>
    <m/>
    <m/>
    <m/>
    <m/>
    <m/>
    <m/>
    <m/>
    <m/>
    <m/>
    <m/>
    <m/>
    <n v="11406.974966066515"/>
    <n v="11406.974966066515"/>
    <x v="66"/>
    <x v="77"/>
  </r>
  <r>
    <x v="0"/>
    <x v="7"/>
    <n v="8"/>
    <s v="105290"/>
    <s v="HOÀNG TẤN"/>
    <x v="78"/>
    <x v="76"/>
    <s v="Khác"/>
    <s v="Phó sản"/>
    <x v="5"/>
    <s v="NĐ"/>
    <s v="(blank)"/>
    <x v="0"/>
    <n v="58060"/>
    <n v="290300000"/>
    <n v="0"/>
    <n v="0"/>
    <n v="0"/>
    <n v="290300000"/>
    <m/>
    <m/>
    <m/>
    <m/>
    <m/>
    <m/>
    <m/>
    <m/>
    <m/>
    <m/>
    <m/>
    <n v="11655.707687823546"/>
    <n v="11655.707687823546"/>
    <x v="66"/>
    <x v="78"/>
  </r>
  <r>
    <x v="0"/>
    <x v="7"/>
    <n v="8"/>
    <s v="105291"/>
    <s v="AN NHẬT"/>
    <x v="9"/>
    <x v="9"/>
    <s v="rPET"/>
    <s v="rPET"/>
    <x v="3"/>
    <s v="NĐ"/>
    <s v="(blank)"/>
    <x v="0"/>
    <n v="100"/>
    <n v="3309100"/>
    <n v="0"/>
    <n v="0"/>
    <n v="0"/>
    <n v="3309100"/>
    <m/>
    <m/>
    <m/>
    <m/>
    <m/>
    <m/>
    <m/>
    <m/>
    <m/>
    <m/>
    <m/>
    <n v="132.86221946185634"/>
    <n v="132.86221946185634"/>
    <x v="67"/>
    <x v="9"/>
  </r>
  <r>
    <x v="0"/>
    <x v="7"/>
    <n v="8"/>
    <s v="105291"/>
    <s v="AN NHẬT"/>
    <x v="84"/>
    <x v="82"/>
    <s v="rPP"/>
    <s v="rPP"/>
    <x v="6"/>
    <s v="NĐ"/>
    <s v="(blank)"/>
    <x v="0"/>
    <n v="50"/>
    <n v="1018250"/>
    <n v="0"/>
    <n v="0"/>
    <n v="0"/>
    <n v="1018250"/>
    <m/>
    <m/>
    <m/>
    <m/>
    <m/>
    <m/>
    <m/>
    <m/>
    <m/>
    <m/>
    <m/>
    <n v="40.883308140290474"/>
    <n v="40.883308140290474"/>
    <x v="67"/>
    <x v="84"/>
  </r>
  <r>
    <x v="0"/>
    <x v="7"/>
    <n v="8"/>
    <s v="105293"/>
    <s v="Dân Ôn Foods"/>
    <x v="9"/>
    <x v="9"/>
    <s v="rPET"/>
    <s v="rPET"/>
    <x v="3"/>
    <s v="NĐ"/>
    <s v="(blank)"/>
    <x v="0"/>
    <n v="1100"/>
    <n v="36717560"/>
    <n v="213502.78734622145"/>
    <n v="0"/>
    <n v="0"/>
    <n v="36504057.212653778"/>
    <m/>
    <m/>
    <m/>
    <m/>
    <m/>
    <m/>
    <m/>
    <m/>
    <m/>
    <m/>
    <m/>
    <n v="1465.6583544274172"/>
    <n v="1474.2306109890537"/>
    <x v="68"/>
    <x v="9"/>
  </r>
  <r>
    <x v="0"/>
    <x v="7"/>
    <n v="8"/>
    <s v="105294"/>
    <s v="Colgate- Hưng Dụ"/>
    <x v="33"/>
    <x v="31"/>
    <s v="rPET"/>
    <s v="rPET"/>
    <x v="3"/>
    <s v="NĐ"/>
    <s v="(blank)"/>
    <x v="0"/>
    <n v="2200"/>
    <n v="73700000"/>
    <n v="427005.5746924429"/>
    <n v="0"/>
    <n v="0"/>
    <n v="73272994.425307557"/>
    <m/>
    <m/>
    <m/>
    <m/>
    <m/>
    <m/>
    <m/>
    <m/>
    <m/>
    <m/>
    <m/>
    <n v="2941.9517892969657"/>
    <n v="2959.0963024202388"/>
    <x v="69"/>
    <x v="33"/>
  </r>
  <r>
    <x v="0"/>
    <x v="7"/>
    <n v="8"/>
    <s v="105295"/>
    <s v="Visual Plastic"/>
    <x v="80"/>
    <x v="78"/>
    <s v="rHDPE"/>
    <s v="rHDPE ép"/>
    <x v="1"/>
    <s v="NĐ"/>
    <s v="(blank)"/>
    <x v="0"/>
    <n v="5000"/>
    <n v="132825000"/>
    <n v="0"/>
    <n v="0"/>
    <n v="0"/>
    <n v="132825000"/>
    <m/>
    <m/>
    <m/>
    <m/>
    <m/>
    <m/>
    <m/>
    <m/>
    <m/>
    <m/>
    <m/>
    <n v="5332.998186824535"/>
    <n v="5332.998186824535"/>
    <x v="70"/>
    <x v="80"/>
  </r>
  <r>
    <x v="0"/>
    <x v="7"/>
    <n v="8"/>
    <s v="200311"/>
    <s v="Plascene, Inc."/>
    <x v="9"/>
    <x v="9"/>
    <s v="rPET"/>
    <s v="rPET"/>
    <x v="3"/>
    <s v="XK"/>
    <s v="United States of America (the)"/>
    <x v="0"/>
    <n v="132000"/>
    <n v="3993729300"/>
    <n v="10175358.418230563"/>
    <n v="0"/>
    <n v="56393665"/>
    <n v="3927160276.5817695"/>
    <m/>
    <m/>
    <m/>
    <m/>
    <m/>
    <m/>
    <m/>
    <m/>
    <m/>
    <m/>
    <m/>
    <n v="157706.74016381524"/>
    <n v="160380"/>
    <x v="13"/>
    <x v="9"/>
  </r>
  <r>
    <x v="0"/>
    <x v="7"/>
    <n v="8"/>
    <s v="200311"/>
    <s v="Plascene, Inc."/>
    <x v="32"/>
    <x v="30"/>
    <s v="rPET"/>
    <s v="rPET"/>
    <x v="3"/>
    <s v="XK"/>
    <s v="United States of America (the)"/>
    <x v="0"/>
    <n v="44000"/>
    <n v="1794481920"/>
    <n v="3391786.139410188"/>
    <n v="0"/>
    <n v="0"/>
    <n v="1791090133.8605897"/>
    <m/>
    <m/>
    <m/>
    <m/>
    <m/>
    <m/>
    <m/>
    <m/>
    <m/>
    <m/>
    <m/>
    <n v="71672.274264129243"/>
    <n v="71808"/>
    <x v="13"/>
    <x v="32"/>
  </r>
  <r>
    <x v="0"/>
    <x v="7"/>
    <n v="8"/>
    <s v="200319"/>
    <s v="Niagara Bottling, LLC"/>
    <x v="9"/>
    <x v="9"/>
    <s v="rPET"/>
    <s v="rPET"/>
    <x v="3"/>
    <s v="XK"/>
    <s v="United Kingdom of Great Britain and Northern Ireland (the)"/>
    <x v="0"/>
    <n v="330000"/>
    <n v="10004052895"/>
    <n v="25438396.045576412"/>
    <n v="150060793.42499998"/>
    <n v="132859662.99999999"/>
    <n v="9695694042.5294209"/>
    <m/>
    <m/>
    <m/>
    <m/>
    <m/>
    <m/>
    <m/>
    <m/>
    <m/>
    <m/>
    <m/>
    <n v="388101.20818519278"/>
    <n v="400444.05007980851"/>
    <x v="14"/>
    <x v="9"/>
  </r>
  <r>
    <x v="0"/>
    <x v="7"/>
    <n v="8"/>
    <s v="200319"/>
    <s v="Niagara Bottling, LLC"/>
    <x v="9"/>
    <x v="9"/>
    <s v="rPET"/>
    <s v="rPET"/>
    <x v="3"/>
    <s v="XK"/>
    <s v="United States of America (the)"/>
    <x v="0"/>
    <n v="1210000"/>
    <n v="36551504522"/>
    <n v="93274118.833780199"/>
    <n v="548272567.83000016"/>
    <n v="469771775.14285719"/>
    <n v="35440186060.193375"/>
    <m/>
    <m/>
    <m/>
    <m/>
    <m/>
    <m/>
    <m/>
    <m/>
    <m/>
    <m/>
    <m/>
    <n v="1422245.3763735914"/>
    <n v="1466843.640160141"/>
    <x v="14"/>
    <x v="9"/>
  </r>
  <r>
    <x v="0"/>
    <x v="7"/>
    <n v="8"/>
    <s v="200338"/>
    <s v="Aguarela do Mundo, SA"/>
    <x v="33"/>
    <x v="31"/>
    <s v="rPET"/>
    <s v="rPET"/>
    <x v="3"/>
    <s v="XK"/>
    <s v="Portugal"/>
    <x v="0"/>
    <n v="660000"/>
    <n v="23894068000"/>
    <n v="50876792.091152802"/>
    <n v="0"/>
    <n v="3850393530.9999995"/>
    <n v="19992797676.90884"/>
    <m/>
    <m/>
    <m/>
    <m/>
    <m/>
    <m/>
    <m/>
    <m/>
    <m/>
    <m/>
    <m/>
    <n v="806269.44100303191"/>
    <n v="963600"/>
    <x v="22"/>
    <x v="33"/>
  </r>
  <r>
    <x v="0"/>
    <x v="7"/>
    <n v="8"/>
    <s v="200349"/>
    <s v="Amcor FairField"/>
    <x v="32"/>
    <x v="30"/>
    <s v="rPET"/>
    <s v="rPET"/>
    <x v="3"/>
    <s v="XK"/>
    <s v="United States of America (the)"/>
    <x v="3"/>
    <n v="-44000"/>
    <n v="-2134007999.9999981"/>
    <n v="-4748500.5951742623"/>
    <n v="0"/>
    <n v="0"/>
    <n v="-2129259499.4048238"/>
    <m/>
    <m/>
    <m/>
    <m/>
    <m/>
    <m/>
    <m/>
    <m/>
    <m/>
    <m/>
    <m/>
    <n v="-85409.526650815242"/>
    <n v="-85599.999999999927"/>
    <x v="16"/>
    <x v="32"/>
  </r>
  <r>
    <x v="0"/>
    <x v="7"/>
    <n v="8"/>
    <s v="200358"/>
    <s v="REYNERA"/>
    <x v="85"/>
    <x v="83"/>
    <s v="rPP"/>
    <s v="rPP"/>
    <x v="6"/>
    <s v="XK"/>
    <s v="United States of America (the)"/>
    <x v="0"/>
    <n v="19150"/>
    <n v="524097200.00000012"/>
    <n v="0"/>
    <n v="0"/>
    <n v="11496965.238"/>
    <n v="512600234.76200008"/>
    <m/>
    <m/>
    <m/>
    <m/>
    <m/>
    <m/>
    <m/>
    <m/>
    <m/>
    <m/>
    <m/>
    <n v="20602.903326446947"/>
    <n v="21065.000000000004"/>
    <x v="58"/>
    <x v="85"/>
  </r>
  <r>
    <x v="0"/>
    <x v="7"/>
    <n v="8"/>
    <s v="200358"/>
    <s v="REYNERA"/>
    <x v="86"/>
    <x v="84"/>
    <s v="rPP"/>
    <s v="rPP"/>
    <x v="6"/>
    <s v="XK"/>
    <s v="United States of America (the)"/>
    <x v="0"/>
    <n v="5850"/>
    <n v="160102800.00000003"/>
    <n v="0"/>
    <n v="0"/>
    <n v="3512127.7620000001"/>
    <n v="156590672.23800004"/>
    <m/>
    <m/>
    <m/>
    <m/>
    <m/>
    <m/>
    <m/>
    <m/>
    <m/>
    <m/>
    <m/>
    <n v="6293.837308601288"/>
    <n v="6435.0000000000009"/>
    <x v="58"/>
    <x v="86"/>
  </r>
  <r>
    <x v="0"/>
    <x v="7"/>
    <n v="8"/>
    <s v="200359"/>
    <s v="PREMIUM WATER"/>
    <x v="58"/>
    <x v="56"/>
    <s v="rPET"/>
    <s v="rPET"/>
    <x v="3"/>
    <s v="XK"/>
    <s v="United States of America (the)"/>
    <x v="0"/>
    <n v="887300"/>
    <n v="23490201020"/>
    <n v="69531615.857908815"/>
    <n v="0"/>
    <n v="343990466.85714298"/>
    <n v="23076678937.284954"/>
    <m/>
    <m/>
    <m/>
    <m/>
    <m/>
    <m/>
    <m/>
    <m/>
    <m/>
    <m/>
    <m/>
    <n v="923980.81858044688"/>
    <n v="940538"/>
    <x v="63"/>
    <x v="58"/>
  </r>
  <r>
    <x v="0"/>
    <x v="7"/>
    <n v="8"/>
    <s v="200361"/>
    <s v="MCP-Resinex"/>
    <x v="8"/>
    <x v="8"/>
    <s v="rPET"/>
    <s v="rPET"/>
    <x v="3"/>
    <s v="XK"/>
    <s v="Israel"/>
    <x v="0"/>
    <n v="22000"/>
    <n v="706094400"/>
    <n v="1695893.069705094"/>
    <n v="0"/>
    <n v="10686111"/>
    <n v="693712395.93029487"/>
    <m/>
    <m/>
    <m/>
    <m/>
    <m/>
    <m/>
    <m/>
    <m/>
    <m/>
    <m/>
    <m/>
    <n v="27882.331026137254"/>
    <n v="28380"/>
    <x v="71"/>
    <x v="8"/>
  </r>
  <r>
    <x v="0"/>
    <x v="7"/>
    <n v="8"/>
    <s v="200362"/>
    <s v="Magma International Co.,Ltd"/>
    <x v="33"/>
    <x v="31"/>
    <s v="rPET"/>
    <s v="rPET"/>
    <x v="3"/>
    <s v="XK"/>
    <s v="Spain"/>
    <x v="0"/>
    <n v="44000"/>
    <n v="1612371200.0000002"/>
    <n v="3391786.139410188"/>
    <n v="0"/>
    <n v="261703418.70000002"/>
    <n v="1347275995.1605899"/>
    <m/>
    <m/>
    <m/>
    <m/>
    <m/>
    <m/>
    <m/>
    <m/>
    <m/>
    <m/>
    <m/>
    <n v="54413.408528295229"/>
    <n v="65120.000000000007"/>
    <x v="72"/>
    <x v="33"/>
  </r>
  <r>
    <x v="0"/>
    <x v="7"/>
    <n v="8"/>
    <s v="3358000400"/>
    <s v="Chí phí phải trả khác- Open item"/>
    <x v="36"/>
    <x v="34"/>
    <s v="Khác"/>
    <s v="Khác"/>
    <x v="2"/>
    <s v="NĐ"/>
    <s v="(blank)"/>
    <x v="0"/>
    <n v="0"/>
    <n v="0"/>
    <n v="0"/>
    <n v="0"/>
    <n v="0"/>
    <n v="0"/>
    <m/>
    <m/>
    <m/>
    <m/>
    <m/>
    <m/>
    <m/>
    <m/>
    <m/>
    <m/>
    <m/>
    <n v="0"/>
    <n v="0"/>
    <x v="19"/>
    <x v="36"/>
  </r>
  <r>
    <x v="0"/>
    <x v="7"/>
    <n v="8"/>
    <s v="BN"/>
    <s v="Bán Ngoài"/>
    <x v="82"/>
    <x v="80"/>
    <s v="Khác"/>
    <s v="Khác"/>
    <x v="2"/>
    <s v="NĐ"/>
    <s v="(blank)"/>
    <x v="0"/>
    <n v="0"/>
    <n v="0"/>
    <n v="0"/>
    <n v="0"/>
    <n v="0"/>
    <n v="0"/>
    <m/>
    <m/>
    <m/>
    <m/>
    <m/>
    <m/>
    <m/>
    <m/>
    <m/>
    <m/>
    <m/>
    <n v="0"/>
    <n v="0"/>
    <x v="21"/>
    <x v="82"/>
  </r>
  <r>
    <x v="0"/>
    <x v="7"/>
    <n v="8"/>
    <s v="BN"/>
    <s v="Bán Ngoài"/>
    <x v="59"/>
    <x v="57"/>
    <s v="Khác"/>
    <s v="Khác"/>
    <x v="13"/>
    <s v="NĐ"/>
    <s v="(blank)"/>
    <x v="0"/>
    <n v="0"/>
    <n v="0"/>
    <n v="0"/>
    <n v="0"/>
    <n v="1625925.9259259"/>
    <n v="-1625925.9259259"/>
    <m/>
    <m/>
    <m/>
    <m/>
    <m/>
    <m/>
    <m/>
    <m/>
    <m/>
    <m/>
    <m/>
    <n v="-65.281837115556769"/>
    <n v="0"/>
    <x v="21"/>
    <x v="59"/>
  </r>
  <r>
    <x v="0"/>
    <x v="7"/>
    <n v="8"/>
    <s v="BN"/>
    <s v="Bán Ngoài"/>
    <x v="39"/>
    <x v="37"/>
    <s v="Khác"/>
    <s v="Khác"/>
    <x v="8"/>
    <s v="NĐ"/>
    <s v="(blank)"/>
    <x v="0"/>
    <n v="0"/>
    <n v="0"/>
    <n v="0"/>
    <n v="-1262791.2549997568"/>
    <n v="37456784.744446509"/>
    <n v="-36193993.489446752"/>
    <m/>
    <m/>
    <m/>
    <m/>
    <m/>
    <m/>
    <m/>
    <m/>
    <m/>
    <m/>
    <m/>
    <n v="-1453.2091221769867"/>
    <n v="0"/>
    <x v="21"/>
    <x v="39"/>
  </r>
  <r>
    <x v="0"/>
    <x v="7"/>
    <n v="8"/>
    <s v="BN"/>
    <s v="Bán Ngoài"/>
    <x v="48"/>
    <x v="46"/>
    <s v="Khác"/>
    <s v="Khác"/>
    <x v="12"/>
    <s v="NĐ"/>
    <s v="(blank)"/>
    <x v="0"/>
    <n v="0"/>
    <n v="0"/>
    <n v="0"/>
    <n v="0"/>
    <n v="-250000"/>
    <n v="250000"/>
    <m/>
    <m/>
    <m/>
    <m/>
    <m/>
    <m/>
    <m/>
    <m/>
    <m/>
    <m/>
    <m/>
    <n v="10.037640103189412"/>
    <n v="0"/>
    <x v="21"/>
    <x v="48"/>
  </r>
  <r>
    <x v="0"/>
    <x v="7"/>
    <n v="8"/>
    <s v="BN"/>
    <s v="Bán Ngoài"/>
    <x v="37"/>
    <x v="35"/>
    <s v="Khác"/>
    <s v="Khác"/>
    <x v="2"/>
    <s v="NĐ"/>
    <s v="(blank)"/>
    <x v="0"/>
    <n v="0"/>
    <n v="0"/>
    <n v="0"/>
    <n v="0"/>
    <n v="0"/>
    <n v="0"/>
    <m/>
    <m/>
    <m/>
    <m/>
    <m/>
    <m/>
    <m/>
    <m/>
    <m/>
    <m/>
    <m/>
    <n v="0"/>
    <n v="0"/>
    <x v="21"/>
    <x v="37"/>
  </r>
  <r>
    <x v="0"/>
    <x v="7"/>
    <n v="8"/>
    <s v="BN"/>
    <s v="Bán Ngoài"/>
    <x v="27"/>
    <x v="25"/>
    <s v="Khác"/>
    <s v="Khác"/>
    <x v="2"/>
    <s v="NĐ"/>
    <s v="(blank)"/>
    <x v="0"/>
    <n v="0"/>
    <n v="0"/>
    <n v="0"/>
    <n v="0"/>
    <n v="0"/>
    <n v="0"/>
    <m/>
    <m/>
    <m/>
    <m/>
    <m/>
    <m/>
    <m/>
    <m/>
    <m/>
    <m/>
    <m/>
    <n v="0"/>
    <n v="0"/>
    <x v="21"/>
    <x v="27"/>
  </r>
  <r>
    <x v="0"/>
    <x v="7"/>
    <n v="8"/>
    <s v="BN"/>
    <s v="Bán Ngoài"/>
    <x v="41"/>
    <x v="39"/>
    <s v="Khác"/>
    <s v="Khác"/>
    <x v="2"/>
    <s v="NĐ"/>
    <s v="(blank)"/>
    <x v="0"/>
    <n v="0"/>
    <n v="0"/>
    <n v="0"/>
    <n v="0"/>
    <n v="0"/>
    <n v="0"/>
    <m/>
    <m/>
    <m/>
    <m/>
    <m/>
    <m/>
    <m/>
    <m/>
    <m/>
    <m/>
    <m/>
    <n v="0"/>
    <n v="0"/>
    <x v="21"/>
    <x v="41"/>
  </r>
  <r>
    <x v="0"/>
    <x v="8"/>
    <n v="9"/>
    <s v="101290"/>
    <s v="Cty Thạnh Phát"/>
    <x v="7"/>
    <x v="7"/>
    <s v="Khác"/>
    <s v="Khác"/>
    <x v="2"/>
    <s v="NĐ"/>
    <s v="(blank)"/>
    <x v="0"/>
    <n v="0"/>
    <n v="0"/>
    <n v="0"/>
    <n v="0"/>
    <n v="0"/>
    <n v="0"/>
    <m/>
    <m/>
    <m/>
    <m/>
    <m/>
    <m/>
    <m/>
    <m/>
    <m/>
    <m/>
    <m/>
    <n v="0"/>
    <n v="0"/>
    <x v="1"/>
    <x v="7"/>
  </r>
  <r>
    <x v="0"/>
    <x v="8"/>
    <n v="9"/>
    <s v="104877"/>
    <s v="Công ty trách nhiệm hữu hạn Uy Kiệt"/>
    <x v="58"/>
    <x v="56"/>
    <s v="rPET"/>
    <s v="rPET"/>
    <x v="3"/>
    <s v="NĐ"/>
    <s v="(blank)"/>
    <x v="0"/>
    <n v="88000"/>
    <n v="2323024000"/>
    <n v="14408825.921325052"/>
    <n v="0"/>
    <n v="19360000"/>
    <n v="2289255174.0786748"/>
    <m/>
    <m/>
    <m/>
    <m/>
    <m/>
    <m/>
    <m/>
    <m/>
    <m/>
    <m/>
    <m/>
    <n v="93493.250206092547"/>
    <n v="94872.370073015671"/>
    <x v="52"/>
    <x v="58"/>
  </r>
  <r>
    <x v="0"/>
    <x v="8"/>
    <n v="9"/>
    <s v="104894"/>
    <s v="UNILEVER-NGỌC NGHĨA"/>
    <x v="9"/>
    <x v="9"/>
    <s v="rPET"/>
    <s v="rPET"/>
    <x v="3"/>
    <s v="NĐ"/>
    <s v="(blank)"/>
    <x v="0"/>
    <n v="220000"/>
    <n v="7148460000"/>
    <n v="36022064.803312637"/>
    <n v="0"/>
    <n v="32340000"/>
    <n v="7080097935.1966867"/>
    <m/>
    <m/>
    <m/>
    <m/>
    <m/>
    <m/>
    <m/>
    <m/>
    <m/>
    <m/>
    <m/>
    <n v="289151.41275388206"/>
    <n v="291943.3215378531"/>
    <x v="2"/>
    <x v="9"/>
  </r>
  <r>
    <x v="0"/>
    <x v="8"/>
    <n v="9"/>
    <s v="104909"/>
    <s v="Công ty TNHH La Vie"/>
    <x v="10"/>
    <x v="10"/>
    <s v="rPET"/>
    <s v="rPET"/>
    <x v="3"/>
    <s v="NĐ"/>
    <s v="(blank)"/>
    <x v="1"/>
    <n v="-2300"/>
    <n v="0"/>
    <n v="0"/>
    <n v="0"/>
    <n v="0"/>
    <n v="0"/>
    <m/>
    <m/>
    <m/>
    <m/>
    <m/>
    <m/>
    <m/>
    <m/>
    <m/>
    <m/>
    <m/>
    <n v="0"/>
    <n v="0"/>
    <x v="4"/>
    <x v="10"/>
  </r>
  <r>
    <x v="0"/>
    <x v="8"/>
    <n v="9"/>
    <s v="104909"/>
    <s v="Công ty TNHH La Vie"/>
    <x v="10"/>
    <x v="10"/>
    <s v="rPET"/>
    <s v="rPET"/>
    <x v="3"/>
    <s v="NĐ"/>
    <s v="(blank)"/>
    <x v="0"/>
    <n v="242000"/>
    <n v="8104112940"/>
    <n v="39624271.283643886"/>
    <n v="0"/>
    <n v="0"/>
    <n v="8064488668.7163553"/>
    <m/>
    <m/>
    <m/>
    <m/>
    <m/>
    <m/>
    <m/>
    <m/>
    <m/>
    <m/>
    <m/>
    <n v="329353.95993674605"/>
    <n v="330972.21636848996"/>
    <x v="4"/>
    <x v="10"/>
  </r>
  <r>
    <x v="0"/>
    <x v="8"/>
    <n v="9"/>
    <s v="104909"/>
    <s v="Công ty TNHH La Vie"/>
    <x v="10"/>
    <x v="10"/>
    <s v="rPET"/>
    <s v="rPET"/>
    <x v="3"/>
    <s v="NĐ"/>
    <s v="(blank)"/>
    <x v="2"/>
    <n v="2300"/>
    <n v="0"/>
    <n v="0"/>
    <n v="0"/>
    <n v="0"/>
    <n v="0"/>
    <m/>
    <m/>
    <m/>
    <m/>
    <m/>
    <m/>
    <m/>
    <m/>
    <m/>
    <m/>
    <m/>
    <n v="0"/>
    <n v="0"/>
    <x v="4"/>
    <x v="10"/>
  </r>
  <r>
    <x v="0"/>
    <x v="8"/>
    <n v="9"/>
    <s v="105194"/>
    <s v="Suntory Việt Nam"/>
    <x v="8"/>
    <x v="8"/>
    <s v="rPET"/>
    <s v="rPET"/>
    <x v="3"/>
    <s v="NĐ"/>
    <s v="(blank)"/>
    <x v="0"/>
    <n v="260600"/>
    <n v="9605192953"/>
    <n v="42686146.791925475"/>
    <n v="0"/>
    <n v="216018518.22222218"/>
    <n v="9280929145.9858513"/>
    <m/>
    <m/>
    <m/>
    <m/>
    <m/>
    <m/>
    <m/>
    <m/>
    <m/>
    <m/>
    <m/>
    <n v="379033.42563805066"/>
    <n v="392276.36927545234"/>
    <x v="7"/>
    <x v="8"/>
  </r>
  <r>
    <x v="0"/>
    <x v="8"/>
    <n v="9"/>
    <s v="105194"/>
    <s v="Suntory Việt Nam"/>
    <x v="8"/>
    <x v="8"/>
    <s v="rPET"/>
    <s v="rPET"/>
    <x v="3"/>
    <s v="NĐ"/>
    <s v="(blank)"/>
    <x v="3"/>
    <n v="-106700"/>
    <n v="-3915491529"/>
    <n v="0"/>
    <n v="0"/>
    <n v="87089655.172413811"/>
    <n v="-3975738665.1724138"/>
    <m/>
    <m/>
    <m/>
    <m/>
    <m/>
    <m/>
    <m/>
    <m/>
    <m/>
    <m/>
    <m/>
    <n v="-162369.28673824921"/>
    <n v="-159908.79188378851"/>
    <x v="7"/>
    <x v="8"/>
  </r>
  <r>
    <x v="0"/>
    <x v="8"/>
    <n v="9"/>
    <s v="105194"/>
    <s v="Suntory Việt Nam"/>
    <x v="68"/>
    <x v="66"/>
    <s v="Khác"/>
    <s v="Khác"/>
    <x v="2"/>
    <s v="NĐ"/>
    <s v="(blank)"/>
    <x v="0"/>
    <n v="0"/>
    <n v="0"/>
    <n v="0"/>
    <n v="0"/>
    <n v="0"/>
    <n v="38716623"/>
    <m/>
    <m/>
    <m/>
    <m/>
    <m/>
    <m/>
    <m/>
    <m/>
    <m/>
    <m/>
    <m/>
    <n v="1581.1880485235754"/>
    <n v="0"/>
    <x v="7"/>
    <x v="68"/>
  </r>
  <r>
    <x v="0"/>
    <x v="8"/>
    <n v="9"/>
    <s v="105204"/>
    <s v="CTY NGỌC NGHĨA-TÂY NINH"/>
    <x v="8"/>
    <x v="8"/>
    <s v="rPET"/>
    <s v="rPET"/>
    <x v="3"/>
    <s v="NĐ"/>
    <s v="(blank)"/>
    <x v="1"/>
    <n v="-3300"/>
    <n v="0"/>
    <n v="0"/>
    <n v="0"/>
    <n v="0"/>
    <n v="0"/>
    <m/>
    <m/>
    <m/>
    <m/>
    <m/>
    <m/>
    <m/>
    <m/>
    <m/>
    <m/>
    <m/>
    <n v="0"/>
    <n v="0"/>
    <x v="5"/>
    <x v="8"/>
  </r>
  <r>
    <x v="0"/>
    <x v="8"/>
    <n v="9"/>
    <s v="105204"/>
    <s v="CTY NGỌC NGHĨA-TÂY NINH"/>
    <x v="8"/>
    <x v="8"/>
    <s v="rPET"/>
    <s v="rPET"/>
    <x v="3"/>
    <s v="NĐ"/>
    <s v="(blank)"/>
    <x v="2"/>
    <n v="3300"/>
    <n v="0"/>
    <n v="0"/>
    <n v="0"/>
    <n v="0"/>
    <n v="0"/>
    <m/>
    <m/>
    <m/>
    <m/>
    <m/>
    <m/>
    <m/>
    <m/>
    <m/>
    <m/>
    <m/>
    <n v="0"/>
    <n v="0"/>
    <x v="5"/>
    <x v="8"/>
  </r>
  <r>
    <x v="0"/>
    <x v="8"/>
    <n v="9"/>
    <s v="105207"/>
    <s v="Suntory Sri Thái Bình Dương"/>
    <x v="8"/>
    <x v="8"/>
    <s v="rPET"/>
    <s v="rPET"/>
    <x v="3"/>
    <s v="NĐ"/>
    <s v="(blank)"/>
    <x v="1"/>
    <n v="-25684"/>
    <n v="0"/>
    <n v="0"/>
    <n v="0"/>
    <n v="0"/>
    <n v="0"/>
    <m/>
    <m/>
    <m/>
    <m/>
    <m/>
    <m/>
    <m/>
    <m/>
    <m/>
    <m/>
    <m/>
    <n v="0"/>
    <n v="0"/>
    <x v="7"/>
    <x v="8"/>
  </r>
  <r>
    <x v="0"/>
    <x v="8"/>
    <n v="9"/>
    <s v="105207"/>
    <s v="Suntory Sri Thái Bình Dương"/>
    <x v="8"/>
    <x v="8"/>
    <s v="rPET"/>
    <s v="rPET"/>
    <x v="3"/>
    <s v="NĐ"/>
    <s v="(blank)"/>
    <x v="0"/>
    <n v="66000"/>
    <n v="2405944200"/>
    <n v="10806619.44099379"/>
    <n v="0"/>
    <n v="10560000"/>
    <n v="2367973960.5590057"/>
    <m/>
    <m/>
    <m/>
    <m/>
    <m/>
    <m/>
    <m/>
    <m/>
    <m/>
    <m/>
    <m/>
    <n v="96708.127815045649"/>
    <n v="98258.8335365565"/>
    <x v="7"/>
    <x v="8"/>
  </r>
  <r>
    <x v="0"/>
    <x v="8"/>
    <n v="9"/>
    <s v="105207"/>
    <s v="Suntory Sri Thái Bình Dương"/>
    <x v="8"/>
    <x v="8"/>
    <s v="rPET"/>
    <s v="rPET"/>
    <x v="3"/>
    <s v="NĐ"/>
    <s v="(blank)"/>
    <x v="2"/>
    <n v="25684"/>
    <n v="0"/>
    <n v="0"/>
    <n v="0"/>
    <n v="0"/>
    <n v="0"/>
    <m/>
    <m/>
    <m/>
    <m/>
    <m/>
    <m/>
    <m/>
    <m/>
    <m/>
    <m/>
    <m/>
    <n v="0"/>
    <n v="0"/>
    <x v="7"/>
    <x v="8"/>
  </r>
  <r>
    <x v="0"/>
    <x v="8"/>
    <n v="9"/>
    <s v="105207"/>
    <s v="Suntory Sri Thái Bình Dương"/>
    <x v="68"/>
    <x v="66"/>
    <s v="Khác"/>
    <s v="Khác"/>
    <x v="2"/>
    <s v="NĐ"/>
    <s v="(blank)"/>
    <x v="0"/>
    <n v="0"/>
    <n v="0"/>
    <n v="0"/>
    <n v="0"/>
    <n v="0"/>
    <n v="16603620"/>
    <m/>
    <m/>
    <m/>
    <m/>
    <m/>
    <m/>
    <m/>
    <m/>
    <m/>
    <m/>
    <m/>
    <n v="678.09234049743975"/>
    <n v="0"/>
    <x v="7"/>
    <x v="68"/>
  </r>
  <r>
    <x v="0"/>
    <x v="8"/>
    <n v="9"/>
    <s v="105209"/>
    <s v="Công ty TNHH MTV Đồng Lâm"/>
    <x v="35"/>
    <x v="33"/>
    <s v="Khác"/>
    <s v="Khác"/>
    <x v="2"/>
    <s v="NĐ"/>
    <s v="(blank)"/>
    <x v="0"/>
    <n v="0"/>
    <n v="48000000"/>
    <n v="0"/>
    <n v="0"/>
    <n v="0"/>
    <n v="48000000"/>
    <m/>
    <m/>
    <m/>
    <m/>
    <m/>
    <m/>
    <m/>
    <m/>
    <m/>
    <m/>
    <m/>
    <n v="1960.3214445932338"/>
    <n v="1960.3214445932338"/>
    <x v="17"/>
    <x v="35"/>
  </r>
  <r>
    <x v="0"/>
    <x v="8"/>
    <n v="9"/>
    <s v="105213"/>
    <s v="CÔNG TY PRO VIỆT NAM"/>
    <x v="26"/>
    <x v="24"/>
    <s v="Khác"/>
    <s v="Khác"/>
    <x v="2"/>
    <s v="NĐ"/>
    <s v="(blank)"/>
    <x v="0"/>
    <n v="0"/>
    <n v="2685185185"/>
    <n v="0"/>
    <n v="0"/>
    <n v="0"/>
    <n v="2685185185"/>
    <m/>
    <m/>
    <m/>
    <m/>
    <m/>
    <m/>
    <m/>
    <m/>
    <m/>
    <m/>
    <m/>
    <n v="109663.04376790728"/>
    <n v="109663.04376790728"/>
    <x v="8"/>
    <x v="26"/>
  </r>
  <r>
    <x v="0"/>
    <x v="8"/>
    <n v="9"/>
    <s v="105214"/>
    <s v="Người mua hàng không lấy hóa đơn"/>
    <x v="27"/>
    <x v="25"/>
    <s v="Khác"/>
    <s v="Khác"/>
    <x v="2"/>
    <s v="NĐ"/>
    <s v="(blank)"/>
    <x v="0"/>
    <n v="0"/>
    <n v="123496909"/>
    <n v="0"/>
    <n v="0"/>
    <n v="0"/>
    <n v="123496909"/>
    <m/>
    <m/>
    <m/>
    <m/>
    <m/>
    <m/>
    <m/>
    <m/>
    <m/>
    <m/>
    <m/>
    <n v="5043.617480284981"/>
    <n v="5043.617480284981"/>
    <x v="9"/>
    <x v="27"/>
  </r>
  <r>
    <x v="0"/>
    <x v="8"/>
    <n v="9"/>
    <s v="105222"/>
    <s v="CN Cty Coca - Hà Nội"/>
    <x v="8"/>
    <x v="8"/>
    <s v="rPET"/>
    <s v="rPET"/>
    <x v="3"/>
    <s v="NĐ"/>
    <s v="(blank)"/>
    <x v="1"/>
    <n v="-30800"/>
    <n v="0"/>
    <n v="0"/>
    <n v="0"/>
    <n v="27710344.827586208"/>
    <n v="-27710344.827586208"/>
    <m/>
    <m/>
    <m/>
    <m/>
    <m/>
    <m/>
    <m/>
    <m/>
    <m/>
    <m/>
    <m/>
    <n v="-1131.6913167206342"/>
    <n v="0"/>
    <x v="3"/>
    <x v="8"/>
  </r>
  <r>
    <x v="0"/>
    <x v="8"/>
    <n v="9"/>
    <s v="105222"/>
    <s v="CN Cty Coca - Hà Nội"/>
    <x v="8"/>
    <x v="8"/>
    <s v="rPET"/>
    <s v="rPET"/>
    <x v="3"/>
    <s v="NĐ"/>
    <s v="(blank)"/>
    <x v="0"/>
    <n v="88000"/>
    <n v="2990724000"/>
    <n v="14408825.921325052"/>
    <n v="0"/>
    <n v="35185185.148148142"/>
    <n v="2941129988.9305267"/>
    <m/>
    <m/>
    <m/>
    <m/>
    <m/>
    <m/>
    <m/>
    <m/>
    <m/>
    <m/>
    <m/>
    <n v="120115.83726326609"/>
    <n v="122141.25816790946"/>
    <x v="3"/>
    <x v="8"/>
  </r>
  <r>
    <x v="0"/>
    <x v="8"/>
    <n v="9"/>
    <s v="105222"/>
    <s v="CN Cty Coca - Hà Nội"/>
    <x v="8"/>
    <x v="8"/>
    <s v="rPET"/>
    <s v="rPET"/>
    <x v="3"/>
    <s v="NĐ"/>
    <s v="(blank)"/>
    <x v="3"/>
    <n v="-22000"/>
    <n v="-756096000"/>
    <n v="-3602206.480331263"/>
    <n v="0"/>
    <n v="0"/>
    <n v="-752493793.5196687"/>
    <m/>
    <m/>
    <m/>
    <m/>
    <m/>
    <m/>
    <m/>
    <m/>
    <m/>
    <m/>
    <m/>
    <n v="-30731.869174164989"/>
    <n v="-30878.983395232619"/>
    <x v="3"/>
    <x v="8"/>
  </r>
  <r>
    <x v="0"/>
    <x v="8"/>
    <n v="9"/>
    <s v="105222"/>
    <s v="CN Cty Coca - Hà Nội"/>
    <x v="8"/>
    <x v="8"/>
    <s v="rPET"/>
    <s v="rPET"/>
    <x v="3"/>
    <s v="NĐ"/>
    <s v="(blank)"/>
    <x v="2"/>
    <n v="30800"/>
    <n v="0"/>
    <n v="5403309.7204968948"/>
    <n v="0"/>
    <n v="27000000"/>
    <n v="-32403309.720496893"/>
    <m/>
    <m/>
    <m/>
    <m/>
    <m/>
    <m/>
    <m/>
    <m/>
    <m/>
    <m/>
    <m/>
    <n v="-1323.3521441851342"/>
    <n v="0"/>
    <x v="3"/>
    <x v="8"/>
  </r>
  <r>
    <x v="0"/>
    <x v="8"/>
    <n v="9"/>
    <s v="105223"/>
    <s v="Dynaplast Bắc Ninh"/>
    <x v="1"/>
    <x v="1"/>
    <s v="rHDPE"/>
    <s v="rHDPE thổi"/>
    <x v="0"/>
    <s v="NĐ"/>
    <s v="(blank)"/>
    <x v="0"/>
    <n v="11000"/>
    <n v="399234000"/>
    <n v="0"/>
    <n v="0"/>
    <n v="11574074"/>
    <n v="387659926"/>
    <m/>
    <m/>
    <m/>
    <m/>
    <m/>
    <m/>
    <m/>
    <m/>
    <m/>
    <m/>
    <m/>
    <n v="15832.043044733877"/>
    <n v="16304.728575223648"/>
    <x v="2"/>
    <x v="1"/>
  </r>
  <r>
    <x v="0"/>
    <x v="8"/>
    <n v="9"/>
    <s v="105243"/>
    <s v="Unilever"/>
    <x v="26"/>
    <x v="24"/>
    <s v="Khác"/>
    <s v="Khác"/>
    <x v="2"/>
    <s v="NĐ"/>
    <s v="(blank)"/>
    <x v="0"/>
    <n v="0"/>
    <n v="8510750000"/>
    <n v="0"/>
    <n v="0"/>
    <n v="0"/>
    <n v="8510750000"/>
    <m/>
    <m/>
    <m/>
    <m/>
    <m/>
    <m/>
    <m/>
    <m/>
    <m/>
    <m/>
    <m/>
    <n v="347579.28613691381"/>
    <n v="347579.28613691381"/>
    <x v="2"/>
    <x v="26"/>
  </r>
  <r>
    <x v="0"/>
    <x v="8"/>
    <n v="9"/>
    <s v="105247"/>
    <s v="MINH THÀNH"/>
    <x v="29"/>
    <x v="27"/>
    <s v="Khác"/>
    <s v="Phó sản"/>
    <x v="5"/>
    <s v="NĐ"/>
    <s v="(blank)"/>
    <x v="0"/>
    <n v="2374"/>
    <n v="50328800"/>
    <n v="0"/>
    <n v="0"/>
    <n v="0"/>
    <n v="50328800"/>
    <m/>
    <m/>
    <m/>
    <m/>
    <m/>
    <m/>
    <m/>
    <m/>
    <m/>
    <m/>
    <m/>
    <n v="2055.4297066800823"/>
    <n v="2055.4297066800823"/>
    <x v="10"/>
    <x v="29"/>
  </r>
  <r>
    <x v="0"/>
    <x v="8"/>
    <n v="9"/>
    <s v="105263"/>
    <s v="Unilever Duy Tân"/>
    <x v="1"/>
    <x v="1"/>
    <s v="rHDPE"/>
    <s v="rHDPE thổi"/>
    <x v="0"/>
    <s v="NĐ"/>
    <s v="(blank)"/>
    <x v="0"/>
    <n v="77000"/>
    <n v="2702238000"/>
    <n v="0"/>
    <n v="0"/>
    <n v="0"/>
    <n v="2702238000"/>
    <m/>
    <m/>
    <m/>
    <m/>
    <m/>
    <m/>
    <m/>
    <m/>
    <m/>
    <m/>
    <m/>
    <n v="110359.48124572355"/>
    <n v="110359.48124572355"/>
    <x v="2"/>
    <x v="1"/>
  </r>
  <r>
    <x v="0"/>
    <x v="8"/>
    <n v="9"/>
    <s v="105263"/>
    <s v="Unilever Duy Tân"/>
    <x v="6"/>
    <x v="6"/>
    <s v="rHDPE"/>
    <s v="rHDPE thổi"/>
    <x v="0"/>
    <s v="NĐ"/>
    <s v="(blank)"/>
    <x v="0"/>
    <n v="5500"/>
    <n v="186153000"/>
    <n v="0"/>
    <n v="0"/>
    <n v="0"/>
    <n v="186153000"/>
    <m/>
    <m/>
    <m/>
    <m/>
    <m/>
    <m/>
    <m/>
    <m/>
    <m/>
    <m/>
    <m/>
    <n v="7602.4941224034219"/>
    <n v="7602.4941224034219"/>
    <x v="2"/>
    <x v="6"/>
  </r>
  <r>
    <x v="0"/>
    <x v="8"/>
    <n v="9"/>
    <s v="105263"/>
    <s v="Unilever Duy Tân"/>
    <x v="50"/>
    <x v="48"/>
    <s v="rHDPE"/>
    <s v="rHDPE thổi"/>
    <x v="0"/>
    <s v="NĐ"/>
    <s v="(blank)"/>
    <x v="0"/>
    <n v="27500"/>
    <n v="930765000"/>
    <n v="0"/>
    <n v="0"/>
    <n v="0"/>
    <n v="930765000"/>
    <m/>
    <m/>
    <m/>
    <m/>
    <m/>
    <m/>
    <m/>
    <m/>
    <m/>
    <m/>
    <m/>
    <n v="38012.47061201711"/>
    <n v="38012.47061201711"/>
    <x v="2"/>
    <x v="50"/>
  </r>
  <r>
    <x v="0"/>
    <x v="8"/>
    <n v="9"/>
    <s v="105263"/>
    <s v="Unilever Duy Tân"/>
    <x v="83"/>
    <x v="81"/>
    <s v="rHDPE"/>
    <s v="rHDPE thổi"/>
    <x v="0"/>
    <s v="NĐ"/>
    <s v="(blank)"/>
    <x v="0"/>
    <n v="11000"/>
    <n v="386034000"/>
    <n v="0"/>
    <n v="0"/>
    <n v="0"/>
    <n v="386034000"/>
    <m/>
    <m/>
    <m/>
    <m/>
    <m/>
    <m/>
    <m/>
    <m/>
    <m/>
    <m/>
    <m/>
    <n v="15765.640177960508"/>
    <n v="15765.640177960508"/>
    <x v="2"/>
    <x v="83"/>
  </r>
  <r>
    <x v="0"/>
    <x v="8"/>
    <n v="9"/>
    <s v="105266"/>
    <s v="MIDA"/>
    <x v="53"/>
    <x v="51"/>
    <s v="rPET"/>
    <s v="rPET"/>
    <x v="3"/>
    <s v="NĐ"/>
    <s v="(blank)"/>
    <x v="0"/>
    <n v="200"/>
    <n v="6367600"/>
    <n v="180110.32401656316"/>
    <n v="0"/>
    <n v="0"/>
    <n v="6187489.6759834364"/>
    <m/>
    <m/>
    <m/>
    <m/>
    <m/>
    <m/>
    <m/>
    <m/>
    <m/>
    <m/>
    <m/>
    <n v="252.69726458394936"/>
    <n v="260.05297563733075"/>
    <x v="35"/>
    <x v="53"/>
  </r>
  <r>
    <x v="0"/>
    <x v="8"/>
    <n v="9"/>
    <s v="105281"/>
    <s v="Plascene- DTP"/>
    <x v="9"/>
    <x v="9"/>
    <s v="rPET"/>
    <s v="rPET"/>
    <x v="3"/>
    <s v="NĐ"/>
    <s v="(blank)"/>
    <x v="0"/>
    <n v="66000"/>
    <n v="2133638100"/>
    <n v="10806619.44099379"/>
    <n v="0"/>
    <n v="0"/>
    <n v="2122831480.559006"/>
    <m/>
    <m/>
    <m/>
    <m/>
    <m/>
    <m/>
    <m/>
    <m/>
    <m/>
    <m/>
    <m/>
    <n v="86696.501554112998"/>
    <n v="87137.844217315884"/>
    <x v="54"/>
    <x v="9"/>
  </r>
  <r>
    <x v="0"/>
    <x v="8"/>
    <n v="9"/>
    <s v="105290"/>
    <s v="HOÀNG TẤN"/>
    <x v="75"/>
    <x v="73"/>
    <s v="Khác"/>
    <s v="Phó sản"/>
    <x v="5"/>
    <s v="NĐ"/>
    <s v="(blank)"/>
    <x v="0"/>
    <n v="28076"/>
    <n v="140380000"/>
    <n v="0"/>
    <n v="0"/>
    <n v="0"/>
    <n v="140380000"/>
    <m/>
    <m/>
    <m/>
    <m/>
    <m/>
    <m/>
    <m/>
    <m/>
    <m/>
    <m/>
    <m/>
    <n v="5733.1234248332948"/>
    <n v="5733.1234248332948"/>
    <x v="66"/>
    <x v="75"/>
  </r>
  <r>
    <x v="0"/>
    <x v="8"/>
    <n v="9"/>
    <s v="105290"/>
    <s v="HOÀNG TẤN"/>
    <x v="76"/>
    <x v="74"/>
    <s v="Khác"/>
    <s v="Phó sản"/>
    <x v="5"/>
    <s v="NĐ"/>
    <s v="(blank)"/>
    <x v="0"/>
    <n v="83213"/>
    <n v="416065000"/>
    <n v="0"/>
    <n v="0"/>
    <n v="0"/>
    <n v="416065000"/>
    <m/>
    <m/>
    <m/>
    <m/>
    <m/>
    <m/>
    <m/>
    <m/>
    <m/>
    <m/>
    <m/>
    <n v="16992.107121764249"/>
    <n v="16992.107121764249"/>
    <x v="66"/>
    <x v="76"/>
  </r>
  <r>
    <x v="0"/>
    <x v="8"/>
    <n v="9"/>
    <s v="105290"/>
    <s v="HOÀNG TẤN"/>
    <x v="77"/>
    <x v="75"/>
    <s v="Khác"/>
    <s v="Phó sản"/>
    <x v="5"/>
    <s v="NĐ"/>
    <s v="(blank)"/>
    <x v="0"/>
    <n v="70206"/>
    <n v="351030000"/>
    <n v="0"/>
    <n v="0"/>
    <n v="0"/>
    <n v="351030000"/>
    <m/>
    <m/>
    <m/>
    <m/>
    <m/>
    <m/>
    <m/>
    <m/>
    <m/>
    <m/>
    <m/>
    <n v="14336.075764490894"/>
    <n v="14336.075764490894"/>
    <x v="66"/>
    <x v="77"/>
  </r>
  <r>
    <x v="0"/>
    <x v="8"/>
    <n v="9"/>
    <s v="105290"/>
    <s v="HOÀNG TẤN"/>
    <x v="78"/>
    <x v="76"/>
    <s v="Khác"/>
    <s v="Phó sản"/>
    <x v="5"/>
    <s v="NĐ"/>
    <s v="(blank)"/>
    <x v="0"/>
    <n v="65038"/>
    <n v="325190000"/>
    <n v="0"/>
    <n v="0"/>
    <n v="0"/>
    <n v="325190000"/>
    <m/>
    <m/>
    <m/>
    <m/>
    <m/>
    <m/>
    <m/>
    <m/>
    <m/>
    <m/>
    <m/>
    <n v="13280.769386818203"/>
    <n v="13280.769386818203"/>
    <x v="66"/>
    <x v="78"/>
  </r>
  <r>
    <x v="0"/>
    <x v="8"/>
    <n v="9"/>
    <s v="105291"/>
    <s v="AN NHẬT"/>
    <x v="9"/>
    <x v="9"/>
    <s v="rPET"/>
    <s v="rPET"/>
    <x v="3"/>
    <s v="NĐ"/>
    <s v="(blank)"/>
    <x v="0"/>
    <n v="3300"/>
    <n v="110477400"/>
    <n v="540330.9720496895"/>
    <n v="0"/>
    <n v="0"/>
    <n v="109937069.02795032"/>
    <m/>
    <m/>
    <m/>
    <m/>
    <m/>
    <m/>
    <m/>
    <m/>
    <m/>
    <m/>
    <m/>
    <n v="4489.8332077337"/>
    <n v="4511.9003408938443"/>
    <x v="67"/>
    <x v="9"/>
  </r>
  <r>
    <x v="0"/>
    <x v="8"/>
    <n v="9"/>
    <s v="105292"/>
    <s v="NHỰA ĐỒNG NAI"/>
    <x v="87"/>
    <x v="85"/>
    <s v="rHDPE"/>
    <s v="rHDPE thổi"/>
    <x v="0"/>
    <s v="NĐ"/>
    <s v="(blank)"/>
    <x v="0"/>
    <n v="1000"/>
    <n v="21000000"/>
    <n v="0"/>
    <n v="0"/>
    <n v="0"/>
    <n v="21000000"/>
    <m/>
    <m/>
    <m/>
    <m/>
    <m/>
    <m/>
    <m/>
    <m/>
    <m/>
    <m/>
    <m/>
    <n v="857.64063200953979"/>
    <n v="857.64063200953979"/>
    <x v="73"/>
    <x v="87"/>
  </r>
  <r>
    <x v="0"/>
    <x v="8"/>
    <n v="9"/>
    <s v="105297"/>
    <s v="TEXMAT VN"/>
    <x v="9"/>
    <x v="9"/>
    <s v="rPET"/>
    <s v="rPET"/>
    <x v="3"/>
    <s v="NĐ"/>
    <s v="(blank)"/>
    <x v="0"/>
    <n v="500"/>
    <n v="16191600"/>
    <n v="180110.32401656316"/>
    <n v="0"/>
    <n v="0"/>
    <n v="16011489.675983436"/>
    <m/>
    <m/>
    <m/>
    <m/>
    <m/>
    <m/>
    <m/>
    <m/>
    <m/>
    <m/>
    <m/>
    <n v="653.90972024403118"/>
    <n v="661.26543129741253"/>
    <x v="74"/>
    <x v="9"/>
  </r>
  <r>
    <x v="0"/>
    <x v="8"/>
    <n v="9"/>
    <s v="105298"/>
    <s v="CTY AJINOMOTO"/>
    <x v="26"/>
    <x v="24"/>
    <s v="Khác"/>
    <s v="Khác"/>
    <x v="2"/>
    <s v="NĐ"/>
    <s v="(blank)"/>
    <x v="0"/>
    <n v="0"/>
    <n v="266175500"/>
    <n v="0"/>
    <n v="0"/>
    <n v="0"/>
    <n v="266175500"/>
    <m/>
    <m/>
    <m/>
    <m/>
    <m/>
    <m/>
    <m/>
    <m/>
    <m/>
    <m/>
    <m/>
    <n v="10870.615430735965"/>
    <n v="10870.615430735965"/>
    <x v="75"/>
    <x v="26"/>
  </r>
  <r>
    <x v="0"/>
    <x v="8"/>
    <n v="9"/>
    <s v="105299"/>
    <s v="Nhựa Hồng Đông"/>
    <x v="0"/>
    <x v="0"/>
    <s v="rHDPE"/>
    <s v="rHDPE thổi"/>
    <x v="0"/>
    <s v="NĐ"/>
    <s v="(blank)"/>
    <x v="0"/>
    <n v="25"/>
    <n v="834637.99999999988"/>
    <n v="0"/>
    <n v="0"/>
    <n v="0"/>
    <n v="834637.99999999988"/>
    <m/>
    <m/>
    <m/>
    <m/>
    <m/>
    <m/>
    <m/>
    <m/>
    <m/>
    <m/>
    <m/>
    <n v="34.086641039008484"/>
    <n v="34.086641039008484"/>
    <x v="76"/>
    <x v="0"/>
  </r>
  <r>
    <x v="0"/>
    <x v="8"/>
    <n v="9"/>
    <s v="105299"/>
    <s v="Nhựa Hồng Đông"/>
    <x v="74"/>
    <x v="72"/>
    <s v="rPP"/>
    <s v="rPP"/>
    <x v="6"/>
    <s v="NĐ"/>
    <s v="(blank)"/>
    <x v="0"/>
    <n v="25"/>
    <n v="618250"/>
    <n v="0"/>
    <n v="0"/>
    <n v="0"/>
    <n v="618250"/>
    <m/>
    <m/>
    <m/>
    <m/>
    <m/>
    <m/>
    <m/>
    <m/>
    <m/>
    <m/>
    <m/>
    <n v="25.249348606661808"/>
    <n v="25.249348606661808"/>
    <x v="76"/>
    <x v="74"/>
  </r>
  <r>
    <x v="0"/>
    <x v="8"/>
    <n v="9"/>
    <s v="105300"/>
    <s v="BTS Bình Thuận"/>
    <x v="88"/>
    <x v="86"/>
    <s v="rHDPE"/>
    <s v="rHDPE ép"/>
    <x v="1"/>
    <s v="NĐ"/>
    <s v="(blank)"/>
    <x v="0"/>
    <n v="5000"/>
    <n v="112000000"/>
    <n v="1260772.2681159421"/>
    <n v="0"/>
    <n v="0"/>
    <n v="110739227.73188406"/>
    <m/>
    <m/>
    <m/>
    <m/>
    <m/>
    <m/>
    <m/>
    <m/>
    <m/>
    <m/>
    <m/>
    <n v="4522.5933933438764"/>
    <n v="4574.0833707175452"/>
    <x v="77"/>
    <x v="88"/>
  </r>
  <r>
    <x v="0"/>
    <x v="8"/>
    <n v="9"/>
    <s v="105302"/>
    <s v="NHỰA VIỆT THÀNH"/>
    <x v="46"/>
    <x v="44"/>
    <s v="rHDPE"/>
    <s v="rHDPE ép"/>
    <x v="1"/>
    <s v="NĐ"/>
    <s v="(blank)"/>
    <x v="0"/>
    <n v="5250"/>
    <n v="108111111.00000001"/>
    <n v="1260772.2681159421"/>
    <n v="0"/>
    <n v="0"/>
    <n v="106850338.73188408"/>
    <m/>
    <m/>
    <m/>
    <m/>
    <m/>
    <m/>
    <m/>
    <m/>
    <m/>
    <m/>
    <m/>
    <n v="4363.7710495450701"/>
    <n v="4415.2610269187389"/>
    <x v="78"/>
    <x v="46"/>
  </r>
  <r>
    <x v="0"/>
    <x v="8"/>
    <n v="9"/>
    <s v="200311"/>
    <s v="Plascene, Inc."/>
    <x v="9"/>
    <x v="9"/>
    <s v="rPET"/>
    <s v="rPET"/>
    <x v="3"/>
    <s v="XK"/>
    <s v="United States of America (the)"/>
    <x v="0"/>
    <n v="88000"/>
    <n v="2611521000.0000005"/>
    <n v="6649728.1983071333"/>
    <n v="0"/>
    <n v="36747619"/>
    <n v="2568123652.8016934"/>
    <m/>
    <m/>
    <m/>
    <m/>
    <m/>
    <m/>
    <m/>
    <m/>
    <m/>
    <m/>
    <m/>
    <n v="105143.29520407728"/>
    <n v="106920.00000000001"/>
    <x v="13"/>
    <x v="9"/>
  </r>
  <r>
    <x v="0"/>
    <x v="8"/>
    <n v="9"/>
    <s v="200319"/>
    <s v="Niagara Bottling, LLC"/>
    <x v="9"/>
    <x v="9"/>
    <s v="rPET"/>
    <s v="rPET"/>
    <x v="3"/>
    <s v="XK"/>
    <s v="United Kingdom of Great Britain and Northern Ireland (the)"/>
    <x v="0"/>
    <n v="110000"/>
    <n v="3346073280"/>
    <n v="8312160.2478839168"/>
    <n v="50191099.200000003"/>
    <n v="44115596.090909094"/>
    <n v="3243454424.4612069"/>
    <m/>
    <m/>
    <m/>
    <m/>
    <m/>
    <m/>
    <m/>
    <m/>
    <m/>
    <m/>
    <m/>
    <n v="132494.05328681399"/>
    <n v="136686"/>
    <x v="14"/>
    <x v="9"/>
  </r>
  <r>
    <x v="0"/>
    <x v="8"/>
    <n v="9"/>
    <s v="200319"/>
    <s v="Niagara Bottling, LLC"/>
    <x v="9"/>
    <x v="9"/>
    <s v="rPET"/>
    <s v="rPET"/>
    <x v="3"/>
    <s v="XK"/>
    <s v="United States of America (the)"/>
    <x v="0"/>
    <n v="1540000"/>
    <n v="46766858248"/>
    <n v="116370243.47037496"/>
    <n v="701502873.72000051"/>
    <n v="591384516.909091"/>
    <n v="45357600613.90052"/>
    <m/>
    <m/>
    <m/>
    <m/>
    <m/>
    <m/>
    <m/>
    <m/>
    <m/>
    <m/>
    <m/>
    <n v="1848857.2007144303"/>
    <n v="1906299.9999999977"/>
    <x v="14"/>
    <x v="9"/>
  </r>
  <r>
    <x v="0"/>
    <x v="8"/>
    <n v="9"/>
    <s v="200324"/>
    <s v="Itochu"/>
    <x v="33"/>
    <x v="31"/>
    <s v="rPET"/>
    <s v="rPET"/>
    <x v="3"/>
    <s v="XK"/>
    <s v="Japan"/>
    <x v="0"/>
    <n v="4400"/>
    <n v="133870000"/>
    <n v="664972.81983071344"/>
    <n v="0"/>
    <n v="9321855"/>
    <n v="123883172.18016928"/>
    <m/>
    <m/>
    <m/>
    <m/>
    <m/>
    <m/>
    <m/>
    <m/>
    <m/>
    <m/>
    <m/>
    <n v="5089.6948307382618"/>
    <n v="5500"/>
    <x v="43"/>
    <x v="33"/>
  </r>
  <r>
    <x v="0"/>
    <x v="8"/>
    <n v="9"/>
    <s v="200330"/>
    <s v="Fega"/>
    <x v="33"/>
    <x v="31"/>
    <s v="rPET"/>
    <s v="rPET"/>
    <x v="3"/>
    <s v="XK"/>
    <s v="Greece"/>
    <x v="0"/>
    <n v="22000"/>
    <n v="688793600"/>
    <n v="1662432.0495767833"/>
    <n v="0"/>
    <n v="12099278"/>
    <n v="675031889.95042324"/>
    <m/>
    <m/>
    <m/>
    <m/>
    <m/>
    <m/>
    <m/>
    <m/>
    <m/>
    <m/>
    <m/>
    <n v="27597.378984072904"/>
    <n v="28160"/>
    <x v="30"/>
    <x v="33"/>
  </r>
  <r>
    <x v="0"/>
    <x v="8"/>
    <n v="9"/>
    <s v="200332"/>
    <s v="OUTEIRINHO TURISMO E INDUSTRIA SA"/>
    <x v="33"/>
    <x v="31"/>
    <s v="rPET"/>
    <s v="rPET"/>
    <x v="3"/>
    <s v="XK"/>
    <s v="Portugal"/>
    <x v="0"/>
    <n v="770000"/>
    <n v="25800442800"/>
    <n v="58185121.735187419"/>
    <n v="0"/>
    <n v="2418190801"/>
    <n v="23324066877.264797"/>
    <m/>
    <m/>
    <m/>
    <m/>
    <m/>
    <m/>
    <m/>
    <m/>
    <m/>
    <m/>
    <m/>
    <n v="953648.65104891476"/>
    <n v="1054900"/>
    <x v="44"/>
    <x v="33"/>
  </r>
  <r>
    <x v="0"/>
    <x v="8"/>
    <n v="9"/>
    <s v="200342"/>
    <s v="POLYMERS INTERNATIONAL"/>
    <x v="9"/>
    <x v="9"/>
    <s v="rPET"/>
    <s v="rPET"/>
    <x v="3"/>
    <s v="XK"/>
    <s v="Australia"/>
    <x v="0"/>
    <n v="44000"/>
    <n v="1366266000"/>
    <n v="3324864.0991535666"/>
    <n v="0"/>
    <n v="82238222"/>
    <n v="1280702913.9008465"/>
    <m/>
    <m/>
    <m/>
    <m/>
    <m/>
    <m/>
    <m/>
    <m/>
    <m/>
    <m/>
    <m/>
    <n v="52380.487276108237"/>
    <n v="55880"/>
    <x v="38"/>
    <x v="9"/>
  </r>
  <r>
    <x v="0"/>
    <x v="8"/>
    <n v="9"/>
    <s v="200353"/>
    <s v="Custom Synthetic Fibers, LLC"/>
    <x v="62"/>
    <x v="60"/>
    <s v="Xơ sợi"/>
    <s v="Xơ sợi"/>
    <x v="7"/>
    <s v="XK"/>
    <s v="United States of America (the)"/>
    <x v="0"/>
    <n v="220000"/>
    <n v="4752570900"/>
    <n v="16624320.495767834"/>
    <n v="53823000"/>
    <n v="883682416.00000012"/>
    <n v="3798441163.5042329"/>
    <m/>
    <m/>
    <m/>
    <m/>
    <m/>
    <m/>
    <m/>
    <m/>
    <m/>
    <m/>
    <m/>
    <n v="155260.20131058287"/>
    <n v="194260"/>
    <x v="45"/>
    <x v="62"/>
  </r>
  <r>
    <x v="0"/>
    <x v="8"/>
    <n v="9"/>
    <s v="200355"/>
    <s v="International Gate SA"/>
    <x v="33"/>
    <x v="31"/>
    <s v="rPET"/>
    <s v="rPET"/>
    <x v="3"/>
    <s v="XK"/>
    <s v="Poland"/>
    <x v="0"/>
    <n v="88000"/>
    <n v="3126200000"/>
    <n v="6649728.1983071333"/>
    <n v="0"/>
    <n v="409311140"/>
    <n v="2710239131.801693"/>
    <m/>
    <m/>
    <m/>
    <m/>
    <m/>
    <m/>
    <m/>
    <m/>
    <m/>
    <m/>
    <m/>
    <n v="110622.00537966094"/>
    <n v="127600"/>
    <x v="51"/>
    <x v="33"/>
  </r>
  <r>
    <x v="0"/>
    <x v="8"/>
    <n v="9"/>
    <s v="200357"/>
    <s v="Genesis Polymers International"/>
    <x v="8"/>
    <x v="8"/>
    <s v="rPET"/>
    <s v="rPET"/>
    <x v="3"/>
    <s v="XK"/>
    <s v="Mexico"/>
    <x v="0"/>
    <n v="88000"/>
    <n v="3195744640"/>
    <n v="6649728.1983071333"/>
    <n v="0"/>
    <n v="412162976"/>
    <n v="2776931935.801693"/>
    <m/>
    <m/>
    <m/>
    <m/>
    <m/>
    <m/>
    <m/>
    <m/>
    <m/>
    <m/>
    <m/>
    <n v="114089.23318823718"/>
    <n v="131296"/>
    <x v="57"/>
    <x v="8"/>
  </r>
  <r>
    <x v="0"/>
    <x v="8"/>
    <n v="9"/>
    <s v="200359"/>
    <s v="PREMIUM WATER"/>
    <x v="58"/>
    <x v="56"/>
    <s v="rPET"/>
    <s v="rPET"/>
    <x v="3"/>
    <s v="XK"/>
    <s v="United States of America (the)"/>
    <x v="0"/>
    <n v="660000"/>
    <n v="17102421600"/>
    <n v="49872961.48730351"/>
    <n v="0"/>
    <n v="245103129.00000003"/>
    <n v="16807445509.512707"/>
    <m/>
    <m/>
    <m/>
    <m/>
    <m/>
    <m/>
    <m/>
    <m/>
    <m/>
    <m/>
    <m/>
    <n v="687533.56221819273"/>
    <n v="699600"/>
    <x v="63"/>
    <x v="58"/>
  </r>
  <r>
    <x v="0"/>
    <x v="8"/>
    <n v="9"/>
    <s v="300313"/>
    <s v="Công ty TNHH Nhựa Khánh Nga"/>
    <x v="35"/>
    <x v="33"/>
    <s v="Khác"/>
    <s v="Khác"/>
    <x v="2"/>
    <s v="NĐ"/>
    <s v="(blank)"/>
    <x v="0"/>
    <n v="0"/>
    <n v="3000000"/>
    <n v="0"/>
    <n v="0"/>
    <n v="0"/>
    <n v="3000000"/>
    <m/>
    <m/>
    <m/>
    <m/>
    <m/>
    <m/>
    <m/>
    <m/>
    <m/>
    <m/>
    <m/>
    <n v="122.52009028707711"/>
    <n v="122.52009028707711"/>
    <x v="18"/>
    <x v="35"/>
  </r>
  <r>
    <x v="0"/>
    <x v="8"/>
    <n v="9"/>
    <s v="3358000400"/>
    <s v="Chí phí phải trả khác- Open item"/>
    <x v="36"/>
    <x v="34"/>
    <s v="Khác"/>
    <s v="Khác"/>
    <x v="2"/>
    <s v="NĐ"/>
    <s v="(blank)"/>
    <x v="0"/>
    <n v="0"/>
    <n v="0"/>
    <n v="0"/>
    <n v="0"/>
    <n v="0"/>
    <n v="0"/>
    <m/>
    <m/>
    <m/>
    <m/>
    <m/>
    <m/>
    <m/>
    <m/>
    <m/>
    <m/>
    <m/>
    <n v="0"/>
    <n v="0"/>
    <x v="19"/>
    <x v="36"/>
  </r>
  <r>
    <x v="0"/>
    <x v="8"/>
    <n v="9"/>
    <s v="3388800100"/>
    <s v="Phải trả khác đánh giá lại hàng tồn kho"/>
    <x v="60"/>
    <x v="58"/>
    <s v="Khác"/>
    <s v="Khác"/>
    <x v="2"/>
    <s v="NĐ"/>
    <s v="(blank)"/>
    <x v="0"/>
    <n v="0"/>
    <n v="0"/>
    <n v="0"/>
    <n v="0"/>
    <n v="0"/>
    <n v="0"/>
    <m/>
    <m/>
    <m/>
    <m/>
    <m/>
    <m/>
    <m/>
    <m/>
    <m/>
    <m/>
    <m/>
    <n v="0"/>
    <n v="0"/>
    <x v="79"/>
    <x v="60"/>
  </r>
  <r>
    <x v="0"/>
    <x v="8"/>
    <n v="9"/>
    <s v="6219000210"/>
    <s v="Chênh lệch CPSX cấp dưới (lower level)"/>
    <x v="41"/>
    <x v="39"/>
    <s v="Khác"/>
    <s v="Khác"/>
    <x v="2"/>
    <s v="NĐ"/>
    <s v="(blank)"/>
    <x v="0"/>
    <n v="0"/>
    <n v="0"/>
    <n v="0"/>
    <n v="0"/>
    <n v="0"/>
    <n v="0"/>
    <m/>
    <m/>
    <m/>
    <m/>
    <m/>
    <m/>
    <m/>
    <m/>
    <m/>
    <m/>
    <m/>
    <n v="0"/>
    <n v="0"/>
    <x v="80"/>
    <x v="41"/>
  </r>
  <r>
    <x v="0"/>
    <x v="8"/>
    <n v="9"/>
    <s v="6219000220"/>
    <s v="Chênh lệch CPSX đơn cấp (single level)"/>
    <x v="41"/>
    <x v="39"/>
    <s v="Khác"/>
    <s v="Khác"/>
    <x v="2"/>
    <s v="NĐ"/>
    <s v="(blank)"/>
    <x v="0"/>
    <n v="0"/>
    <n v="0"/>
    <n v="0"/>
    <n v="0"/>
    <n v="0"/>
    <n v="0"/>
    <m/>
    <m/>
    <m/>
    <m/>
    <m/>
    <m/>
    <m/>
    <m/>
    <m/>
    <m/>
    <m/>
    <n v="0"/>
    <n v="0"/>
    <x v="81"/>
    <x v="41"/>
  </r>
  <r>
    <x v="0"/>
    <x v="8"/>
    <n v="9"/>
    <s v="BN"/>
    <s v="Bán Ngoài"/>
    <x v="82"/>
    <x v="80"/>
    <s v="Khác"/>
    <s v="Khác"/>
    <x v="2"/>
    <s v="NĐ"/>
    <s v="(blank)"/>
    <x v="0"/>
    <n v="0"/>
    <n v="0"/>
    <n v="0"/>
    <n v="0"/>
    <n v="0"/>
    <n v="0"/>
    <m/>
    <m/>
    <m/>
    <m/>
    <m/>
    <m/>
    <m/>
    <m/>
    <m/>
    <m/>
    <m/>
    <n v="0"/>
    <n v="0"/>
    <x v="21"/>
    <x v="82"/>
  </r>
  <r>
    <x v="0"/>
    <x v="8"/>
    <n v="9"/>
    <s v="BN"/>
    <s v="Bán Ngoài"/>
    <x v="59"/>
    <x v="57"/>
    <s v="Khác"/>
    <s v="Khác"/>
    <x v="13"/>
    <s v="NĐ"/>
    <s v="(blank)"/>
    <x v="0"/>
    <n v="0"/>
    <n v="0"/>
    <n v="0"/>
    <n v="0"/>
    <n v="-1625925.9259259"/>
    <n v="1625925.9259259"/>
    <m/>
    <m/>
    <m/>
    <m/>
    <m/>
    <m/>
    <m/>
    <m/>
    <m/>
    <m/>
    <m/>
    <n v="66.402863748180238"/>
    <n v="0"/>
    <x v="21"/>
    <x v="59"/>
  </r>
  <r>
    <x v="0"/>
    <x v="8"/>
    <n v="9"/>
    <s v="BN"/>
    <s v="Bán Ngoài"/>
    <x v="39"/>
    <x v="37"/>
    <s v="Khác"/>
    <s v="Khác"/>
    <x v="8"/>
    <s v="NĐ"/>
    <s v="(blank)"/>
    <x v="0"/>
    <n v="0"/>
    <n v="0"/>
    <n v="0"/>
    <n v="-19272.920000314713"/>
    <n v="-109949291.44444267"/>
    <n v="109968564.36444299"/>
    <m/>
    <m/>
    <m/>
    <m/>
    <m/>
    <m/>
    <m/>
    <m/>
    <m/>
    <m/>
    <m/>
    <n v="4491.1194782239254"/>
    <n v="0"/>
    <x v="21"/>
    <x v="39"/>
  </r>
  <r>
    <x v="0"/>
    <x v="8"/>
    <n v="9"/>
    <s v="BN"/>
    <s v="Bán Ngoài"/>
    <x v="48"/>
    <x v="46"/>
    <s v="Khác"/>
    <s v="Khác"/>
    <x v="12"/>
    <s v="NĐ"/>
    <s v="(blank)"/>
    <x v="0"/>
    <n v="0"/>
    <n v="0"/>
    <n v="0"/>
    <n v="0"/>
    <n v="600000"/>
    <n v="-600000"/>
    <m/>
    <m/>
    <m/>
    <m/>
    <m/>
    <m/>
    <m/>
    <m/>
    <m/>
    <m/>
    <m/>
    <n v="-24.504018057415422"/>
    <n v="0"/>
    <x v="21"/>
    <x v="48"/>
  </r>
  <r>
    <x v="0"/>
    <x v="8"/>
    <n v="9"/>
    <s v="BN"/>
    <s v="Bán Ngoài"/>
    <x v="40"/>
    <x v="38"/>
    <s v="Khác"/>
    <s v="Khác"/>
    <x v="9"/>
    <s v="NĐ"/>
    <s v="(blank)"/>
    <x v="0"/>
    <n v="0"/>
    <n v="0"/>
    <n v="0"/>
    <n v="0"/>
    <n v="-1045805.9999999999"/>
    <n v="1045805.9999999999"/>
    <m/>
    <m/>
    <m/>
    <m/>
    <m/>
    <m/>
    <m/>
    <m/>
    <m/>
    <m/>
    <m/>
    <n v="42.710748514255663"/>
    <n v="0"/>
    <x v="21"/>
    <x v="40"/>
  </r>
  <r>
    <x v="0"/>
    <x v="8"/>
    <n v="9"/>
    <s v="BN"/>
    <s v="Bán Ngoài"/>
    <x v="89"/>
    <x v="87"/>
    <s v="Khác"/>
    <s v="Khác"/>
    <x v="2"/>
    <s v="NĐ"/>
    <s v="(blank)"/>
    <x v="0"/>
    <n v="0"/>
    <n v="0"/>
    <n v="0"/>
    <n v="0"/>
    <n v="0"/>
    <n v="0"/>
    <m/>
    <m/>
    <m/>
    <m/>
    <m/>
    <m/>
    <m/>
    <m/>
    <m/>
    <m/>
    <m/>
    <n v="0"/>
    <n v="0"/>
    <x v="21"/>
    <x v="89"/>
  </r>
  <r>
    <x v="0"/>
    <x v="8"/>
    <n v="9"/>
    <s v="BN"/>
    <s v="Bán Ngoài"/>
    <x v="37"/>
    <x v="35"/>
    <s v="Khác"/>
    <s v="Khác"/>
    <x v="2"/>
    <s v="NĐ"/>
    <s v="(blank)"/>
    <x v="0"/>
    <n v="0"/>
    <n v="0"/>
    <n v="0"/>
    <n v="0"/>
    <n v="0"/>
    <n v="0"/>
    <m/>
    <m/>
    <m/>
    <m/>
    <m/>
    <m/>
    <m/>
    <m/>
    <m/>
    <m/>
    <m/>
    <n v="0"/>
    <n v="0"/>
    <x v="21"/>
    <x v="37"/>
  </r>
  <r>
    <x v="0"/>
    <x v="8"/>
    <n v="9"/>
    <s v="BN"/>
    <s v="Bán Ngoài"/>
    <x v="27"/>
    <x v="25"/>
    <s v="Khác"/>
    <s v="Khác"/>
    <x v="2"/>
    <s v="NĐ"/>
    <s v="(blank)"/>
    <x v="0"/>
    <n v="0"/>
    <n v="0"/>
    <n v="0"/>
    <n v="0"/>
    <n v="0"/>
    <n v="0"/>
    <m/>
    <m/>
    <m/>
    <m/>
    <m/>
    <m/>
    <m/>
    <m/>
    <m/>
    <m/>
    <m/>
    <n v="0"/>
    <n v="0"/>
    <x v="21"/>
    <x v="27"/>
  </r>
  <r>
    <x v="0"/>
    <x v="8"/>
    <n v="9"/>
    <s v="BN"/>
    <s v="Bán Ngoài"/>
    <x v="41"/>
    <x v="39"/>
    <s v="Khác"/>
    <s v="Khác"/>
    <x v="2"/>
    <s v="NĐ"/>
    <s v="(blank)"/>
    <x v="0"/>
    <n v="0"/>
    <n v="0"/>
    <n v="0"/>
    <n v="0"/>
    <n v="0"/>
    <n v="0"/>
    <m/>
    <m/>
    <m/>
    <m/>
    <m/>
    <m/>
    <m/>
    <m/>
    <m/>
    <m/>
    <m/>
    <n v="0"/>
    <n v="0"/>
    <x v="21"/>
    <x v="41"/>
  </r>
  <r>
    <x v="0"/>
    <x v="9"/>
    <n v="10"/>
    <s v="1000"/>
    <s v="CPSX Nhựa Duy Tân"/>
    <x v="2"/>
    <x v="2"/>
    <s v="rHDPE"/>
    <s v="rHDPE ép"/>
    <x v="1"/>
    <s v="NĐ"/>
    <s v="(blank)"/>
    <x v="0"/>
    <n v="11000"/>
    <n v="240693486"/>
    <n v="0"/>
    <n v="0"/>
    <n v="0"/>
    <n v="240693486"/>
    <m/>
    <m/>
    <m/>
    <m/>
    <m/>
    <m/>
    <m/>
    <m/>
    <m/>
    <m/>
    <m/>
    <n v="9713.7370600723189"/>
    <n v="9713.7370600723189"/>
    <x v="0"/>
    <x v="2"/>
  </r>
  <r>
    <x v="0"/>
    <x v="9"/>
    <n v="10"/>
    <s v="1000"/>
    <s v="CPSX Nhựa Duy Tân"/>
    <x v="3"/>
    <x v="3"/>
    <s v="rHDPE"/>
    <s v="rHDPE ép"/>
    <x v="1"/>
    <s v="NĐ"/>
    <s v="(blank)"/>
    <x v="0"/>
    <n v="5500"/>
    <n v="119000475"/>
    <n v="0"/>
    <n v="0"/>
    <n v="0"/>
    <n v="119000475"/>
    <m/>
    <m/>
    <m/>
    <m/>
    <m/>
    <m/>
    <m/>
    <m/>
    <m/>
    <m/>
    <m/>
    <n v="4802.5368005751079"/>
    <n v="4802.5368005751079"/>
    <x v="0"/>
    <x v="3"/>
  </r>
  <r>
    <x v="0"/>
    <x v="9"/>
    <n v="10"/>
    <s v="1000"/>
    <s v="CPSX Nhựa Duy Tân"/>
    <x v="49"/>
    <x v="47"/>
    <s v="rPP"/>
    <s v="rPP"/>
    <x v="6"/>
    <s v="NĐ"/>
    <s v="(blank)"/>
    <x v="0"/>
    <n v="1500"/>
    <n v="33145200"/>
    <n v="0"/>
    <n v="0"/>
    <n v="0"/>
    <n v="33145200"/>
    <m/>
    <m/>
    <m/>
    <m/>
    <m/>
    <m/>
    <m/>
    <m/>
    <m/>
    <m/>
    <m/>
    <n v="1337.6504821717904"/>
    <n v="1337.6504821717904"/>
    <x v="0"/>
    <x v="49"/>
  </r>
  <r>
    <x v="0"/>
    <x v="9"/>
    <n v="10"/>
    <s v="1000"/>
    <s v="CPSX Nhựa Duy Tân"/>
    <x v="90"/>
    <x v="88"/>
    <s v="rPP"/>
    <s v="rPP"/>
    <x v="6"/>
    <s v="NĐ"/>
    <s v="(blank)"/>
    <x v="0"/>
    <n v="16500"/>
    <n v="368721936"/>
    <n v="0"/>
    <n v="0"/>
    <n v="0"/>
    <n v="368721936"/>
    <m/>
    <m/>
    <m/>
    <m/>
    <m/>
    <m/>
    <m/>
    <m/>
    <m/>
    <m/>
    <m/>
    <n v="14880.618475004405"/>
    <n v="14880.618475004405"/>
    <x v="0"/>
    <x v="90"/>
  </r>
  <r>
    <x v="0"/>
    <x v="9"/>
    <n v="10"/>
    <s v="101290"/>
    <s v="Cty Thạnh Phát"/>
    <x v="7"/>
    <x v="7"/>
    <s v="Khác"/>
    <s v="Khác"/>
    <x v="2"/>
    <s v="NĐ"/>
    <s v="(blank)"/>
    <x v="0"/>
    <n v="0"/>
    <n v="0"/>
    <n v="0"/>
    <n v="0"/>
    <n v="0"/>
    <n v="0"/>
    <m/>
    <m/>
    <m/>
    <m/>
    <m/>
    <m/>
    <m/>
    <m/>
    <m/>
    <m/>
    <m/>
    <n v="0"/>
    <n v="0"/>
    <x v="1"/>
    <x v="7"/>
  </r>
  <r>
    <x v="0"/>
    <x v="9"/>
    <n v="10"/>
    <s v="104877"/>
    <s v="Công ty trách nhiệm hữu hạn Uy Kiệt"/>
    <x v="58"/>
    <x v="56"/>
    <s v="rPET"/>
    <s v="rPET"/>
    <x v="3"/>
    <s v="NĐ"/>
    <s v="(blank)"/>
    <x v="0"/>
    <n v="132000"/>
    <n v="3484536000"/>
    <n v="21613238.97334649"/>
    <n v="0"/>
    <n v="29040000"/>
    <n v="3433882761.0266533"/>
    <m/>
    <m/>
    <m/>
    <m/>
    <m/>
    <m/>
    <m/>
    <m/>
    <m/>
    <m/>
    <m/>
    <n v="138582.20590036266"/>
    <n v="140626.43340649511"/>
    <x v="52"/>
    <x v="58"/>
  </r>
  <r>
    <x v="0"/>
    <x v="9"/>
    <n v="10"/>
    <s v="104894"/>
    <s v="UNILEVER-NGỌC NGHĨA"/>
    <x v="9"/>
    <x v="9"/>
    <s v="rPET"/>
    <s v="rPET"/>
    <x v="3"/>
    <s v="NĐ"/>
    <s v="(blank)"/>
    <x v="1"/>
    <n v="-22000"/>
    <n v="0"/>
    <n v="0"/>
    <n v="0"/>
    <n v="0"/>
    <n v="0"/>
    <m/>
    <m/>
    <m/>
    <m/>
    <m/>
    <m/>
    <m/>
    <m/>
    <m/>
    <m/>
    <m/>
    <n v="0"/>
    <n v="0"/>
    <x v="2"/>
    <x v="9"/>
  </r>
  <r>
    <x v="0"/>
    <x v="9"/>
    <n v="10"/>
    <s v="104894"/>
    <s v="UNILEVER-NGỌC NGHĨA"/>
    <x v="9"/>
    <x v="9"/>
    <s v="rPET"/>
    <s v="rPET"/>
    <x v="3"/>
    <s v="NĐ"/>
    <s v="(blank)"/>
    <x v="0"/>
    <n v="242000"/>
    <n v="7863306000"/>
    <n v="39624271.451135233"/>
    <n v="0"/>
    <n v="33880000"/>
    <n v="7789801728.5488644"/>
    <m/>
    <m/>
    <m/>
    <m/>
    <m/>
    <m/>
    <m/>
    <m/>
    <m/>
    <m/>
    <m/>
    <n v="314375.29531322885"/>
    <n v="317341.72858707537"/>
    <x v="2"/>
    <x v="9"/>
  </r>
  <r>
    <x v="0"/>
    <x v="9"/>
    <n v="10"/>
    <s v="104894"/>
    <s v="UNILEVER-NGỌC NGHĨA"/>
    <x v="9"/>
    <x v="9"/>
    <s v="rPET"/>
    <s v="rPET"/>
    <x v="3"/>
    <s v="NĐ"/>
    <s v="(blank)"/>
    <x v="2"/>
    <n v="22000"/>
    <n v="0"/>
    <n v="0"/>
    <n v="0"/>
    <n v="3080000"/>
    <n v="-3080000"/>
    <m/>
    <m/>
    <m/>
    <m/>
    <m/>
    <m/>
    <m/>
    <m/>
    <m/>
    <m/>
    <m/>
    <n v="-124.30045632818972"/>
    <n v="0"/>
    <x v="2"/>
    <x v="9"/>
  </r>
  <r>
    <x v="0"/>
    <x v="9"/>
    <n v="10"/>
    <s v="104909"/>
    <s v="Công ty TNHH La Vie"/>
    <x v="10"/>
    <x v="10"/>
    <s v="rPET"/>
    <s v="rPET"/>
    <x v="3"/>
    <s v="NĐ"/>
    <s v="(blank)"/>
    <x v="1"/>
    <n v="-63807"/>
    <n v="0"/>
    <n v="0"/>
    <n v="0"/>
    <n v="30000000"/>
    <n v="-30000000"/>
    <m/>
    <m/>
    <m/>
    <m/>
    <m/>
    <m/>
    <m/>
    <m/>
    <m/>
    <m/>
    <m/>
    <n v="-1210.7187304693805"/>
    <n v="0"/>
    <x v="4"/>
    <x v="10"/>
  </r>
  <r>
    <x v="0"/>
    <x v="9"/>
    <n v="10"/>
    <s v="104909"/>
    <s v="Công ty TNHH La Vie"/>
    <x v="10"/>
    <x v="10"/>
    <s v="rPET"/>
    <s v="rPET"/>
    <x v="3"/>
    <s v="NĐ"/>
    <s v="(blank)"/>
    <x v="0"/>
    <n v="187000"/>
    <n v="6262269090"/>
    <n v="28817651.964461993"/>
    <n v="0"/>
    <n v="0"/>
    <n v="6233451438.0355377"/>
    <m/>
    <m/>
    <m/>
    <m/>
    <m/>
    <m/>
    <m/>
    <m/>
    <m/>
    <m/>
    <m/>
    <n v="251565.21371669736"/>
    <n v="252728.21608341477"/>
    <x v="4"/>
    <x v="10"/>
  </r>
  <r>
    <x v="0"/>
    <x v="9"/>
    <n v="10"/>
    <s v="104909"/>
    <s v="Công ty TNHH La Vie"/>
    <x v="10"/>
    <x v="10"/>
    <s v="rPET"/>
    <s v="rPET"/>
    <x v="3"/>
    <s v="NĐ"/>
    <s v="(blank)"/>
    <x v="2"/>
    <n v="63807"/>
    <n v="0"/>
    <n v="0"/>
    <n v="0"/>
    <n v="0"/>
    <n v="0"/>
    <m/>
    <m/>
    <m/>
    <m/>
    <m/>
    <m/>
    <m/>
    <m/>
    <m/>
    <m/>
    <m/>
    <n v="0"/>
    <n v="0"/>
    <x v="4"/>
    <x v="10"/>
  </r>
  <r>
    <x v="0"/>
    <x v="9"/>
    <n v="10"/>
    <s v="104909"/>
    <s v="Công ty TNHH La Vie"/>
    <x v="27"/>
    <x v="25"/>
    <s v="Khác"/>
    <s v="Khác"/>
    <x v="2"/>
    <s v="NĐ"/>
    <s v="(blank)"/>
    <x v="0"/>
    <n v="0"/>
    <n v="631668424"/>
    <n v="0"/>
    <n v="0"/>
    <n v="0"/>
    <n v="631668424"/>
    <m/>
    <m/>
    <m/>
    <m/>
    <m/>
    <m/>
    <m/>
    <m/>
    <m/>
    <m/>
    <m/>
    <n v="25492.426412762477"/>
    <n v="25492.426412762477"/>
    <x v="4"/>
    <x v="27"/>
  </r>
  <r>
    <x v="0"/>
    <x v="9"/>
    <n v="10"/>
    <s v="105194"/>
    <s v="Suntory Việt Nam"/>
    <x v="8"/>
    <x v="8"/>
    <s v="rPET"/>
    <s v="rPET"/>
    <x v="3"/>
    <s v="NĐ"/>
    <s v="(blank)"/>
    <x v="0"/>
    <n v="390500"/>
    <n v="14451471788"/>
    <n v="42325926.322803557"/>
    <n v="0"/>
    <n v="208333333.18518513"/>
    <n v="14102574443.492004"/>
    <m/>
    <m/>
    <m/>
    <m/>
    <m/>
    <m/>
    <m/>
    <m/>
    <m/>
    <m/>
    <m/>
    <n v="569141.70088581904"/>
    <n v="583222.2525527142"/>
    <x v="7"/>
    <x v="8"/>
  </r>
  <r>
    <x v="0"/>
    <x v="9"/>
    <n v="10"/>
    <s v="105194"/>
    <s v="Suntory Việt Nam"/>
    <x v="8"/>
    <x v="8"/>
    <s v="rPET"/>
    <s v="rPET"/>
    <x v="3"/>
    <s v="NĐ"/>
    <s v="(blank)"/>
    <x v="3"/>
    <n v="-79200"/>
    <n v="-2922205276"/>
    <n v="0"/>
    <n v="0"/>
    <n v="61200000"/>
    <n v="-2963480932"/>
    <m/>
    <m/>
    <m/>
    <m/>
    <m/>
    <m/>
    <m/>
    <m/>
    <m/>
    <m/>
    <m/>
    <n v="-119598.06239204186"/>
    <n v="-117932.28873098819"/>
    <x v="7"/>
    <x v="8"/>
  </r>
  <r>
    <x v="0"/>
    <x v="9"/>
    <n v="10"/>
    <s v="105194"/>
    <s v="Suntory Việt Nam"/>
    <x v="33"/>
    <x v="31"/>
    <s v="rPET"/>
    <s v="rPET"/>
    <x v="3"/>
    <s v="NĐ"/>
    <s v="(blank)"/>
    <x v="0"/>
    <n v="4400"/>
    <n v="155601600"/>
    <n v="720441.29911154986"/>
    <n v="0"/>
    <n v="7000000"/>
    <n v="146774250.70088845"/>
    <m/>
    <m/>
    <m/>
    <m/>
    <m/>
    <m/>
    <m/>
    <m/>
    <m/>
    <m/>
    <m/>
    <n v="5923.4111491391413"/>
    <n v="6279.6590537001448"/>
    <x v="7"/>
    <x v="33"/>
  </r>
  <r>
    <x v="0"/>
    <x v="9"/>
    <n v="10"/>
    <s v="105194"/>
    <s v="Suntory Việt Nam"/>
    <x v="68"/>
    <x v="66"/>
    <s v="Khác"/>
    <s v="Khác"/>
    <x v="2"/>
    <s v="NĐ"/>
    <s v="(blank)"/>
    <x v="0"/>
    <n v="0"/>
    <n v="0"/>
    <n v="0"/>
    <n v="0"/>
    <n v="0"/>
    <n v="79420649"/>
    <m/>
    <m/>
    <m/>
    <m/>
    <m/>
    <m/>
    <m/>
    <m/>
    <m/>
    <m/>
    <m/>
    <n v="3205.2022443444757"/>
    <n v="0"/>
    <x v="7"/>
    <x v="68"/>
  </r>
  <r>
    <x v="0"/>
    <x v="9"/>
    <n v="10"/>
    <s v="105204"/>
    <s v="CTY NGỌC NGHĨA-TÂY NINH"/>
    <x v="8"/>
    <x v="8"/>
    <s v="rPET"/>
    <s v="rPET"/>
    <x v="3"/>
    <s v="NĐ"/>
    <s v="(blank)"/>
    <x v="1"/>
    <n v="-44583"/>
    <n v="0"/>
    <n v="0"/>
    <n v="0"/>
    <n v="2735600"/>
    <n v="-2735600"/>
    <m/>
    <m/>
    <m/>
    <m/>
    <m/>
    <m/>
    <m/>
    <m/>
    <m/>
    <m/>
    <m/>
    <n v="-110.40140530240123"/>
    <n v="0"/>
    <x v="5"/>
    <x v="8"/>
  </r>
  <r>
    <x v="0"/>
    <x v="9"/>
    <n v="10"/>
    <s v="105204"/>
    <s v="CTY NGỌC NGHĨA-TÂY NINH"/>
    <x v="8"/>
    <x v="8"/>
    <s v="rPET"/>
    <s v="rPET"/>
    <x v="3"/>
    <s v="NĐ"/>
    <s v="(blank)"/>
    <x v="0"/>
    <n v="44000"/>
    <n v="1610400000"/>
    <n v="7204412.9911154974"/>
    <n v="0"/>
    <n v="6160000"/>
    <n v="1585966507.0088844"/>
    <m/>
    <m/>
    <m/>
    <m/>
    <m/>
    <m/>
    <m/>
    <m/>
    <m/>
    <m/>
    <m/>
    <n v="64005.311864425144"/>
    <n v="64991.381451596339"/>
    <x v="5"/>
    <x v="8"/>
  </r>
  <r>
    <x v="0"/>
    <x v="9"/>
    <n v="10"/>
    <s v="105204"/>
    <s v="CTY NGỌC NGHĨA-TÂY NINH"/>
    <x v="8"/>
    <x v="8"/>
    <s v="rPET"/>
    <s v="rPET"/>
    <x v="3"/>
    <s v="NĐ"/>
    <s v="(blank)"/>
    <x v="2"/>
    <n v="44583"/>
    <n v="0"/>
    <n v="0"/>
    <n v="0"/>
    <n v="5404000"/>
    <n v="-5404000"/>
    <m/>
    <m/>
    <m/>
    <m/>
    <m/>
    <m/>
    <m/>
    <m/>
    <m/>
    <m/>
    <m/>
    <n v="-218.09080064855107"/>
    <n v="0"/>
    <x v="5"/>
    <x v="8"/>
  </r>
  <r>
    <x v="0"/>
    <x v="9"/>
    <n v="10"/>
    <s v="105204"/>
    <s v="CTY NGỌC NGHĨA-TÂY NINH"/>
    <x v="9"/>
    <x v="9"/>
    <s v="rPET"/>
    <s v="rPET"/>
    <x v="3"/>
    <s v="NĐ"/>
    <s v="(blank)"/>
    <x v="0"/>
    <n v="42900"/>
    <n v="1349505300"/>
    <n v="7024302.6663376112"/>
    <n v="0"/>
    <n v="6006000"/>
    <n v="1336474997.3336623"/>
    <m/>
    <m/>
    <m/>
    <m/>
    <m/>
    <m/>
    <m/>
    <m/>
    <m/>
    <m/>
    <m/>
    <n v="53936.51040252934"/>
    <n v="54462.378119256682"/>
    <x v="5"/>
    <x v="9"/>
  </r>
  <r>
    <x v="0"/>
    <x v="9"/>
    <n v="10"/>
    <s v="105204"/>
    <s v="CTY NGỌC NGHĨA-TÂY NINH"/>
    <x v="68"/>
    <x v="66"/>
    <s v="Khác"/>
    <s v="Khác"/>
    <x v="2"/>
    <s v="NĐ"/>
    <s v="(blank)"/>
    <x v="0"/>
    <n v="0"/>
    <n v="0"/>
    <n v="0"/>
    <n v="0"/>
    <n v="0"/>
    <n v="11069080"/>
    <m/>
    <m/>
    <m/>
    <m/>
    <m/>
    <m/>
    <m/>
    <m/>
    <m/>
    <m/>
    <m/>
    <n v="446.71808283546699"/>
    <n v="0"/>
    <x v="5"/>
    <x v="68"/>
  </r>
  <r>
    <x v="0"/>
    <x v="9"/>
    <n v="10"/>
    <s v="105205"/>
    <s v="CÔNG TY  ĐẠI LỘC"/>
    <x v="12"/>
    <x v="12"/>
    <s v="Khác"/>
    <s v="DVGC"/>
    <x v="4"/>
    <s v="NĐ"/>
    <s v="(blank)"/>
    <x v="0"/>
    <n v="4500"/>
    <n v="14400000"/>
    <n v="0"/>
    <n v="0"/>
    <n v="0"/>
    <n v="14400000"/>
    <m/>
    <m/>
    <m/>
    <m/>
    <m/>
    <m/>
    <m/>
    <m/>
    <m/>
    <m/>
    <m/>
    <n v="581.14499062530263"/>
    <n v="581.14499062530263"/>
    <x v="6"/>
    <x v="12"/>
  </r>
  <r>
    <x v="0"/>
    <x v="9"/>
    <n v="10"/>
    <s v="105205"/>
    <s v="CÔNG TY  ĐẠI LỘC"/>
    <x v="13"/>
    <x v="13"/>
    <s v="Khác"/>
    <s v="DVGC"/>
    <x v="4"/>
    <s v="NĐ"/>
    <s v="(blank)"/>
    <x v="0"/>
    <n v="3750"/>
    <n v="12000000"/>
    <n v="0"/>
    <n v="0"/>
    <n v="0"/>
    <n v="12000000"/>
    <m/>
    <m/>
    <m/>
    <m/>
    <m/>
    <m/>
    <m/>
    <m/>
    <m/>
    <m/>
    <m/>
    <n v="484.28749218775215"/>
    <n v="484.28749218775215"/>
    <x v="6"/>
    <x v="13"/>
  </r>
  <r>
    <x v="0"/>
    <x v="9"/>
    <n v="10"/>
    <s v="105205"/>
    <s v="CÔNG TY  ĐẠI LỘC"/>
    <x v="14"/>
    <x v="14"/>
    <s v="Khác"/>
    <s v="DVGC"/>
    <x v="4"/>
    <s v="NĐ"/>
    <s v="(blank)"/>
    <x v="0"/>
    <n v="1500"/>
    <n v="4800000"/>
    <n v="0"/>
    <n v="0"/>
    <n v="0"/>
    <n v="4800000"/>
    <m/>
    <m/>
    <m/>
    <m/>
    <m/>
    <m/>
    <m/>
    <m/>
    <m/>
    <m/>
    <m/>
    <n v="193.71499687510087"/>
    <n v="193.71499687510087"/>
    <x v="6"/>
    <x v="14"/>
  </r>
  <r>
    <x v="0"/>
    <x v="9"/>
    <n v="10"/>
    <s v="105205"/>
    <s v="CÔNG TY  ĐẠI LỘC"/>
    <x v="15"/>
    <x v="15"/>
    <s v="Khác"/>
    <s v="DVGC"/>
    <x v="4"/>
    <s v="NĐ"/>
    <s v="(blank)"/>
    <x v="0"/>
    <n v="1500"/>
    <n v="4800000"/>
    <n v="0"/>
    <n v="0"/>
    <n v="0"/>
    <n v="4800000"/>
    <m/>
    <m/>
    <m/>
    <m/>
    <m/>
    <m/>
    <m/>
    <m/>
    <m/>
    <m/>
    <m/>
    <n v="193.71499687510087"/>
    <n v="193.71499687510087"/>
    <x v="6"/>
    <x v="15"/>
  </r>
  <r>
    <x v="0"/>
    <x v="9"/>
    <n v="10"/>
    <s v="105205"/>
    <s v="CÔNG TY  ĐẠI LỘC"/>
    <x v="16"/>
    <x v="16"/>
    <s v="Khác"/>
    <s v="DVGC"/>
    <x v="4"/>
    <s v="NĐ"/>
    <s v="(blank)"/>
    <x v="0"/>
    <n v="1500"/>
    <n v="4800000"/>
    <n v="0"/>
    <n v="0"/>
    <n v="0"/>
    <n v="4800000"/>
    <m/>
    <m/>
    <m/>
    <m/>
    <m/>
    <m/>
    <m/>
    <m/>
    <m/>
    <m/>
    <m/>
    <n v="193.71499687510087"/>
    <n v="193.71499687510087"/>
    <x v="6"/>
    <x v="16"/>
  </r>
  <r>
    <x v="0"/>
    <x v="9"/>
    <n v="10"/>
    <s v="105205"/>
    <s v="CÔNG TY  ĐẠI LỘC"/>
    <x v="91"/>
    <x v="89"/>
    <s v="Khác"/>
    <s v="DVGC"/>
    <x v="4"/>
    <s v="NĐ"/>
    <s v="(blank)"/>
    <x v="0"/>
    <n v="13750"/>
    <n v="44000000"/>
    <n v="0"/>
    <n v="0"/>
    <n v="0"/>
    <n v="44000000"/>
    <m/>
    <m/>
    <m/>
    <m/>
    <m/>
    <m/>
    <m/>
    <m/>
    <m/>
    <m/>
    <m/>
    <n v="1775.7208046884246"/>
    <n v="1775.7208046884246"/>
    <x v="6"/>
    <x v="91"/>
  </r>
  <r>
    <x v="0"/>
    <x v="9"/>
    <n v="10"/>
    <s v="105205"/>
    <s v="CÔNG TY  ĐẠI LỘC"/>
    <x v="92"/>
    <x v="90"/>
    <s v="Khác"/>
    <s v="DVGC"/>
    <x v="4"/>
    <s v="NĐ"/>
    <s v="(blank)"/>
    <x v="0"/>
    <n v="12750"/>
    <n v="40800000"/>
    <n v="0"/>
    <n v="0"/>
    <n v="0"/>
    <n v="40800000"/>
    <m/>
    <m/>
    <m/>
    <m/>
    <m/>
    <m/>
    <m/>
    <m/>
    <m/>
    <m/>
    <m/>
    <n v="1646.5774734383574"/>
    <n v="1646.5774734383574"/>
    <x v="6"/>
    <x v="92"/>
  </r>
  <r>
    <x v="0"/>
    <x v="9"/>
    <n v="10"/>
    <s v="105205"/>
    <s v="CÔNG TY  ĐẠI LỘC"/>
    <x v="22"/>
    <x v="20"/>
    <s v="Khác"/>
    <s v="DVGC"/>
    <x v="4"/>
    <s v="NĐ"/>
    <s v="(blank)"/>
    <x v="0"/>
    <n v="1500"/>
    <n v="4800000"/>
    <n v="0"/>
    <n v="0"/>
    <n v="0"/>
    <n v="4800000"/>
    <m/>
    <m/>
    <m/>
    <m/>
    <m/>
    <m/>
    <m/>
    <m/>
    <m/>
    <m/>
    <m/>
    <n v="193.71499687510087"/>
    <n v="193.71499687510087"/>
    <x v="6"/>
    <x v="22"/>
  </r>
  <r>
    <x v="0"/>
    <x v="9"/>
    <n v="10"/>
    <s v="105205"/>
    <s v="CÔNG TY  ĐẠI LỘC"/>
    <x v="23"/>
    <x v="21"/>
    <s v="Khác"/>
    <s v="DVGC"/>
    <x v="4"/>
    <s v="NĐ"/>
    <s v="(blank)"/>
    <x v="0"/>
    <n v="1800"/>
    <n v="5760000"/>
    <n v="0"/>
    <n v="0"/>
    <n v="0"/>
    <n v="5760000"/>
    <m/>
    <m/>
    <m/>
    <m/>
    <m/>
    <m/>
    <m/>
    <m/>
    <m/>
    <m/>
    <m/>
    <n v="232.45799625012106"/>
    <n v="232.45799625012106"/>
    <x v="6"/>
    <x v="23"/>
  </r>
  <r>
    <x v="0"/>
    <x v="9"/>
    <n v="10"/>
    <s v="105207"/>
    <s v="Suntory Sri Thái Bình Dương"/>
    <x v="8"/>
    <x v="8"/>
    <s v="rPET"/>
    <s v="rPET"/>
    <x v="3"/>
    <s v="NĐ"/>
    <s v="(blank)"/>
    <x v="1"/>
    <n v="-1938.2"/>
    <n v="0"/>
    <n v="0"/>
    <n v="0"/>
    <n v="0"/>
    <n v="0"/>
    <m/>
    <m/>
    <m/>
    <m/>
    <m/>
    <m/>
    <m/>
    <m/>
    <m/>
    <m/>
    <m/>
    <n v="0"/>
    <n v="0"/>
    <x v="7"/>
    <x v="8"/>
  </r>
  <r>
    <x v="0"/>
    <x v="9"/>
    <n v="10"/>
    <s v="105207"/>
    <s v="Suntory Sri Thái Bình Dương"/>
    <x v="8"/>
    <x v="8"/>
    <s v="rPET"/>
    <s v="rPET"/>
    <x v="3"/>
    <s v="NĐ"/>
    <s v="(blank)"/>
    <x v="2"/>
    <n v="1938.2"/>
    <n v="0"/>
    <n v="0"/>
    <n v="0"/>
    <n v="0"/>
    <n v="0"/>
    <m/>
    <m/>
    <m/>
    <m/>
    <m/>
    <m/>
    <m/>
    <m/>
    <m/>
    <m/>
    <m/>
    <n v="0"/>
    <n v="0"/>
    <x v="7"/>
    <x v="8"/>
  </r>
  <r>
    <x v="0"/>
    <x v="9"/>
    <n v="10"/>
    <s v="105214"/>
    <s v="Người mua hàng không lấy hóa đơn"/>
    <x v="27"/>
    <x v="25"/>
    <s v="Khác"/>
    <s v="Khác"/>
    <x v="2"/>
    <s v="NĐ"/>
    <s v="(blank)"/>
    <x v="0"/>
    <n v="0"/>
    <n v="98608176"/>
    <n v="0"/>
    <n v="0"/>
    <n v="0"/>
    <n v="98608176"/>
    <m/>
    <m/>
    <m/>
    <m/>
    <m/>
    <m/>
    <m/>
    <m/>
    <m/>
    <m/>
    <m/>
    <n v="3979.5588553540406"/>
    <n v="3979.5588553540406"/>
    <x v="9"/>
    <x v="27"/>
  </r>
  <r>
    <x v="0"/>
    <x v="9"/>
    <n v="10"/>
    <s v="105217"/>
    <s v="Nestle Việt Nam"/>
    <x v="10"/>
    <x v="10"/>
    <s v="rPET"/>
    <s v="rPET"/>
    <x v="3"/>
    <s v="NĐ"/>
    <s v="(blank)"/>
    <x v="0"/>
    <n v="200"/>
    <n v="6655320"/>
    <n v="180110.32477788746"/>
    <n v="0"/>
    <n v="0"/>
    <n v="6475209.6752221128"/>
    <m/>
    <m/>
    <m/>
    <m/>
    <m/>
    <m/>
    <m/>
    <m/>
    <m/>
    <m/>
    <m/>
    <n v="261.32192125026552"/>
    <n v="268.59068604224922"/>
    <x v="82"/>
    <x v="10"/>
  </r>
  <r>
    <x v="0"/>
    <x v="9"/>
    <n v="10"/>
    <s v="105222"/>
    <s v="CN Cty Coca - Hà Nội"/>
    <x v="8"/>
    <x v="8"/>
    <s v="rPET"/>
    <s v="rPET"/>
    <x v="3"/>
    <s v="NĐ"/>
    <s v="(blank)"/>
    <x v="0"/>
    <n v="44000"/>
    <n v="1469556000"/>
    <n v="3602206.4955577487"/>
    <n v="0"/>
    <n v="23148148"/>
    <n v="1442805645.5044422"/>
    <m/>
    <m/>
    <m/>
    <m/>
    <m/>
    <m/>
    <m/>
    <m/>
    <m/>
    <m/>
    <m/>
    <n v="58227.727314639771"/>
    <n v="59307.299155788693"/>
    <x v="3"/>
    <x v="8"/>
  </r>
  <r>
    <x v="0"/>
    <x v="9"/>
    <n v="10"/>
    <s v="105229"/>
    <s v="GIA TƯỜNG"/>
    <x v="44"/>
    <x v="42"/>
    <s v="GC"/>
    <s v="GC"/>
    <x v="10"/>
    <s v="NĐ"/>
    <s v="(blank)"/>
    <x v="0"/>
    <n v="264740"/>
    <n v="5119580000"/>
    <n v="0"/>
    <n v="379588000"/>
    <n v="0"/>
    <n v="4739992000"/>
    <m/>
    <m/>
    <m/>
    <m/>
    <m/>
    <m/>
    <m/>
    <m/>
    <m/>
    <m/>
    <m/>
    <n v="191293.23655583398"/>
    <n v="206612.37993788102"/>
    <x v="24"/>
    <x v="44"/>
  </r>
  <r>
    <x v="0"/>
    <x v="9"/>
    <n v="10"/>
    <s v="105234"/>
    <s v="CTY THỰC PHẨM VĨ HUY"/>
    <x v="9"/>
    <x v="9"/>
    <s v="rPET"/>
    <s v="rPET"/>
    <x v="3"/>
    <s v="NĐ"/>
    <s v="(blank)"/>
    <x v="0"/>
    <n v="1100"/>
    <n v="37118070"/>
    <n v="180110.32477788746"/>
    <n v="0"/>
    <n v="0"/>
    <n v="36937959.675222114"/>
    <m/>
    <m/>
    <m/>
    <m/>
    <m/>
    <m/>
    <m/>
    <m/>
    <m/>
    <m/>
    <m/>
    <n v="1490.7159881371363"/>
    <n v="1497.9847529291198"/>
    <x v="25"/>
    <x v="9"/>
  </r>
  <r>
    <x v="0"/>
    <x v="9"/>
    <n v="10"/>
    <s v="105243"/>
    <s v="Unilever"/>
    <x v="93"/>
    <x v="91"/>
    <s v="Khác"/>
    <s v="Khác"/>
    <x v="2"/>
    <s v="NĐ"/>
    <s v="(blank)"/>
    <x v="0"/>
    <n v="0"/>
    <n v="405000000"/>
    <n v="0"/>
    <n v="0"/>
    <n v="0"/>
    <n v="405000000"/>
    <m/>
    <m/>
    <m/>
    <m/>
    <m/>
    <m/>
    <m/>
    <m/>
    <m/>
    <m/>
    <m/>
    <n v="16344.702861336636"/>
    <n v="16344.702861336636"/>
    <x v="2"/>
    <x v="93"/>
  </r>
  <r>
    <x v="0"/>
    <x v="9"/>
    <n v="10"/>
    <s v="105247"/>
    <s v="MINH THÀNH"/>
    <x v="29"/>
    <x v="27"/>
    <s v="Khác"/>
    <s v="Phó sản"/>
    <x v="5"/>
    <s v="NĐ"/>
    <s v="(blank)"/>
    <x v="0"/>
    <n v="2748"/>
    <n v="58257600"/>
    <n v="0"/>
    <n v="0"/>
    <n v="0"/>
    <n v="58257600"/>
    <m/>
    <m/>
    <m/>
    <m/>
    <m/>
    <m/>
    <m/>
    <m/>
    <m/>
    <m/>
    <m/>
    <n v="2351.1189170730991"/>
    <n v="2351.1189170730991"/>
    <x v="10"/>
    <x v="29"/>
  </r>
  <r>
    <x v="0"/>
    <x v="9"/>
    <n v="10"/>
    <s v="105248"/>
    <s v="ĐẠI NHẤT LONG"/>
    <x v="51"/>
    <x v="49"/>
    <s v="rHDPE"/>
    <s v="rHDPE ép"/>
    <x v="1"/>
    <s v="NĐ"/>
    <s v="(blank)"/>
    <x v="0"/>
    <n v="24750"/>
    <n v="511377525"/>
    <n v="5943640.7176702861"/>
    <n v="0"/>
    <n v="0"/>
    <n v="505433884.28232968"/>
    <m/>
    <m/>
    <m/>
    <m/>
    <m/>
    <m/>
    <m/>
    <m/>
    <m/>
    <m/>
    <m/>
    <n v="20397.942357150332"/>
    <n v="20637.811595285795"/>
    <x v="27"/>
    <x v="51"/>
  </r>
  <r>
    <x v="0"/>
    <x v="9"/>
    <n v="10"/>
    <s v="105248"/>
    <s v="ĐẠI NHẤT LONG"/>
    <x v="46"/>
    <x v="44"/>
    <s v="rHDPE"/>
    <s v="rHDPE ép"/>
    <x v="1"/>
    <s v="NĐ"/>
    <s v="(blank)"/>
    <x v="0"/>
    <n v="8250"/>
    <n v="169338675.00000003"/>
    <n v="1981213.572556762"/>
    <n v="0"/>
    <n v="0"/>
    <n v="167357461.42744327"/>
    <m/>
    <m/>
    <m/>
    <m/>
    <m/>
    <m/>
    <m/>
    <m/>
    <m/>
    <m/>
    <m/>
    <n v="6754.09377446708"/>
    <n v="6834.050187178902"/>
    <x v="27"/>
    <x v="46"/>
  </r>
  <r>
    <x v="0"/>
    <x v="9"/>
    <n v="10"/>
    <s v="105248"/>
    <s v="ĐẠI NHẤT LONG"/>
    <x v="52"/>
    <x v="50"/>
    <s v="rHDPE"/>
    <s v="rHDPE ép"/>
    <x v="1"/>
    <s v="NĐ"/>
    <s v="(blank)"/>
    <x v="0"/>
    <n v="5250"/>
    <n v="107760975.00000001"/>
    <n v="1260772.2734452123"/>
    <n v="0"/>
    <n v="0"/>
    <n v="106500202.7265548"/>
    <m/>
    <m/>
    <m/>
    <m/>
    <m/>
    <m/>
    <m/>
    <m/>
    <m/>
    <m/>
    <m/>
    <n v="4298.059674660869"/>
    <n v="4348.9410282047556"/>
    <x v="27"/>
    <x v="52"/>
  </r>
  <r>
    <x v="0"/>
    <x v="9"/>
    <n v="10"/>
    <s v="105249"/>
    <s v="RỒNG VIỆT"/>
    <x v="29"/>
    <x v="27"/>
    <s v="Khác"/>
    <s v="Phó sản"/>
    <x v="5"/>
    <s v="NĐ"/>
    <s v="(blank)"/>
    <x v="0"/>
    <n v="5496"/>
    <n v="116515200"/>
    <n v="0"/>
    <n v="0"/>
    <n v="0"/>
    <n v="116515200"/>
    <m/>
    <m/>
    <m/>
    <m/>
    <m/>
    <m/>
    <m/>
    <m/>
    <m/>
    <m/>
    <m/>
    <n v="4702.2378341461981"/>
    <n v="4702.2378341461981"/>
    <x v="28"/>
    <x v="29"/>
  </r>
  <r>
    <x v="0"/>
    <x v="9"/>
    <n v="10"/>
    <s v="105263"/>
    <s v="Unilever Duy Tân"/>
    <x v="1"/>
    <x v="1"/>
    <s v="rHDPE"/>
    <s v="rHDPE thổi"/>
    <x v="0"/>
    <s v="NĐ"/>
    <s v="(blank)"/>
    <x v="1"/>
    <n v="-325"/>
    <n v="0"/>
    <n v="0"/>
    <n v="0"/>
    <n v="0"/>
    <n v="0"/>
    <m/>
    <m/>
    <m/>
    <m/>
    <m/>
    <m/>
    <m/>
    <m/>
    <m/>
    <m/>
    <m/>
    <n v="0"/>
    <n v="0"/>
    <x v="2"/>
    <x v="1"/>
  </r>
  <r>
    <x v="0"/>
    <x v="9"/>
    <n v="10"/>
    <s v="105263"/>
    <s v="Unilever Duy Tân"/>
    <x v="1"/>
    <x v="1"/>
    <s v="rHDPE"/>
    <s v="rHDPE thổi"/>
    <x v="0"/>
    <s v="NĐ"/>
    <s v="(blank)"/>
    <x v="0"/>
    <n v="88000"/>
    <n v="3088272000"/>
    <n v="2161323.8973346497"/>
    <n v="0"/>
    <n v="0"/>
    <n v="3086110676.1026654"/>
    <m/>
    <m/>
    <m/>
    <m/>
    <m/>
    <m/>
    <m/>
    <m/>
    <m/>
    <m/>
    <m/>
    <n v="124547.06666196734"/>
    <n v="124634.29183947112"/>
    <x v="2"/>
    <x v="1"/>
  </r>
  <r>
    <x v="0"/>
    <x v="9"/>
    <n v="10"/>
    <s v="105263"/>
    <s v="Unilever Duy Tân"/>
    <x v="1"/>
    <x v="1"/>
    <s v="rHDPE"/>
    <s v="rHDPE thổi"/>
    <x v="0"/>
    <s v="NĐ"/>
    <s v="(blank)"/>
    <x v="2"/>
    <n v="325"/>
    <n v="0"/>
    <n v="0"/>
    <n v="0"/>
    <n v="0"/>
    <n v="0"/>
    <m/>
    <m/>
    <m/>
    <m/>
    <m/>
    <m/>
    <m/>
    <m/>
    <m/>
    <m/>
    <m/>
    <n v="0"/>
    <n v="0"/>
    <x v="2"/>
    <x v="1"/>
  </r>
  <r>
    <x v="0"/>
    <x v="9"/>
    <n v="10"/>
    <s v="105263"/>
    <s v="Unilever Duy Tân"/>
    <x v="9"/>
    <x v="9"/>
    <s v="rPET"/>
    <s v="rPET"/>
    <x v="3"/>
    <s v="NĐ"/>
    <s v="(blank)"/>
    <x v="0"/>
    <n v="22000"/>
    <n v="714846000"/>
    <n v="720441.29911154986"/>
    <n v="0"/>
    <n v="0"/>
    <n v="714125558.7008884"/>
    <m/>
    <m/>
    <m/>
    <m/>
    <m/>
    <m/>
    <m/>
    <m/>
    <m/>
    <m/>
    <m/>
    <n v="28820.172994202552"/>
    <n v="28849.248053370491"/>
    <x v="2"/>
    <x v="9"/>
  </r>
  <r>
    <x v="0"/>
    <x v="9"/>
    <n v="10"/>
    <s v="105263"/>
    <s v="Unilever Duy Tân"/>
    <x v="50"/>
    <x v="48"/>
    <s v="rHDPE"/>
    <s v="rHDPE thổi"/>
    <x v="0"/>
    <s v="NĐ"/>
    <s v="(blank)"/>
    <x v="0"/>
    <n v="33000"/>
    <n v="1116918000"/>
    <n v="720441.29911154986"/>
    <n v="0"/>
    <n v="0"/>
    <n v="1116197558.7008884"/>
    <m/>
    <m/>
    <m/>
    <m/>
    <m/>
    <m/>
    <m/>
    <m/>
    <m/>
    <m/>
    <m/>
    <n v="45046.709707445378"/>
    <n v="45075.784766613317"/>
    <x v="2"/>
    <x v="50"/>
  </r>
  <r>
    <x v="0"/>
    <x v="9"/>
    <n v="10"/>
    <s v="105263"/>
    <s v="Unilever Duy Tân"/>
    <x v="83"/>
    <x v="81"/>
    <s v="rHDPE"/>
    <s v="rHDPE thổi"/>
    <x v="0"/>
    <s v="NĐ"/>
    <s v="(blank)"/>
    <x v="0"/>
    <n v="22000"/>
    <n v="772068000"/>
    <n v="0"/>
    <n v="0"/>
    <n v="0"/>
    <n v="772068000"/>
    <m/>
    <m/>
    <m/>
    <m/>
    <m/>
    <m/>
    <m/>
    <m/>
    <m/>
    <m/>
    <m/>
    <n v="31158.572959867786"/>
    <n v="31158.572959867786"/>
    <x v="2"/>
    <x v="83"/>
  </r>
  <r>
    <x v="0"/>
    <x v="9"/>
    <n v="10"/>
    <s v="105265"/>
    <s v="Muji- DTP"/>
    <x v="9"/>
    <x v="9"/>
    <s v="rPET"/>
    <s v="rPET"/>
    <x v="3"/>
    <s v="NĐ"/>
    <s v="(blank)"/>
    <x v="0"/>
    <n v="5500"/>
    <n v="180341150.00000003"/>
    <n v="900551.62388943718"/>
    <n v="0"/>
    <n v="0"/>
    <n v="179440598.37611058"/>
    <m/>
    <m/>
    <m/>
    <m/>
    <m/>
    <m/>
    <m/>
    <m/>
    <m/>
    <m/>
    <m/>
    <n v="7241.7364486863526"/>
    <n v="7278.0802726462716"/>
    <x v="34"/>
    <x v="9"/>
  </r>
  <r>
    <x v="0"/>
    <x v="9"/>
    <n v="10"/>
    <s v="105272"/>
    <s v="LINH CHI"/>
    <x v="62"/>
    <x v="60"/>
    <s v="Xơ sợi"/>
    <s v="Xơ sợi"/>
    <x v="7"/>
    <s v="NĐ"/>
    <s v="(blank)"/>
    <x v="0"/>
    <n v="11000"/>
    <n v="209000000"/>
    <n v="1801103.2477788744"/>
    <n v="0"/>
    <n v="0"/>
    <n v="207198896.75222114"/>
    <m/>
    <m/>
    <m/>
    <m/>
    <m/>
    <m/>
    <m/>
    <m/>
    <m/>
    <m/>
    <m/>
    <n v="8361.9861743501806"/>
    <n v="8434.6738222700169"/>
    <x v="42"/>
    <x v="62"/>
  </r>
  <r>
    <x v="0"/>
    <x v="9"/>
    <n v="10"/>
    <s v="105281"/>
    <s v="Plascene- DTP"/>
    <x v="9"/>
    <x v="9"/>
    <s v="rPET"/>
    <s v="rPET"/>
    <x v="3"/>
    <s v="NĐ"/>
    <s v="(blank)"/>
    <x v="0"/>
    <n v="55000"/>
    <n v="1748345500"/>
    <n v="9005516.2388943732"/>
    <n v="0"/>
    <n v="0"/>
    <n v="1739339983.7611055"/>
    <m/>
    <m/>
    <m/>
    <m/>
    <m/>
    <m/>
    <m/>
    <m/>
    <m/>
    <m/>
    <m/>
    <n v="70195.049899795951"/>
    <n v="70558.488139395136"/>
    <x v="54"/>
    <x v="9"/>
  </r>
  <r>
    <x v="0"/>
    <x v="9"/>
    <n v="10"/>
    <s v="105284"/>
    <s v="Motul -DTP"/>
    <x v="1"/>
    <x v="1"/>
    <s v="rHDPE"/>
    <s v="rHDPE thổi"/>
    <x v="0"/>
    <s v="NĐ"/>
    <s v="(blank)"/>
    <x v="0"/>
    <n v="22000"/>
    <n v="743391000"/>
    <n v="0"/>
    <n v="0"/>
    <n v="0"/>
    <n v="743391000"/>
    <m/>
    <m/>
    <m/>
    <m/>
    <m/>
    <m/>
    <m/>
    <m/>
    <m/>
    <m/>
    <m/>
    <n v="30001.246925412106"/>
    <n v="30001.246925412106"/>
    <x v="59"/>
    <x v="1"/>
  </r>
  <r>
    <x v="0"/>
    <x v="9"/>
    <n v="10"/>
    <s v="105290"/>
    <s v="HOÀNG TẤN"/>
    <x v="75"/>
    <x v="73"/>
    <s v="Khác"/>
    <s v="Phó sản"/>
    <x v="5"/>
    <s v="NĐ"/>
    <s v="(blank)"/>
    <x v="0"/>
    <n v="37777"/>
    <n v="188885000"/>
    <n v="0"/>
    <n v="0"/>
    <n v="0"/>
    <n v="188885000"/>
    <m/>
    <m/>
    <m/>
    <m/>
    <m/>
    <m/>
    <m/>
    <m/>
    <m/>
    <m/>
    <m/>
    <n v="7622.8869134902998"/>
    <n v="7622.8869134902998"/>
    <x v="66"/>
    <x v="75"/>
  </r>
  <r>
    <x v="0"/>
    <x v="9"/>
    <n v="10"/>
    <s v="105290"/>
    <s v="HOÀNG TẤN"/>
    <x v="76"/>
    <x v="74"/>
    <s v="Khác"/>
    <s v="Phó sản"/>
    <x v="5"/>
    <s v="NĐ"/>
    <s v="(blank)"/>
    <x v="0"/>
    <n v="57722"/>
    <n v="288610000"/>
    <n v="0"/>
    <n v="0"/>
    <n v="0"/>
    <n v="288610000"/>
    <m/>
    <m/>
    <m/>
    <m/>
    <m/>
    <m/>
    <m/>
    <m/>
    <m/>
    <m/>
    <m/>
    <n v="11647.517760025596"/>
    <n v="11647.517760025596"/>
    <x v="66"/>
    <x v="76"/>
  </r>
  <r>
    <x v="0"/>
    <x v="9"/>
    <n v="10"/>
    <s v="105290"/>
    <s v="HOÀNG TẤN"/>
    <x v="77"/>
    <x v="75"/>
    <s v="Khác"/>
    <s v="Phó sản"/>
    <x v="5"/>
    <s v="NĐ"/>
    <s v="(blank)"/>
    <x v="0"/>
    <n v="35634"/>
    <n v="178170000"/>
    <n v="0"/>
    <n v="0"/>
    <n v="0"/>
    <n v="178170000"/>
    <m/>
    <m/>
    <m/>
    <m/>
    <m/>
    <m/>
    <m/>
    <m/>
    <m/>
    <m/>
    <m/>
    <n v="7190.4585402576495"/>
    <n v="7190.4585402576495"/>
    <x v="66"/>
    <x v="77"/>
  </r>
  <r>
    <x v="0"/>
    <x v="9"/>
    <n v="10"/>
    <s v="105290"/>
    <s v="HOÀNG TẤN"/>
    <x v="78"/>
    <x v="76"/>
    <s v="Khác"/>
    <s v="Phó sản"/>
    <x v="5"/>
    <s v="NĐ"/>
    <s v="(blank)"/>
    <x v="0"/>
    <n v="38011"/>
    <n v="190055000"/>
    <n v="0"/>
    <n v="0"/>
    <n v="0"/>
    <n v="190055000"/>
    <m/>
    <m/>
    <m/>
    <m/>
    <m/>
    <m/>
    <m/>
    <m/>
    <m/>
    <m/>
    <m/>
    <n v="7670.1049439786057"/>
    <n v="7670.1049439786057"/>
    <x v="66"/>
    <x v="78"/>
  </r>
  <r>
    <x v="0"/>
    <x v="9"/>
    <n v="10"/>
    <s v="105300"/>
    <s v="BTS Bình Thuận"/>
    <x v="88"/>
    <x v="86"/>
    <s v="rHDPE"/>
    <s v="rHDPE ép"/>
    <x v="1"/>
    <s v="NĐ"/>
    <s v="(blank)"/>
    <x v="0"/>
    <n v="15750"/>
    <n v="352800000"/>
    <n v="3782316.8203356368"/>
    <n v="0"/>
    <n v="0"/>
    <n v="349017683.17966437"/>
    <m/>
    <m/>
    <m/>
    <m/>
    <m/>
    <m/>
    <m/>
    <m/>
    <m/>
    <m/>
    <m/>
    <n v="14085.408209688256"/>
    <n v="14238.052270319913"/>
    <x v="77"/>
    <x v="88"/>
  </r>
  <r>
    <x v="0"/>
    <x v="9"/>
    <n v="10"/>
    <s v="105301"/>
    <s v="TÂN TƯỜNG KHANG"/>
    <x v="58"/>
    <x v="56"/>
    <s v="rPET"/>
    <s v="rPET"/>
    <x v="3"/>
    <s v="NĐ"/>
    <s v="(blank)"/>
    <x v="0"/>
    <n v="11000"/>
    <n v="301653000"/>
    <n v="1801103.2477788744"/>
    <n v="0"/>
    <n v="0"/>
    <n v="299851896.75222111"/>
    <m/>
    <m/>
    <m/>
    <m/>
    <m/>
    <m/>
    <m/>
    <m/>
    <m/>
    <m/>
    <m/>
    <n v="12101.21025882283"/>
    <n v="12173.897906742668"/>
    <x v="83"/>
    <x v="58"/>
  </r>
  <r>
    <x v="0"/>
    <x v="9"/>
    <n v="10"/>
    <s v="105303"/>
    <s v="TÂN LẬP THÀNH"/>
    <x v="33"/>
    <x v="31"/>
    <s v="rPET"/>
    <s v="rPET"/>
    <x v="3"/>
    <s v="NĐ"/>
    <s v="(blank)"/>
    <x v="0"/>
    <n v="6600"/>
    <n v="210636360"/>
    <n v="1080661.9486673248"/>
    <n v="0"/>
    <n v="2400000"/>
    <n v="207155698.05133268"/>
    <m/>
    <m/>
    <m/>
    <m/>
    <m/>
    <m/>
    <m/>
    <m/>
    <m/>
    <m/>
    <m/>
    <n v="8360.2427918069279"/>
    <n v="8500.712878996379"/>
    <x v="84"/>
    <x v="33"/>
  </r>
  <r>
    <x v="0"/>
    <x v="9"/>
    <n v="10"/>
    <s v="105304"/>
    <s v="THIÊN LONG LONG THÀNH"/>
    <x v="90"/>
    <x v="88"/>
    <s v="rPP"/>
    <s v="rPP"/>
    <x v="6"/>
    <s v="NĐ"/>
    <s v="(blank)"/>
    <x v="0"/>
    <n v="25"/>
    <n v="564200"/>
    <n v="0"/>
    <n v="0"/>
    <n v="0"/>
    <n v="564200"/>
    <m/>
    <m/>
    <m/>
    <m/>
    <m/>
    <m/>
    <m/>
    <m/>
    <m/>
    <m/>
    <m/>
    <n v="22.76958359102748"/>
    <n v="22.76958359102748"/>
    <x v="85"/>
    <x v="90"/>
  </r>
  <r>
    <x v="0"/>
    <x v="9"/>
    <n v="10"/>
    <s v="200319"/>
    <s v="Niagara Bottling, LLC"/>
    <x v="9"/>
    <x v="9"/>
    <s v="rPET"/>
    <s v="rPET"/>
    <x v="3"/>
    <s v="XK"/>
    <s v="United States of America (the)"/>
    <x v="0"/>
    <n v="968000"/>
    <n v="30301562412"/>
    <n v="72693314.690618694"/>
    <n v="454523436.18000001"/>
    <n v="361084070.14285713"/>
    <n v="29413261590.986515"/>
    <m/>
    <m/>
    <m/>
    <m/>
    <m/>
    <m/>
    <m/>
    <m/>
    <m/>
    <m/>
    <m/>
    <n v="1185191.6920070883"/>
    <n v="1220986.7999999991"/>
    <x v="14"/>
    <x v="9"/>
  </r>
  <r>
    <x v="0"/>
    <x v="9"/>
    <n v="10"/>
    <s v="200332"/>
    <s v="OUTEIRINHO TURISMO E INDUSTRIA SA"/>
    <x v="33"/>
    <x v="31"/>
    <s v="rPET"/>
    <s v="rPET"/>
    <x v="3"/>
    <s v="XK"/>
    <s v="Portugal"/>
    <x v="0"/>
    <n v="220000"/>
    <n v="7354160000"/>
    <n v="16521207.884231538"/>
    <n v="0"/>
    <n v="643041479.99999988"/>
    <n v="6694597312.1157675"/>
    <m/>
    <m/>
    <m/>
    <m/>
    <m/>
    <m/>
    <m/>
    <m/>
    <m/>
    <m/>
    <m/>
    <n v="274368.74229982664"/>
    <n v="301400"/>
    <x v="44"/>
    <x v="33"/>
  </r>
  <r>
    <x v="0"/>
    <x v="9"/>
    <n v="10"/>
    <s v="200353"/>
    <s v="Custom Synthetic Fibers, LLC"/>
    <x v="62"/>
    <x v="60"/>
    <s v="Xơ sợi"/>
    <s v="Xơ sợi"/>
    <x v="7"/>
    <s v="XK"/>
    <s v="United States of America (the)"/>
    <x v="0"/>
    <n v="220000"/>
    <n v="4979700000"/>
    <n v="16521207.884231538"/>
    <n v="55330000"/>
    <n v="951245582.99999976"/>
    <n v="3956603209.115768"/>
    <m/>
    <m/>
    <m/>
    <m/>
    <m/>
    <m/>
    <m/>
    <m/>
    <m/>
    <m/>
    <m/>
    <n v="157320.20712189932"/>
    <n v="198000"/>
    <x v="45"/>
    <x v="62"/>
  </r>
  <r>
    <x v="0"/>
    <x v="9"/>
    <n v="10"/>
    <s v="200359"/>
    <s v="PREMIUM WATER"/>
    <x v="58"/>
    <x v="56"/>
    <s v="rPET"/>
    <s v="rPET"/>
    <x v="3"/>
    <s v="XK"/>
    <s v="United States of America (the)"/>
    <x v="0"/>
    <n v="660000"/>
    <n v="17613805000"/>
    <n v="49563623.65269459"/>
    <n v="0"/>
    <n v="245678805.85714301"/>
    <n v="17318562570.490166"/>
    <m/>
    <m/>
    <m/>
    <m/>
    <m/>
    <m/>
    <m/>
    <m/>
    <m/>
    <m/>
    <m/>
    <n v="700849.92585562216"/>
    <n v="712800"/>
    <x v="63"/>
    <x v="58"/>
  </r>
  <r>
    <x v="0"/>
    <x v="9"/>
    <n v="10"/>
    <s v="200363"/>
    <s v="PakPot Australia"/>
    <x v="9"/>
    <x v="9"/>
    <s v="rPET"/>
    <s v="rPET"/>
    <x v="3"/>
    <s v="XK"/>
    <s v="Australia"/>
    <x v="0"/>
    <n v="44000"/>
    <n v="1550693760"/>
    <n v="3304241.5768463071"/>
    <n v="0"/>
    <n v="101627888"/>
    <n v="1445761630.4231536"/>
    <m/>
    <m/>
    <m/>
    <m/>
    <m/>
    <m/>
    <m/>
    <m/>
    <m/>
    <m/>
    <m/>
    <n v="58580.292966902496"/>
    <n v="62832"/>
    <x v="86"/>
    <x v="9"/>
  </r>
  <r>
    <x v="0"/>
    <x v="9"/>
    <n v="10"/>
    <s v="200364"/>
    <s v="POLYRESIN EOOD"/>
    <x v="33"/>
    <x v="31"/>
    <s v="rPET"/>
    <s v="rPET"/>
    <x v="3"/>
    <s v="XK"/>
    <s v="Greece"/>
    <x v="0"/>
    <n v="83600"/>
    <n v="2722112800"/>
    <n v="6575440.7379241511"/>
    <n v="0"/>
    <n v="30651920.5"/>
    <n v="2684885438.7620759"/>
    <m/>
    <m/>
    <m/>
    <m/>
    <m/>
    <m/>
    <m/>
    <m/>
    <m/>
    <m/>
    <m/>
    <n v="106521.09965782301"/>
    <n v="107998"/>
    <x v="87"/>
    <x v="33"/>
  </r>
  <r>
    <x v="0"/>
    <x v="9"/>
    <n v="10"/>
    <s v="200364"/>
    <s v="POLYRESIN EOOD"/>
    <x v="58"/>
    <x v="56"/>
    <s v="rPET"/>
    <s v="rPET"/>
    <x v="3"/>
    <s v="XK"/>
    <s v="Greece"/>
    <x v="0"/>
    <n v="4400"/>
    <n v="121968000.00000001"/>
    <n v="363466.57345309376"/>
    <n v="0"/>
    <n v="10075699.5"/>
    <n v="111528833.92654692"/>
    <m/>
    <m/>
    <m/>
    <m/>
    <m/>
    <m/>
    <m/>
    <m/>
    <m/>
    <m/>
    <m/>
    <n v="4425.7473780375758"/>
    <n v="4840.0000000000009"/>
    <x v="87"/>
    <x v="58"/>
  </r>
  <r>
    <x v="0"/>
    <x v="9"/>
    <n v="10"/>
    <s v="2421100100"/>
    <s v="Chi phí phân bổ"/>
    <x v="27"/>
    <x v="25"/>
    <s v="Khác"/>
    <s v="Khác"/>
    <x v="2"/>
    <s v="NĐ"/>
    <s v="(blank)"/>
    <x v="0"/>
    <n v="0"/>
    <n v="0"/>
    <n v="0"/>
    <n v="0"/>
    <n v="0"/>
    <n v="0"/>
    <m/>
    <m/>
    <m/>
    <m/>
    <m/>
    <m/>
    <m/>
    <m/>
    <m/>
    <m/>
    <m/>
    <n v="0"/>
    <n v="0"/>
    <x v="64"/>
    <x v="27"/>
  </r>
  <r>
    <x v="0"/>
    <x v="9"/>
    <n v="10"/>
    <s v="3358000400"/>
    <s v="Chí phí phải trả khác- Open item"/>
    <x v="36"/>
    <x v="34"/>
    <s v="Khác"/>
    <s v="Khác"/>
    <x v="2"/>
    <s v="NĐ"/>
    <s v="(blank)"/>
    <x v="0"/>
    <n v="0"/>
    <n v="0"/>
    <n v="0"/>
    <n v="0"/>
    <n v="0"/>
    <n v="0"/>
    <m/>
    <m/>
    <m/>
    <m/>
    <m/>
    <m/>
    <m/>
    <m/>
    <m/>
    <m/>
    <m/>
    <n v="0"/>
    <n v="0"/>
    <x v="19"/>
    <x v="36"/>
  </r>
  <r>
    <x v="0"/>
    <x v="9"/>
    <n v="10"/>
    <s v="BN"/>
    <s v="Bán Ngoài"/>
    <x v="94"/>
    <x v="92"/>
    <s v="Khác"/>
    <s v="Khác"/>
    <x v="2"/>
    <s v="NĐ"/>
    <s v="(blank)"/>
    <x v="0"/>
    <n v="0"/>
    <n v="0"/>
    <n v="0"/>
    <n v="0"/>
    <n v="0"/>
    <n v="0"/>
    <m/>
    <m/>
    <m/>
    <m/>
    <m/>
    <m/>
    <m/>
    <m/>
    <m/>
    <m/>
    <m/>
    <n v="0"/>
    <n v="0"/>
    <x v="21"/>
    <x v="94"/>
  </r>
  <r>
    <x v="0"/>
    <x v="9"/>
    <n v="10"/>
    <s v="BN"/>
    <s v="Bán Ngoài"/>
    <x v="82"/>
    <x v="80"/>
    <s v="Khác"/>
    <s v="Khác"/>
    <x v="2"/>
    <s v="NĐ"/>
    <s v="(blank)"/>
    <x v="0"/>
    <n v="0"/>
    <n v="0"/>
    <n v="0"/>
    <n v="0"/>
    <n v="0"/>
    <n v="0"/>
    <m/>
    <m/>
    <m/>
    <m/>
    <m/>
    <m/>
    <m/>
    <m/>
    <m/>
    <m/>
    <m/>
    <n v="0"/>
    <n v="0"/>
    <x v="21"/>
    <x v="82"/>
  </r>
  <r>
    <x v="0"/>
    <x v="9"/>
    <n v="10"/>
    <s v="BN"/>
    <s v="Bán Ngoài"/>
    <x v="38"/>
    <x v="36"/>
    <s v="Khác"/>
    <s v="Khác"/>
    <x v="2"/>
    <s v="NĐ"/>
    <s v="(blank)"/>
    <x v="0"/>
    <n v="0"/>
    <n v="0"/>
    <n v="0"/>
    <n v="0"/>
    <n v="-16507455.999998093"/>
    <n v="16507455.999998093"/>
    <m/>
    <m/>
    <m/>
    <m/>
    <m/>
    <m/>
    <m/>
    <m/>
    <m/>
    <m/>
    <m/>
    <n v="666.19620571989492"/>
    <n v="0"/>
    <x v="21"/>
    <x v="38"/>
  </r>
  <r>
    <x v="0"/>
    <x v="9"/>
    <n v="10"/>
    <s v="BN"/>
    <s v="Bán Ngoài"/>
    <x v="39"/>
    <x v="37"/>
    <s v="Khác"/>
    <s v="Khác"/>
    <x v="8"/>
    <s v="NĐ"/>
    <s v="(blank)"/>
    <x v="0"/>
    <n v="0"/>
    <n v="0"/>
    <n v="0"/>
    <n v="154763.81999999285"/>
    <n v="-17041995.185185015"/>
    <n v="16887231.365185022"/>
    <m/>
    <m/>
    <m/>
    <m/>
    <m/>
    <m/>
    <m/>
    <m/>
    <m/>
    <m/>
    <m/>
    <n v="681.52291065331679"/>
    <n v="0"/>
    <x v="21"/>
    <x v="39"/>
  </r>
  <r>
    <x v="0"/>
    <x v="9"/>
    <n v="10"/>
    <s v="BN"/>
    <s v="Bán Ngoài"/>
    <x v="40"/>
    <x v="38"/>
    <s v="Khác"/>
    <s v="Khác"/>
    <x v="9"/>
    <s v="NĐ"/>
    <s v="(blank)"/>
    <x v="0"/>
    <n v="0"/>
    <n v="0"/>
    <n v="0"/>
    <n v="0"/>
    <n v="-12766687.000000006"/>
    <n v="12766687.000000006"/>
    <m/>
    <m/>
    <m/>
    <m/>
    <m/>
    <m/>
    <m/>
    <m/>
    <m/>
    <m/>
    <m/>
    <n v="515.22890256466508"/>
    <n v="0"/>
    <x v="21"/>
    <x v="40"/>
  </r>
  <r>
    <x v="0"/>
    <x v="9"/>
    <n v="10"/>
    <s v="BN"/>
    <s v="Bán Ngoài"/>
    <x v="37"/>
    <x v="35"/>
    <s v="Khác"/>
    <s v="Khác"/>
    <x v="2"/>
    <s v="NĐ"/>
    <s v="(blank)"/>
    <x v="0"/>
    <n v="0"/>
    <n v="0"/>
    <n v="0"/>
    <n v="0"/>
    <n v="0"/>
    <n v="0"/>
    <m/>
    <m/>
    <m/>
    <m/>
    <m/>
    <m/>
    <m/>
    <m/>
    <m/>
    <m/>
    <m/>
    <n v="0"/>
    <n v="0"/>
    <x v="21"/>
    <x v="37"/>
  </r>
  <r>
    <x v="0"/>
    <x v="9"/>
    <n v="10"/>
    <s v="BN"/>
    <s v="Bán Ngoài"/>
    <x v="60"/>
    <x v="58"/>
    <s v="Khác"/>
    <s v="Khác"/>
    <x v="2"/>
    <s v="NĐ"/>
    <s v="(blank)"/>
    <x v="0"/>
    <n v="0"/>
    <n v="0"/>
    <n v="0"/>
    <n v="0"/>
    <n v="0"/>
    <n v="0"/>
    <m/>
    <m/>
    <m/>
    <m/>
    <m/>
    <m/>
    <m/>
    <m/>
    <m/>
    <m/>
    <m/>
    <n v="0"/>
    <n v="0"/>
    <x v="21"/>
    <x v="60"/>
  </r>
  <r>
    <x v="0"/>
    <x v="9"/>
    <n v="10"/>
    <s v="BN"/>
    <s v="Bán Ngoài"/>
    <x v="27"/>
    <x v="25"/>
    <s v="Khác"/>
    <s v="Khác"/>
    <x v="2"/>
    <s v="NĐ"/>
    <s v="(blank)"/>
    <x v="0"/>
    <n v="0"/>
    <n v="0"/>
    <n v="0"/>
    <n v="-321470064"/>
    <n v="0"/>
    <n v="321470064"/>
    <m/>
    <m/>
    <m/>
    <m/>
    <m/>
    <m/>
    <m/>
    <m/>
    <m/>
    <m/>
    <m/>
    <n v="12973.660925666349"/>
    <n v="0"/>
    <x v="21"/>
    <x v="27"/>
  </r>
  <r>
    <x v="0"/>
    <x v="9"/>
    <n v="10"/>
    <s v="BN"/>
    <s v="Bán Ngoài"/>
    <x v="41"/>
    <x v="39"/>
    <s v="Khác"/>
    <s v="Khác"/>
    <x v="2"/>
    <s v="NĐ"/>
    <s v="(blank)"/>
    <x v="0"/>
    <n v="0"/>
    <n v="0"/>
    <n v="0"/>
    <n v="0"/>
    <n v="0"/>
    <n v="0"/>
    <m/>
    <m/>
    <m/>
    <m/>
    <m/>
    <m/>
    <m/>
    <m/>
    <m/>
    <m/>
    <m/>
    <n v="0"/>
    <n v="0"/>
    <x v="21"/>
    <x v="41"/>
  </r>
  <r>
    <x v="0"/>
    <x v="10"/>
    <n v="11"/>
    <s v="1000"/>
    <s v="CPSX Nhựa Duy Tân"/>
    <x v="2"/>
    <x v="2"/>
    <s v="rHDPE"/>
    <s v="rHDPE ép"/>
    <x v="1"/>
    <s v="NĐ"/>
    <s v="(blank)"/>
    <x v="0"/>
    <n v="12375"/>
    <n v="275367103"/>
    <n v="0"/>
    <n v="0"/>
    <n v="0"/>
    <n v="275367103"/>
    <m/>
    <m/>
    <m/>
    <m/>
    <m/>
    <m/>
    <m/>
    <m/>
    <m/>
    <m/>
    <m/>
    <n v="10932.354422114455"/>
    <n v="10932.354422114455"/>
    <x v="0"/>
    <x v="2"/>
  </r>
  <r>
    <x v="0"/>
    <x v="10"/>
    <n v="11"/>
    <s v="1000"/>
    <s v="CPSX Nhựa Duy Tân"/>
    <x v="3"/>
    <x v="3"/>
    <s v="rHDPE"/>
    <s v="rHDPE ép"/>
    <x v="1"/>
    <s v="NĐ"/>
    <s v="(blank)"/>
    <x v="0"/>
    <n v="11000"/>
    <n v="244770758"/>
    <n v="0"/>
    <n v="0"/>
    <n v="0"/>
    <n v="244770758"/>
    <m/>
    <m/>
    <m/>
    <m/>
    <m/>
    <m/>
    <m/>
    <m/>
    <m/>
    <m/>
    <m/>
    <n v="9717.6483663904"/>
    <n v="9717.6483663904"/>
    <x v="0"/>
    <x v="3"/>
  </r>
  <r>
    <x v="0"/>
    <x v="10"/>
    <n v="11"/>
    <s v="1000"/>
    <s v="CPSX Nhựa Duy Tân"/>
    <x v="43"/>
    <x v="41"/>
    <s v="rHDPE"/>
    <s v="rHDPE ép"/>
    <x v="1"/>
    <s v="NĐ"/>
    <s v="(blank)"/>
    <x v="0"/>
    <n v="1375"/>
    <n v="30596345"/>
    <n v="0"/>
    <n v="0"/>
    <n v="0"/>
    <n v="30596345"/>
    <m/>
    <m/>
    <m/>
    <m/>
    <m/>
    <m/>
    <m/>
    <m/>
    <m/>
    <m/>
    <m/>
    <n v="1214.7060557240545"/>
    <n v="1214.7060557240545"/>
    <x v="0"/>
    <x v="43"/>
  </r>
  <r>
    <x v="0"/>
    <x v="10"/>
    <n v="11"/>
    <s v="1000"/>
    <s v="CPSX Nhựa Duy Tân"/>
    <x v="4"/>
    <x v="4"/>
    <s v="rHDPE"/>
    <s v="rHDPE ép"/>
    <x v="1"/>
    <s v="NĐ"/>
    <s v="(blank)"/>
    <x v="0"/>
    <n v="4125"/>
    <n v="91789034"/>
    <n v="0"/>
    <n v="0"/>
    <n v="0"/>
    <n v="91789034"/>
    <m/>
    <m/>
    <m/>
    <m/>
    <m/>
    <m/>
    <m/>
    <m/>
    <m/>
    <m/>
    <m/>
    <n v="3644.1181274711453"/>
    <n v="3644.1181274711453"/>
    <x v="0"/>
    <x v="4"/>
  </r>
  <r>
    <x v="0"/>
    <x v="10"/>
    <n v="11"/>
    <s v="1000"/>
    <s v="CPSX Nhựa Duy Tân"/>
    <x v="6"/>
    <x v="6"/>
    <s v="rHDPE"/>
    <s v="rHDPE thổi"/>
    <x v="0"/>
    <s v="NĐ"/>
    <s v="(blank)"/>
    <x v="0"/>
    <n v="5500"/>
    <n v="183768750"/>
    <n v="0"/>
    <n v="0"/>
    <n v="0"/>
    <n v="183768750"/>
    <m/>
    <m/>
    <m/>
    <m/>
    <m/>
    <m/>
    <m/>
    <m/>
    <m/>
    <m/>
    <m/>
    <n v="7295.806524532255"/>
    <n v="7295.806524532255"/>
    <x v="0"/>
    <x v="6"/>
  </r>
  <r>
    <x v="0"/>
    <x v="10"/>
    <n v="11"/>
    <s v="1000"/>
    <s v="CPSX Nhựa Duy Tân"/>
    <x v="90"/>
    <x v="88"/>
    <s v="rPP"/>
    <s v="rPP"/>
    <x v="6"/>
    <s v="NĐ"/>
    <s v="(blank)"/>
    <x v="0"/>
    <n v="22000"/>
    <n v="486129600"/>
    <n v="0"/>
    <n v="0"/>
    <n v="0"/>
    <n v="486129600"/>
    <m/>
    <m/>
    <m/>
    <m/>
    <m/>
    <m/>
    <m/>
    <m/>
    <m/>
    <m/>
    <m/>
    <n v="19299.840192895994"/>
    <n v="19299.840192895994"/>
    <x v="0"/>
    <x v="90"/>
  </r>
  <r>
    <x v="0"/>
    <x v="10"/>
    <n v="11"/>
    <s v="101290"/>
    <s v="Cty Thạnh Phát"/>
    <x v="7"/>
    <x v="7"/>
    <s v="Khác"/>
    <s v="Khác"/>
    <x v="2"/>
    <s v="NĐ"/>
    <s v="(blank)"/>
    <x v="0"/>
    <n v="0"/>
    <n v="0"/>
    <n v="0"/>
    <n v="0"/>
    <n v="0"/>
    <n v="0"/>
    <m/>
    <m/>
    <m/>
    <m/>
    <m/>
    <m/>
    <m/>
    <m/>
    <m/>
    <m/>
    <m/>
    <n v="0"/>
    <n v="0"/>
    <x v="1"/>
    <x v="7"/>
  </r>
  <r>
    <x v="0"/>
    <x v="10"/>
    <n v="11"/>
    <s v="102990"/>
    <s v="Coca-Cola Thủ Đức"/>
    <x v="8"/>
    <x v="8"/>
    <s v="rPET"/>
    <s v="rPET"/>
    <x v="3"/>
    <s v="NĐ"/>
    <s v="(blank)"/>
    <x v="0"/>
    <n v="110000"/>
    <n v="3693360000"/>
    <n v="16273927.853231106"/>
    <n v="0"/>
    <n v="15400000"/>
    <n v="3661686072.146769"/>
    <m/>
    <m/>
    <m/>
    <m/>
    <m/>
    <m/>
    <m/>
    <m/>
    <m/>
    <m/>
    <m/>
    <n v="145372.66611410963"/>
    <n v="146630.15330651402"/>
    <x v="3"/>
    <x v="8"/>
  </r>
  <r>
    <x v="0"/>
    <x v="10"/>
    <n v="11"/>
    <s v="102990"/>
    <s v="Coca-Cola Thủ Đức"/>
    <x v="26"/>
    <x v="24"/>
    <s v="Khác"/>
    <s v="Khác"/>
    <x v="2"/>
    <s v="NĐ"/>
    <s v="(blank)"/>
    <x v="0"/>
    <n v="0"/>
    <n v="5722224619"/>
    <n v="0"/>
    <n v="0"/>
    <n v="0"/>
    <n v="5722224619"/>
    <m/>
    <m/>
    <m/>
    <m/>
    <m/>
    <m/>
    <m/>
    <m/>
    <m/>
    <m/>
    <m/>
    <n v="227178.14487032912"/>
    <n v="227178.14487032912"/>
    <x v="3"/>
    <x v="26"/>
  </r>
  <r>
    <x v="0"/>
    <x v="10"/>
    <n v="11"/>
    <s v="104894"/>
    <s v="UNILEVER-NGỌC NGHĨA"/>
    <x v="9"/>
    <x v="9"/>
    <s v="rPET"/>
    <s v="rPET"/>
    <x v="3"/>
    <s v="NĐ"/>
    <s v="(blank)"/>
    <x v="0"/>
    <n v="242000"/>
    <n v="7863306000"/>
    <n v="39780712.530120492"/>
    <n v="0"/>
    <n v="33880000"/>
    <n v="7789645287.4698801"/>
    <m/>
    <m/>
    <m/>
    <m/>
    <m/>
    <m/>
    <m/>
    <m/>
    <m/>
    <m/>
    <m/>
    <n v="309256.85086346121"/>
    <n v="312181.25616675103"/>
    <x v="2"/>
    <x v="9"/>
  </r>
  <r>
    <x v="0"/>
    <x v="10"/>
    <n v="11"/>
    <s v="104909"/>
    <s v="Công ty TNHH La Vie"/>
    <x v="10"/>
    <x v="10"/>
    <s v="rPET"/>
    <s v="rPET"/>
    <x v="3"/>
    <s v="NĐ"/>
    <s v="(blank)"/>
    <x v="0"/>
    <n v="79200"/>
    <n v="2652255144"/>
    <n v="13019142.282584883"/>
    <n v="0"/>
    <n v="11926074.074074071"/>
    <n v="2627309927.6433415"/>
    <m/>
    <m/>
    <m/>
    <m/>
    <m/>
    <m/>
    <m/>
    <m/>
    <m/>
    <m/>
    <m/>
    <n v="104306.87977182548"/>
    <n v="105297.23026531679"/>
    <x v="4"/>
    <x v="10"/>
  </r>
  <r>
    <x v="0"/>
    <x v="10"/>
    <n v="11"/>
    <s v="105186"/>
    <s v="CÔNG TY TNHH HON CHUAN VIETNAM"/>
    <x v="33"/>
    <x v="31"/>
    <s v="rPET"/>
    <s v="rPET"/>
    <x v="3"/>
    <s v="NĐ"/>
    <s v="(blank)"/>
    <x v="0"/>
    <n v="2200"/>
    <n v="79043800"/>
    <n v="361642.84118291346"/>
    <n v="0"/>
    <n v="0"/>
    <n v="78682157.158817083"/>
    <m/>
    <m/>
    <m/>
    <m/>
    <m/>
    <m/>
    <m/>
    <m/>
    <m/>
    <m/>
    <m/>
    <n v="3123.7617688729447"/>
    <n v="3138.1193579638684"/>
    <x v="7"/>
    <x v="33"/>
  </r>
  <r>
    <x v="0"/>
    <x v="10"/>
    <n v="11"/>
    <s v="105194"/>
    <s v="Suntory Việt Nam"/>
    <x v="8"/>
    <x v="8"/>
    <s v="rPET"/>
    <s v="rPET"/>
    <x v="3"/>
    <s v="NĐ"/>
    <s v="(blank)"/>
    <x v="0"/>
    <n v="418000"/>
    <n v="15401628000"/>
    <n v="36164284.118291341"/>
    <n v="0"/>
    <n v="219907407.40740728"/>
    <n v="15040400048.474302"/>
    <m/>
    <m/>
    <m/>
    <m/>
    <m/>
    <m/>
    <m/>
    <m/>
    <m/>
    <m/>
    <m/>
    <n v="597119.19902178179"/>
    <n v="611460.31657079177"/>
    <x v="7"/>
    <x v="8"/>
  </r>
  <r>
    <x v="0"/>
    <x v="10"/>
    <n v="11"/>
    <s v="105194"/>
    <s v="Suntory Việt Nam"/>
    <x v="68"/>
    <x v="66"/>
    <s v="Khác"/>
    <s v="Khác"/>
    <x v="2"/>
    <s v="NĐ"/>
    <s v="(blank)"/>
    <x v="0"/>
    <n v="0"/>
    <n v="0"/>
    <n v="0"/>
    <n v="0"/>
    <n v="0"/>
    <n v="105156260"/>
    <m/>
    <m/>
    <m/>
    <m/>
    <m/>
    <m/>
    <m/>
    <m/>
    <m/>
    <m/>
    <m/>
    <n v="4174.8106128131694"/>
    <n v="0"/>
    <x v="7"/>
    <x v="68"/>
  </r>
  <r>
    <x v="0"/>
    <x v="10"/>
    <n v="11"/>
    <s v="105204"/>
    <s v="CTY NGỌC NGHĨA-TÂY NINH"/>
    <x v="8"/>
    <x v="8"/>
    <s v="rPET"/>
    <s v="rPET"/>
    <x v="3"/>
    <s v="NĐ"/>
    <s v="(blank)"/>
    <x v="1"/>
    <n v="-13200"/>
    <n v="0"/>
    <n v="0"/>
    <n v="0"/>
    <n v="0"/>
    <n v="0"/>
    <m/>
    <m/>
    <m/>
    <m/>
    <m/>
    <m/>
    <m/>
    <m/>
    <m/>
    <m/>
    <m/>
    <n v="0"/>
    <n v="0"/>
    <x v="5"/>
    <x v="8"/>
  </r>
  <r>
    <x v="0"/>
    <x v="10"/>
    <n v="11"/>
    <s v="105204"/>
    <s v="CTY NGỌC NGHĨA-TÂY NINH"/>
    <x v="8"/>
    <x v="8"/>
    <s v="rPET"/>
    <s v="rPET"/>
    <x v="3"/>
    <s v="NĐ"/>
    <s v="(blank)"/>
    <x v="2"/>
    <n v="13200"/>
    <n v="0"/>
    <n v="0"/>
    <n v="0"/>
    <n v="0"/>
    <n v="0"/>
    <m/>
    <m/>
    <m/>
    <m/>
    <m/>
    <m/>
    <m/>
    <m/>
    <m/>
    <m/>
    <m/>
    <n v="0"/>
    <n v="0"/>
    <x v="5"/>
    <x v="8"/>
  </r>
  <r>
    <x v="0"/>
    <x v="10"/>
    <n v="11"/>
    <s v="105204"/>
    <s v="CTY NGỌC NGHĨA-TÂY NINH"/>
    <x v="9"/>
    <x v="9"/>
    <s v="rPET"/>
    <s v="rPET"/>
    <x v="3"/>
    <s v="NĐ"/>
    <s v="(blank)"/>
    <x v="0"/>
    <n v="71500"/>
    <n v="2275028800"/>
    <n v="11753392.338444687"/>
    <n v="0"/>
    <n v="9086000"/>
    <n v="2254189407.6615553"/>
    <m/>
    <m/>
    <m/>
    <m/>
    <m/>
    <m/>
    <m/>
    <m/>
    <m/>
    <m/>
    <m/>
    <n v="89493.615143753646"/>
    <n v="90320.960242363231"/>
    <x v="5"/>
    <x v="9"/>
  </r>
  <r>
    <x v="0"/>
    <x v="10"/>
    <n v="11"/>
    <s v="105204"/>
    <s v="CTY NGỌC NGHĨA-TÂY NINH"/>
    <x v="33"/>
    <x v="31"/>
    <s v="rPET"/>
    <s v="rPET"/>
    <x v="3"/>
    <s v="NĐ"/>
    <s v="(blank)"/>
    <x v="0"/>
    <n v="2200"/>
    <n v="79041600"/>
    <n v="361642.84118291346"/>
    <n v="0"/>
    <n v="0"/>
    <n v="78679957.158817083"/>
    <m/>
    <m/>
    <m/>
    <m/>
    <m/>
    <m/>
    <m/>
    <m/>
    <m/>
    <m/>
    <m/>
    <n v="3123.6744266324713"/>
    <n v="3138.0320157233955"/>
    <x v="5"/>
    <x v="33"/>
  </r>
  <r>
    <x v="0"/>
    <x v="10"/>
    <n v="11"/>
    <s v="105207"/>
    <s v="Suntory Sri Thái Bình Dương"/>
    <x v="8"/>
    <x v="8"/>
    <s v="rPET"/>
    <s v="rPET"/>
    <x v="3"/>
    <s v="NĐ"/>
    <s v="(blank)"/>
    <x v="1"/>
    <n v="-22000"/>
    <n v="0"/>
    <n v="0"/>
    <n v="0"/>
    <n v="2464000"/>
    <n v="-2464000"/>
    <m/>
    <m/>
    <m/>
    <m/>
    <m/>
    <m/>
    <m/>
    <m/>
    <m/>
    <m/>
    <m/>
    <n v="-97.823309330054627"/>
    <n v="0"/>
    <x v="7"/>
    <x v="8"/>
  </r>
  <r>
    <x v="0"/>
    <x v="10"/>
    <n v="11"/>
    <s v="105207"/>
    <s v="Suntory Sri Thái Bình Dương"/>
    <x v="8"/>
    <x v="8"/>
    <s v="rPET"/>
    <s v="rPET"/>
    <x v="3"/>
    <s v="NĐ"/>
    <s v="(blank)"/>
    <x v="0"/>
    <n v="88000"/>
    <n v="3205950000"/>
    <n v="14465713.647316538"/>
    <n v="0"/>
    <n v="13728000"/>
    <n v="3155618126.3526835"/>
    <m/>
    <m/>
    <m/>
    <m/>
    <m/>
    <m/>
    <m/>
    <m/>
    <m/>
    <m/>
    <m/>
    <n v="125281.25328803815"/>
    <n v="127279.4799296626"/>
    <x v="7"/>
    <x v="8"/>
  </r>
  <r>
    <x v="0"/>
    <x v="10"/>
    <n v="11"/>
    <s v="105207"/>
    <s v="Suntory Sri Thái Bình Dương"/>
    <x v="8"/>
    <x v="8"/>
    <s v="rPET"/>
    <s v="rPET"/>
    <x v="3"/>
    <s v="NĐ"/>
    <s v="(blank)"/>
    <x v="2"/>
    <n v="22000"/>
    <n v="0"/>
    <n v="0"/>
    <n v="0"/>
    <n v="3520000"/>
    <n v="-3520000"/>
    <m/>
    <m/>
    <m/>
    <m/>
    <m/>
    <m/>
    <m/>
    <m/>
    <m/>
    <m/>
    <m/>
    <n v="-139.74758475722089"/>
    <n v="0"/>
    <x v="7"/>
    <x v="8"/>
  </r>
  <r>
    <x v="0"/>
    <x v="10"/>
    <n v="11"/>
    <s v="105207"/>
    <s v="Suntory Sri Thái Bình Dương"/>
    <x v="68"/>
    <x v="66"/>
    <s v="Khác"/>
    <s v="Khác"/>
    <x v="2"/>
    <s v="NĐ"/>
    <s v="(blank)"/>
    <x v="0"/>
    <n v="0"/>
    <n v="0"/>
    <n v="0"/>
    <n v="0"/>
    <n v="0"/>
    <n v="22138160"/>
    <m/>
    <m/>
    <m/>
    <m/>
    <m/>
    <m/>
    <m/>
    <m/>
    <m/>
    <m/>
    <m/>
    <n v="878.90749743435151"/>
    <n v="0"/>
    <x v="7"/>
    <x v="68"/>
  </r>
  <r>
    <x v="0"/>
    <x v="10"/>
    <n v="11"/>
    <s v="105214"/>
    <s v="Người mua hàng không lấy hóa đơn"/>
    <x v="27"/>
    <x v="25"/>
    <s v="Khác"/>
    <s v="Khác"/>
    <x v="2"/>
    <s v="NĐ"/>
    <s v="(blank)"/>
    <x v="0"/>
    <n v="0"/>
    <n v="50866903"/>
    <n v="0"/>
    <n v="0"/>
    <n v="0"/>
    <n v="50866903"/>
    <m/>
    <m/>
    <m/>
    <m/>
    <m/>
    <m/>
    <m/>
    <m/>
    <m/>
    <m/>
    <m/>
    <n v="2019.4678517982484"/>
    <n v="2019.4678517982484"/>
    <x v="9"/>
    <x v="27"/>
  </r>
  <r>
    <x v="0"/>
    <x v="10"/>
    <n v="11"/>
    <s v="105217"/>
    <s v="Nestle Việt Nam"/>
    <x v="27"/>
    <x v="25"/>
    <s v="Khác"/>
    <s v="Khác"/>
    <x v="2"/>
    <s v="NĐ"/>
    <s v="(blank)"/>
    <x v="0"/>
    <n v="0"/>
    <n v="18360000"/>
    <n v="0"/>
    <n v="0"/>
    <n v="0"/>
    <n v="18360000"/>
    <m/>
    <m/>
    <m/>
    <m/>
    <m/>
    <m/>
    <m/>
    <m/>
    <m/>
    <m/>
    <m/>
    <n v="728.91069776777715"/>
    <n v="728.91069776777715"/>
    <x v="82"/>
    <x v="27"/>
  </r>
  <r>
    <x v="0"/>
    <x v="10"/>
    <n v="11"/>
    <s v="105222"/>
    <s v="CN Cty Coca - Hà Nội"/>
    <x v="8"/>
    <x v="8"/>
    <s v="rPET"/>
    <s v="rPET"/>
    <x v="3"/>
    <s v="NĐ"/>
    <s v="(blank)"/>
    <x v="0"/>
    <n v="44000"/>
    <n v="1505196000"/>
    <n v="3616428.4118291344"/>
    <n v="0"/>
    <n v="23148148.148148142"/>
    <n v="1478431423.4400227"/>
    <m/>
    <m/>
    <m/>
    <m/>
    <m/>
    <m/>
    <m/>
    <m/>
    <m/>
    <m/>
    <m/>
    <n v="58695.233140603217"/>
    <n v="59757.814086997125"/>
    <x v="3"/>
    <x v="8"/>
  </r>
  <r>
    <x v="0"/>
    <x v="10"/>
    <n v="11"/>
    <s v="105229"/>
    <s v="GIA TƯỜNG"/>
    <x v="44"/>
    <x v="42"/>
    <s v="GC"/>
    <s v="GC"/>
    <x v="10"/>
    <s v="NĐ"/>
    <s v="(blank)"/>
    <x v="0"/>
    <n v="115000"/>
    <n v="2168000000"/>
    <n v="0"/>
    <n v="159300000.00000003"/>
    <n v="0"/>
    <n v="2008700000"/>
    <m/>
    <m/>
    <m/>
    <m/>
    <m/>
    <m/>
    <m/>
    <m/>
    <m/>
    <m/>
    <m/>
    <n v="79747.435653928871"/>
    <n v="86071.807884561058"/>
    <x v="24"/>
    <x v="44"/>
  </r>
  <r>
    <x v="0"/>
    <x v="10"/>
    <n v="11"/>
    <s v="105247"/>
    <s v="MINH THÀNH"/>
    <x v="29"/>
    <x v="27"/>
    <s v="Khác"/>
    <s v="Phó sản"/>
    <x v="5"/>
    <s v="NĐ"/>
    <s v="(blank)"/>
    <x v="0"/>
    <n v="12114"/>
    <n v="256816800"/>
    <n v="0"/>
    <n v="0"/>
    <n v="0"/>
    <n v="256816800"/>
    <m/>
    <m/>
    <m/>
    <m/>
    <m/>
    <m/>
    <m/>
    <m/>
    <m/>
    <m/>
    <m/>
    <n v="10195.888501442685"/>
    <n v="10195.888501442685"/>
    <x v="10"/>
    <x v="29"/>
  </r>
  <r>
    <x v="0"/>
    <x v="10"/>
    <n v="11"/>
    <s v="105247"/>
    <s v="MINH THÀNH"/>
    <x v="79"/>
    <x v="77"/>
    <s v="Khác"/>
    <s v="Phó sản"/>
    <x v="5"/>
    <s v="NĐ"/>
    <s v="(blank)"/>
    <x v="0"/>
    <n v="5198"/>
    <n v="98762000"/>
    <n v="0"/>
    <n v="0"/>
    <n v="0"/>
    <n v="98762000"/>
    <m/>
    <m/>
    <m/>
    <m/>
    <m/>
    <m/>
    <m/>
    <m/>
    <m/>
    <m/>
    <m/>
    <n v="3920.9519789183664"/>
    <n v="3920.9519789183664"/>
    <x v="10"/>
    <x v="79"/>
  </r>
  <r>
    <x v="0"/>
    <x v="10"/>
    <n v="11"/>
    <s v="105248"/>
    <s v="ĐẠI NHẤT LONG"/>
    <x v="51"/>
    <x v="49"/>
    <s v="rHDPE"/>
    <s v="rHDPE ép"/>
    <x v="1"/>
    <s v="NĐ"/>
    <s v="(blank)"/>
    <x v="0"/>
    <n v="4500"/>
    <n v="93375000"/>
    <n v="1084928.5235487404"/>
    <n v="0"/>
    <n v="0"/>
    <n v="92290071.476451263"/>
    <m/>
    <m/>
    <m/>
    <m/>
    <m/>
    <m/>
    <m/>
    <m/>
    <m/>
    <m/>
    <m/>
    <n v="3664.0098255412918"/>
    <n v="3707.082592814063"/>
    <x v="27"/>
    <x v="51"/>
  </r>
  <r>
    <x v="0"/>
    <x v="10"/>
    <n v="11"/>
    <s v="105248"/>
    <s v="ĐẠI NHẤT LONG"/>
    <x v="46"/>
    <x v="44"/>
    <s v="rHDPE"/>
    <s v="rHDPE ép"/>
    <x v="1"/>
    <s v="NĐ"/>
    <s v="(blank)"/>
    <x v="0"/>
    <n v="5250"/>
    <n v="108937500"/>
    <n v="1265749.944140197"/>
    <n v="0"/>
    <n v="0"/>
    <n v="107671750.0558598"/>
    <m/>
    <m/>
    <m/>
    <m/>
    <m/>
    <m/>
    <m/>
    <m/>
    <m/>
    <m/>
    <m/>
    <n v="4274.6781297981743"/>
    <n v="4324.9296916164067"/>
    <x v="27"/>
    <x v="46"/>
  </r>
  <r>
    <x v="0"/>
    <x v="10"/>
    <n v="11"/>
    <s v="105249"/>
    <s v="RỒNG VIỆT"/>
    <x v="29"/>
    <x v="27"/>
    <s v="Khác"/>
    <s v="Phó sản"/>
    <x v="5"/>
    <s v="NĐ"/>
    <s v="(blank)"/>
    <x v="0"/>
    <n v="18156"/>
    <n v="384907200"/>
    <n v="0"/>
    <n v="0"/>
    <n v="0"/>
    <n v="384907200"/>
    <m/>
    <m/>
    <m/>
    <m/>
    <m/>
    <m/>
    <m/>
    <m/>
    <m/>
    <m/>
    <m/>
    <n v="15281.2078283138"/>
    <n v="15281.2078283138"/>
    <x v="28"/>
    <x v="29"/>
  </r>
  <r>
    <x v="0"/>
    <x v="10"/>
    <n v="11"/>
    <s v="105263"/>
    <s v="Unilever Duy Tân"/>
    <x v="1"/>
    <x v="1"/>
    <s v="rHDPE"/>
    <s v="rHDPE thổi"/>
    <x v="0"/>
    <s v="NĐ"/>
    <s v="(blank)"/>
    <x v="0"/>
    <n v="66000"/>
    <n v="2316204000"/>
    <n v="0"/>
    <n v="0"/>
    <n v="0"/>
    <n v="2316204000"/>
    <m/>
    <m/>
    <m/>
    <m/>
    <m/>
    <m/>
    <m/>
    <m/>
    <m/>
    <m/>
    <m/>
    <n v="91955.657615060816"/>
    <n v="91955.657615060816"/>
    <x v="2"/>
    <x v="1"/>
  </r>
  <r>
    <x v="0"/>
    <x v="10"/>
    <n v="11"/>
    <s v="105263"/>
    <s v="Unilever Duy Tân"/>
    <x v="50"/>
    <x v="48"/>
    <s v="rHDPE"/>
    <s v="rHDPE thổi"/>
    <x v="0"/>
    <s v="NĐ"/>
    <s v="(blank)"/>
    <x v="0"/>
    <n v="11000"/>
    <n v="372306000"/>
    <n v="0"/>
    <n v="0"/>
    <n v="0"/>
    <n v="372306000"/>
    <m/>
    <m/>
    <m/>
    <m/>
    <m/>
    <m/>
    <m/>
    <m/>
    <m/>
    <m/>
    <m/>
    <n v="14780.927355290309"/>
    <n v="14780.927355290309"/>
    <x v="2"/>
    <x v="50"/>
  </r>
  <r>
    <x v="0"/>
    <x v="10"/>
    <n v="11"/>
    <s v="105263"/>
    <s v="Unilever Duy Tân"/>
    <x v="83"/>
    <x v="81"/>
    <s v="rHDPE"/>
    <s v="rHDPE thổi"/>
    <x v="0"/>
    <s v="NĐ"/>
    <s v="(blank)"/>
    <x v="0"/>
    <n v="11000"/>
    <n v="386034000"/>
    <n v="0"/>
    <n v="0"/>
    <n v="0"/>
    <n v="386034000"/>
    <m/>
    <m/>
    <m/>
    <m/>
    <m/>
    <m/>
    <m/>
    <m/>
    <m/>
    <m/>
    <m/>
    <n v="15325.942935843468"/>
    <n v="15325.942935843468"/>
    <x v="2"/>
    <x v="83"/>
  </r>
  <r>
    <x v="0"/>
    <x v="10"/>
    <n v="11"/>
    <s v="105266"/>
    <s v="MIDA"/>
    <x v="95"/>
    <x v="93"/>
    <s v="rPP"/>
    <s v="rPP"/>
    <x v="6"/>
    <s v="NĐ"/>
    <s v="(blank)"/>
    <x v="0"/>
    <n v="25"/>
    <n v="573750"/>
    <n v="13909.34004549667"/>
    <n v="0"/>
    <n v="0"/>
    <n v="559840.6599545033"/>
    <m/>
    <m/>
    <m/>
    <m/>
    <m/>
    <m/>
    <m/>
    <m/>
    <m/>
    <m/>
    <m/>
    <n v="22.226244340207508"/>
    <n v="22.778459305243036"/>
    <x v="35"/>
    <x v="95"/>
  </r>
  <r>
    <x v="0"/>
    <x v="10"/>
    <n v="11"/>
    <s v="105266"/>
    <s v="MIDA"/>
    <x v="53"/>
    <x v="51"/>
    <s v="rPET"/>
    <s v="rPET"/>
    <x v="3"/>
    <s v="NĐ"/>
    <s v="(blank)"/>
    <x v="0"/>
    <n v="300"/>
    <n v="9562500"/>
    <n v="166912.08054596005"/>
    <n v="0"/>
    <n v="0"/>
    <n v="9395587.91945404"/>
    <m/>
    <m/>
    <m/>
    <m/>
    <m/>
    <m/>
    <m/>
    <m/>
    <m/>
    <m/>
    <m/>
    <n v="373.01440884029097"/>
    <n v="379.64098842071729"/>
    <x v="35"/>
    <x v="53"/>
  </r>
  <r>
    <x v="0"/>
    <x v="10"/>
    <n v="11"/>
    <s v="105271"/>
    <s v="Suntory- Ngọc Nghĩa Tây Ninh"/>
    <x v="8"/>
    <x v="8"/>
    <s v="rPET"/>
    <s v="rPET"/>
    <x v="3"/>
    <s v="NĐ"/>
    <s v="(blank)"/>
    <x v="1"/>
    <n v="-2718"/>
    <n v="0"/>
    <n v="0"/>
    <n v="0"/>
    <n v="0"/>
    <n v="0"/>
    <m/>
    <m/>
    <m/>
    <m/>
    <m/>
    <m/>
    <m/>
    <m/>
    <m/>
    <m/>
    <m/>
    <n v="0"/>
    <n v="0"/>
    <x v="7"/>
    <x v="8"/>
  </r>
  <r>
    <x v="0"/>
    <x v="10"/>
    <n v="11"/>
    <s v="105271"/>
    <s v="Suntory- Ngọc Nghĩa Tây Ninh"/>
    <x v="8"/>
    <x v="8"/>
    <s v="rPET"/>
    <s v="rPET"/>
    <x v="3"/>
    <s v="NĐ"/>
    <s v="(blank)"/>
    <x v="0"/>
    <n v="22000"/>
    <n v="801460000"/>
    <n v="1808214.2059145672"/>
    <n v="0"/>
    <n v="3080000"/>
    <n v="791037245.79408538"/>
    <m/>
    <m/>
    <m/>
    <m/>
    <m/>
    <m/>
    <m/>
    <m/>
    <m/>
    <m/>
    <m/>
    <n v="31404.984247933957"/>
    <n v="31818.778204409733"/>
    <x v="7"/>
    <x v="8"/>
  </r>
  <r>
    <x v="0"/>
    <x v="10"/>
    <n v="11"/>
    <s v="105271"/>
    <s v="Suntory- Ngọc Nghĩa Tây Ninh"/>
    <x v="8"/>
    <x v="8"/>
    <s v="rPET"/>
    <s v="rPET"/>
    <x v="3"/>
    <s v="NĐ"/>
    <s v="(blank)"/>
    <x v="2"/>
    <n v="2718"/>
    <n v="0"/>
    <n v="0"/>
    <n v="0"/>
    <n v="0"/>
    <n v="0"/>
    <m/>
    <m/>
    <m/>
    <m/>
    <m/>
    <m/>
    <m/>
    <m/>
    <m/>
    <m/>
    <m/>
    <n v="0"/>
    <n v="0"/>
    <x v="7"/>
    <x v="8"/>
  </r>
  <r>
    <x v="0"/>
    <x v="10"/>
    <n v="11"/>
    <s v="105271"/>
    <s v="Suntory- Ngọc Nghĩa Tây Ninh"/>
    <x v="68"/>
    <x v="66"/>
    <s v="Khác"/>
    <s v="Khác"/>
    <x v="2"/>
    <s v="NĐ"/>
    <s v="(blank)"/>
    <x v="0"/>
    <n v="0"/>
    <n v="0"/>
    <n v="0"/>
    <n v="0"/>
    <n v="0"/>
    <n v="5534540"/>
    <m/>
    <m/>
    <m/>
    <m/>
    <m/>
    <m/>
    <m/>
    <m/>
    <m/>
    <m/>
    <m/>
    <n v="219.72687435858788"/>
    <n v="0"/>
    <x v="7"/>
    <x v="68"/>
  </r>
  <r>
    <x v="0"/>
    <x v="10"/>
    <n v="11"/>
    <s v="105272"/>
    <s v="LINH CHI"/>
    <x v="62"/>
    <x v="60"/>
    <s v="Xơ sợi"/>
    <s v="Xơ sợi"/>
    <x v="7"/>
    <s v="NĐ"/>
    <s v="(blank)"/>
    <x v="0"/>
    <n v="11000"/>
    <n v="209000000"/>
    <n v="1808214.2059145672"/>
    <n v="0"/>
    <n v="0"/>
    <n v="207191785.79408544"/>
    <m/>
    <m/>
    <m/>
    <m/>
    <m/>
    <m/>
    <m/>
    <m/>
    <m/>
    <m/>
    <m/>
    <n v="8225.7248995053724"/>
    <n v="8297.5128449599906"/>
    <x v="42"/>
    <x v="62"/>
  </r>
  <r>
    <x v="0"/>
    <x v="10"/>
    <n v="11"/>
    <s v="105281"/>
    <s v="Plascene- DTP"/>
    <x v="9"/>
    <x v="9"/>
    <s v="rPET"/>
    <s v="rPET"/>
    <x v="3"/>
    <s v="NĐ"/>
    <s v="(blank)"/>
    <x v="0"/>
    <n v="77000"/>
    <n v="2445105300"/>
    <n v="12657499.441401973"/>
    <n v="0"/>
    <n v="0"/>
    <n v="2432447800.558598"/>
    <m/>
    <m/>
    <m/>
    <m/>
    <m/>
    <m/>
    <m/>
    <m/>
    <m/>
    <m/>
    <m/>
    <n v="96570.654879567679"/>
    <n v="97073.170497750005"/>
    <x v="54"/>
    <x v="9"/>
  </r>
  <r>
    <x v="0"/>
    <x v="10"/>
    <n v="11"/>
    <s v="105283"/>
    <s v="Parker-DTP"/>
    <x v="8"/>
    <x v="8"/>
    <s v="rPET"/>
    <s v="rPET"/>
    <x v="3"/>
    <s v="NĐ"/>
    <s v="(blank)"/>
    <x v="3"/>
    <n v="-400"/>
    <n v="-13242400"/>
    <n v="0"/>
    <n v="0"/>
    <n v="0"/>
    <n v="-13242400"/>
    <m/>
    <m/>
    <m/>
    <m/>
    <m/>
    <m/>
    <m/>
    <m/>
    <m/>
    <m/>
    <m/>
    <n v="-525.73676601960858"/>
    <n v="-525.73676601960858"/>
    <x v="55"/>
    <x v="8"/>
  </r>
  <r>
    <x v="0"/>
    <x v="10"/>
    <n v="11"/>
    <s v="105284"/>
    <s v="Motul -DTP"/>
    <x v="1"/>
    <x v="1"/>
    <s v="rHDPE"/>
    <s v="rHDPE thổi"/>
    <x v="0"/>
    <s v="NĐ"/>
    <s v="(blank)"/>
    <x v="0"/>
    <n v="22000"/>
    <n v="755983800"/>
    <n v="0"/>
    <n v="0"/>
    <n v="0"/>
    <n v="755983800"/>
    <m/>
    <m/>
    <m/>
    <m/>
    <m/>
    <m/>
    <m/>
    <m/>
    <m/>
    <m/>
    <m/>
    <n v="30013.326751586912"/>
    <n v="30013.326751586912"/>
    <x v="59"/>
    <x v="1"/>
  </r>
  <r>
    <x v="0"/>
    <x v="10"/>
    <n v="11"/>
    <s v="105286"/>
    <s v="MONDELEZ-VIỆT THÀNH"/>
    <x v="33"/>
    <x v="31"/>
    <s v="rPET"/>
    <s v="rPET"/>
    <x v="3"/>
    <s v="NĐ"/>
    <s v="(blank)"/>
    <x v="0"/>
    <n v="4400"/>
    <n v="152086000"/>
    <n v="723285.68236582691"/>
    <n v="0"/>
    <n v="0"/>
    <n v="151362714.31763417"/>
    <m/>
    <m/>
    <m/>
    <m/>
    <m/>
    <m/>
    <m/>
    <m/>
    <m/>
    <m/>
    <m/>
    <n v="6009.2539057348276"/>
    <n v="6037.9690839166751"/>
    <x v="88"/>
    <x v="33"/>
  </r>
  <r>
    <x v="0"/>
    <x v="10"/>
    <n v="11"/>
    <s v="105290"/>
    <s v="HOÀNG TẤN"/>
    <x v="75"/>
    <x v="73"/>
    <s v="Khác"/>
    <s v="Phó sản"/>
    <x v="5"/>
    <s v="NĐ"/>
    <s v="(blank)"/>
    <x v="0"/>
    <n v="7388"/>
    <n v="36940000"/>
    <n v="0"/>
    <n v="0"/>
    <n v="0"/>
    <n v="36940000"/>
    <m/>
    <m/>
    <m/>
    <m/>
    <m/>
    <m/>
    <m/>
    <m/>
    <m/>
    <m/>
    <m/>
    <n v="1466.5556195828806"/>
    <n v="1466.5556195828806"/>
    <x v="66"/>
    <x v="75"/>
  </r>
  <r>
    <x v="0"/>
    <x v="10"/>
    <n v="11"/>
    <s v="105290"/>
    <s v="HOÀNG TẤN"/>
    <x v="76"/>
    <x v="74"/>
    <s v="Khác"/>
    <s v="Phó sản"/>
    <x v="5"/>
    <s v="NĐ"/>
    <s v="(blank)"/>
    <x v="0"/>
    <n v="95260"/>
    <n v="476300000"/>
    <n v="0"/>
    <n v="0"/>
    <n v="0"/>
    <n v="476300000"/>
    <m/>
    <m/>
    <m/>
    <m/>
    <m/>
    <m/>
    <m/>
    <m/>
    <m/>
    <m/>
    <m/>
    <n v="18909.595062461452"/>
    <n v="18909.595062461452"/>
    <x v="66"/>
    <x v="76"/>
  </r>
  <r>
    <x v="0"/>
    <x v="10"/>
    <n v="11"/>
    <s v="105290"/>
    <s v="HOÀNG TẤN"/>
    <x v="77"/>
    <x v="75"/>
    <s v="Khác"/>
    <s v="Phó sản"/>
    <x v="5"/>
    <s v="NĐ"/>
    <s v="(blank)"/>
    <x v="0"/>
    <n v="44886"/>
    <n v="224430000"/>
    <n v="0"/>
    <n v="0"/>
    <n v="0"/>
    <n v="224430000"/>
    <m/>
    <m/>
    <m/>
    <m/>
    <m/>
    <m/>
    <m/>
    <m/>
    <m/>
    <m/>
    <m/>
    <n v="8910.0995588247406"/>
    <n v="8910.0995588247406"/>
    <x v="66"/>
    <x v="77"/>
  </r>
  <r>
    <x v="0"/>
    <x v="10"/>
    <n v="11"/>
    <s v="105290"/>
    <s v="HOÀNG TẤN"/>
    <x v="78"/>
    <x v="76"/>
    <s v="Khác"/>
    <s v="Phó sản"/>
    <x v="5"/>
    <s v="NĐ"/>
    <s v="(blank)"/>
    <x v="0"/>
    <n v="37600"/>
    <n v="188000000"/>
    <n v="0"/>
    <n v="0"/>
    <n v="0"/>
    <n v="188000000"/>
    <m/>
    <m/>
    <m/>
    <m/>
    <m/>
    <m/>
    <m/>
    <m/>
    <m/>
    <m/>
    <m/>
    <n v="7463.7914586242978"/>
    <n v="7463.7914586242978"/>
    <x v="66"/>
    <x v="78"/>
  </r>
  <r>
    <x v="0"/>
    <x v="10"/>
    <n v="11"/>
    <s v="105290"/>
    <s v="HOÀNG TẤN"/>
    <x v="96"/>
    <x v="94"/>
    <s v="Khác"/>
    <s v="Phó sản"/>
    <x v="5"/>
    <s v="NĐ"/>
    <s v="(blank)"/>
    <x v="0"/>
    <n v="298726"/>
    <n v="597452000"/>
    <n v="0"/>
    <n v="0"/>
    <n v="0"/>
    <n v="597452000"/>
    <m/>
    <m/>
    <m/>
    <m/>
    <m/>
    <m/>
    <m/>
    <m/>
    <m/>
    <m/>
    <m/>
    <n v="23719.452843287254"/>
    <n v="23719.452843287254"/>
    <x v="66"/>
    <x v="96"/>
  </r>
  <r>
    <x v="0"/>
    <x v="10"/>
    <n v="11"/>
    <s v="105291"/>
    <s v="AN NHẬT"/>
    <x v="9"/>
    <x v="9"/>
    <s v="rPET"/>
    <s v="rPET"/>
    <x v="3"/>
    <s v="NĐ"/>
    <s v="(blank)"/>
    <x v="0"/>
    <n v="3300"/>
    <n v="111341340.00000001"/>
    <n v="542464.26177437021"/>
    <n v="0"/>
    <n v="0"/>
    <n v="110798875.73822564"/>
    <m/>
    <m/>
    <m/>
    <m/>
    <m/>
    <m/>
    <m/>
    <m/>
    <m/>
    <m/>
    <m/>
    <n v="4398.828204043316"/>
    <n v="4420.3645876797018"/>
    <x v="67"/>
    <x v="9"/>
  </r>
  <r>
    <x v="0"/>
    <x v="10"/>
    <n v="11"/>
    <s v="105300"/>
    <s v="BTS Bình Thuận"/>
    <x v="88"/>
    <x v="86"/>
    <s v="rHDPE"/>
    <s v="rHDPE ép"/>
    <x v="1"/>
    <s v="NĐ"/>
    <s v="(blank)"/>
    <x v="1"/>
    <n v="-5250"/>
    <n v="0"/>
    <n v="0"/>
    <n v="0"/>
    <n v="0"/>
    <n v="0"/>
    <m/>
    <m/>
    <m/>
    <m/>
    <m/>
    <m/>
    <m/>
    <m/>
    <m/>
    <m/>
    <m/>
    <n v="0"/>
    <n v="0"/>
    <x v="77"/>
    <x v="88"/>
  </r>
  <r>
    <x v="0"/>
    <x v="10"/>
    <n v="11"/>
    <s v="105300"/>
    <s v="BTS Bình Thuận"/>
    <x v="88"/>
    <x v="86"/>
    <s v="rHDPE"/>
    <s v="rHDPE ép"/>
    <x v="1"/>
    <s v="NĐ"/>
    <s v="(blank)"/>
    <x v="2"/>
    <n v="5250"/>
    <n v="0"/>
    <n v="0"/>
    <n v="0"/>
    <n v="0"/>
    <n v="0"/>
    <m/>
    <m/>
    <m/>
    <m/>
    <m/>
    <m/>
    <m/>
    <m/>
    <m/>
    <m/>
    <m/>
    <n v="0"/>
    <n v="0"/>
    <x v="77"/>
    <x v="88"/>
  </r>
  <r>
    <x v="0"/>
    <x v="10"/>
    <n v="11"/>
    <s v="105303"/>
    <s v="TÂN LẬP THÀNH"/>
    <x v="10"/>
    <x v="10"/>
    <s v="rPET"/>
    <s v="rPET"/>
    <x v="3"/>
    <s v="NĐ"/>
    <s v="(blank)"/>
    <x v="0"/>
    <n v="13200"/>
    <n v="428551860"/>
    <n v="2169857.0470974809"/>
    <n v="0"/>
    <n v="800000"/>
    <n v="425582002.95290256"/>
    <m/>
    <m/>
    <m/>
    <m/>
    <m/>
    <m/>
    <m/>
    <m/>
    <m/>
    <m/>
    <m/>
    <n v="16896.038928638802"/>
    <n v="17013.945277901894"/>
    <x v="84"/>
    <x v="10"/>
  </r>
  <r>
    <x v="0"/>
    <x v="10"/>
    <n v="11"/>
    <s v="105303"/>
    <s v="TÂN LẬP THÀNH"/>
    <x v="33"/>
    <x v="31"/>
    <s v="rPET"/>
    <s v="rPET"/>
    <x v="3"/>
    <s v="NĐ"/>
    <s v="(blank)"/>
    <x v="0"/>
    <n v="11000"/>
    <n v="361166300.00000006"/>
    <n v="1808214.2059145672"/>
    <n v="0"/>
    <n v="0"/>
    <n v="359358085.7940855"/>
    <m/>
    <m/>
    <m/>
    <m/>
    <m/>
    <m/>
    <m/>
    <m/>
    <m/>
    <m/>
    <m/>
    <n v="14266.881975199325"/>
    <n v="14338.669920653943"/>
    <x v="84"/>
    <x v="33"/>
  </r>
  <r>
    <x v="0"/>
    <x v="10"/>
    <n v="11"/>
    <s v="105303"/>
    <s v="TÂN LẬP THÀNH"/>
    <x v="33"/>
    <x v="31"/>
    <s v="rPET"/>
    <s v="rPET"/>
    <x v="3"/>
    <s v="NĐ"/>
    <s v="(blank)"/>
    <x v="3"/>
    <n v="-1100"/>
    <n v="-36116630"/>
    <n v="-180821.42059145673"/>
    <n v="0"/>
    <n v="0"/>
    <n v="-35935808.579408541"/>
    <m/>
    <m/>
    <m/>
    <m/>
    <m/>
    <m/>
    <m/>
    <m/>
    <m/>
    <m/>
    <m/>
    <n v="-1426.6881975199321"/>
    <n v="-1433.866992065394"/>
    <x v="84"/>
    <x v="33"/>
  </r>
  <r>
    <x v="0"/>
    <x v="10"/>
    <n v="11"/>
    <s v="105307"/>
    <s v="UPGREEN VIỆT NAM"/>
    <x v="30"/>
    <x v="28"/>
    <s v="rHDPE"/>
    <s v="rHDPE ép"/>
    <x v="1"/>
    <s v="NĐ"/>
    <s v="(blank)"/>
    <x v="0"/>
    <n v="325"/>
    <n v="6950125"/>
    <n v="0"/>
    <n v="0"/>
    <n v="0"/>
    <n v="6950125"/>
    <m/>
    <m/>
    <m/>
    <m/>
    <m/>
    <m/>
    <m/>
    <m/>
    <m/>
    <m/>
    <m/>
    <n v="275.92704048601701"/>
    <n v="275.92704048601701"/>
    <x v="89"/>
    <x v="30"/>
  </r>
  <r>
    <x v="0"/>
    <x v="10"/>
    <n v="11"/>
    <s v="105308"/>
    <s v="NHỰA PHÚ MỸ"/>
    <x v="80"/>
    <x v="78"/>
    <s v="rHDPE"/>
    <s v="rHDPE ép"/>
    <x v="1"/>
    <s v="NĐ"/>
    <s v="(blank)"/>
    <x v="0"/>
    <n v="3500"/>
    <n v="93583000"/>
    <n v="0"/>
    <n v="0"/>
    <n v="0"/>
    <n v="93583000"/>
    <m/>
    <m/>
    <m/>
    <m/>
    <m/>
    <m/>
    <m/>
    <m/>
    <m/>
    <m/>
    <m/>
    <n v="3715.3404046406258"/>
    <n v="3715.3404046406258"/>
    <x v="90"/>
    <x v="80"/>
  </r>
  <r>
    <x v="0"/>
    <x v="10"/>
    <n v="11"/>
    <s v="105309"/>
    <s v="VI LỮ"/>
    <x v="0"/>
    <x v="0"/>
    <s v="rHDPE"/>
    <s v="rHDPE thổi"/>
    <x v="0"/>
    <s v="NĐ"/>
    <s v="(blank)"/>
    <x v="0"/>
    <n v="25"/>
    <n v="860692.49999999988"/>
    <n v="0"/>
    <n v="0"/>
    <n v="0"/>
    <n v="860692.49999999988"/>
    <m/>
    <m/>
    <m/>
    <m/>
    <m/>
    <m/>
    <m/>
    <m/>
    <m/>
    <m/>
    <m/>
    <n v="34.170368776606345"/>
    <n v="34.170368776606345"/>
    <x v="91"/>
    <x v="0"/>
  </r>
  <r>
    <x v="0"/>
    <x v="10"/>
    <n v="11"/>
    <s v="105309"/>
    <s v="VI LỮ"/>
    <x v="83"/>
    <x v="81"/>
    <s v="rHDPE"/>
    <s v="rHDPE thổi"/>
    <x v="0"/>
    <s v="NĐ"/>
    <s v="(blank)"/>
    <x v="0"/>
    <n v="25"/>
    <n v="860692.49999999988"/>
    <n v="0"/>
    <n v="0"/>
    <n v="0"/>
    <n v="860692.49999999988"/>
    <m/>
    <m/>
    <m/>
    <m/>
    <m/>
    <m/>
    <m/>
    <m/>
    <m/>
    <m/>
    <m/>
    <n v="34.170368776606345"/>
    <n v="34.170368776606345"/>
    <x v="91"/>
    <x v="83"/>
  </r>
  <r>
    <x v="0"/>
    <x v="10"/>
    <n v="11"/>
    <s v="105315"/>
    <s v="Kao Việt Nam"/>
    <x v="33"/>
    <x v="31"/>
    <s v="rPET"/>
    <s v="rPET"/>
    <x v="3"/>
    <s v="NĐ"/>
    <s v="(blank)"/>
    <x v="0"/>
    <n v="100"/>
    <n v="3455000"/>
    <n v="0"/>
    <n v="0"/>
    <n v="0"/>
    <n v="3455000"/>
    <m/>
    <m/>
    <m/>
    <m/>
    <m/>
    <m/>
    <m/>
    <m/>
    <m/>
    <m/>
    <m/>
    <n v="137.16701856141995"/>
    <n v="137.16701856141995"/>
    <x v="92"/>
    <x v="33"/>
  </r>
  <r>
    <x v="0"/>
    <x v="10"/>
    <n v="11"/>
    <s v="200311"/>
    <s v="Plascene, Inc."/>
    <x v="9"/>
    <x v="9"/>
    <s v="rPET"/>
    <s v="rPET"/>
    <x v="3"/>
    <s v="XK"/>
    <s v="United States of America (the)"/>
    <x v="0"/>
    <n v="22000"/>
    <n v="711586920"/>
    <n v="1808214.2059145672"/>
    <n v="0"/>
    <n v="10417231"/>
    <n v="699361474.79408538"/>
    <m/>
    <m/>
    <m/>
    <m/>
    <m/>
    <m/>
    <m/>
    <m/>
    <m/>
    <m/>
    <m/>
    <n v="27719.440142452848"/>
    <n v="28204"/>
    <x v="13"/>
    <x v="9"/>
  </r>
  <r>
    <x v="0"/>
    <x v="10"/>
    <n v="11"/>
    <s v="200319"/>
    <s v="Niagara Bottling, LLC"/>
    <x v="9"/>
    <x v="9"/>
    <s v="rPET"/>
    <s v="rPET"/>
    <x v="3"/>
    <s v="XK"/>
    <s v="United Kingdom of Great Britain and Northern Ireland (the)"/>
    <x v="0"/>
    <n v="110000"/>
    <n v="3490912260"/>
    <n v="8254746.875"/>
    <n v="52363683.899999999"/>
    <n v="44330308.999999993"/>
    <n v="3385963520.2250004"/>
    <m/>
    <m/>
    <m/>
    <m/>
    <m/>
    <m/>
    <m/>
    <m/>
    <m/>
    <m/>
    <m/>
    <n v="134577.24643183628"/>
    <n v="138748.5"/>
    <x v="14"/>
    <x v="9"/>
  </r>
  <r>
    <x v="0"/>
    <x v="10"/>
    <n v="11"/>
    <s v="200319"/>
    <s v="Niagara Bottling, LLC"/>
    <x v="9"/>
    <x v="9"/>
    <s v="rPET"/>
    <s v="rPET"/>
    <x v="3"/>
    <s v="XK"/>
    <s v="United States of America (the)"/>
    <x v="0"/>
    <n v="264000"/>
    <n v="8459394768"/>
    <n v="19811392.5"/>
    <n v="126890921.52000001"/>
    <n v="107074016.00000001"/>
    <n v="8205618437.9800005"/>
    <m/>
    <m/>
    <m/>
    <m/>
    <m/>
    <m/>
    <m/>
    <m/>
    <m/>
    <m/>
    <m/>
    <n v="325618.59356317448"/>
    <n v="335689.2"/>
    <x v="14"/>
    <x v="9"/>
  </r>
  <r>
    <x v="0"/>
    <x v="10"/>
    <n v="11"/>
    <s v="200363"/>
    <s v="PakPot Australia"/>
    <x v="9"/>
    <x v="9"/>
    <s v="rPET"/>
    <s v="rPET"/>
    <x v="3"/>
    <s v="XK"/>
    <s v="Australia"/>
    <x v="0"/>
    <n v="44000"/>
    <n v="1580224799.9999998"/>
    <n v="3616428.4118291344"/>
    <n v="0"/>
    <n v="98405808"/>
    <n v="1478202563.5881705"/>
    <m/>
    <m/>
    <m/>
    <m/>
    <m/>
    <m/>
    <m/>
    <m/>
    <m/>
    <m/>
    <m/>
    <n v="58775.449844460061"/>
    <n v="62831.999999999993"/>
    <x v="86"/>
    <x v="9"/>
  </r>
  <r>
    <x v="0"/>
    <x v="10"/>
    <n v="11"/>
    <s v="200365"/>
    <s v="Vinmar International"/>
    <x v="33"/>
    <x v="31"/>
    <s v="rPET"/>
    <s v="rPET"/>
    <x v="3"/>
    <s v="XK"/>
    <s v="Bulgaria"/>
    <x v="0"/>
    <n v="66000"/>
    <n v="2137211999.9999995"/>
    <n v="4952848.125"/>
    <n v="0"/>
    <n v="27209931.000000007"/>
    <n v="2105049220.8749995"/>
    <m/>
    <m/>
    <m/>
    <m/>
    <m/>
    <m/>
    <m/>
    <m/>
    <m/>
    <m/>
    <m/>
    <n v="83533.699241071416"/>
    <n v="84809.999999999985"/>
    <x v="93"/>
    <x v="33"/>
  </r>
  <r>
    <x v="0"/>
    <x v="10"/>
    <n v="11"/>
    <s v="200367"/>
    <s v="MAS CO.LTD"/>
    <x v="33"/>
    <x v="31"/>
    <s v="rPET"/>
    <s v="rPET"/>
    <x v="3"/>
    <s v="XK"/>
    <s v="Portugal"/>
    <x v="0"/>
    <n v="44000"/>
    <n v="1429216800"/>
    <n v="3301898.75"/>
    <n v="0"/>
    <n v="18353749"/>
    <n v="1407561152.25"/>
    <m/>
    <m/>
    <m/>
    <m/>
    <m/>
    <m/>
    <m/>
    <m/>
    <m/>
    <m/>
    <m/>
    <n v="55899.966332406671"/>
    <n v="56760"/>
    <x v="94"/>
    <x v="33"/>
  </r>
  <r>
    <x v="0"/>
    <x v="10"/>
    <n v="11"/>
    <s v="200367"/>
    <s v="MAS CO.LTD"/>
    <x v="33"/>
    <x v="31"/>
    <s v="rPET"/>
    <s v="rPET"/>
    <x v="3"/>
    <s v="XK"/>
    <s v="Spain"/>
    <x v="0"/>
    <n v="44000"/>
    <n v="1419264000"/>
    <n v="3301898.75"/>
    <n v="0"/>
    <n v="19415612"/>
    <n v="1396546489.25"/>
    <m/>
    <m/>
    <m/>
    <m/>
    <m/>
    <m/>
    <m/>
    <m/>
    <m/>
    <m/>
    <m/>
    <n v="55418.511478174602"/>
    <n v="56320"/>
    <x v="94"/>
    <x v="33"/>
  </r>
  <r>
    <x v="0"/>
    <x v="10"/>
    <n v="11"/>
    <s v="2421100100"/>
    <s v="Chi phí phân bổ"/>
    <x v="27"/>
    <x v="25"/>
    <s v="Khác"/>
    <s v="Khác"/>
    <x v="2"/>
    <s v="NĐ"/>
    <s v="(blank)"/>
    <x v="0"/>
    <n v="0"/>
    <n v="0"/>
    <n v="0"/>
    <n v="0"/>
    <n v="0"/>
    <n v="0"/>
    <m/>
    <m/>
    <m/>
    <m/>
    <m/>
    <m/>
    <m/>
    <m/>
    <m/>
    <m/>
    <m/>
    <n v="0"/>
    <n v="0"/>
    <x v="64"/>
    <x v="27"/>
  </r>
  <r>
    <x v="0"/>
    <x v="10"/>
    <n v="11"/>
    <s v="3358000400"/>
    <s v="Chí phí phải trả khác- Open item"/>
    <x v="36"/>
    <x v="34"/>
    <s v="Khác"/>
    <s v="Khác"/>
    <x v="2"/>
    <s v="NĐ"/>
    <s v="(blank)"/>
    <x v="0"/>
    <n v="0"/>
    <n v="0"/>
    <n v="0"/>
    <n v="0"/>
    <n v="0"/>
    <n v="0"/>
    <m/>
    <m/>
    <m/>
    <m/>
    <m/>
    <m/>
    <m/>
    <m/>
    <m/>
    <m/>
    <m/>
    <n v="0"/>
    <n v="0"/>
    <x v="19"/>
    <x v="36"/>
  </r>
  <r>
    <x v="0"/>
    <x v="10"/>
    <n v="11"/>
    <s v="BN"/>
    <s v="Bán Ngoài"/>
    <x v="38"/>
    <x v="36"/>
    <s v="Khác"/>
    <s v="Khác"/>
    <x v="2"/>
    <s v="NĐ"/>
    <s v="(blank)"/>
    <x v="0"/>
    <n v="0"/>
    <n v="0"/>
    <n v="0"/>
    <n v="0"/>
    <n v="0.37037044763565063"/>
    <n v="-0.37037044763565063"/>
    <m/>
    <m/>
    <m/>
    <m/>
    <m/>
    <m/>
    <m/>
    <m/>
    <m/>
    <m/>
    <m/>
    <n v="-1.4704083955265037E-5"/>
    <n v="0"/>
    <x v="21"/>
    <x v="38"/>
  </r>
  <r>
    <x v="0"/>
    <x v="10"/>
    <n v="11"/>
    <s v="BN"/>
    <s v="Bán Ngoài"/>
    <x v="39"/>
    <x v="37"/>
    <s v="Khác"/>
    <s v="Khác"/>
    <x v="8"/>
    <s v="NĐ"/>
    <s v="(blank)"/>
    <x v="0"/>
    <n v="0"/>
    <n v="0"/>
    <n v="0"/>
    <n v="-14225.419999957085"/>
    <n v="120393130.00000024"/>
    <n v="-120378904.58000028"/>
    <m/>
    <m/>
    <m/>
    <m/>
    <m/>
    <m/>
    <m/>
    <m/>
    <m/>
    <m/>
    <m/>
    <n v="-4779.1651053338028"/>
    <n v="0"/>
    <x v="21"/>
    <x v="39"/>
  </r>
  <r>
    <x v="0"/>
    <x v="10"/>
    <n v="11"/>
    <s v="BN"/>
    <s v="Bán Ngoài"/>
    <x v="40"/>
    <x v="38"/>
    <s v="Khác"/>
    <s v="Khác"/>
    <x v="9"/>
    <s v="NĐ"/>
    <s v="(blank)"/>
    <x v="0"/>
    <n v="0"/>
    <n v="0"/>
    <n v="0"/>
    <n v="0"/>
    <n v="13812493.000000002"/>
    <n v="-13812493.000000002"/>
    <m/>
    <m/>
    <m/>
    <m/>
    <m/>
    <m/>
    <m/>
    <m/>
    <m/>
    <m/>
    <m/>
    <n v="-548.37003870057401"/>
    <n v="0"/>
    <x v="21"/>
    <x v="40"/>
  </r>
  <r>
    <x v="0"/>
    <x v="10"/>
    <n v="11"/>
    <s v="BN"/>
    <s v="Bán Ngoài"/>
    <x v="37"/>
    <x v="35"/>
    <s v="Khác"/>
    <s v="Khác"/>
    <x v="2"/>
    <s v="NĐ"/>
    <s v="(blank)"/>
    <x v="0"/>
    <n v="0"/>
    <n v="0"/>
    <n v="0"/>
    <n v="0"/>
    <n v="0"/>
    <n v="0"/>
    <m/>
    <m/>
    <m/>
    <m/>
    <m/>
    <m/>
    <m/>
    <m/>
    <m/>
    <m/>
    <m/>
    <n v="0"/>
    <n v="0"/>
    <x v="21"/>
    <x v="37"/>
  </r>
  <r>
    <x v="0"/>
    <x v="10"/>
    <n v="11"/>
    <s v="BN"/>
    <s v="Bán Ngoài"/>
    <x v="41"/>
    <x v="39"/>
    <s v="Khác"/>
    <s v="Khác"/>
    <x v="2"/>
    <s v="NĐ"/>
    <s v="(blank)"/>
    <x v="0"/>
    <n v="0"/>
    <n v="0"/>
    <n v="0"/>
    <n v="0"/>
    <n v="0"/>
    <n v="0"/>
    <m/>
    <m/>
    <m/>
    <m/>
    <m/>
    <m/>
    <m/>
    <m/>
    <m/>
    <m/>
    <m/>
    <n v="0"/>
    <n v="0"/>
    <x v="21"/>
    <x v="41"/>
  </r>
  <r>
    <x v="0"/>
    <x v="11"/>
    <n v="12"/>
    <s v="1000"/>
    <s v="CPSX Nhựa Duy Tân"/>
    <x v="2"/>
    <x v="2"/>
    <s v="rHDPE"/>
    <s v="rHDPE ép"/>
    <x v="1"/>
    <s v="NĐ"/>
    <s v="(blank)"/>
    <x v="0"/>
    <n v="4125"/>
    <n v="91857550"/>
    <n v="0"/>
    <n v="0"/>
    <n v="0"/>
    <n v="91857550"/>
    <m/>
    <m/>
    <m/>
    <m/>
    <m/>
    <m/>
    <m/>
    <m/>
    <m/>
    <m/>
    <m/>
    <n v="3641.4822130305747"/>
    <n v="3641.4822130305747"/>
    <x v="0"/>
    <x v="2"/>
  </r>
  <r>
    <x v="0"/>
    <x v="11"/>
    <n v="12"/>
    <s v="1000"/>
    <s v="CPSX Nhựa Duy Tân"/>
    <x v="3"/>
    <x v="3"/>
    <s v="rHDPE"/>
    <s v="rHDPE ép"/>
    <x v="1"/>
    <s v="NĐ"/>
    <s v="(blank)"/>
    <x v="0"/>
    <n v="1375"/>
    <n v="30619183"/>
    <n v="0"/>
    <n v="0"/>
    <n v="0"/>
    <n v="30619183"/>
    <m/>
    <m/>
    <m/>
    <m/>
    <m/>
    <m/>
    <m/>
    <m/>
    <m/>
    <m/>
    <m/>
    <n v="1213.8273911292881"/>
    <n v="1213.8273911292881"/>
    <x v="0"/>
    <x v="3"/>
  </r>
  <r>
    <x v="0"/>
    <x v="11"/>
    <n v="12"/>
    <s v="1000"/>
    <s v="CPSX Nhựa Duy Tân"/>
    <x v="4"/>
    <x v="4"/>
    <s v="rHDPE"/>
    <s v="rHDPE ép"/>
    <x v="1"/>
    <s v="NĐ"/>
    <s v="(blank)"/>
    <x v="0"/>
    <n v="2750"/>
    <n v="61238367"/>
    <n v="0"/>
    <n v="0"/>
    <n v="0"/>
    <n v="61238367"/>
    <m/>
    <m/>
    <m/>
    <m/>
    <m/>
    <m/>
    <m/>
    <m/>
    <m/>
    <m/>
    <m/>
    <n v="2427.6548219012861"/>
    <n v="2427.6548219012861"/>
    <x v="0"/>
    <x v="4"/>
  </r>
  <r>
    <x v="0"/>
    <x v="11"/>
    <n v="12"/>
    <s v="1000"/>
    <s v="CPSX Nhựa Duy Tân"/>
    <x v="6"/>
    <x v="6"/>
    <s v="rHDPE"/>
    <s v="rHDPE thổi"/>
    <x v="0"/>
    <s v="NĐ"/>
    <s v="(blank)"/>
    <x v="1"/>
    <n v="-250"/>
    <n v="0"/>
    <n v="0"/>
    <n v="0"/>
    <n v="0"/>
    <n v="0"/>
    <m/>
    <m/>
    <m/>
    <m/>
    <m/>
    <m/>
    <m/>
    <m/>
    <m/>
    <m/>
    <m/>
    <n v="0"/>
    <n v="0"/>
    <x v="0"/>
    <x v="6"/>
  </r>
  <r>
    <x v="0"/>
    <x v="11"/>
    <n v="12"/>
    <s v="1000"/>
    <s v="CPSX Nhựa Duy Tân"/>
    <x v="6"/>
    <x v="6"/>
    <s v="rHDPE"/>
    <s v="rHDPE thổi"/>
    <x v="0"/>
    <s v="NĐ"/>
    <s v="(blank)"/>
    <x v="0"/>
    <n v="300"/>
    <n v="10316565"/>
    <n v="0"/>
    <n v="0"/>
    <n v="0"/>
    <n v="10316565"/>
    <m/>
    <m/>
    <m/>
    <m/>
    <m/>
    <m/>
    <m/>
    <m/>
    <m/>
    <m/>
    <m/>
    <n v="408.9765941620887"/>
    <n v="408.9765941620887"/>
    <x v="0"/>
    <x v="6"/>
  </r>
  <r>
    <x v="0"/>
    <x v="11"/>
    <n v="12"/>
    <s v="1000"/>
    <s v="CPSX Nhựa Duy Tân"/>
    <x v="6"/>
    <x v="6"/>
    <s v="rHDPE"/>
    <s v="rHDPE thổi"/>
    <x v="0"/>
    <s v="NĐ"/>
    <s v="(blank)"/>
    <x v="2"/>
    <n v="250"/>
    <n v="0"/>
    <n v="0"/>
    <n v="0"/>
    <n v="0"/>
    <n v="0"/>
    <m/>
    <m/>
    <m/>
    <m/>
    <m/>
    <m/>
    <m/>
    <m/>
    <m/>
    <m/>
    <m/>
    <n v="0"/>
    <n v="0"/>
    <x v="0"/>
    <x v="6"/>
  </r>
  <r>
    <x v="0"/>
    <x v="11"/>
    <n v="12"/>
    <s v="102865"/>
    <s v="Dynaplast Bình Dương"/>
    <x v="83"/>
    <x v="81"/>
    <s v="rHDPE"/>
    <s v="rHDPE thổi"/>
    <x v="0"/>
    <s v="NĐ"/>
    <s v="(blank)"/>
    <x v="0"/>
    <n v="2000"/>
    <n v="70604000"/>
    <n v="0"/>
    <n v="0"/>
    <n v="0"/>
    <n v="70604000"/>
    <m/>
    <m/>
    <m/>
    <m/>
    <m/>
    <m/>
    <m/>
    <m/>
    <m/>
    <m/>
    <m/>
    <n v="2798.9338945879863"/>
    <n v="2798.9338945879863"/>
    <x v="2"/>
    <x v="83"/>
  </r>
  <r>
    <x v="0"/>
    <x v="11"/>
    <n v="12"/>
    <s v="102990"/>
    <s v="Coca-Cola Thủ Đức"/>
    <x v="26"/>
    <x v="24"/>
    <s v="Khác"/>
    <s v="Khác"/>
    <x v="2"/>
    <s v="NĐ"/>
    <s v="(blank)"/>
    <x v="0"/>
    <n v="0"/>
    <n v="4139914414"/>
    <n v="0"/>
    <n v="0"/>
    <n v="0"/>
    <n v="4139914414"/>
    <m/>
    <m/>
    <m/>
    <m/>
    <m/>
    <m/>
    <m/>
    <m/>
    <m/>
    <m/>
    <m/>
    <n v="164117.42640697357"/>
    <n v="164117.42640697357"/>
    <x v="3"/>
    <x v="26"/>
  </r>
  <r>
    <x v="0"/>
    <x v="11"/>
    <n v="12"/>
    <s v="104894"/>
    <s v="UNILEVER-NGỌC NGHĨA"/>
    <x v="9"/>
    <x v="9"/>
    <s v="rPET"/>
    <s v="rPET"/>
    <x v="3"/>
    <s v="NĐ"/>
    <s v="(blank)"/>
    <x v="0"/>
    <n v="286000"/>
    <n v="9292998000"/>
    <n v="46730329.811320752"/>
    <n v="0"/>
    <n v="44660000"/>
    <n v="9201607670.1886787"/>
    <m/>
    <m/>
    <m/>
    <m/>
    <m/>
    <m/>
    <m/>
    <m/>
    <m/>
    <m/>
    <m/>
    <n v="364776.66410956735"/>
    <n v="368399.62444816687"/>
    <x v="2"/>
    <x v="9"/>
  </r>
  <r>
    <x v="0"/>
    <x v="11"/>
    <n v="12"/>
    <s v="104909"/>
    <s v="Công ty TNHH La Vie"/>
    <x v="10"/>
    <x v="10"/>
    <s v="rPET"/>
    <s v="rPET"/>
    <x v="3"/>
    <s v="NĐ"/>
    <s v="(blank)"/>
    <x v="1"/>
    <n v="-1100"/>
    <n v="0"/>
    <n v="-179732.03773584907"/>
    <n v="0"/>
    <n v="0"/>
    <n v="179732.03773584907"/>
    <m/>
    <m/>
    <m/>
    <m/>
    <m/>
    <m/>
    <m/>
    <m/>
    <m/>
    <m/>
    <m/>
    <n v="7.1250650439385153"/>
    <n v="0"/>
    <x v="4"/>
    <x v="10"/>
  </r>
  <r>
    <x v="0"/>
    <x v="11"/>
    <n v="12"/>
    <s v="104909"/>
    <s v="Công ty TNHH La Vie"/>
    <x v="10"/>
    <x v="10"/>
    <s v="rPET"/>
    <s v="rPET"/>
    <x v="3"/>
    <s v="NĐ"/>
    <s v="(blank)"/>
    <x v="0"/>
    <n v="239800"/>
    <n v="8030439186"/>
    <n v="35586943.471698105"/>
    <n v="0"/>
    <n v="0"/>
    <n v="7994852242.5283022"/>
    <m/>
    <m/>
    <m/>
    <m/>
    <m/>
    <m/>
    <m/>
    <m/>
    <m/>
    <m/>
    <m/>
    <n v="316937.60868839209"/>
    <n v="318348.37156709202"/>
    <x v="4"/>
    <x v="10"/>
  </r>
  <r>
    <x v="0"/>
    <x v="11"/>
    <n v="12"/>
    <s v="104909"/>
    <s v="Công ty TNHH La Vie"/>
    <x v="10"/>
    <x v="10"/>
    <s v="rPET"/>
    <s v="rPET"/>
    <x v="3"/>
    <s v="NĐ"/>
    <s v="(blank)"/>
    <x v="2"/>
    <n v="1100"/>
    <n v="0"/>
    <n v="179732.03773584907"/>
    <n v="0"/>
    <n v="0"/>
    <n v="-179732.03773584907"/>
    <m/>
    <m/>
    <m/>
    <m/>
    <m/>
    <m/>
    <m/>
    <m/>
    <m/>
    <m/>
    <m/>
    <n v="-7.1250650439385153"/>
    <n v="0"/>
    <x v="4"/>
    <x v="10"/>
  </r>
  <r>
    <x v="0"/>
    <x v="11"/>
    <n v="12"/>
    <s v="105194"/>
    <s v="Suntory Việt Nam"/>
    <x v="8"/>
    <x v="8"/>
    <s v="rPET"/>
    <s v="rPET"/>
    <x v="3"/>
    <s v="NĐ"/>
    <s v="(blank)"/>
    <x v="0"/>
    <n v="572000"/>
    <n v="21400236000"/>
    <n v="46730329.811320759"/>
    <n v="0"/>
    <n v="389833333"/>
    <n v="20819774297.188694"/>
    <m/>
    <m/>
    <m/>
    <m/>
    <m/>
    <m/>
    <m/>
    <m/>
    <m/>
    <m/>
    <m/>
    <n v="825352.27406482841"/>
    <n v="848363.34899696987"/>
    <x v="7"/>
    <x v="8"/>
  </r>
  <r>
    <x v="0"/>
    <x v="11"/>
    <n v="12"/>
    <s v="105194"/>
    <s v="Suntory Việt Nam"/>
    <x v="68"/>
    <x v="66"/>
    <s v="Khác"/>
    <s v="Khác"/>
    <x v="2"/>
    <s v="NĐ"/>
    <s v="(blank)"/>
    <x v="0"/>
    <n v="0"/>
    <n v="0"/>
    <n v="0"/>
    <n v="0"/>
    <n v="0"/>
    <n v="143898040"/>
    <m/>
    <m/>
    <m/>
    <m/>
    <m/>
    <m/>
    <m/>
    <m/>
    <m/>
    <m/>
    <m/>
    <n v="5704.5082646985702"/>
    <n v="0"/>
    <x v="7"/>
    <x v="68"/>
  </r>
  <r>
    <x v="0"/>
    <x v="11"/>
    <n v="12"/>
    <s v="105194"/>
    <s v="Suntory Việt Nam"/>
    <x v="97"/>
    <x v="95"/>
    <s v="Khác"/>
    <s v="Khác"/>
    <x v="2"/>
    <s v="NĐ"/>
    <s v="(blank)"/>
    <x v="4"/>
    <n v="0"/>
    <n v="-541054260"/>
    <n v="0"/>
    <n v="0"/>
    <n v="0"/>
    <n v="-541054260"/>
    <m/>
    <m/>
    <m/>
    <m/>
    <m/>
    <m/>
    <m/>
    <m/>
    <m/>
    <m/>
    <m/>
    <n v="-21448.857106186915"/>
    <n v="-21448.857106186915"/>
    <x v="7"/>
    <x v="97"/>
  </r>
  <r>
    <x v="0"/>
    <x v="11"/>
    <n v="12"/>
    <s v="105204"/>
    <s v="CTY NGỌC NGHĨA-TÂY NINH"/>
    <x v="9"/>
    <x v="9"/>
    <s v="rPET"/>
    <s v="rPET"/>
    <x v="3"/>
    <s v="NĐ"/>
    <s v="(blank)"/>
    <x v="1"/>
    <n v="-6600"/>
    <n v="0"/>
    <n v="0"/>
    <n v="0"/>
    <n v="0"/>
    <n v="0"/>
    <m/>
    <m/>
    <m/>
    <m/>
    <m/>
    <m/>
    <m/>
    <m/>
    <m/>
    <m/>
    <m/>
    <n v="0"/>
    <n v="0"/>
    <x v="5"/>
    <x v="9"/>
  </r>
  <r>
    <x v="0"/>
    <x v="11"/>
    <n v="12"/>
    <s v="105204"/>
    <s v="CTY NGỌC NGHĨA-TÂY NINH"/>
    <x v="9"/>
    <x v="9"/>
    <s v="rPET"/>
    <s v="rPET"/>
    <x v="3"/>
    <s v="NĐ"/>
    <s v="(blank)"/>
    <x v="2"/>
    <n v="6600"/>
    <n v="0"/>
    <n v="0"/>
    <n v="0"/>
    <n v="0"/>
    <n v="0"/>
    <m/>
    <m/>
    <m/>
    <m/>
    <m/>
    <m/>
    <m/>
    <m/>
    <m/>
    <m/>
    <m/>
    <n v="0"/>
    <n v="0"/>
    <x v="5"/>
    <x v="9"/>
  </r>
  <r>
    <x v="0"/>
    <x v="11"/>
    <n v="12"/>
    <s v="105204"/>
    <s v="CTY NGỌC NGHĨA-TÂY NINH"/>
    <x v="33"/>
    <x v="31"/>
    <s v="rPET"/>
    <s v="rPET"/>
    <x v="3"/>
    <s v="NĐ"/>
    <s v="(blank)"/>
    <x v="0"/>
    <n v="1100"/>
    <n v="39520800"/>
    <n v="179732.03773584907"/>
    <n v="0"/>
    <n v="0"/>
    <n v="39341067.96226415"/>
    <m/>
    <m/>
    <m/>
    <m/>
    <m/>
    <m/>
    <m/>
    <m/>
    <m/>
    <m/>
    <m/>
    <n v="1559.5865470634901"/>
    <n v="1566.7116121074287"/>
    <x v="5"/>
    <x v="33"/>
  </r>
  <r>
    <x v="0"/>
    <x v="11"/>
    <n v="12"/>
    <s v="105207"/>
    <s v="Suntory Sri Thái Bình Dương"/>
    <x v="8"/>
    <x v="8"/>
    <s v="rPET"/>
    <s v="rPET"/>
    <x v="3"/>
    <s v="NĐ"/>
    <s v="(blank)"/>
    <x v="1"/>
    <n v="-208"/>
    <n v="0"/>
    <n v="0"/>
    <n v="0"/>
    <n v="0"/>
    <n v="0"/>
    <m/>
    <m/>
    <m/>
    <m/>
    <m/>
    <m/>
    <m/>
    <m/>
    <m/>
    <m/>
    <m/>
    <n v="0"/>
    <n v="0"/>
    <x v="7"/>
    <x v="8"/>
  </r>
  <r>
    <x v="0"/>
    <x v="11"/>
    <n v="12"/>
    <s v="105207"/>
    <s v="Suntory Sri Thái Bình Dương"/>
    <x v="8"/>
    <x v="8"/>
    <s v="rPET"/>
    <s v="rPET"/>
    <x v="3"/>
    <s v="NĐ"/>
    <s v="(blank)"/>
    <x v="0"/>
    <n v="22000"/>
    <n v="813832800"/>
    <n v="3594640.7547169812"/>
    <n v="0"/>
    <n v="4520000"/>
    <n v="800183619.24528301"/>
    <m/>
    <m/>
    <m/>
    <m/>
    <m/>
    <m/>
    <m/>
    <m/>
    <m/>
    <m/>
    <m/>
    <n v="31721.447138968193"/>
    <n v="32262.537652929659"/>
    <x v="7"/>
    <x v="8"/>
  </r>
  <r>
    <x v="0"/>
    <x v="11"/>
    <n v="12"/>
    <s v="105207"/>
    <s v="Suntory Sri Thái Bình Dương"/>
    <x v="8"/>
    <x v="8"/>
    <s v="rPET"/>
    <s v="rPET"/>
    <x v="3"/>
    <s v="NĐ"/>
    <s v="(blank)"/>
    <x v="2"/>
    <n v="208"/>
    <n v="0"/>
    <n v="0"/>
    <n v="0"/>
    <n v="0"/>
    <n v="0"/>
    <m/>
    <m/>
    <m/>
    <m/>
    <m/>
    <m/>
    <m/>
    <m/>
    <m/>
    <m/>
    <m/>
    <n v="0"/>
    <n v="0"/>
    <x v="7"/>
    <x v="8"/>
  </r>
  <r>
    <x v="0"/>
    <x v="11"/>
    <n v="12"/>
    <s v="105207"/>
    <s v="Suntory Sri Thái Bình Dương"/>
    <x v="68"/>
    <x v="66"/>
    <s v="Khác"/>
    <s v="Khác"/>
    <x v="2"/>
    <s v="NĐ"/>
    <s v="(blank)"/>
    <x v="0"/>
    <n v="0"/>
    <n v="0"/>
    <n v="0"/>
    <n v="0"/>
    <n v="0"/>
    <n v="5534540"/>
    <m/>
    <m/>
    <m/>
    <m/>
    <m/>
    <m/>
    <m/>
    <m/>
    <m/>
    <m/>
    <m/>
    <n v="219.40416402686807"/>
    <n v="0"/>
    <x v="7"/>
    <x v="68"/>
  </r>
  <r>
    <x v="0"/>
    <x v="11"/>
    <n v="12"/>
    <s v="105214"/>
    <s v="Người mua hàng không lấy hóa đơn"/>
    <x v="8"/>
    <x v="8"/>
    <s v="rPET"/>
    <s v="rPET"/>
    <x v="3"/>
    <s v="NĐ"/>
    <s v="(blank)"/>
    <x v="0"/>
    <n v="1100"/>
    <n v="36190000"/>
    <n v="179732.03773584907"/>
    <n v="0"/>
    <n v="0"/>
    <n v="36010267.96226415"/>
    <m/>
    <m/>
    <m/>
    <m/>
    <m/>
    <m/>
    <m/>
    <m/>
    <m/>
    <m/>
    <m/>
    <n v="1427.5446087017306"/>
    <n v="1434.6696737456691"/>
    <x v="9"/>
    <x v="8"/>
  </r>
  <r>
    <x v="0"/>
    <x v="11"/>
    <n v="12"/>
    <s v="105214"/>
    <s v="Người mua hàng không lấy hóa đơn"/>
    <x v="9"/>
    <x v="9"/>
    <s v="rPET"/>
    <s v="rPET"/>
    <x v="3"/>
    <s v="NĐ"/>
    <s v="(blank)"/>
    <x v="0"/>
    <n v="1100"/>
    <n v="33880000"/>
    <n v="179732.03773584907"/>
    <n v="0"/>
    <n v="0"/>
    <n v="33700267.96226415"/>
    <m/>
    <m/>
    <m/>
    <m/>
    <m/>
    <m/>
    <m/>
    <m/>
    <m/>
    <m/>
    <m/>
    <n v="1335.9699486754114"/>
    <n v="1343.0950137193499"/>
    <x v="9"/>
    <x v="9"/>
  </r>
  <r>
    <x v="0"/>
    <x v="11"/>
    <n v="12"/>
    <s v="105214"/>
    <s v="Người mua hàng không lấy hóa đơn"/>
    <x v="33"/>
    <x v="31"/>
    <s v="rPET"/>
    <s v="rPET"/>
    <x v="3"/>
    <s v="NĐ"/>
    <s v="(blank)"/>
    <x v="0"/>
    <n v="1100"/>
    <n v="34650000"/>
    <n v="179732.03773584907"/>
    <n v="0"/>
    <n v="0"/>
    <n v="34470267.96226415"/>
    <m/>
    <m/>
    <m/>
    <m/>
    <m/>
    <m/>
    <m/>
    <m/>
    <m/>
    <m/>
    <m/>
    <n v="1366.494835350851"/>
    <n v="1373.6199003947895"/>
    <x v="9"/>
    <x v="33"/>
  </r>
  <r>
    <x v="0"/>
    <x v="11"/>
    <n v="12"/>
    <s v="105214"/>
    <s v="Người mua hàng không lấy hóa đơn"/>
    <x v="58"/>
    <x v="56"/>
    <s v="rPET"/>
    <s v="rPET"/>
    <x v="3"/>
    <s v="NĐ"/>
    <s v="(blank)"/>
    <x v="0"/>
    <n v="1100"/>
    <n v="28746667"/>
    <n v="179732.03773584907"/>
    <n v="0"/>
    <n v="0"/>
    <n v="28566934.96226415"/>
    <m/>
    <m/>
    <m/>
    <m/>
    <m/>
    <m/>
    <m/>
    <m/>
    <m/>
    <m/>
    <m/>
    <n v="1132.4707173867162"/>
    <n v="1139.5957824306547"/>
    <x v="9"/>
    <x v="58"/>
  </r>
  <r>
    <x v="0"/>
    <x v="11"/>
    <n v="12"/>
    <s v="105214"/>
    <s v="Người mua hàng không lấy hóa đơn"/>
    <x v="27"/>
    <x v="25"/>
    <s v="Khác"/>
    <s v="Khác"/>
    <x v="2"/>
    <s v="NĐ"/>
    <s v="(blank)"/>
    <x v="0"/>
    <n v="0"/>
    <n v="869362560"/>
    <n v="0"/>
    <n v="0"/>
    <n v="0"/>
    <n v="869362560"/>
    <m/>
    <m/>
    <m/>
    <m/>
    <m/>
    <m/>
    <m/>
    <m/>
    <m/>
    <m/>
    <m/>
    <n v="34463.887823208061"/>
    <n v="34463.887823208061"/>
    <x v="9"/>
    <x v="27"/>
  </r>
  <r>
    <x v="0"/>
    <x v="11"/>
    <n v="12"/>
    <s v="105217"/>
    <s v="Nestle Việt Nam"/>
    <x v="10"/>
    <x v="10"/>
    <s v="rPET"/>
    <s v="rPET"/>
    <x v="3"/>
    <s v="NĐ"/>
    <s v="(blank)"/>
    <x v="1"/>
    <n v="-44000"/>
    <n v="0"/>
    <n v="0"/>
    <n v="0"/>
    <n v="0"/>
    <n v="0"/>
    <m/>
    <m/>
    <m/>
    <m/>
    <m/>
    <m/>
    <m/>
    <m/>
    <m/>
    <m/>
    <m/>
    <n v="0"/>
    <n v="0"/>
    <x v="82"/>
    <x v="10"/>
  </r>
  <r>
    <x v="0"/>
    <x v="11"/>
    <n v="12"/>
    <s v="105217"/>
    <s v="Nestle Việt Nam"/>
    <x v="10"/>
    <x v="10"/>
    <s v="rPET"/>
    <s v="rPET"/>
    <x v="3"/>
    <s v="NĐ"/>
    <s v="(blank)"/>
    <x v="0"/>
    <n v="44000"/>
    <n v="1466592336"/>
    <n v="7189281.5094339624"/>
    <n v="0"/>
    <n v="0"/>
    <n v="1459403054.490566"/>
    <m/>
    <m/>
    <m/>
    <m/>
    <m/>
    <m/>
    <m/>
    <m/>
    <m/>
    <m/>
    <m/>
    <n v="57854.692015733999"/>
    <n v="58139.694617491536"/>
    <x v="82"/>
    <x v="10"/>
  </r>
  <r>
    <x v="0"/>
    <x v="11"/>
    <n v="12"/>
    <s v="105217"/>
    <s v="Nestle Việt Nam"/>
    <x v="10"/>
    <x v="10"/>
    <s v="rPET"/>
    <s v="rPET"/>
    <x v="3"/>
    <s v="NĐ"/>
    <s v="(blank)"/>
    <x v="2"/>
    <n v="44000"/>
    <n v="0"/>
    <n v="0"/>
    <n v="0"/>
    <n v="0"/>
    <n v="0"/>
    <m/>
    <m/>
    <m/>
    <m/>
    <m/>
    <m/>
    <m/>
    <m/>
    <m/>
    <m/>
    <m/>
    <n v="0"/>
    <n v="0"/>
    <x v="82"/>
    <x v="10"/>
  </r>
  <r>
    <x v="0"/>
    <x v="11"/>
    <n v="12"/>
    <s v="105222"/>
    <s v="CN Cty Coca - Hà Nội"/>
    <x v="8"/>
    <x v="8"/>
    <s v="rPET"/>
    <s v="rPET"/>
    <x v="3"/>
    <s v="NĐ"/>
    <s v="(blank)"/>
    <x v="1"/>
    <n v="-3300"/>
    <n v="0"/>
    <n v="-539196.11320754723"/>
    <n v="0"/>
    <n v="0"/>
    <n v="539196.11320754723"/>
    <m/>
    <m/>
    <m/>
    <m/>
    <m/>
    <m/>
    <m/>
    <m/>
    <m/>
    <m/>
    <m/>
    <n v="21.375195131815545"/>
    <n v="0"/>
    <x v="3"/>
    <x v="8"/>
  </r>
  <r>
    <x v="0"/>
    <x v="11"/>
    <n v="12"/>
    <s v="105222"/>
    <s v="CN Cty Coca - Hà Nội"/>
    <x v="8"/>
    <x v="8"/>
    <s v="rPET"/>
    <s v="rPET"/>
    <x v="3"/>
    <s v="NĐ"/>
    <s v="(blank)"/>
    <x v="2"/>
    <n v="3300"/>
    <n v="0"/>
    <n v="539196.11320754723"/>
    <n v="0"/>
    <n v="0"/>
    <n v="-539196.11320754723"/>
    <m/>
    <m/>
    <m/>
    <m/>
    <m/>
    <m/>
    <m/>
    <m/>
    <m/>
    <m/>
    <m/>
    <n v="-21.375195131815545"/>
    <n v="0"/>
    <x v="3"/>
    <x v="8"/>
  </r>
  <r>
    <x v="0"/>
    <x v="11"/>
    <n v="12"/>
    <s v="105223"/>
    <s v="Dynaplast Bắc Ninh"/>
    <x v="1"/>
    <x v="1"/>
    <s v="rHDPE"/>
    <s v="rHDPE thổi"/>
    <x v="0"/>
    <s v="NĐ"/>
    <s v="(blank)"/>
    <x v="0"/>
    <n v="24750"/>
    <n v="888574500"/>
    <n v="0"/>
    <n v="0"/>
    <n v="28000000.000000004"/>
    <n v="860574500"/>
    <m/>
    <m/>
    <m/>
    <m/>
    <m/>
    <m/>
    <m/>
    <m/>
    <m/>
    <m/>
    <m/>
    <n v="34115.505309445769"/>
    <n v="35225.501188552669"/>
    <x v="2"/>
    <x v="1"/>
  </r>
  <r>
    <x v="0"/>
    <x v="11"/>
    <n v="12"/>
    <s v="105229"/>
    <s v="GIA TƯỜNG"/>
    <x v="44"/>
    <x v="42"/>
    <s v="GC"/>
    <s v="GC"/>
    <x v="10"/>
    <s v="NĐ"/>
    <s v="(blank)"/>
    <x v="0"/>
    <n v="65000"/>
    <n v="1282500000"/>
    <n v="0"/>
    <n v="95750000"/>
    <n v="0"/>
    <n v="1186750000"/>
    <m/>
    <m/>
    <m/>
    <m/>
    <m/>
    <m/>
    <m/>
    <m/>
    <m/>
    <m/>
    <m/>
    <n v="47045.986054646943"/>
    <n v="50841.775534092863"/>
    <x v="24"/>
    <x v="44"/>
  </r>
  <r>
    <x v="0"/>
    <x v="11"/>
    <n v="12"/>
    <s v="105243"/>
    <s v="Unilever"/>
    <x v="26"/>
    <x v="24"/>
    <s v="Khác"/>
    <s v="Khác"/>
    <x v="2"/>
    <s v="NĐ"/>
    <s v="(blank)"/>
    <x v="0"/>
    <n v="0"/>
    <n v="9696050000"/>
    <n v="0"/>
    <n v="0"/>
    <n v="0"/>
    <n v="9696050000"/>
    <m/>
    <m/>
    <m/>
    <m/>
    <m/>
    <m/>
    <m/>
    <m/>
    <m/>
    <m/>
    <m/>
    <n v="384377.69798623089"/>
    <n v="384377.69798623089"/>
    <x v="2"/>
    <x v="26"/>
  </r>
  <r>
    <x v="0"/>
    <x v="11"/>
    <n v="12"/>
    <s v="105247"/>
    <s v="MINH THÀNH"/>
    <x v="29"/>
    <x v="27"/>
    <s v="Khác"/>
    <s v="Phó sản"/>
    <x v="5"/>
    <s v="NĐ"/>
    <s v="(blank)"/>
    <x v="0"/>
    <n v="4330"/>
    <n v="91796000"/>
    <n v="0"/>
    <n v="0"/>
    <n v="0"/>
    <n v="91796000"/>
    <m/>
    <m/>
    <m/>
    <m/>
    <m/>
    <m/>
    <m/>
    <m/>
    <m/>
    <m/>
    <m/>
    <n v="3639.0422042320379"/>
    <n v="3639.0422042320379"/>
    <x v="10"/>
    <x v="29"/>
  </r>
  <r>
    <x v="0"/>
    <x v="11"/>
    <n v="12"/>
    <s v="105248"/>
    <s v="ĐẠI NHẤT LONG"/>
    <x v="51"/>
    <x v="49"/>
    <s v="rHDPE"/>
    <s v="rHDPE ép"/>
    <x v="1"/>
    <s v="NĐ"/>
    <s v="(blank)"/>
    <x v="0"/>
    <n v="5250"/>
    <n v="108937500"/>
    <n v="1258124.2641509436"/>
    <n v="0"/>
    <n v="0"/>
    <n v="107679375.73584905"/>
    <m/>
    <m/>
    <m/>
    <m/>
    <m/>
    <m/>
    <m/>
    <m/>
    <m/>
    <m/>
    <m/>
    <n v="4268.7022618427154"/>
    <n v="4318.5777171502859"/>
    <x v="27"/>
    <x v="51"/>
  </r>
  <r>
    <x v="0"/>
    <x v="11"/>
    <n v="12"/>
    <s v="105248"/>
    <s v="ĐẠI NHẤT LONG"/>
    <x v="46"/>
    <x v="44"/>
    <s v="rHDPE"/>
    <s v="rHDPE ép"/>
    <x v="1"/>
    <s v="NĐ"/>
    <s v="(blank)"/>
    <x v="0"/>
    <n v="4500"/>
    <n v="93375000"/>
    <n v="1078392.2264150945"/>
    <n v="0"/>
    <n v="0"/>
    <n v="92296607.773584902"/>
    <m/>
    <m/>
    <m/>
    <m/>
    <m/>
    <m/>
    <m/>
    <m/>
    <m/>
    <m/>
    <m/>
    <n v="3658.887653008042"/>
    <n v="3701.6380432716733"/>
    <x v="27"/>
    <x v="46"/>
  </r>
  <r>
    <x v="0"/>
    <x v="11"/>
    <n v="12"/>
    <s v="105249"/>
    <s v="RỒNG VIỆT"/>
    <x v="29"/>
    <x v="27"/>
    <s v="Khác"/>
    <s v="Phó sản"/>
    <x v="5"/>
    <s v="NĐ"/>
    <s v="(blank)"/>
    <x v="0"/>
    <n v="11592"/>
    <n v="239954400"/>
    <n v="0"/>
    <n v="0"/>
    <n v="0"/>
    <n v="239954400"/>
    <m/>
    <m/>
    <m/>
    <m/>
    <m/>
    <m/>
    <m/>
    <m/>
    <m/>
    <m/>
    <m/>
    <n v="9512.442684770318"/>
    <n v="9512.442684770318"/>
    <x v="28"/>
    <x v="29"/>
  </r>
  <r>
    <x v="0"/>
    <x v="11"/>
    <n v="12"/>
    <s v="105263"/>
    <s v="Unilever Duy Tân"/>
    <x v="1"/>
    <x v="1"/>
    <s v="rHDPE"/>
    <s v="rHDPE thổi"/>
    <x v="0"/>
    <s v="NĐ"/>
    <s v="(blank)"/>
    <x v="0"/>
    <n v="77150"/>
    <n v="2707502100"/>
    <n v="0"/>
    <n v="0"/>
    <n v="0"/>
    <n v="2707502100"/>
    <m/>
    <m/>
    <m/>
    <m/>
    <m/>
    <m/>
    <m/>
    <m/>
    <m/>
    <m/>
    <m/>
    <n v="107332.72048833143"/>
    <n v="107332.72048833143"/>
    <x v="2"/>
    <x v="1"/>
  </r>
  <r>
    <x v="0"/>
    <x v="11"/>
    <n v="12"/>
    <s v="105263"/>
    <s v="Unilever Duy Tân"/>
    <x v="50"/>
    <x v="48"/>
    <s v="rHDPE"/>
    <s v="rHDPE thổi"/>
    <x v="0"/>
    <s v="NĐ"/>
    <s v="(blank)"/>
    <x v="0"/>
    <n v="27500"/>
    <n v="930765000"/>
    <n v="0"/>
    <n v="0"/>
    <n v="0"/>
    <n v="930765000"/>
    <m/>
    <m/>
    <m/>
    <m/>
    <m/>
    <m/>
    <m/>
    <m/>
    <m/>
    <m/>
    <m/>
    <n v="36898.046943461944"/>
    <n v="36898.046943461944"/>
    <x v="2"/>
    <x v="50"/>
  </r>
  <r>
    <x v="0"/>
    <x v="11"/>
    <n v="12"/>
    <s v="105263"/>
    <s v="Unilever Duy Tân"/>
    <x v="83"/>
    <x v="81"/>
    <s v="rHDPE"/>
    <s v="rHDPE thổi"/>
    <x v="0"/>
    <s v="NĐ"/>
    <s v="(blank)"/>
    <x v="0"/>
    <n v="22000"/>
    <n v="772068000"/>
    <n v="0"/>
    <n v="0"/>
    <n v="0"/>
    <n v="772068000"/>
    <m/>
    <m/>
    <m/>
    <m/>
    <m/>
    <m/>
    <m/>
    <m/>
    <m/>
    <m/>
    <m/>
    <n v="30606.867799653806"/>
    <n v="30606.867799653806"/>
    <x v="2"/>
    <x v="83"/>
  </r>
  <r>
    <x v="0"/>
    <x v="11"/>
    <n v="12"/>
    <s v="105266"/>
    <s v="MIDA"/>
    <x v="95"/>
    <x v="93"/>
    <s v="rPP"/>
    <s v="rPP"/>
    <x v="6"/>
    <s v="NĐ"/>
    <s v="(blank)"/>
    <x v="0"/>
    <n v="25"/>
    <n v="573750"/>
    <n v="13825.541364296083"/>
    <n v="0"/>
    <n v="0"/>
    <n v="559924.45863570389"/>
    <m/>
    <m/>
    <m/>
    <m/>
    <m/>
    <m/>
    <m/>
    <m/>
    <m/>
    <m/>
    <m/>
    <n v="22.196922917742629"/>
    <n v="22.745004844199439"/>
    <x v="35"/>
    <x v="95"/>
  </r>
  <r>
    <x v="0"/>
    <x v="11"/>
    <n v="12"/>
    <s v="105266"/>
    <s v="MIDA"/>
    <x v="53"/>
    <x v="51"/>
    <s v="rPET"/>
    <s v="rPET"/>
    <x v="3"/>
    <s v="NĐ"/>
    <s v="(blank)"/>
    <x v="0"/>
    <n v="300"/>
    <n v="9562500"/>
    <n v="165906.49637155299"/>
    <n v="0"/>
    <n v="0"/>
    <n v="9396593.5036284477"/>
    <m/>
    <m/>
    <m/>
    <m/>
    <m/>
    <m/>
    <m/>
    <m/>
    <m/>
    <m/>
    <m/>
    <n v="372.50643095250894"/>
    <n v="379.08341406999062"/>
    <x v="35"/>
    <x v="53"/>
  </r>
  <r>
    <x v="0"/>
    <x v="11"/>
    <n v="12"/>
    <s v="105269"/>
    <s v="Suntory- Honchuan Viet Nam"/>
    <x v="97"/>
    <x v="95"/>
    <s v="Khác"/>
    <s v="Khác"/>
    <x v="2"/>
    <s v="NĐ"/>
    <s v="(blank)"/>
    <x v="4"/>
    <n v="0"/>
    <n v="-1112760.0000000002"/>
    <n v="0"/>
    <n v="0"/>
    <n v="0"/>
    <n v="-1112760.0000000002"/>
    <m/>
    <m/>
    <m/>
    <m/>
    <m/>
    <m/>
    <m/>
    <m/>
    <m/>
    <m/>
    <m/>
    <n v="-44.112821944106969"/>
    <n v="-44.112821944106969"/>
    <x v="41"/>
    <x v="97"/>
  </r>
  <r>
    <x v="0"/>
    <x v="11"/>
    <n v="12"/>
    <s v="105271"/>
    <s v="Suntory- Ngọc Nghĩa Tây Ninh"/>
    <x v="8"/>
    <x v="8"/>
    <s v="rPET"/>
    <s v="rPET"/>
    <x v="3"/>
    <s v="NĐ"/>
    <s v="(blank)"/>
    <x v="1"/>
    <n v="-4400"/>
    <n v="0"/>
    <n v="0"/>
    <n v="0"/>
    <n v="0"/>
    <n v="0"/>
    <m/>
    <m/>
    <m/>
    <m/>
    <m/>
    <m/>
    <m/>
    <m/>
    <m/>
    <m/>
    <m/>
    <n v="0"/>
    <n v="0"/>
    <x v="7"/>
    <x v="8"/>
  </r>
  <r>
    <x v="0"/>
    <x v="11"/>
    <n v="12"/>
    <s v="105271"/>
    <s v="Suntory- Ngọc Nghĩa Tây Ninh"/>
    <x v="8"/>
    <x v="8"/>
    <s v="rPET"/>
    <s v="rPET"/>
    <x v="3"/>
    <s v="NĐ"/>
    <s v="(blank)"/>
    <x v="0"/>
    <n v="22000"/>
    <n v="813824000"/>
    <n v="3594640.7547169812"/>
    <n v="0"/>
    <n v="3080000"/>
    <n v="801614819.24528301"/>
    <m/>
    <m/>
    <m/>
    <m/>
    <m/>
    <m/>
    <m/>
    <m/>
    <m/>
    <m/>
    <m/>
    <n v="31778.183785474543"/>
    <n v="32262.188797081941"/>
    <x v="7"/>
    <x v="8"/>
  </r>
  <r>
    <x v="0"/>
    <x v="11"/>
    <n v="12"/>
    <s v="105271"/>
    <s v="Suntory- Ngọc Nghĩa Tây Ninh"/>
    <x v="8"/>
    <x v="8"/>
    <s v="rPET"/>
    <s v="rPET"/>
    <x v="3"/>
    <s v="NĐ"/>
    <s v="(blank)"/>
    <x v="2"/>
    <n v="4400"/>
    <n v="0"/>
    <n v="0"/>
    <n v="0"/>
    <n v="0"/>
    <n v="0"/>
    <m/>
    <m/>
    <m/>
    <m/>
    <m/>
    <m/>
    <m/>
    <m/>
    <m/>
    <m/>
    <m/>
    <n v="0"/>
    <n v="0"/>
    <x v="7"/>
    <x v="8"/>
  </r>
  <r>
    <x v="0"/>
    <x v="11"/>
    <n v="12"/>
    <s v="105271"/>
    <s v="Suntory- Ngọc Nghĩa Tây Ninh"/>
    <x v="68"/>
    <x v="66"/>
    <s v="Khác"/>
    <s v="Khác"/>
    <x v="2"/>
    <s v="NĐ"/>
    <s v="(blank)"/>
    <x v="0"/>
    <n v="0"/>
    <n v="0"/>
    <n v="0"/>
    <n v="0"/>
    <n v="0"/>
    <n v="5534540"/>
    <m/>
    <m/>
    <m/>
    <m/>
    <m/>
    <m/>
    <m/>
    <m/>
    <m/>
    <m/>
    <m/>
    <n v="219.40416402686807"/>
    <n v="0"/>
    <x v="7"/>
    <x v="68"/>
  </r>
  <r>
    <x v="0"/>
    <x v="11"/>
    <n v="12"/>
    <s v="105271"/>
    <s v="Suntory- Ngọc Nghĩa Tây Ninh"/>
    <x v="97"/>
    <x v="95"/>
    <s v="Khác"/>
    <s v="Khác"/>
    <x v="2"/>
    <s v="NĐ"/>
    <s v="(blank)"/>
    <x v="4"/>
    <n v="0"/>
    <n v="-45066780"/>
    <n v="0"/>
    <n v="0"/>
    <n v="0"/>
    <n v="-45066780"/>
    <m/>
    <m/>
    <m/>
    <m/>
    <m/>
    <m/>
    <m/>
    <m/>
    <m/>
    <m/>
    <m/>
    <n v="-1786.5692887363318"/>
    <n v="-1786.5692887363318"/>
    <x v="7"/>
    <x v="97"/>
  </r>
  <r>
    <x v="0"/>
    <x v="11"/>
    <n v="12"/>
    <s v="105272"/>
    <s v="LINH CHI"/>
    <x v="62"/>
    <x v="60"/>
    <s v="Xơ sợi"/>
    <s v="Xơ sợi"/>
    <x v="7"/>
    <s v="NĐ"/>
    <s v="(blank)"/>
    <x v="0"/>
    <n v="22000"/>
    <n v="418000000"/>
    <n v="3594640.7547169812"/>
    <n v="0"/>
    <n v="0"/>
    <n v="414405359.24528301"/>
    <m/>
    <m/>
    <m/>
    <m/>
    <m/>
    <m/>
    <m/>
    <m/>
    <m/>
    <m/>
    <m/>
    <n v="16428.151465788531"/>
    <n v="16570.652766667303"/>
    <x v="42"/>
    <x v="62"/>
  </r>
  <r>
    <x v="0"/>
    <x v="11"/>
    <n v="12"/>
    <s v="105281"/>
    <s v="Plascene- DTP"/>
    <x v="9"/>
    <x v="9"/>
    <s v="rPET"/>
    <s v="rPET"/>
    <x v="3"/>
    <s v="NĐ"/>
    <s v="(blank)"/>
    <x v="0"/>
    <n v="22000"/>
    <n v="718440492"/>
    <n v="3594640.7547169812"/>
    <n v="0"/>
    <n v="0"/>
    <n v="714845851.24528301"/>
    <m/>
    <m/>
    <m/>
    <m/>
    <m/>
    <m/>
    <m/>
    <m/>
    <m/>
    <m/>
    <m/>
    <n v="28338.426752818883"/>
    <n v="28480.928053697651"/>
    <x v="54"/>
    <x v="9"/>
  </r>
  <r>
    <x v="0"/>
    <x v="11"/>
    <n v="12"/>
    <s v="105284"/>
    <s v="Motul -DTP"/>
    <x v="63"/>
    <x v="61"/>
    <s v="rHDPE"/>
    <s v="rHDPE thổi"/>
    <x v="0"/>
    <s v="NĐ"/>
    <s v="(blank)"/>
    <x v="0"/>
    <n v="49500"/>
    <n v="1702233225.0000002"/>
    <n v="0"/>
    <n v="0"/>
    <n v="0"/>
    <n v="1702233225.0000002"/>
    <m/>
    <m/>
    <m/>
    <m/>
    <m/>
    <m/>
    <m/>
    <m/>
    <m/>
    <m/>
    <m/>
    <n v="67481.138036744655"/>
    <n v="67481.138036744655"/>
    <x v="59"/>
    <x v="63"/>
  </r>
  <r>
    <x v="0"/>
    <x v="11"/>
    <n v="12"/>
    <s v="105286"/>
    <s v="MONDELEZ-VIỆT THÀNH"/>
    <x v="33"/>
    <x v="31"/>
    <s v="rPET"/>
    <s v="rPET"/>
    <x v="3"/>
    <s v="NĐ"/>
    <s v="(blank)"/>
    <x v="0"/>
    <n v="5500"/>
    <n v="190817000"/>
    <n v="898660.1886792453"/>
    <n v="0"/>
    <n v="0"/>
    <n v="189918339.81132075"/>
    <m/>
    <m/>
    <m/>
    <m/>
    <m/>
    <m/>
    <m/>
    <m/>
    <m/>
    <m/>
    <m/>
    <n v="7528.8776627639309"/>
    <n v="7564.5029879836238"/>
    <x v="88"/>
    <x v="33"/>
  </r>
  <r>
    <x v="0"/>
    <x v="11"/>
    <n v="12"/>
    <s v="105290"/>
    <s v="HOÀNG TẤN"/>
    <x v="75"/>
    <x v="73"/>
    <s v="Khác"/>
    <s v="Phó sản"/>
    <x v="5"/>
    <s v="NĐ"/>
    <s v="(blank)"/>
    <x v="0"/>
    <n v="5230"/>
    <n v="26150000"/>
    <n v="0"/>
    <n v="0"/>
    <n v="0"/>
    <n v="26150000"/>
    <m/>
    <m/>
    <m/>
    <m/>
    <m/>
    <m/>
    <m/>
    <m/>
    <m/>
    <m/>
    <m/>
    <n v="1036.656865665909"/>
    <n v="1036.656865665909"/>
    <x v="66"/>
    <x v="75"/>
  </r>
  <r>
    <x v="0"/>
    <x v="11"/>
    <n v="12"/>
    <s v="105290"/>
    <s v="HOÀNG TẤN"/>
    <x v="76"/>
    <x v="74"/>
    <s v="Khác"/>
    <s v="Phó sản"/>
    <x v="5"/>
    <s v="NĐ"/>
    <s v="(blank)"/>
    <x v="0"/>
    <n v="5030"/>
    <n v="25150000"/>
    <n v="0"/>
    <n v="0"/>
    <n v="0"/>
    <n v="25150000"/>
    <m/>
    <m/>
    <m/>
    <m/>
    <m/>
    <m/>
    <m/>
    <m/>
    <m/>
    <m/>
    <m/>
    <n v="997.01415569780545"/>
    <n v="997.01415569780545"/>
    <x v="66"/>
    <x v="76"/>
  </r>
  <r>
    <x v="0"/>
    <x v="11"/>
    <n v="12"/>
    <s v="105290"/>
    <s v="HOÀNG TẤN"/>
    <x v="77"/>
    <x v="75"/>
    <s v="Khác"/>
    <s v="Phó sản"/>
    <x v="5"/>
    <s v="NĐ"/>
    <s v="(blank)"/>
    <x v="0"/>
    <n v="3690"/>
    <n v="18450000"/>
    <n v="0"/>
    <n v="0"/>
    <n v="0"/>
    <n v="18450000"/>
    <m/>
    <m/>
    <m/>
    <m/>
    <m/>
    <m/>
    <m/>
    <m/>
    <m/>
    <m/>
    <m/>
    <n v="731.40799891151141"/>
    <n v="731.40799891151141"/>
    <x v="66"/>
    <x v="77"/>
  </r>
  <r>
    <x v="0"/>
    <x v="11"/>
    <n v="12"/>
    <s v="105290"/>
    <s v="HOÀNG TẤN"/>
    <x v="78"/>
    <x v="76"/>
    <s v="Khác"/>
    <s v="Phó sản"/>
    <x v="5"/>
    <s v="NĐ"/>
    <s v="(blank)"/>
    <x v="0"/>
    <n v="5650"/>
    <n v="28250000"/>
    <n v="0"/>
    <n v="0"/>
    <n v="0"/>
    <n v="28250000"/>
    <m/>
    <m/>
    <m/>
    <m/>
    <m/>
    <m/>
    <m/>
    <m/>
    <m/>
    <m/>
    <m/>
    <n v="1119.9065565989267"/>
    <n v="1119.9065565989267"/>
    <x v="66"/>
    <x v="78"/>
  </r>
  <r>
    <x v="0"/>
    <x v="11"/>
    <n v="12"/>
    <s v="105290"/>
    <s v="HOÀNG TẤN"/>
    <x v="96"/>
    <x v="94"/>
    <s v="Khác"/>
    <s v="Phó sản"/>
    <x v="5"/>
    <s v="NĐ"/>
    <s v="(blank)"/>
    <x v="0"/>
    <n v="435276"/>
    <n v="870552000"/>
    <n v="0"/>
    <n v="0"/>
    <n v="0"/>
    <n v="870552000"/>
    <m/>
    <m/>
    <m/>
    <m/>
    <m/>
    <m/>
    <m/>
    <m/>
    <m/>
    <m/>
    <m/>
    <n v="34511.040448152518"/>
    <n v="34511.040448152518"/>
    <x v="66"/>
    <x v="96"/>
  </r>
  <r>
    <x v="0"/>
    <x v="11"/>
    <n v="12"/>
    <s v="105303"/>
    <s v="TÂN LẬP THÀNH"/>
    <x v="10"/>
    <x v="10"/>
    <s v="rPET"/>
    <s v="rPET"/>
    <x v="3"/>
    <s v="NĐ"/>
    <s v="(blank)"/>
    <x v="3"/>
    <n v="-9900"/>
    <n v="-320686740"/>
    <n v="0"/>
    <n v="0"/>
    <n v="0"/>
    <n v="-320686740"/>
    <m/>
    <m/>
    <m/>
    <m/>
    <m/>
    <m/>
    <m/>
    <m/>
    <m/>
    <m/>
    <m/>
    <n v="-12712.891424436646"/>
    <n v="-12712.891424436646"/>
    <x v="84"/>
    <x v="10"/>
  </r>
  <r>
    <x v="0"/>
    <x v="11"/>
    <n v="12"/>
    <s v="105303"/>
    <s v="TÂN LẬP THÀNH"/>
    <x v="9"/>
    <x v="9"/>
    <s v="rPET"/>
    <s v="rPET"/>
    <x v="3"/>
    <s v="NĐ"/>
    <s v="(blank)"/>
    <x v="0"/>
    <n v="9900"/>
    <n v="320686740"/>
    <n v="1617588.3396226419"/>
    <n v="0"/>
    <n v="0"/>
    <n v="319069151.66037738"/>
    <m/>
    <m/>
    <m/>
    <m/>
    <m/>
    <m/>
    <m/>
    <m/>
    <m/>
    <m/>
    <m/>
    <n v="12648.7658390412"/>
    <n v="12712.891424436646"/>
    <x v="84"/>
    <x v="9"/>
  </r>
  <r>
    <x v="0"/>
    <x v="11"/>
    <n v="12"/>
    <s v="105305"/>
    <s v="TNHH Nhựa Duy Tân"/>
    <x v="27"/>
    <x v="25"/>
    <s v="Khác"/>
    <s v="Khác"/>
    <x v="2"/>
    <s v="NĐ"/>
    <s v="(blank)"/>
    <x v="0"/>
    <n v="0"/>
    <n v="-877599500"/>
    <n v="0"/>
    <n v="0"/>
    <n v="0"/>
    <n v="-877599500"/>
    <m/>
    <m/>
    <m/>
    <m/>
    <m/>
    <m/>
    <m/>
    <m/>
    <m/>
    <m/>
    <m/>
    <n v="-34790.422446652723"/>
    <n v="-34790.422446652723"/>
    <x v="95"/>
    <x v="27"/>
  </r>
  <r>
    <x v="0"/>
    <x v="11"/>
    <n v="12"/>
    <s v="105306"/>
    <s v="MTV MILKIWAY SOLUTION"/>
    <x v="9"/>
    <x v="9"/>
    <s v="rPET"/>
    <s v="rPET"/>
    <x v="3"/>
    <s v="NĐ"/>
    <s v="(blank)"/>
    <x v="0"/>
    <n v="11000"/>
    <n v="356012800"/>
    <n v="1797320.3773584906"/>
    <n v="0"/>
    <n v="0"/>
    <n v="354215479.6226415"/>
    <m/>
    <m/>
    <m/>
    <m/>
    <m/>
    <m/>
    <m/>
    <m/>
    <m/>
    <m/>
    <m/>
    <n v="14042.061524893086"/>
    <n v="14113.312175332472"/>
    <x v="84"/>
    <x v="9"/>
  </r>
  <r>
    <x v="0"/>
    <x v="11"/>
    <n v="12"/>
    <s v="105317"/>
    <s v="Vân Nga"/>
    <x v="98"/>
    <x v="96"/>
    <s v="rHDPE"/>
    <s v="rHDPE thổi"/>
    <x v="0"/>
    <s v="NĐ"/>
    <s v="(blank)"/>
    <x v="0"/>
    <n v="25"/>
    <n v="893900"/>
    <n v="0"/>
    <n v="0"/>
    <n v="0"/>
    <n v="893900"/>
    <m/>
    <m/>
    <m/>
    <m/>
    <m/>
    <m/>
    <m/>
    <m/>
    <m/>
    <m/>
    <m/>
    <n v="35.436618440487806"/>
    <n v="35.436618440487806"/>
    <x v="96"/>
    <x v="98"/>
  </r>
  <r>
    <x v="0"/>
    <x v="11"/>
    <n v="12"/>
    <s v="105325"/>
    <s v="L'Oreal VN"/>
    <x v="26"/>
    <x v="24"/>
    <s v="Khác"/>
    <s v="Khác"/>
    <x v="2"/>
    <s v="NĐ"/>
    <s v="(blank)"/>
    <x v="0"/>
    <n v="0"/>
    <n v="983340000"/>
    <n v="0"/>
    <n v="0"/>
    <n v="0"/>
    <n v="983340000"/>
    <m/>
    <m/>
    <m/>
    <m/>
    <m/>
    <m/>
    <m/>
    <m/>
    <m/>
    <m/>
    <m/>
    <n v="38982.262420034989"/>
    <n v="38982.262420034989"/>
    <x v="97"/>
    <x v="26"/>
  </r>
  <r>
    <x v="0"/>
    <x v="11"/>
    <n v="12"/>
    <s v="1388190100"/>
    <s v="Phải thu khác-T/gian"/>
    <x v="99"/>
    <x v="97"/>
    <s v="Khác"/>
    <s v="Khác"/>
    <x v="2"/>
    <s v="NĐ"/>
    <s v="(blank)"/>
    <x v="0"/>
    <n v="0"/>
    <n v="0"/>
    <n v="0"/>
    <n v="0"/>
    <n v="0"/>
    <n v="0"/>
    <m/>
    <m/>
    <m/>
    <m/>
    <m/>
    <m/>
    <m/>
    <m/>
    <m/>
    <m/>
    <m/>
    <n v="0"/>
    <n v="0"/>
    <x v="98"/>
    <x v="99"/>
  </r>
  <r>
    <x v="0"/>
    <x v="11"/>
    <n v="12"/>
    <s v="200311"/>
    <s v="Plascene, Inc."/>
    <x v="9"/>
    <x v="9"/>
    <s v="rPET"/>
    <s v="rPET"/>
    <x v="3"/>
    <s v="XK"/>
    <s v="United States of America (the)"/>
    <x v="0"/>
    <n v="110000"/>
    <n v="3555960320"/>
    <n v="11847602.523947749"/>
    <n v="0"/>
    <n v="46857882"/>
    <n v="3497254835.4760523"/>
    <m/>
    <m/>
    <m/>
    <m/>
    <m/>
    <m/>
    <m/>
    <m/>
    <m/>
    <m/>
    <m/>
    <n v="138691.86973262348"/>
    <n v="141020"/>
    <x v="13"/>
    <x v="9"/>
  </r>
  <r>
    <x v="0"/>
    <x v="11"/>
    <n v="12"/>
    <s v="200319"/>
    <s v="Niagara Bottling, LLC"/>
    <x v="9"/>
    <x v="9"/>
    <s v="rPET"/>
    <s v="rPET"/>
    <x v="3"/>
    <s v="XK"/>
    <s v="United Kingdom of Great Britain and Northern Ireland (the)"/>
    <x v="0"/>
    <n v="220000"/>
    <n v="7138069125"/>
    <n v="16505923.538461534"/>
    <n v="107071036.875"/>
    <n v="88491942.999999985"/>
    <n v="6926000221.5865393"/>
    <m/>
    <m/>
    <m/>
    <m/>
    <m/>
    <m/>
    <m/>
    <m/>
    <m/>
    <m/>
    <m/>
    <n v="274567.92552639061"/>
    <n v="282975"/>
    <x v="14"/>
    <x v="9"/>
  </r>
  <r>
    <x v="0"/>
    <x v="11"/>
    <n v="12"/>
    <s v="200319"/>
    <s v="Niagara Bottling, LLC"/>
    <x v="9"/>
    <x v="9"/>
    <s v="rPET"/>
    <s v="rPET"/>
    <x v="3"/>
    <s v="XK"/>
    <s v="United States of America (the)"/>
    <x v="0"/>
    <n v="880000"/>
    <n v="28457926200"/>
    <n v="66023694.153846182"/>
    <n v="426868892.99999994"/>
    <n v="329774668"/>
    <n v="27635258944.846161"/>
    <m/>
    <m/>
    <m/>
    <m/>
    <m/>
    <m/>
    <m/>
    <m/>
    <m/>
    <m/>
    <m/>
    <n v="1095333.4029997394"/>
    <n v="1127940"/>
    <x v="14"/>
    <x v="9"/>
  </r>
  <r>
    <x v="0"/>
    <x v="11"/>
    <n v="12"/>
    <s v="200353"/>
    <s v="Custom Synthetic Fibers, LLC"/>
    <x v="62"/>
    <x v="60"/>
    <s v="Xơ sợi"/>
    <s v="Xơ sợi"/>
    <x v="7"/>
    <s v="XK"/>
    <s v="United States of America (the)"/>
    <x v="0"/>
    <n v="220000"/>
    <n v="5056128000.000001"/>
    <n v="16505923.538461534"/>
    <n v="55440000"/>
    <n v="877824110"/>
    <n v="4106357966.4615393"/>
    <m/>
    <m/>
    <m/>
    <m/>
    <m/>
    <m/>
    <m/>
    <m/>
    <m/>
    <m/>
    <m/>
    <n v="162950.71295482299"/>
    <n v="200640.00000000003"/>
    <x v="45"/>
    <x v="62"/>
  </r>
  <r>
    <x v="0"/>
    <x v="11"/>
    <n v="12"/>
    <s v="200358"/>
    <s v="REYNERA"/>
    <x v="85"/>
    <x v="83"/>
    <s v="rPP"/>
    <s v="rPP"/>
    <x v="6"/>
    <s v="XK"/>
    <s v="Mexico"/>
    <x v="0"/>
    <n v="14000"/>
    <n v="389158000.00000006"/>
    <n v="0"/>
    <n v="0"/>
    <n v="7725662.583333334"/>
    <n v="381432337.41666675"/>
    <m/>
    <m/>
    <m/>
    <m/>
    <m/>
    <m/>
    <m/>
    <m/>
    <m/>
    <m/>
    <m/>
    <n v="15094.275323176365"/>
    <n v="15400.000000000002"/>
    <x v="58"/>
    <x v="85"/>
  </r>
  <r>
    <x v="0"/>
    <x v="11"/>
    <n v="12"/>
    <s v="200358"/>
    <s v="REYNERA"/>
    <x v="86"/>
    <x v="84"/>
    <s v="rPP"/>
    <s v="rPP"/>
    <x v="6"/>
    <s v="XK"/>
    <s v="Mexico"/>
    <x v="0"/>
    <n v="10000"/>
    <n v="277970000.00000006"/>
    <n v="0"/>
    <n v="0"/>
    <n v="5518330.416666666"/>
    <n v="272451669.58333337"/>
    <m/>
    <m/>
    <m/>
    <m/>
    <m/>
    <m/>
    <m/>
    <m/>
    <m/>
    <m/>
    <m/>
    <n v="10781.62523084026"/>
    <n v="11000.000000000002"/>
    <x v="58"/>
    <x v="86"/>
  </r>
  <r>
    <x v="0"/>
    <x v="11"/>
    <n v="12"/>
    <s v="200359"/>
    <s v="PREMIUM WATER"/>
    <x v="100"/>
    <x v="98"/>
    <s v="Khác"/>
    <s v="Khác"/>
    <x v="15"/>
    <s v="XK"/>
    <s v="United States of America (the)"/>
    <x v="5"/>
    <n v="0"/>
    <n v="-3772500000"/>
    <n v="0"/>
    <n v="0"/>
    <n v="0"/>
    <n v="-3772500000"/>
    <m/>
    <m/>
    <m/>
    <m/>
    <m/>
    <m/>
    <m/>
    <m/>
    <m/>
    <m/>
    <m/>
    <n v="-149552.12335467082"/>
    <n v="-149552.12335467082"/>
    <x v="63"/>
    <x v="100"/>
  </r>
  <r>
    <x v="0"/>
    <x v="11"/>
    <n v="12"/>
    <s v="3351000100"/>
    <s v="Chi phí tiền lươngT 13 &amp; phép năm phải trả"/>
    <x v="101"/>
    <x v="99"/>
    <s v="Khác"/>
    <s v="Khác"/>
    <x v="2"/>
    <s v="NĐ"/>
    <s v="(blank)"/>
    <x v="0"/>
    <n v="0"/>
    <n v="0"/>
    <n v="0"/>
    <n v="0"/>
    <n v="0"/>
    <n v="0"/>
    <m/>
    <m/>
    <m/>
    <m/>
    <m/>
    <m/>
    <m/>
    <m/>
    <m/>
    <m/>
    <m/>
    <n v="0"/>
    <n v="0"/>
    <x v="99"/>
    <x v="101"/>
  </r>
  <r>
    <x v="0"/>
    <x v="11"/>
    <n v="12"/>
    <s v="3358000400"/>
    <s v="Chí phí phải trả khác- Open item"/>
    <x v="36"/>
    <x v="34"/>
    <s v="Khác"/>
    <s v="Khác"/>
    <x v="2"/>
    <s v="NĐ"/>
    <s v="(blank)"/>
    <x v="0"/>
    <n v="0"/>
    <n v="0"/>
    <n v="0"/>
    <n v="0"/>
    <n v="0"/>
    <n v="0"/>
    <m/>
    <m/>
    <m/>
    <m/>
    <m/>
    <m/>
    <m/>
    <m/>
    <m/>
    <m/>
    <m/>
    <n v="0"/>
    <n v="0"/>
    <x v="19"/>
    <x v="36"/>
  </r>
  <r>
    <x v="0"/>
    <x v="11"/>
    <n v="12"/>
    <s v="3358000400"/>
    <s v="Chí phí phải trả khác- Open item"/>
    <x v="7"/>
    <x v="7"/>
    <s v="Khác"/>
    <s v="Khác"/>
    <x v="2"/>
    <s v="NĐ"/>
    <s v="(blank)"/>
    <x v="0"/>
    <n v="0"/>
    <n v="0"/>
    <n v="0"/>
    <n v="0"/>
    <n v="0"/>
    <n v="0"/>
    <m/>
    <m/>
    <m/>
    <m/>
    <m/>
    <m/>
    <m/>
    <m/>
    <m/>
    <m/>
    <m/>
    <n v="0"/>
    <n v="0"/>
    <x v="19"/>
    <x v="7"/>
  </r>
  <r>
    <x v="0"/>
    <x v="11"/>
    <n v="12"/>
    <s v="3532000100"/>
    <s v="Quỹ phúc lợi"/>
    <x v="101"/>
    <x v="99"/>
    <s v="Khác"/>
    <s v="Khác"/>
    <x v="2"/>
    <s v="NĐ"/>
    <s v="(blank)"/>
    <x v="0"/>
    <n v="0"/>
    <n v="0"/>
    <n v="0"/>
    <n v="0"/>
    <n v="0"/>
    <n v="0"/>
    <m/>
    <m/>
    <m/>
    <m/>
    <m/>
    <m/>
    <m/>
    <m/>
    <m/>
    <m/>
    <m/>
    <n v="0"/>
    <n v="0"/>
    <x v="100"/>
    <x v="101"/>
  </r>
  <r>
    <x v="0"/>
    <x v="11"/>
    <n v="12"/>
    <s v="6000000100"/>
    <s v="CP hình thành TSDD(IO)"/>
    <x v="102"/>
    <x v="100"/>
    <s v="Khác"/>
    <s v="Khác"/>
    <x v="2"/>
    <s v="NĐ"/>
    <s v="(blank)"/>
    <x v="0"/>
    <n v="0"/>
    <n v="0"/>
    <n v="0"/>
    <n v="0"/>
    <n v="0"/>
    <n v="0"/>
    <m/>
    <m/>
    <m/>
    <m/>
    <m/>
    <m/>
    <m/>
    <m/>
    <m/>
    <m/>
    <m/>
    <n v="0"/>
    <n v="0"/>
    <x v="101"/>
    <x v="102"/>
  </r>
  <r>
    <x v="0"/>
    <x v="11"/>
    <n v="12"/>
    <s v="BN"/>
    <s v="Bán Ngoài"/>
    <x v="39"/>
    <x v="37"/>
    <s v="Khác"/>
    <s v="Khác"/>
    <x v="8"/>
    <s v="NĐ"/>
    <s v="(blank)"/>
    <x v="0"/>
    <n v="0"/>
    <n v="0"/>
    <n v="0"/>
    <n v="32170.125"/>
    <n v="4315850"/>
    <n v="-4348020.125"/>
    <m/>
    <m/>
    <m/>
    <m/>
    <m/>
    <m/>
    <m/>
    <m/>
    <m/>
    <m/>
    <m/>
    <n v="-172.36730075085259"/>
    <n v="0"/>
    <x v="21"/>
    <x v="39"/>
  </r>
  <r>
    <x v="0"/>
    <x v="11"/>
    <n v="12"/>
    <s v="BN"/>
    <s v="Bán Ngoài"/>
    <x v="37"/>
    <x v="35"/>
    <s v="Khác"/>
    <s v="Khác"/>
    <x v="2"/>
    <s v="NĐ"/>
    <s v="(blank)"/>
    <x v="0"/>
    <n v="0"/>
    <n v="0"/>
    <n v="0"/>
    <n v="0"/>
    <n v="0"/>
    <n v="0"/>
    <m/>
    <m/>
    <m/>
    <m/>
    <m/>
    <m/>
    <m/>
    <m/>
    <m/>
    <m/>
    <m/>
    <n v="0"/>
    <n v="0"/>
    <x v="21"/>
    <x v="37"/>
  </r>
  <r>
    <x v="0"/>
    <x v="11"/>
    <n v="12"/>
    <s v="BN"/>
    <s v="Bán Ngoài"/>
    <x v="27"/>
    <x v="25"/>
    <s v="Khác"/>
    <s v="Khác"/>
    <x v="2"/>
    <s v="NĐ"/>
    <s v="(blank)"/>
    <x v="0"/>
    <n v="0"/>
    <n v="0"/>
    <n v="0"/>
    <n v="0"/>
    <n v="0"/>
    <n v="0"/>
    <m/>
    <m/>
    <m/>
    <m/>
    <m/>
    <m/>
    <m/>
    <m/>
    <m/>
    <m/>
    <m/>
    <n v="0"/>
    <n v="0"/>
    <x v="21"/>
    <x v="27"/>
  </r>
  <r>
    <x v="0"/>
    <x v="11"/>
    <n v="12"/>
    <s v="BN"/>
    <s v="Bán Ngoài"/>
    <x v="41"/>
    <x v="39"/>
    <s v="Khác"/>
    <s v="Khác"/>
    <x v="2"/>
    <s v="NĐ"/>
    <s v="(blank)"/>
    <x v="0"/>
    <n v="0"/>
    <n v="0"/>
    <n v="0"/>
    <n v="0"/>
    <n v="0"/>
    <n v="0"/>
    <m/>
    <m/>
    <m/>
    <m/>
    <m/>
    <m/>
    <m/>
    <m/>
    <m/>
    <m/>
    <m/>
    <n v="0"/>
    <n v="0"/>
    <x v="21"/>
    <x v="41"/>
  </r>
  <r>
    <x v="0"/>
    <x v="11"/>
    <n v="13"/>
    <s v="200319"/>
    <s v="Niagara Bottling, LLC"/>
    <x v="9"/>
    <x v="9"/>
    <s v="rPET"/>
    <s v="rPET"/>
    <x v="3"/>
    <s v="XK"/>
    <s v="United States of America (the)"/>
    <x v="0"/>
    <n v="1188000"/>
    <n v="38606672610"/>
    <n v="89131987.107692257"/>
    <n v="579100089.1499995"/>
    <n v="446925600"/>
    <n v="37491514933.74234"/>
    <m/>
    <m/>
    <m/>
    <m/>
    <m/>
    <m/>
    <m/>
    <m/>
    <m/>
    <m/>
    <m/>
    <n v="1488349.1438563829"/>
    <n v="1532619"/>
    <x v="14"/>
    <x v="9"/>
  </r>
  <r>
    <x v="0"/>
    <x v="11"/>
    <n v="14"/>
    <s v="200319"/>
    <s v="Niagara Bottling, LLC"/>
    <x v="9"/>
    <x v="9"/>
    <s v="rPET"/>
    <s v="rPET"/>
    <x v="3"/>
    <s v="XK"/>
    <s v="United States of America (the)"/>
    <x v="0"/>
    <n v="-1188000"/>
    <n v="-38606672610"/>
    <n v="-89131987.107692257"/>
    <n v="-579100089.1499995"/>
    <n v="-446925600"/>
    <n v="-37491514933.74234"/>
    <m/>
    <m/>
    <m/>
    <m/>
    <m/>
    <m/>
    <m/>
    <m/>
    <m/>
    <m/>
    <m/>
    <n v="-1488349.1438563829"/>
    <n v="-1532619"/>
    <x v="14"/>
    <x v="9"/>
  </r>
  <r>
    <x v="0"/>
    <x v="11"/>
    <n v="15"/>
    <s v="200319"/>
    <s v="Niagara Bottling, LLC"/>
    <x v="39"/>
    <x v="37"/>
    <s v="Khác"/>
    <s v="Khác"/>
    <x v="8"/>
    <s v="NĐ"/>
    <s v="(blank)"/>
    <x v="0"/>
    <n v="0"/>
    <n v="0"/>
    <n v="0"/>
    <n v="561103576"/>
    <n v="0"/>
    <n v="-561103576"/>
    <m/>
    <m/>
    <m/>
    <m/>
    <m/>
    <m/>
    <m/>
    <m/>
    <m/>
    <m/>
    <m/>
    <n v="-22243.666325433773"/>
    <n v="0"/>
    <x v="14"/>
    <x v="39"/>
  </r>
  <r>
    <x v="0"/>
    <x v="11"/>
    <n v="16"/>
    <s v="200319"/>
    <s v="Niagara Bottling, LLC"/>
    <x v="42"/>
    <x v="40"/>
    <s v="Khác"/>
    <s v="Khác"/>
    <x v="2"/>
    <s v="XK"/>
    <s v="United States of America (the)"/>
    <x v="0"/>
    <n v="-88000"/>
    <n v="-2852560259.9999995"/>
    <n v="-6602369.4153846148"/>
    <n v="-42788403.899999991"/>
    <n v="-34296120"/>
    <n v="-2768873366.6846147"/>
    <m/>
    <m/>
    <m/>
    <m/>
    <m/>
    <m/>
    <m/>
    <m/>
    <m/>
    <m/>
    <m/>
    <n v="-109484.90971469413"/>
    <n v="-112793.99999999999"/>
    <x v="14"/>
    <x v="42"/>
  </r>
  <r>
    <x v="0"/>
    <x v="11"/>
    <n v="16"/>
    <s v="BN"/>
    <s v="Bán Ngoài"/>
    <x v="42"/>
    <x v="40"/>
    <s v="Khác"/>
    <s v="Khác"/>
    <x v="2"/>
    <s v="NĐ"/>
    <s v="(blank)"/>
    <x v="0"/>
    <n v="0"/>
    <n v="0"/>
    <n v="0"/>
    <n v="0"/>
    <n v="16000"/>
    <n v="-16000"/>
    <m/>
    <m/>
    <m/>
    <m/>
    <m/>
    <m/>
    <m/>
    <m/>
    <m/>
    <m/>
    <m/>
    <n v="-0.63428335948965753"/>
    <n v="0"/>
    <x v="21"/>
    <x v="42"/>
  </r>
  <r>
    <x v="1"/>
    <x v="0"/>
    <n v="1"/>
    <s v="1000"/>
    <s v="CPSX Nhựa Duy Tân"/>
    <x v="9"/>
    <x v="9"/>
    <s v="rPET"/>
    <s v="rPET"/>
    <x v="3"/>
    <s v="NĐ"/>
    <s v="(blank)"/>
    <x v="0"/>
    <n v="11000"/>
    <n v="371268975"/>
    <n v="1811433.4056761267"/>
    <n v="0"/>
    <n v="0"/>
    <n v="369457541.59432387"/>
    <m/>
    <m/>
    <m/>
    <m/>
    <m/>
    <m/>
    <m/>
    <m/>
    <m/>
    <m/>
    <m/>
    <n v="14658.823004746702"/>
    <n v="14730.694542580537"/>
    <x v="0"/>
    <x v="9"/>
  </r>
  <r>
    <x v="1"/>
    <x v="0"/>
    <n v="1"/>
    <s v="100937"/>
    <s v="CH TTNT Tín Đạt"/>
    <x v="41"/>
    <x v="39"/>
    <s v="Khác"/>
    <s v="Khác"/>
    <x v="2"/>
    <s v="NĐ"/>
    <s v="(blank)"/>
    <x v="0"/>
    <n v="0"/>
    <n v="0"/>
    <n v="0"/>
    <n v="0"/>
    <n v="0"/>
    <n v="0"/>
    <m/>
    <m/>
    <m/>
    <m/>
    <m/>
    <m/>
    <m/>
    <m/>
    <m/>
    <m/>
    <m/>
    <n v="0"/>
    <n v="0"/>
    <x v="102"/>
    <x v="41"/>
  </r>
  <r>
    <x v="1"/>
    <x v="0"/>
    <n v="1"/>
    <s v="100982"/>
    <s v="CH TTNT Thành Long"/>
    <x v="41"/>
    <x v="39"/>
    <s v="Khác"/>
    <s v="Khác"/>
    <x v="2"/>
    <s v="NĐ"/>
    <s v="(blank)"/>
    <x v="0"/>
    <n v="0"/>
    <n v="0"/>
    <n v="0"/>
    <n v="0"/>
    <n v="0"/>
    <n v="0"/>
    <m/>
    <m/>
    <m/>
    <m/>
    <m/>
    <m/>
    <m/>
    <m/>
    <m/>
    <m/>
    <m/>
    <n v="0"/>
    <n v="0"/>
    <x v="103"/>
    <x v="41"/>
  </r>
  <r>
    <x v="1"/>
    <x v="0"/>
    <n v="1"/>
    <s v="101290"/>
    <s v="Cty Thạnh Phát"/>
    <x v="7"/>
    <x v="7"/>
    <s v="Khác"/>
    <s v="Khác"/>
    <x v="2"/>
    <s v="NĐ"/>
    <s v="(blank)"/>
    <x v="0"/>
    <n v="0"/>
    <n v="0"/>
    <n v="0"/>
    <n v="0"/>
    <n v="0"/>
    <n v="0"/>
    <m/>
    <m/>
    <m/>
    <m/>
    <m/>
    <m/>
    <m/>
    <m/>
    <m/>
    <m/>
    <m/>
    <n v="0"/>
    <n v="0"/>
    <x v="1"/>
    <x v="7"/>
  </r>
  <r>
    <x v="1"/>
    <x v="0"/>
    <n v="1"/>
    <s v="102488"/>
    <s v="VẬN TẢI VIỆT Á"/>
    <x v="41"/>
    <x v="39"/>
    <s v="Khác"/>
    <s v="Khác"/>
    <x v="2"/>
    <s v="NĐ"/>
    <s v="(blank)"/>
    <x v="0"/>
    <n v="0"/>
    <n v="0"/>
    <n v="0"/>
    <n v="0"/>
    <n v="0"/>
    <n v="0"/>
    <m/>
    <m/>
    <m/>
    <m/>
    <m/>
    <m/>
    <m/>
    <m/>
    <m/>
    <m/>
    <m/>
    <n v="0"/>
    <n v="0"/>
    <x v="104"/>
    <x v="41"/>
  </r>
  <r>
    <x v="1"/>
    <x v="0"/>
    <n v="1"/>
    <s v="102990"/>
    <s v="Coca-Cola Thủ Đức"/>
    <x v="8"/>
    <x v="8"/>
    <s v="rPET"/>
    <s v="rPET"/>
    <x v="3"/>
    <s v="NĐ"/>
    <s v="(blank)"/>
    <x v="0"/>
    <n v="72600"/>
    <n v="2452863600"/>
    <n v="11955460.477462439"/>
    <n v="0"/>
    <n v="13200000"/>
    <n v="2427708139.5225377"/>
    <m/>
    <m/>
    <m/>
    <m/>
    <m/>
    <m/>
    <m/>
    <m/>
    <m/>
    <m/>
    <m/>
    <n v="96323.230460727267"/>
    <n v="97321.313870124606"/>
    <x v="3"/>
    <x v="8"/>
  </r>
  <r>
    <x v="1"/>
    <x v="0"/>
    <n v="1"/>
    <s v="104894"/>
    <s v="UNILEVER-NGỌC NGHĨA"/>
    <x v="9"/>
    <x v="9"/>
    <s v="rPET"/>
    <s v="rPET"/>
    <x v="3"/>
    <s v="NĐ"/>
    <s v="(blank)"/>
    <x v="0"/>
    <n v="242000"/>
    <n v="7886494000"/>
    <n v="38040101.519198664"/>
    <n v="0"/>
    <n v="33880000"/>
    <n v="7814573898.4808025"/>
    <m/>
    <m/>
    <m/>
    <m/>
    <m/>
    <m/>
    <m/>
    <m/>
    <m/>
    <m/>
    <m/>
    <n v="310055.80544117221"/>
    <n v="312909.35130223079"/>
    <x v="2"/>
    <x v="9"/>
  </r>
  <r>
    <x v="1"/>
    <x v="0"/>
    <n v="1"/>
    <s v="104909"/>
    <s v="Công ty TNHH La Vie"/>
    <x v="103"/>
    <x v="101"/>
    <s v="rPET"/>
    <s v="rPET"/>
    <x v="3"/>
    <s v="NĐ"/>
    <s v="(blank)"/>
    <x v="0"/>
    <n v="2200"/>
    <n v="77158400"/>
    <n v="362286.6811352254"/>
    <n v="0"/>
    <n v="0"/>
    <n v="76796113.318864778"/>
    <m/>
    <m/>
    <m/>
    <m/>
    <m/>
    <m/>
    <m/>
    <m/>
    <m/>
    <m/>
    <m/>
    <n v="3047.009482431431"/>
    <n v="3061.3837899981977"/>
    <x v="4"/>
    <x v="103"/>
  </r>
  <r>
    <x v="1"/>
    <x v="0"/>
    <n v="1"/>
    <s v="104909"/>
    <s v="Công ty TNHH La Vie"/>
    <x v="39"/>
    <x v="37"/>
    <s v="Khác"/>
    <s v="Khác"/>
    <x v="8"/>
    <s v="NĐ"/>
    <s v="(blank)"/>
    <x v="0"/>
    <n v="0"/>
    <n v="-8985900"/>
    <n v="0"/>
    <n v="0"/>
    <n v="0"/>
    <n v="-8985900"/>
    <m/>
    <m/>
    <m/>
    <m/>
    <m/>
    <m/>
    <m/>
    <m/>
    <m/>
    <m/>
    <m/>
    <n v="-356.53005503671415"/>
    <n v="-356.53005503671415"/>
    <x v="4"/>
    <x v="39"/>
  </r>
  <r>
    <x v="1"/>
    <x v="0"/>
    <n v="1"/>
    <s v="105186"/>
    <s v="CÔNG TY TNHH HON CHUAN VIETNAM"/>
    <x v="33"/>
    <x v="31"/>
    <s v="rPET"/>
    <s v="rPET"/>
    <x v="3"/>
    <s v="NĐ"/>
    <s v="(blank)"/>
    <x v="0"/>
    <n v="3300"/>
    <n v="116044500"/>
    <n v="543430.02170283813"/>
    <n v="0"/>
    <n v="0"/>
    <n v="115501069.97829716"/>
    <m/>
    <m/>
    <m/>
    <m/>
    <m/>
    <m/>
    <m/>
    <m/>
    <m/>
    <m/>
    <m/>
    <n v="4582.6909754350327"/>
    <n v="4604.2524367851829"/>
    <x v="7"/>
    <x v="33"/>
  </r>
  <r>
    <x v="1"/>
    <x v="0"/>
    <n v="1"/>
    <s v="105194"/>
    <s v="Suntory Việt Nam"/>
    <x v="8"/>
    <x v="8"/>
    <s v="rPET"/>
    <s v="rPET"/>
    <x v="3"/>
    <s v="NĐ"/>
    <s v="(blank)"/>
    <x v="0"/>
    <n v="154000"/>
    <n v="5761602000"/>
    <n v="12680033.839732889"/>
    <n v="0"/>
    <n v="93981482"/>
    <n v="5616198704.1602678"/>
    <m/>
    <m/>
    <m/>
    <m/>
    <m/>
    <m/>
    <m/>
    <m/>
    <m/>
    <m/>
    <m/>
    <n v="222831.72894105018"/>
    <n v="228600.83888755078"/>
    <x v="7"/>
    <x v="8"/>
  </r>
  <r>
    <x v="1"/>
    <x v="0"/>
    <n v="1"/>
    <s v="105194"/>
    <s v="Suntory Việt Nam"/>
    <x v="33"/>
    <x v="31"/>
    <s v="rPET"/>
    <s v="rPET"/>
    <x v="3"/>
    <s v="NĐ"/>
    <s v="(blank)"/>
    <x v="0"/>
    <n v="4400"/>
    <n v="165513920"/>
    <n v="724573.3622704508"/>
    <n v="0"/>
    <n v="9000000"/>
    <n v="153306637.83772954"/>
    <m/>
    <m/>
    <m/>
    <m/>
    <m/>
    <m/>
    <m/>
    <m/>
    <m/>
    <m/>
    <m/>
    <n v="6082.6877692584294"/>
    <n v="6567.0313498861888"/>
    <x v="7"/>
    <x v="33"/>
  </r>
  <r>
    <x v="1"/>
    <x v="0"/>
    <n v="1"/>
    <s v="105194"/>
    <s v="Suntory Việt Nam"/>
    <x v="68"/>
    <x v="66"/>
    <s v="Khác"/>
    <s v="Khác"/>
    <x v="2"/>
    <s v="NĐ"/>
    <s v="(blank)"/>
    <x v="0"/>
    <n v="0"/>
    <n v="0"/>
    <n v="0"/>
    <n v="0"/>
    <n v="0"/>
    <n v="53499168.799999997"/>
    <m/>
    <m/>
    <m/>
    <m/>
    <m/>
    <m/>
    <m/>
    <m/>
    <m/>
    <m/>
    <m/>
    <n v="2122.6656869854396"/>
    <n v="0"/>
    <x v="7"/>
    <x v="68"/>
  </r>
  <r>
    <x v="1"/>
    <x v="0"/>
    <n v="1"/>
    <s v="105194"/>
    <s v="Suntory Việt Nam"/>
    <x v="39"/>
    <x v="37"/>
    <s v="Khác"/>
    <s v="Khác"/>
    <x v="8"/>
    <s v="NĐ"/>
    <s v="(blank)"/>
    <x v="0"/>
    <n v="0"/>
    <n v="0"/>
    <n v="0"/>
    <n v="0"/>
    <n v="-9000000"/>
    <n v="9000000"/>
    <m/>
    <m/>
    <m/>
    <m/>
    <m/>
    <m/>
    <m/>
    <m/>
    <m/>
    <m/>
    <m/>
    <n v="357.08949524593277"/>
    <n v="0"/>
    <x v="7"/>
    <x v="39"/>
  </r>
  <r>
    <x v="1"/>
    <x v="0"/>
    <n v="1"/>
    <s v="105204"/>
    <s v="CTY NGỌC NGHĨA-TÂY NINH"/>
    <x v="9"/>
    <x v="9"/>
    <s v="rPET"/>
    <s v="rPET"/>
    <x v="3"/>
    <s v="NĐ"/>
    <s v="(blank)"/>
    <x v="0"/>
    <n v="24200"/>
    <n v="768350000"/>
    <n v="3985153.4924874799"/>
    <n v="0"/>
    <n v="3080000"/>
    <n v="761284846.50751257"/>
    <m/>
    <m/>
    <m/>
    <m/>
    <m/>
    <m/>
    <m/>
    <m/>
    <m/>
    <m/>
    <m/>
    <n v="30205.202397527228"/>
    <n v="30485.523741356938"/>
    <x v="5"/>
    <x v="9"/>
  </r>
  <r>
    <x v="1"/>
    <x v="0"/>
    <n v="1"/>
    <s v="105207"/>
    <s v="Suntory Sri Thái Bình Dương"/>
    <x v="8"/>
    <x v="8"/>
    <s v="rPET"/>
    <s v="rPET"/>
    <x v="3"/>
    <s v="NĐ"/>
    <s v="(blank)"/>
    <x v="3"/>
    <n v="-13750.7"/>
    <n v="-508671395"/>
    <n v="0"/>
    <n v="0"/>
    <n v="0"/>
    <n v="-505212131.40100002"/>
    <m/>
    <m/>
    <m/>
    <m/>
    <m/>
    <m/>
    <m/>
    <m/>
    <m/>
    <m/>
    <m/>
    <n v="-20045.104999344996"/>
    <n v="-20182.356854066056"/>
    <x v="7"/>
    <x v="8"/>
  </r>
  <r>
    <x v="1"/>
    <x v="0"/>
    <n v="1"/>
    <s v="105207"/>
    <s v="Suntory Sri Thái Bình Dương"/>
    <x v="68"/>
    <x v="66"/>
    <s v="Khác"/>
    <s v="Khác"/>
    <x v="2"/>
    <s v="NĐ"/>
    <s v="(blank)"/>
    <x v="0"/>
    <n v="0"/>
    <n v="0"/>
    <n v="0"/>
    <n v="0"/>
    <n v="0"/>
    <n v="-3459263.5989999999"/>
    <m/>
    <m/>
    <m/>
    <m/>
    <m/>
    <m/>
    <m/>
    <m/>
    <m/>
    <m/>
    <m/>
    <n v="-137.25185472105986"/>
    <n v="0"/>
    <x v="7"/>
    <x v="68"/>
  </r>
  <r>
    <x v="1"/>
    <x v="0"/>
    <n v="1"/>
    <s v="105214"/>
    <s v="Người mua hàng không lấy hóa đơn"/>
    <x v="27"/>
    <x v="25"/>
    <s v="Khác"/>
    <s v="Khác"/>
    <x v="2"/>
    <s v="NĐ"/>
    <s v="(blank)"/>
    <x v="0"/>
    <n v="0"/>
    <n v="101468695"/>
    <n v="0"/>
    <n v="0"/>
    <n v="0"/>
    <n v="101468695"/>
    <m/>
    <m/>
    <m/>
    <m/>
    <m/>
    <m/>
    <m/>
    <m/>
    <m/>
    <m/>
    <m/>
    <n v="4025.9338978681672"/>
    <n v="4025.9338978681672"/>
    <x v="9"/>
    <x v="27"/>
  </r>
  <r>
    <x v="1"/>
    <x v="0"/>
    <n v="1"/>
    <s v="105217"/>
    <s v="Nestle Việt Nam"/>
    <x v="27"/>
    <x v="25"/>
    <s v="Khác"/>
    <s v="Khác"/>
    <x v="2"/>
    <s v="NĐ"/>
    <s v="(blank)"/>
    <x v="0"/>
    <n v="0"/>
    <n v="21860559"/>
    <n v="0"/>
    <n v="0"/>
    <n v="0"/>
    <n v="21860559"/>
    <m/>
    <m/>
    <m/>
    <m/>
    <m/>
    <m/>
    <m/>
    <m/>
    <m/>
    <m/>
    <m/>
    <n v="867.35288656710361"/>
    <n v="867.35288656710361"/>
    <x v="82"/>
    <x v="27"/>
  </r>
  <r>
    <x v="1"/>
    <x v="0"/>
    <n v="1"/>
    <s v="105222"/>
    <s v="CN Cty Coca - Hà Nội"/>
    <x v="8"/>
    <x v="8"/>
    <s v="rPET"/>
    <s v="rPET"/>
    <x v="3"/>
    <s v="NĐ"/>
    <s v="(blank)"/>
    <x v="0"/>
    <n v="88000"/>
    <n v="3029312000"/>
    <n v="10868600.434056763"/>
    <n v="0"/>
    <n v="53703704"/>
    <n v="2964739695.5659432"/>
    <m/>
    <m/>
    <m/>
    <m/>
    <m/>
    <m/>
    <m/>
    <m/>
    <m/>
    <m/>
    <m/>
    <n v="117630.82238058034"/>
    <n v="120192.83255804967"/>
    <x v="3"/>
    <x v="8"/>
  </r>
  <r>
    <x v="1"/>
    <x v="0"/>
    <n v="1"/>
    <s v="105223"/>
    <s v="Dynaplast Bắc Ninh"/>
    <x v="1"/>
    <x v="1"/>
    <s v="rHDPE"/>
    <s v="rHDPE thổi"/>
    <x v="0"/>
    <s v="NĐ"/>
    <s v="(blank)"/>
    <x v="0"/>
    <n v="49500"/>
    <n v="1777149000"/>
    <n v="0"/>
    <n v="0"/>
    <n v="37962962"/>
    <n v="1739186038"/>
    <m/>
    <m/>
    <m/>
    <m/>
    <m/>
    <m/>
    <m/>
    <m/>
    <m/>
    <m/>
    <m/>
    <n v="69005.007160910405"/>
    <n v="70511.24882075713"/>
    <x v="2"/>
    <x v="1"/>
  </r>
  <r>
    <x v="1"/>
    <x v="0"/>
    <n v="1"/>
    <s v="105247"/>
    <s v="MINH THÀNH"/>
    <x v="29"/>
    <x v="27"/>
    <s v="Khác"/>
    <s v="Phó sản"/>
    <x v="5"/>
    <s v="NĐ"/>
    <s v="(blank)"/>
    <x v="0"/>
    <n v="7238"/>
    <n v="148840600"/>
    <n v="0"/>
    <n v="0"/>
    <n v="0"/>
    <n v="148840600"/>
    <m/>
    <m/>
    <m/>
    <m/>
    <m/>
    <m/>
    <m/>
    <m/>
    <m/>
    <m/>
    <m/>
    <n v="5905.49052512242"/>
    <n v="5905.49052512242"/>
    <x v="10"/>
    <x v="29"/>
  </r>
  <r>
    <x v="1"/>
    <x v="0"/>
    <n v="1"/>
    <s v="105263"/>
    <s v="Unilever Duy Tân"/>
    <x v="1"/>
    <x v="1"/>
    <s v="rHDPE"/>
    <s v="rHDPE thổi"/>
    <x v="0"/>
    <s v="NĐ"/>
    <s v="(blank)"/>
    <x v="0"/>
    <n v="55000"/>
    <n v="1930170000"/>
    <n v="0"/>
    <n v="0"/>
    <n v="0"/>
    <n v="1930170000"/>
    <m/>
    <m/>
    <m/>
    <m/>
    <m/>
    <m/>
    <m/>
    <m/>
    <m/>
    <m/>
    <m/>
    <n v="76582.60344876023"/>
    <n v="76582.60344876023"/>
    <x v="2"/>
    <x v="1"/>
  </r>
  <r>
    <x v="1"/>
    <x v="0"/>
    <n v="1"/>
    <s v="105263"/>
    <s v="Unilever Duy Tân"/>
    <x v="1"/>
    <x v="1"/>
    <s v="rHDPE"/>
    <s v="rHDPE thổi"/>
    <x v="0"/>
    <s v="NĐ"/>
    <s v="(blank)"/>
    <x v="3"/>
    <n v="-150"/>
    <n v="-5264100"/>
    <n v="0"/>
    <n v="0"/>
    <n v="0"/>
    <n v="-5264100"/>
    <m/>
    <m/>
    <m/>
    <m/>
    <m/>
    <m/>
    <m/>
    <m/>
    <m/>
    <m/>
    <m/>
    <n v="-208.86164576934607"/>
    <n v="-208.86164576934607"/>
    <x v="2"/>
    <x v="1"/>
  </r>
  <r>
    <x v="1"/>
    <x v="0"/>
    <n v="1"/>
    <s v="105263"/>
    <s v="Unilever Duy Tân"/>
    <x v="9"/>
    <x v="9"/>
    <s v="rPET"/>
    <s v="rPET"/>
    <x v="3"/>
    <s v="NĐ"/>
    <s v="(blank)"/>
    <x v="0"/>
    <n v="11000"/>
    <n v="357423000"/>
    <n v="724573.36227045069"/>
    <n v="0"/>
    <n v="0"/>
    <n v="356698426.63772953"/>
    <m/>
    <m/>
    <m/>
    <m/>
    <m/>
    <m/>
    <m/>
    <m/>
    <m/>
    <m/>
    <m/>
    <n v="14152.584569231691"/>
    <n v="14181.333184365225"/>
    <x v="2"/>
    <x v="9"/>
  </r>
  <r>
    <x v="1"/>
    <x v="0"/>
    <n v="1"/>
    <s v="105263"/>
    <s v="Unilever Duy Tân"/>
    <x v="2"/>
    <x v="2"/>
    <s v="rHDPE"/>
    <s v="rHDPE ép"/>
    <x v="1"/>
    <s v="NĐ"/>
    <s v="(blank)"/>
    <x v="0"/>
    <n v="5500"/>
    <n v="122476734"/>
    <n v="0"/>
    <n v="0"/>
    <n v="0"/>
    <n v="122476734"/>
    <m/>
    <m/>
    <m/>
    <m/>
    <m/>
    <m/>
    <m/>
    <m/>
    <m/>
    <m/>
    <m/>
    <n v="4859.4616803811523"/>
    <n v="4859.4616803811523"/>
    <x v="2"/>
    <x v="2"/>
  </r>
  <r>
    <x v="1"/>
    <x v="0"/>
    <n v="1"/>
    <s v="105263"/>
    <s v="Unilever Duy Tân"/>
    <x v="6"/>
    <x v="6"/>
    <s v="rHDPE"/>
    <s v="rHDPE thổi"/>
    <x v="0"/>
    <s v="NĐ"/>
    <s v="(blank)"/>
    <x v="0"/>
    <n v="5500"/>
    <n v="186153000"/>
    <n v="362286.68113522534"/>
    <n v="0"/>
    <n v="0"/>
    <n v="185790713.31886476"/>
    <m/>
    <m/>
    <m/>
    <m/>
    <m/>
    <m/>
    <m/>
    <m/>
    <m/>
    <m/>
    <m/>
    <n v="7371.5457822683575"/>
    <n v="7385.9200898351246"/>
    <x v="2"/>
    <x v="6"/>
  </r>
  <r>
    <x v="1"/>
    <x v="0"/>
    <n v="1"/>
    <s v="105263"/>
    <s v="Unilever Duy Tân"/>
    <x v="50"/>
    <x v="48"/>
    <s v="rHDPE"/>
    <s v="rHDPE thổi"/>
    <x v="0"/>
    <s v="NĐ"/>
    <s v="(blank)"/>
    <x v="0"/>
    <n v="22000"/>
    <n v="754380000"/>
    <n v="0"/>
    <n v="0"/>
    <n v="0"/>
    <n v="754380000"/>
    <m/>
    <m/>
    <m/>
    <m/>
    <m/>
    <m/>
    <m/>
    <m/>
    <m/>
    <m/>
    <m/>
    <n v="29931.241491514083"/>
    <n v="29931.241491514083"/>
    <x v="2"/>
    <x v="50"/>
  </r>
  <r>
    <x v="1"/>
    <x v="0"/>
    <n v="1"/>
    <s v="105263"/>
    <s v="Unilever Duy Tân"/>
    <x v="83"/>
    <x v="81"/>
    <s v="rHDPE"/>
    <s v="rHDPE thổi"/>
    <x v="0"/>
    <s v="NĐ"/>
    <s v="(blank)"/>
    <x v="0"/>
    <n v="11000"/>
    <n v="386034000"/>
    <n v="724573.36227045069"/>
    <n v="0"/>
    <n v="0"/>
    <n v="385309426.63772953"/>
    <m/>
    <m/>
    <m/>
    <m/>
    <m/>
    <m/>
    <m/>
    <m/>
    <m/>
    <m/>
    <m/>
    <n v="15287.772074618511"/>
    <n v="15316.520689752046"/>
    <x v="2"/>
    <x v="83"/>
  </r>
  <r>
    <x v="1"/>
    <x v="0"/>
    <n v="1"/>
    <s v="105265"/>
    <s v="Muji- DTP"/>
    <x v="9"/>
    <x v="9"/>
    <s v="rPET"/>
    <s v="rPET"/>
    <x v="3"/>
    <s v="NĐ"/>
    <s v="(blank)"/>
    <x v="0"/>
    <n v="5500"/>
    <n v="185634488.00000003"/>
    <n v="905716.70283806336"/>
    <n v="0"/>
    <n v="0"/>
    <n v="184728771.29716197"/>
    <m/>
    <m/>
    <m/>
    <m/>
    <m/>
    <m/>
    <m/>
    <m/>
    <m/>
    <m/>
    <m/>
    <n v="7329.4115222116579"/>
    <n v="7365.3472911285753"/>
    <x v="34"/>
    <x v="9"/>
  </r>
  <r>
    <x v="1"/>
    <x v="0"/>
    <n v="1"/>
    <s v="105271"/>
    <s v="Suntory- Ngọc Nghĩa Tây Ninh"/>
    <x v="8"/>
    <x v="8"/>
    <s v="rPET"/>
    <s v="rPET"/>
    <x v="3"/>
    <s v="NĐ"/>
    <s v="(blank)"/>
    <x v="0"/>
    <n v="44000"/>
    <n v="1636624000"/>
    <n v="7245733.6227045069"/>
    <n v="0"/>
    <n v="6160000"/>
    <n v="1598668906.3772955"/>
    <m/>
    <m/>
    <m/>
    <m/>
    <m/>
    <m/>
    <m/>
    <m/>
    <m/>
    <m/>
    <m/>
    <n v="63429.763649292865"/>
    <n v="64935.693118597723"/>
    <x v="7"/>
    <x v="8"/>
  </r>
  <r>
    <x v="1"/>
    <x v="0"/>
    <n v="1"/>
    <s v="105271"/>
    <s v="Suntory- Ngọc Nghĩa Tây Ninh"/>
    <x v="33"/>
    <x v="31"/>
    <s v="rPET"/>
    <s v="rPET"/>
    <x v="3"/>
    <s v="NĐ"/>
    <s v="(blank)"/>
    <x v="0"/>
    <n v="3300"/>
    <n v="118965000"/>
    <n v="543430.02170283813"/>
    <n v="0"/>
    <n v="0"/>
    <n v="116637094.97829716"/>
    <m/>
    <m/>
    <m/>
    <m/>
    <m/>
    <m/>
    <m/>
    <m/>
    <m/>
    <m/>
    <m/>
    <n v="4627.7645969724499"/>
    <n v="4720.127977992488"/>
    <x v="7"/>
    <x v="33"/>
  </r>
  <r>
    <x v="1"/>
    <x v="0"/>
    <n v="1"/>
    <s v="105271"/>
    <s v="Suntory- Ngọc Nghĩa Tây Ninh"/>
    <x v="68"/>
    <x v="66"/>
    <s v="Khác"/>
    <s v="Khác"/>
    <x v="2"/>
    <s v="NĐ"/>
    <s v="(blank)"/>
    <x v="0"/>
    <n v="0"/>
    <n v="0"/>
    <n v="0"/>
    <n v="0"/>
    <n v="0"/>
    <n v="14059155"/>
    <m/>
    <m/>
    <m/>
    <m/>
    <m/>
    <m/>
    <m/>
    <m/>
    <m/>
    <m/>
    <m/>
    <n v="557.81961805937021"/>
    <n v="0"/>
    <x v="7"/>
    <x v="68"/>
  </r>
  <r>
    <x v="1"/>
    <x v="0"/>
    <n v="1"/>
    <s v="105272"/>
    <s v="LINH CHI"/>
    <x v="104"/>
    <x v="102"/>
    <s v="Xơ sợi"/>
    <s v="Xơ sợi"/>
    <x v="7"/>
    <s v="NĐ"/>
    <s v="(blank)"/>
    <x v="0"/>
    <n v="11000"/>
    <n v="209000000"/>
    <n v="1811433.4056761267"/>
    <n v="0"/>
    <n v="0"/>
    <n v="207188566.59432387"/>
    <m/>
    <m/>
    <m/>
    <m/>
    <m/>
    <m/>
    <m/>
    <m/>
    <m/>
    <m/>
    <m/>
    <n v="8220.5400739883826"/>
    <n v="8292.4116118222173"/>
    <x v="42"/>
    <x v="104"/>
  </r>
  <r>
    <x v="1"/>
    <x v="0"/>
    <n v="1"/>
    <s v="105281"/>
    <s v="Plascene- DTP"/>
    <x v="10"/>
    <x v="10"/>
    <s v="rPET"/>
    <s v="rPET"/>
    <x v="3"/>
    <s v="NĐ"/>
    <s v="(blank)"/>
    <x v="0"/>
    <n v="22000"/>
    <n v="718440492"/>
    <n v="3622866.8113522544"/>
    <n v="0"/>
    <n v="0"/>
    <n v="714817625.18864775"/>
    <m/>
    <m/>
    <m/>
    <m/>
    <m/>
    <m/>
    <m/>
    <m/>
    <m/>
    <m/>
    <m/>
    <n v="28361.540552390066"/>
    <n v="28505.283628057732"/>
    <x v="54"/>
    <x v="10"/>
  </r>
  <r>
    <x v="1"/>
    <x v="0"/>
    <n v="1"/>
    <s v="105281"/>
    <s v="Plascene- DTP"/>
    <x v="9"/>
    <x v="9"/>
    <s v="rPET"/>
    <s v="rPET"/>
    <x v="3"/>
    <s v="NĐ"/>
    <s v="(blank)"/>
    <x v="0"/>
    <n v="44000"/>
    <n v="1436880984"/>
    <n v="7245733.6227045087"/>
    <n v="0"/>
    <n v="0"/>
    <n v="1429635250.3772955"/>
    <m/>
    <m/>
    <m/>
    <m/>
    <m/>
    <m/>
    <m/>
    <m/>
    <m/>
    <m/>
    <m/>
    <n v="56723.081104780133"/>
    <n v="57010.567256115464"/>
    <x v="54"/>
    <x v="9"/>
  </r>
  <r>
    <x v="1"/>
    <x v="0"/>
    <n v="1"/>
    <s v="105284"/>
    <s v="Motul -DTP"/>
    <x v="63"/>
    <x v="61"/>
    <s v="rHDPE"/>
    <s v="rHDPE thổi"/>
    <x v="0"/>
    <s v="NĐ"/>
    <s v="(blank)"/>
    <x v="0"/>
    <n v="22000"/>
    <n v="759102300"/>
    <n v="0"/>
    <n v="0"/>
    <n v="0"/>
    <n v="759102300"/>
    <m/>
    <m/>
    <m/>
    <m/>
    <m/>
    <m/>
    <m/>
    <m/>
    <m/>
    <m/>
    <m/>
    <n v="30118.606349669626"/>
    <n v="30118.606349669626"/>
    <x v="59"/>
    <x v="63"/>
  </r>
  <r>
    <x v="1"/>
    <x v="0"/>
    <n v="1"/>
    <s v="105290"/>
    <s v="HOÀNG TẤN"/>
    <x v="75"/>
    <x v="73"/>
    <s v="Khác"/>
    <s v="Phó sản"/>
    <x v="5"/>
    <s v="NĐ"/>
    <s v="(blank)"/>
    <x v="0"/>
    <n v="2490"/>
    <n v="12450000"/>
    <n v="0"/>
    <n v="0"/>
    <n v="0"/>
    <n v="12450000"/>
    <m/>
    <m/>
    <m/>
    <m/>
    <m/>
    <m/>
    <m/>
    <m/>
    <m/>
    <m/>
    <m/>
    <n v="493.97380175687368"/>
    <n v="493.97380175687368"/>
    <x v="66"/>
    <x v="75"/>
  </r>
  <r>
    <x v="1"/>
    <x v="0"/>
    <n v="1"/>
    <s v="105290"/>
    <s v="HOÀNG TẤN"/>
    <x v="76"/>
    <x v="74"/>
    <s v="Khác"/>
    <s v="Phó sản"/>
    <x v="5"/>
    <s v="NĐ"/>
    <s v="(blank)"/>
    <x v="0"/>
    <n v="2420"/>
    <n v="12100000"/>
    <n v="0"/>
    <n v="0"/>
    <n v="0"/>
    <n v="12100000"/>
    <m/>
    <m/>
    <m/>
    <m/>
    <m/>
    <m/>
    <m/>
    <m/>
    <m/>
    <m/>
    <m/>
    <n v="480.08698805286519"/>
    <n v="480.08698805286519"/>
    <x v="66"/>
    <x v="76"/>
  </r>
  <r>
    <x v="1"/>
    <x v="0"/>
    <n v="1"/>
    <s v="105290"/>
    <s v="HOÀNG TẤN"/>
    <x v="77"/>
    <x v="75"/>
    <s v="Khác"/>
    <s v="Phó sản"/>
    <x v="5"/>
    <s v="NĐ"/>
    <s v="(blank)"/>
    <x v="0"/>
    <n v="2290"/>
    <n v="11450000"/>
    <n v="0"/>
    <n v="0"/>
    <n v="0"/>
    <n v="11450000"/>
    <m/>
    <m/>
    <m/>
    <m/>
    <m/>
    <m/>
    <m/>
    <m/>
    <m/>
    <m/>
    <m/>
    <n v="454.29719117399225"/>
    <n v="454.29719117399225"/>
    <x v="66"/>
    <x v="77"/>
  </r>
  <r>
    <x v="1"/>
    <x v="0"/>
    <n v="1"/>
    <s v="105290"/>
    <s v="HOÀNG TẤN"/>
    <x v="78"/>
    <x v="76"/>
    <s v="Khác"/>
    <s v="Phó sản"/>
    <x v="5"/>
    <s v="NĐ"/>
    <s v="(blank)"/>
    <x v="0"/>
    <n v="2590"/>
    <n v="12950000"/>
    <n v="0"/>
    <n v="0"/>
    <n v="0"/>
    <n v="12950000"/>
    <m/>
    <m/>
    <m/>
    <m/>
    <m/>
    <m/>
    <m/>
    <m/>
    <m/>
    <m/>
    <m/>
    <n v="513.81210704831437"/>
    <n v="513.81210704831437"/>
    <x v="66"/>
    <x v="78"/>
  </r>
  <r>
    <x v="1"/>
    <x v="0"/>
    <n v="1"/>
    <s v="105291"/>
    <s v="AN NHẬT"/>
    <x v="9"/>
    <x v="9"/>
    <s v="rPET"/>
    <s v="rPET"/>
    <x v="3"/>
    <s v="NĐ"/>
    <s v="(blank)"/>
    <x v="0"/>
    <n v="3300"/>
    <n v="108043822"/>
    <n v="543430.02170283813"/>
    <n v="0"/>
    <n v="0"/>
    <n v="107500391.97829716"/>
    <m/>
    <m/>
    <m/>
    <m/>
    <m/>
    <m/>
    <m/>
    <m/>
    <m/>
    <m/>
    <m/>
    <n v="4265.251190030006"/>
    <n v="4286.8126513801562"/>
    <x v="67"/>
    <x v="9"/>
  </r>
  <r>
    <x v="1"/>
    <x v="0"/>
    <n v="1"/>
    <s v="105306"/>
    <s v="MTV MILKIWAY SOLUTION"/>
    <x v="9"/>
    <x v="9"/>
    <s v="rPET"/>
    <s v="rPET"/>
    <x v="3"/>
    <s v="NĐ"/>
    <s v="(blank)"/>
    <x v="0"/>
    <n v="22000"/>
    <n v="711068380"/>
    <n v="3622866.8113522534"/>
    <n v="0"/>
    <n v="0"/>
    <n v="707445513.18864775"/>
    <m/>
    <m/>
    <m/>
    <m/>
    <m/>
    <m/>
    <m/>
    <m/>
    <m/>
    <m/>
    <m/>
    <n v="28069.040135392679"/>
    <n v="28212.783211060345"/>
    <x v="84"/>
    <x v="9"/>
  </r>
  <r>
    <x v="1"/>
    <x v="0"/>
    <n v="1"/>
    <s v="105319"/>
    <s v="PHƯƠNG VI"/>
    <x v="80"/>
    <x v="78"/>
    <s v="rHDPE"/>
    <s v="rHDPE ép"/>
    <x v="1"/>
    <s v="NĐ"/>
    <s v="(blank)"/>
    <x v="0"/>
    <n v="3000"/>
    <n v="80445000"/>
    <n v="0"/>
    <n v="0"/>
    <n v="0"/>
    <n v="80445000"/>
    <m/>
    <m/>
    <m/>
    <m/>
    <m/>
    <m/>
    <m/>
    <m/>
    <m/>
    <m/>
    <m/>
    <n v="3191.7849383398957"/>
    <n v="3191.7849383398957"/>
    <x v="3"/>
    <x v="80"/>
  </r>
  <r>
    <x v="1"/>
    <x v="0"/>
    <n v="1"/>
    <s v="105322"/>
    <s v="PHÚC LONG TÂY NINH"/>
    <x v="105"/>
    <x v="103"/>
    <s v="Khác"/>
    <s v="Phó sản"/>
    <x v="5"/>
    <s v="NĐ"/>
    <s v="(blank)"/>
    <x v="0"/>
    <n v="1861"/>
    <n v="33870200"/>
    <n v="0"/>
    <n v="0"/>
    <n v="0"/>
    <n v="33870200"/>
    <m/>
    <m/>
    <m/>
    <m/>
    <m/>
    <m/>
    <m/>
    <m/>
    <m/>
    <m/>
    <m/>
    <n v="1343.8547357643104"/>
    <n v="1343.8547357643104"/>
    <x v="105"/>
    <x v="105"/>
  </r>
  <r>
    <x v="1"/>
    <x v="0"/>
    <n v="1"/>
    <s v="105322"/>
    <s v="PHÚC LONG TÂY NINH"/>
    <x v="29"/>
    <x v="27"/>
    <s v="Khác"/>
    <s v="Phó sản"/>
    <x v="5"/>
    <s v="NĐ"/>
    <s v="(blank)"/>
    <x v="0"/>
    <n v="4966"/>
    <n v="100313200"/>
    <n v="0"/>
    <n v="0"/>
    <n v="0"/>
    <n v="100313200"/>
    <m/>
    <m/>
    <m/>
    <m/>
    <m/>
    <m/>
    <m/>
    <m/>
    <m/>
    <m/>
    <m/>
    <n v="3980.0877727227003"/>
    <n v="3980.0877727227003"/>
    <x v="105"/>
    <x v="29"/>
  </r>
  <r>
    <x v="1"/>
    <x v="0"/>
    <n v="1"/>
    <s v="105322"/>
    <s v="PHÚC LONG TÂY NINH"/>
    <x v="106"/>
    <x v="104"/>
    <s v="Khác"/>
    <s v="Phó sản"/>
    <x v="5"/>
    <s v="NĐ"/>
    <s v="(blank)"/>
    <x v="0"/>
    <n v="12897"/>
    <n v="234725400"/>
    <n v="0"/>
    <n v="0"/>
    <n v="0"/>
    <n v="234725400"/>
    <m/>
    <m/>
    <m/>
    <m/>
    <m/>
    <m/>
    <m/>
    <m/>
    <m/>
    <m/>
    <m/>
    <n v="9313.1082897110737"/>
    <n v="9313.1082897110737"/>
    <x v="105"/>
    <x v="106"/>
  </r>
  <r>
    <x v="1"/>
    <x v="0"/>
    <n v="1"/>
    <s v="105324"/>
    <s v="NHỰA TRƯỜNG AN"/>
    <x v="51"/>
    <x v="49"/>
    <s v="rHDPE"/>
    <s v="rHDPE ép"/>
    <x v="1"/>
    <s v="NĐ"/>
    <s v="(blank)"/>
    <x v="0"/>
    <n v="6000"/>
    <n v="94444445"/>
    <n v="181143.3405676127"/>
    <n v="0"/>
    <n v="0"/>
    <n v="94263301.659432381"/>
    <m/>
    <m/>
    <m/>
    <m/>
    <m/>
    <m/>
    <m/>
    <m/>
    <m/>
    <m/>
    <m/>
    <n v="3740.0483121979782"/>
    <n v="3747.2354659813618"/>
    <x v="106"/>
    <x v="51"/>
  </r>
  <r>
    <x v="1"/>
    <x v="0"/>
    <n v="1"/>
    <s v="105324"/>
    <s v="NHỰA TRƯỜNG AN"/>
    <x v="46"/>
    <x v="44"/>
    <s v="rHDPE"/>
    <s v="rHDPE ép"/>
    <x v="1"/>
    <s v="NĐ"/>
    <s v="(blank)"/>
    <x v="0"/>
    <n v="1500"/>
    <n v="23611111"/>
    <n v="0"/>
    <n v="0"/>
    <n v="0"/>
    <n v="23611111"/>
    <m/>
    <m/>
    <m/>
    <m/>
    <m/>
    <m/>
    <m/>
    <m/>
    <m/>
    <m/>
    <m/>
    <n v="936.80885657618785"/>
    <n v="936.80885657618785"/>
    <x v="106"/>
    <x v="46"/>
  </r>
  <r>
    <x v="1"/>
    <x v="0"/>
    <n v="1"/>
    <s v="1551400100"/>
    <s v="Thành phẩm nhựa"/>
    <x v="41"/>
    <x v="39"/>
    <s v="Khác"/>
    <s v="Khác"/>
    <x v="2"/>
    <s v="NĐ"/>
    <s v="(blank)"/>
    <x v="0"/>
    <n v="0"/>
    <n v="0"/>
    <n v="0"/>
    <n v="0"/>
    <n v="0"/>
    <n v="0"/>
    <m/>
    <m/>
    <m/>
    <m/>
    <m/>
    <m/>
    <m/>
    <m/>
    <m/>
    <m/>
    <m/>
    <n v="0"/>
    <n v="0"/>
    <x v="107"/>
    <x v="41"/>
  </r>
  <r>
    <x v="1"/>
    <x v="0"/>
    <n v="1"/>
    <s v="200274"/>
    <s v="STARLINGER &amp; CO.Gesellschaft m.b.H"/>
    <x v="41"/>
    <x v="39"/>
    <s v="Khác"/>
    <s v="Khác"/>
    <x v="2"/>
    <s v="NĐ"/>
    <s v="(blank)"/>
    <x v="0"/>
    <n v="0"/>
    <n v="0"/>
    <n v="0"/>
    <n v="0"/>
    <n v="0"/>
    <n v="0"/>
    <m/>
    <m/>
    <m/>
    <m/>
    <m/>
    <m/>
    <m/>
    <m/>
    <m/>
    <m/>
    <m/>
    <n v="0"/>
    <n v="0"/>
    <x v="108"/>
    <x v="41"/>
  </r>
  <r>
    <x v="1"/>
    <x v="0"/>
    <n v="1"/>
    <s v="200319"/>
    <s v="Niagara Bottling, LLC"/>
    <x v="9"/>
    <x v="9"/>
    <s v="rPET"/>
    <s v="rPET"/>
    <x v="3"/>
    <s v="XK"/>
    <s v="United States of America (the)"/>
    <x v="0"/>
    <n v="2376000"/>
    <n v="72787646470"/>
    <n v="178232314.41860464"/>
    <n v="1091814697.0499997"/>
    <n v="667925808.98000038"/>
    <n v="70849673649.551422"/>
    <m/>
    <m/>
    <m/>
    <m/>
    <m/>
    <m/>
    <m/>
    <m/>
    <m/>
    <m/>
    <m/>
    <n v="2810938.9366350351"/>
    <n v="2887827.8000000007"/>
    <x v="14"/>
    <x v="9"/>
  </r>
  <r>
    <x v="1"/>
    <x v="0"/>
    <n v="1"/>
    <s v="200319"/>
    <s v="Niagara Bottling, LLC"/>
    <x v="39"/>
    <x v="37"/>
    <s v="Khác"/>
    <s v="Khác"/>
    <x v="8"/>
    <s v="NĐ"/>
    <s v="(blank)"/>
    <x v="0"/>
    <n v="0"/>
    <n v="0"/>
    <n v="0"/>
    <n v="0"/>
    <n v="21009023.019999966"/>
    <n v="-21009023.019999966"/>
    <m/>
    <m/>
    <m/>
    <m/>
    <m/>
    <m/>
    <m/>
    <m/>
    <m/>
    <m/>
    <m/>
    <n v="-833.56682509133213"/>
    <n v="0"/>
    <x v="14"/>
    <x v="39"/>
  </r>
  <r>
    <x v="1"/>
    <x v="0"/>
    <n v="1"/>
    <s v="200335"/>
    <s v="NH International Corp.     "/>
    <x v="41"/>
    <x v="39"/>
    <s v="Khác"/>
    <s v="Khác"/>
    <x v="2"/>
    <s v="NĐ"/>
    <s v="(blank)"/>
    <x v="0"/>
    <n v="0"/>
    <n v="0"/>
    <n v="0"/>
    <n v="0"/>
    <n v="0"/>
    <n v="0"/>
    <m/>
    <m/>
    <m/>
    <m/>
    <m/>
    <m/>
    <m/>
    <m/>
    <m/>
    <m/>
    <m/>
    <n v="0"/>
    <n v="0"/>
    <x v="109"/>
    <x v="41"/>
  </r>
  <r>
    <x v="1"/>
    <x v="0"/>
    <n v="1"/>
    <s v="200337"/>
    <s v="Toyota Tsusho"/>
    <x v="9"/>
    <x v="9"/>
    <s v="rPET"/>
    <s v="rPET"/>
    <x v="3"/>
    <s v="XK"/>
    <s v="Japan"/>
    <x v="0"/>
    <n v="1100"/>
    <n v="40071295.000000007"/>
    <n v="165029.92075796728"/>
    <n v="0"/>
    <n v="1846968"/>
    <n v="38059297.079242043"/>
    <m/>
    <m/>
    <m/>
    <m/>
    <m/>
    <m/>
    <m/>
    <m/>
    <m/>
    <m/>
    <m/>
    <n v="1509.6904831115448"/>
    <n v="1589.5000000000002"/>
    <x v="110"/>
    <x v="9"/>
  </r>
  <r>
    <x v="1"/>
    <x v="0"/>
    <n v="1"/>
    <s v="200337"/>
    <s v="Toyota Tsusho"/>
    <x v="39"/>
    <x v="37"/>
    <s v="Khác"/>
    <s v="Khác"/>
    <x v="8"/>
    <s v="NĐ"/>
    <s v="(blank)"/>
    <x v="0"/>
    <n v="0"/>
    <n v="0"/>
    <n v="0"/>
    <n v="0"/>
    <n v="844367"/>
    <n v="-844367"/>
    <m/>
    <m/>
    <m/>
    <m/>
    <m/>
    <m/>
    <m/>
    <m/>
    <m/>
    <m/>
    <m/>
    <n v="-33.501620648035832"/>
    <n v="0"/>
    <x v="110"/>
    <x v="39"/>
  </r>
  <r>
    <x v="1"/>
    <x v="0"/>
    <n v="1"/>
    <s v="200367"/>
    <s v="MAS CO.LTD"/>
    <x v="33"/>
    <x v="31"/>
    <s v="rPET"/>
    <s v="rPET"/>
    <x v="3"/>
    <s v="XK"/>
    <s v="Spain"/>
    <x v="0"/>
    <n v="132000"/>
    <n v="4710530000"/>
    <n v="9901795.2454780377"/>
    <n v="0"/>
    <n v="507582592"/>
    <n v="4193045612.7545214"/>
    <m/>
    <m/>
    <m/>
    <m/>
    <m/>
    <m/>
    <m/>
    <m/>
    <m/>
    <m/>
    <m/>
    <n v="166456.75318596748"/>
    <n v="187000"/>
    <x v="94"/>
    <x v="33"/>
  </r>
  <r>
    <x v="1"/>
    <x v="0"/>
    <n v="1"/>
    <s v="200367"/>
    <s v="MAS CO.LTD"/>
    <x v="39"/>
    <x v="37"/>
    <s v="Khác"/>
    <s v="Khác"/>
    <x v="8"/>
    <s v="NĐ"/>
    <s v="(blank)"/>
    <x v="0"/>
    <n v="0"/>
    <n v="0"/>
    <n v="0"/>
    <n v="0"/>
    <n v="3247408"/>
    <n v="-3247408"/>
    <m/>
    <m/>
    <m/>
    <m/>
    <m/>
    <m/>
    <m/>
    <m/>
    <m/>
    <m/>
    <m/>
    <n v="-128.84614261973377"/>
    <n v="0"/>
    <x v="94"/>
    <x v="39"/>
  </r>
  <r>
    <x v="1"/>
    <x v="0"/>
    <n v="1"/>
    <s v="200368"/>
    <s v="SodaStream"/>
    <x v="8"/>
    <x v="8"/>
    <s v="rPET"/>
    <s v="rPET"/>
    <x v="3"/>
    <s v="XK"/>
    <s v="Israel"/>
    <x v="0"/>
    <n v="44000"/>
    <n v="1732366680"/>
    <n v="3300598.4151593461"/>
    <n v="22167200"/>
    <n v="210125000"/>
    <n v="1496773881.5848405"/>
    <m/>
    <m/>
    <m/>
    <m/>
    <m/>
    <m/>
    <m/>
    <m/>
    <m/>
    <m/>
    <m/>
    <n v="59419.368066091331"/>
    <n v="68772"/>
    <x v="111"/>
    <x v="8"/>
  </r>
  <r>
    <x v="1"/>
    <x v="0"/>
    <n v="1"/>
    <s v="200368"/>
    <s v="SodaStream"/>
    <x v="39"/>
    <x v="37"/>
    <s v="Khác"/>
    <s v="Khác"/>
    <x v="8"/>
    <s v="NĐ"/>
    <s v="(blank)"/>
    <x v="0"/>
    <n v="0"/>
    <n v="0"/>
    <n v="0"/>
    <n v="0"/>
    <n v="-4468334"/>
    <n v="4468334"/>
    <m/>
    <m/>
    <m/>
    <m/>
    <m/>
    <m/>
    <m/>
    <m/>
    <m/>
    <m/>
    <m/>
    <n v="177.28834807224885"/>
    <n v="0"/>
    <x v="111"/>
    <x v="39"/>
  </r>
  <r>
    <x v="1"/>
    <x v="0"/>
    <n v="1"/>
    <s v="2421100100"/>
    <s v="Chi phí phân bổ"/>
    <x v="27"/>
    <x v="25"/>
    <s v="Khác"/>
    <s v="Khác"/>
    <x v="2"/>
    <s v="NĐ"/>
    <s v="(blank)"/>
    <x v="0"/>
    <n v="0"/>
    <n v="0"/>
    <n v="0"/>
    <n v="0"/>
    <n v="0"/>
    <n v="0"/>
    <m/>
    <m/>
    <m/>
    <m/>
    <m/>
    <m/>
    <m/>
    <m/>
    <m/>
    <m/>
    <m/>
    <n v="0"/>
    <n v="0"/>
    <x v="64"/>
    <x v="27"/>
  </r>
  <r>
    <x v="1"/>
    <x v="0"/>
    <n v="1"/>
    <s v="2422200100"/>
    <s v="Chi phí trả trước dài hạn cho BP gián tiếp"/>
    <x v="99"/>
    <x v="97"/>
    <s v="Khác"/>
    <s v="Khác"/>
    <x v="2"/>
    <s v="NĐ"/>
    <s v="(blank)"/>
    <x v="0"/>
    <n v="0"/>
    <n v="0"/>
    <n v="0"/>
    <n v="0"/>
    <n v="0"/>
    <n v="0"/>
    <m/>
    <m/>
    <m/>
    <m/>
    <m/>
    <m/>
    <m/>
    <m/>
    <m/>
    <m/>
    <m/>
    <n v="0"/>
    <n v="0"/>
    <x v="112"/>
    <x v="99"/>
  </r>
  <r>
    <x v="1"/>
    <x v="0"/>
    <n v="1"/>
    <s v="300316"/>
    <s v="Cty Hàng Hóa Sài Gòn"/>
    <x v="41"/>
    <x v="39"/>
    <s v="Khác"/>
    <s v="Khác"/>
    <x v="2"/>
    <s v="NĐ"/>
    <s v="(blank)"/>
    <x v="0"/>
    <n v="0"/>
    <n v="0"/>
    <n v="0"/>
    <n v="0"/>
    <n v="0"/>
    <n v="0"/>
    <m/>
    <m/>
    <m/>
    <m/>
    <m/>
    <m/>
    <m/>
    <m/>
    <m/>
    <m/>
    <m/>
    <n v="0"/>
    <n v="0"/>
    <x v="113"/>
    <x v="41"/>
  </r>
  <r>
    <x v="1"/>
    <x v="0"/>
    <n v="1"/>
    <s v="300582"/>
    <s v="HQ SBTSN-NGHH "/>
    <x v="41"/>
    <x v="39"/>
    <s v="Khác"/>
    <s v="Khác"/>
    <x v="2"/>
    <s v="NĐ"/>
    <s v="(blank)"/>
    <x v="0"/>
    <n v="0"/>
    <n v="0"/>
    <n v="0"/>
    <n v="0"/>
    <n v="0"/>
    <n v="0"/>
    <m/>
    <m/>
    <m/>
    <m/>
    <m/>
    <m/>
    <m/>
    <m/>
    <m/>
    <m/>
    <m/>
    <n v="0"/>
    <n v="0"/>
    <x v="114"/>
    <x v="41"/>
  </r>
  <r>
    <x v="1"/>
    <x v="0"/>
    <n v="1"/>
    <s v="301126"/>
    <s v="Repi Thai Co., Ltd."/>
    <x v="41"/>
    <x v="39"/>
    <s v="Khác"/>
    <s v="Khác"/>
    <x v="2"/>
    <s v="NĐ"/>
    <s v="(blank)"/>
    <x v="0"/>
    <n v="0"/>
    <n v="0"/>
    <n v="0"/>
    <n v="0"/>
    <n v="0"/>
    <n v="0"/>
    <m/>
    <m/>
    <m/>
    <m/>
    <m/>
    <m/>
    <m/>
    <m/>
    <m/>
    <m/>
    <m/>
    <n v="0"/>
    <n v="0"/>
    <x v="115"/>
    <x v="41"/>
  </r>
  <r>
    <x v="1"/>
    <x v="0"/>
    <n v="1"/>
    <s v="3358000400"/>
    <s v="Chí phí phải trả khác- Open item"/>
    <x v="36"/>
    <x v="34"/>
    <s v="Khác"/>
    <s v="Khác"/>
    <x v="2"/>
    <s v="NĐ"/>
    <s v="(blank)"/>
    <x v="0"/>
    <n v="0"/>
    <n v="0"/>
    <n v="0"/>
    <n v="0"/>
    <n v="0"/>
    <n v="0"/>
    <m/>
    <m/>
    <m/>
    <m/>
    <m/>
    <m/>
    <m/>
    <m/>
    <m/>
    <m/>
    <m/>
    <n v="0"/>
    <n v="0"/>
    <x v="19"/>
    <x v="36"/>
  </r>
  <r>
    <x v="1"/>
    <x v="0"/>
    <n v="1"/>
    <s v="3389000100"/>
    <s v="PT khác (GRIR khác)"/>
    <x v="41"/>
    <x v="39"/>
    <s v="Khác"/>
    <s v="Khác"/>
    <x v="2"/>
    <s v="NĐ"/>
    <s v="(blank)"/>
    <x v="0"/>
    <n v="0"/>
    <n v="0"/>
    <n v="0"/>
    <n v="0"/>
    <n v="0"/>
    <n v="0"/>
    <m/>
    <m/>
    <m/>
    <m/>
    <m/>
    <m/>
    <m/>
    <m/>
    <m/>
    <m/>
    <m/>
    <n v="0"/>
    <n v="0"/>
    <x v="116"/>
    <x v="41"/>
  </r>
  <r>
    <x v="1"/>
    <x v="0"/>
    <n v="1"/>
    <s v="3389000200"/>
    <s v="PT CP vận chuyển"/>
    <x v="41"/>
    <x v="39"/>
    <s v="Khác"/>
    <s v="Khác"/>
    <x v="2"/>
    <s v="NĐ"/>
    <s v="(blank)"/>
    <x v="0"/>
    <n v="0"/>
    <n v="0"/>
    <n v="0"/>
    <n v="0"/>
    <n v="0"/>
    <n v="0"/>
    <m/>
    <m/>
    <m/>
    <m/>
    <m/>
    <m/>
    <m/>
    <m/>
    <m/>
    <m/>
    <m/>
    <n v="0"/>
    <n v="0"/>
    <x v="117"/>
    <x v="41"/>
  </r>
  <r>
    <x v="1"/>
    <x v="0"/>
    <n v="1"/>
    <s v="6000000100"/>
    <s v="CP hình thành TSDD(IO)"/>
    <x v="102"/>
    <x v="100"/>
    <s v="Khác"/>
    <s v="Khác"/>
    <x v="2"/>
    <s v="NĐ"/>
    <s v="(blank)"/>
    <x v="0"/>
    <n v="0"/>
    <n v="0"/>
    <n v="0"/>
    <n v="0"/>
    <n v="0"/>
    <n v="0"/>
    <m/>
    <m/>
    <m/>
    <m/>
    <m/>
    <m/>
    <m/>
    <m/>
    <m/>
    <m/>
    <m/>
    <n v="0"/>
    <n v="0"/>
    <x v="101"/>
    <x v="102"/>
  </r>
  <r>
    <x v="1"/>
    <x v="0"/>
    <n v="1"/>
    <s v="6219000210"/>
    <s v="Chênh lệch CPSX cấp dưới (lower level)"/>
    <x v="41"/>
    <x v="39"/>
    <s v="Khác"/>
    <s v="Khác"/>
    <x v="2"/>
    <s v="NĐ"/>
    <s v="(blank)"/>
    <x v="0"/>
    <n v="0"/>
    <n v="0"/>
    <n v="0"/>
    <n v="0"/>
    <n v="0"/>
    <n v="0"/>
    <m/>
    <m/>
    <m/>
    <m/>
    <m/>
    <m/>
    <m/>
    <m/>
    <m/>
    <m/>
    <m/>
    <n v="0"/>
    <n v="0"/>
    <x v="80"/>
    <x v="41"/>
  </r>
  <r>
    <x v="1"/>
    <x v="0"/>
    <n v="1"/>
    <s v="6219000220"/>
    <s v="Chênh lệch CPSX đơn cấp (single level)"/>
    <x v="41"/>
    <x v="39"/>
    <s v="Khác"/>
    <s v="Khác"/>
    <x v="2"/>
    <s v="NĐ"/>
    <s v="(blank)"/>
    <x v="0"/>
    <n v="0"/>
    <n v="0"/>
    <n v="0"/>
    <n v="0"/>
    <n v="0"/>
    <n v="0"/>
    <m/>
    <m/>
    <m/>
    <m/>
    <m/>
    <m/>
    <m/>
    <m/>
    <m/>
    <m/>
    <m/>
    <n v="0"/>
    <n v="0"/>
    <x v="81"/>
    <x v="41"/>
  </r>
  <r>
    <x v="1"/>
    <x v="0"/>
    <n v="1"/>
    <s v="6219000900"/>
    <s v="Kết chuyển CPSX không phân bổ được"/>
    <x v="37"/>
    <x v="35"/>
    <s v="Khác"/>
    <s v="Khác"/>
    <x v="2"/>
    <s v="NĐ"/>
    <s v="(blank)"/>
    <x v="0"/>
    <n v="0"/>
    <n v="0"/>
    <n v="0"/>
    <n v="0"/>
    <n v="0"/>
    <n v="0"/>
    <m/>
    <m/>
    <m/>
    <m/>
    <m/>
    <m/>
    <m/>
    <m/>
    <m/>
    <m/>
    <m/>
    <n v="0"/>
    <n v="0"/>
    <x v="20"/>
    <x v="37"/>
  </r>
  <r>
    <x v="1"/>
    <x v="0"/>
    <n v="1"/>
    <s v="6417005601"/>
    <s v="Chi phí tiếp khách"/>
    <x v="27"/>
    <x v="25"/>
    <s v="Khác"/>
    <s v="Khác"/>
    <x v="2"/>
    <s v="NĐ"/>
    <s v="(blank)"/>
    <x v="0"/>
    <n v="0"/>
    <n v="-52424713"/>
    <n v="0"/>
    <n v="0"/>
    <n v="0"/>
    <n v="-52424713"/>
    <m/>
    <m/>
    <m/>
    <m/>
    <m/>
    <m/>
    <m/>
    <m/>
    <m/>
    <m/>
    <m/>
    <n v="-2080.0349226203211"/>
    <n v="-2080.0349226203211"/>
    <x v="118"/>
    <x v="27"/>
  </r>
  <r>
    <x v="1"/>
    <x v="0"/>
    <n v="1"/>
    <s v="BN"/>
    <s v="Bán Ngoài"/>
    <x v="38"/>
    <x v="36"/>
    <s v="Khác"/>
    <s v="Khác"/>
    <x v="2"/>
    <s v="NĐ"/>
    <s v="(blank)"/>
    <x v="0"/>
    <n v="0"/>
    <n v="0"/>
    <n v="0"/>
    <n v="0"/>
    <n v="5766867"/>
    <n v="-5766867"/>
    <m/>
    <m/>
    <m/>
    <m/>
    <m/>
    <m/>
    <m/>
    <m/>
    <m/>
    <m/>
    <m/>
    <n v="-228.80973624226962"/>
    <n v="0"/>
    <x v="21"/>
    <x v="38"/>
  </r>
  <r>
    <x v="1"/>
    <x v="0"/>
    <n v="1"/>
    <s v="BN"/>
    <s v="Bán Ngoài"/>
    <x v="39"/>
    <x v="37"/>
    <s v="Khác"/>
    <s v="Khác"/>
    <x v="8"/>
    <s v="NĐ"/>
    <s v="(blank)"/>
    <x v="0"/>
    <n v="0"/>
    <n v="0"/>
    <n v="0"/>
    <n v="-121577.049999475"/>
    <n v="2297082.9999999991"/>
    <n v="-2175505.9500005241"/>
    <m/>
    <m/>
    <m/>
    <m/>
    <m/>
    <m/>
    <m/>
    <m/>
    <m/>
    <m/>
    <m/>
    <n v="-86.316702398912355"/>
    <n v="0"/>
    <x v="21"/>
    <x v="39"/>
  </r>
  <r>
    <x v="1"/>
    <x v="0"/>
    <n v="1"/>
    <s v="BN"/>
    <s v="Bán Ngoài"/>
    <x v="41"/>
    <x v="39"/>
    <s v="Khác"/>
    <s v="Khác"/>
    <x v="2"/>
    <s v="NĐ"/>
    <s v="(blank)"/>
    <x v="0"/>
    <n v="0"/>
    <n v="0"/>
    <n v="0"/>
    <n v="0"/>
    <n v="0"/>
    <n v="0"/>
    <m/>
    <m/>
    <m/>
    <m/>
    <m/>
    <m/>
    <m/>
    <m/>
    <m/>
    <m/>
    <m/>
    <n v="0"/>
    <n v="0"/>
    <x v="21"/>
    <x v="41"/>
  </r>
  <r>
    <x v="1"/>
    <x v="0"/>
    <n v="15"/>
    <s v="200319"/>
    <s v="Niagara Bottling, LLC"/>
    <x v="42"/>
    <x v="40"/>
    <s v="Khác"/>
    <s v="Khác"/>
    <x v="2"/>
    <s v="XK"/>
    <s v="United States of America (the)"/>
    <x v="0"/>
    <n v="88000"/>
    <n v="2852560259.9999995"/>
    <n v="6602369.4153846148"/>
    <n v="42788403.899999991"/>
    <n v="34296120"/>
    <n v="2768873366.6846147"/>
    <m/>
    <m/>
    <m/>
    <m/>
    <m/>
    <m/>
    <m/>
    <m/>
    <m/>
    <m/>
    <m/>
    <n v="109484.90971469413"/>
    <n v="112793.99999999999"/>
    <x v="14"/>
    <x v="42"/>
  </r>
  <r>
    <x v="1"/>
    <x v="0"/>
    <n v="15"/>
    <s v="BN"/>
    <s v="Bán Ngoài"/>
    <x v="42"/>
    <x v="40"/>
    <s v="Khác"/>
    <s v="Khác"/>
    <x v="2"/>
    <s v="NĐ"/>
    <s v="(blank)"/>
    <x v="0"/>
    <n v="0"/>
    <n v="0"/>
    <n v="0"/>
    <n v="0"/>
    <n v="-16000"/>
    <n v="16000"/>
    <m/>
    <m/>
    <m/>
    <m/>
    <m/>
    <m/>
    <m/>
    <m/>
    <m/>
    <m/>
    <m/>
    <n v="0.63428335948965753"/>
    <n v="0"/>
    <x v="21"/>
    <x v="42"/>
  </r>
  <r>
    <x v="1"/>
    <x v="1"/>
    <n v="2"/>
    <s v="1000"/>
    <s v="CPSX Nhựa Duy Tân"/>
    <x v="9"/>
    <x v="9"/>
    <s v="rPET"/>
    <s v="rPET"/>
    <x v="3"/>
    <s v="NĐ"/>
    <s v="(blank)"/>
    <x v="0"/>
    <n v="23100"/>
    <n v="725857440"/>
    <n v="3669729.5273972601"/>
    <n v="0"/>
    <n v="0"/>
    <n v="722187710.47260273"/>
    <m/>
    <m/>
    <m/>
    <m/>
    <m/>
    <m/>
    <m/>
    <m/>
    <m/>
    <m/>
    <m/>
    <n v="28576.461583141499"/>
    <n v="28721.670208737691"/>
    <x v="0"/>
    <x v="9"/>
  </r>
  <r>
    <x v="1"/>
    <x v="1"/>
    <n v="2"/>
    <s v="1000"/>
    <s v="CPSX Nhựa Duy Tân"/>
    <x v="2"/>
    <x v="2"/>
    <s v="rHDPE"/>
    <s v="rHDPE ép"/>
    <x v="1"/>
    <s v="NĐ"/>
    <s v="(blank)"/>
    <x v="0"/>
    <n v="11000"/>
    <n v="222361700"/>
    <n v="0"/>
    <n v="0"/>
    <n v="0"/>
    <n v="222361700"/>
    <m/>
    <m/>
    <m/>
    <m/>
    <m/>
    <m/>
    <m/>
    <m/>
    <m/>
    <m/>
    <m/>
    <n v="8798.696634499287"/>
    <n v="8798.696634499287"/>
    <x v="0"/>
    <x v="2"/>
  </r>
  <r>
    <x v="1"/>
    <x v="1"/>
    <n v="2"/>
    <s v="1000"/>
    <s v="CPSX Nhựa Duy Tân"/>
    <x v="3"/>
    <x v="3"/>
    <s v="rHDPE"/>
    <s v="rHDPE ép"/>
    <x v="1"/>
    <s v="NĐ"/>
    <s v="(blank)"/>
    <x v="0"/>
    <n v="16500"/>
    <n v="333542550"/>
    <n v="0"/>
    <n v="0"/>
    <n v="0"/>
    <n v="333542550"/>
    <m/>
    <m/>
    <m/>
    <m/>
    <m/>
    <m/>
    <m/>
    <m/>
    <m/>
    <m/>
    <m/>
    <n v="13198.044951748931"/>
    <n v="13198.044951748931"/>
    <x v="0"/>
    <x v="3"/>
  </r>
  <r>
    <x v="1"/>
    <x v="1"/>
    <n v="2"/>
    <s v="1000"/>
    <s v="CPSX Nhựa Duy Tân"/>
    <x v="43"/>
    <x v="41"/>
    <s v="rHDPE"/>
    <s v="rHDPE ép"/>
    <x v="1"/>
    <s v="NĐ"/>
    <s v="(blank)"/>
    <x v="0"/>
    <n v="1000"/>
    <n v="20214700"/>
    <n v="0"/>
    <n v="0"/>
    <n v="0"/>
    <n v="20214700"/>
    <m/>
    <m/>
    <m/>
    <m/>
    <m/>
    <m/>
    <m/>
    <m/>
    <m/>
    <m/>
    <m/>
    <n v="799.88151222720785"/>
    <n v="799.88151222720785"/>
    <x v="0"/>
    <x v="43"/>
  </r>
  <r>
    <x v="1"/>
    <x v="1"/>
    <n v="2"/>
    <s v="1000"/>
    <s v="CPSX Nhựa Duy Tân"/>
    <x v="4"/>
    <x v="4"/>
    <s v="rHDPE"/>
    <s v="rHDPE ép"/>
    <x v="1"/>
    <s v="NĐ"/>
    <s v="(blank)"/>
    <x v="0"/>
    <n v="5500"/>
    <n v="111180850"/>
    <n v="0"/>
    <n v="0"/>
    <n v="0"/>
    <n v="111180850"/>
    <m/>
    <m/>
    <m/>
    <m/>
    <m/>
    <m/>
    <m/>
    <m/>
    <m/>
    <m/>
    <m/>
    <n v="4399.3483172496435"/>
    <n v="4399.3483172496435"/>
    <x v="0"/>
    <x v="4"/>
  </r>
  <r>
    <x v="1"/>
    <x v="1"/>
    <n v="2"/>
    <s v="101290"/>
    <s v="Cty Thạnh Phát"/>
    <x v="7"/>
    <x v="7"/>
    <s v="Khác"/>
    <s v="Khác"/>
    <x v="2"/>
    <s v="NĐ"/>
    <s v="(blank)"/>
    <x v="0"/>
    <n v="0"/>
    <n v="0"/>
    <n v="0"/>
    <n v="0"/>
    <n v="0"/>
    <n v="0"/>
    <m/>
    <m/>
    <m/>
    <m/>
    <m/>
    <m/>
    <m/>
    <m/>
    <m/>
    <m/>
    <m/>
    <n v="0"/>
    <n v="0"/>
    <x v="1"/>
    <x v="7"/>
  </r>
  <r>
    <x v="1"/>
    <x v="1"/>
    <n v="2"/>
    <s v="101637"/>
    <s v="CTY CP NƯỚC MT BÌNH DƯƠNG"/>
    <x v="41"/>
    <x v="39"/>
    <s v="Khác"/>
    <s v="Khác"/>
    <x v="2"/>
    <s v="NĐ"/>
    <s v="(blank)"/>
    <x v="0"/>
    <n v="0"/>
    <n v="0"/>
    <n v="0"/>
    <n v="0"/>
    <n v="0"/>
    <n v="0"/>
    <m/>
    <m/>
    <m/>
    <m/>
    <m/>
    <m/>
    <m/>
    <m/>
    <m/>
    <m/>
    <m/>
    <n v="0"/>
    <n v="0"/>
    <x v="119"/>
    <x v="41"/>
  </r>
  <r>
    <x v="1"/>
    <x v="1"/>
    <n v="2"/>
    <s v="102865"/>
    <s v="Dynaplast Bình Dương"/>
    <x v="1"/>
    <x v="1"/>
    <s v="rHDPE"/>
    <s v="rHDPE thổi"/>
    <x v="0"/>
    <s v="NĐ"/>
    <s v="(blank)"/>
    <x v="0"/>
    <n v="2750"/>
    <n v="98362000"/>
    <n v="0"/>
    <n v="0"/>
    <n v="0"/>
    <n v="98362000"/>
    <m/>
    <m/>
    <m/>
    <m/>
    <m/>
    <m/>
    <m/>
    <m/>
    <m/>
    <m/>
    <m/>
    <n v="3892.1154063969598"/>
    <n v="3892.1154063969598"/>
    <x v="2"/>
    <x v="1"/>
  </r>
  <r>
    <x v="1"/>
    <x v="1"/>
    <n v="2"/>
    <s v="104894"/>
    <s v="UNILEVER-NGỌC NGHĨA"/>
    <x v="9"/>
    <x v="9"/>
    <s v="rPET"/>
    <s v="rPET"/>
    <x v="3"/>
    <s v="NĐ"/>
    <s v="(blank)"/>
    <x v="0"/>
    <n v="352000"/>
    <n v="11623040000"/>
    <n v="55919688.036529668"/>
    <n v="0"/>
    <n v="49280000"/>
    <n v="11517840311.96347"/>
    <m/>
    <m/>
    <m/>
    <m/>
    <m/>
    <m/>
    <m/>
    <m/>
    <m/>
    <m/>
    <m/>
    <n v="455752.86926468549"/>
    <n v="459915.54719473072"/>
    <x v="2"/>
    <x v="9"/>
  </r>
  <r>
    <x v="1"/>
    <x v="1"/>
    <n v="2"/>
    <s v="105189"/>
    <s v="Công ty Chấn Thuận Thành"/>
    <x v="51"/>
    <x v="49"/>
    <s v="rHDPE"/>
    <s v="rHDPE ép"/>
    <x v="1"/>
    <s v="NĐ"/>
    <s v="(blank)"/>
    <x v="0"/>
    <n v="750"/>
    <n v="13541666.666666666"/>
    <n v="174749.02511415526"/>
    <n v="0"/>
    <n v="366666.66666666669"/>
    <n v="13000250.974885846"/>
    <m/>
    <m/>
    <m/>
    <m/>
    <m/>
    <m/>
    <m/>
    <m/>
    <m/>
    <m/>
    <m/>
    <n v="514.41082030032226"/>
    <n v="535.83425979164201"/>
    <x v="40"/>
    <x v="51"/>
  </r>
  <r>
    <x v="1"/>
    <x v="1"/>
    <n v="2"/>
    <s v="105189"/>
    <s v="Công ty Chấn Thuận Thành"/>
    <x v="107"/>
    <x v="105"/>
    <s v="rHDPE"/>
    <s v="rHDPE ép"/>
    <x v="1"/>
    <s v="NĐ"/>
    <s v="(blank)"/>
    <x v="0"/>
    <n v="750"/>
    <n v="13541666.666666666"/>
    <n v="174749.02511415526"/>
    <n v="0"/>
    <n v="366666.66666666669"/>
    <n v="13000250.974885846"/>
    <m/>
    <m/>
    <m/>
    <m/>
    <m/>
    <m/>
    <m/>
    <m/>
    <m/>
    <m/>
    <m/>
    <n v="514.41082030032226"/>
    <n v="535.83425979164201"/>
    <x v="40"/>
    <x v="107"/>
  </r>
  <r>
    <x v="1"/>
    <x v="1"/>
    <n v="2"/>
    <s v="105189"/>
    <s v="Công ty Chấn Thuận Thành"/>
    <x v="30"/>
    <x v="28"/>
    <s v="rHDPE"/>
    <s v="rHDPE ép"/>
    <x v="1"/>
    <s v="NĐ"/>
    <s v="(blank)"/>
    <x v="0"/>
    <n v="750"/>
    <n v="13541666.666666666"/>
    <n v="174749.02511415526"/>
    <n v="0"/>
    <n v="366666.66666666669"/>
    <n v="13000250.974885846"/>
    <m/>
    <m/>
    <m/>
    <m/>
    <m/>
    <m/>
    <m/>
    <m/>
    <m/>
    <m/>
    <m/>
    <n v="514.41082030032226"/>
    <n v="535.83425979164201"/>
    <x v="40"/>
    <x v="30"/>
  </r>
  <r>
    <x v="1"/>
    <x v="1"/>
    <n v="2"/>
    <s v="105194"/>
    <s v="Suntory Việt Nam"/>
    <x v="8"/>
    <x v="8"/>
    <s v="rPET"/>
    <s v="rPET"/>
    <x v="3"/>
    <s v="NĐ"/>
    <s v="(blank)"/>
    <x v="0"/>
    <n v="484000"/>
    <n v="17735696000"/>
    <n v="39807091.273972601"/>
    <n v="0"/>
    <n v="289259259.25925922"/>
    <n v="17140594209.466776"/>
    <m/>
    <m/>
    <m/>
    <m/>
    <m/>
    <m/>
    <m/>
    <m/>
    <m/>
    <m/>
    <m/>
    <n v="678241.300476445"/>
    <n v="701789.06127135432"/>
    <x v="7"/>
    <x v="8"/>
  </r>
  <r>
    <x v="1"/>
    <x v="1"/>
    <n v="2"/>
    <s v="105194"/>
    <s v="Suntory Việt Nam"/>
    <x v="33"/>
    <x v="31"/>
    <s v="rPET"/>
    <s v="rPET"/>
    <x v="3"/>
    <s v="NĐ"/>
    <s v="(blank)"/>
    <x v="0"/>
    <n v="154000"/>
    <n v="5643176000"/>
    <n v="20777290.762557078"/>
    <n v="0"/>
    <n v="136592592.5925926"/>
    <n v="5401158476.6448498"/>
    <m/>
    <m/>
    <m/>
    <m/>
    <m/>
    <m/>
    <m/>
    <m/>
    <m/>
    <m/>
    <m/>
    <n v="213720.05570587172"/>
    <n v="223296.51949543084"/>
    <x v="7"/>
    <x v="33"/>
  </r>
  <r>
    <x v="1"/>
    <x v="1"/>
    <n v="2"/>
    <s v="105194"/>
    <s v="Suntory Việt Nam"/>
    <x v="68"/>
    <x v="66"/>
    <s v="Khác"/>
    <s v="Khác"/>
    <x v="2"/>
    <s v="NĐ"/>
    <s v="(blank)"/>
    <x v="0"/>
    <n v="0"/>
    <n v="0"/>
    <n v="0"/>
    <n v="0"/>
    <n v="0"/>
    <n v="350683080"/>
    <m/>
    <m/>
    <m/>
    <m/>
    <m/>
    <m/>
    <m/>
    <m/>
    <m/>
    <m/>
    <m/>
    <n v="13876.283711501776"/>
    <n v="0"/>
    <x v="7"/>
    <x v="68"/>
  </r>
  <r>
    <x v="1"/>
    <x v="1"/>
    <n v="2"/>
    <s v="105194"/>
    <s v="Suntory Việt Nam"/>
    <x v="39"/>
    <x v="37"/>
    <s v="Khác"/>
    <s v="Khác"/>
    <x v="8"/>
    <s v="NĐ"/>
    <s v="(blank)"/>
    <x v="0"/>
    <n v="0"/>
    <n v="0"/>
    <n v="0"/>
    <n v="0"/>
    <n v="9000000"/>
    <n v="-9000000"/>
    <m/>
    <m/>
    <m/>
    <m/>
    <m/>
    <m/>
    <m/>
    <m/>
    <m/>
    <m/>
    <m/>
    <n v="-356.12369266152211"/>
    <n v="0"/>
    <x v="7"/>
    <x v="39"/>
  </r>
  <r>
    <x v="1"/>
    <x v="1"/>
    <n v="2"/>
    <s v="105194"/>
    <s v="Suntory Việt Nam"/>
    <x v="97"/>
    <x v="95"/>
    <s v="Khác"/>
    <s v="Khác"/>
    <x v="2"/>
    <s v="NĐ"/>
    <s v="(blank)"/>
    <x v="4"/>
    <n v="0"/>
    <n v="-439589818.64999998"/>
    <n v="0"/>
    <n v="0"/>
    <n v="0"/>
    <n v="-439589818.64999998"/>
    <m/>
    <m/>
    <m/>
    <m/>
    <m/>
    <m/>
    <m/>
    <m/>
    <m/>
    <m/>
    <m/>
    <n v="-17394.261052671871"/>
    <n v="-17394.261052671871"/>
    <x v="7"/>
    <x v="97"/>
  </r>
  <r>
    <x v="1"/>
    <x v="1"/>
    <n v="2"/>
    <s v="105204"/>
    <s v="CTY NGỌC NGHĨA-TÂY NINH"/>
    <x v="9"/>
    <x v="9"/>
    <s v="rPET"/>
    <s v="rPET"/>
    <x v="3"/>
    <s v="NĐ"/>
    <s v="(blank)"/>
    <x v="0"/>
    <n v="33000"/>
    <n v="1026927000"/>
    <n v="5242470.7534246575"/>
    <n v="0"/>
    <n v="3080000"/>
    <n v="1018604529.2465754"/>
    <m/>
    <m/>
    <m/>
    <m/>
    <m/>
    <m/>
    <m/>
    <m/>
    <m/>
    <m/>
    <m/>
    <n v="40305.467368560203"/>
    <n v="40634.781703757661"/>
    <x v="5"/>
    <x v="9"/>
  </r>
  <r>
    <x v="1"/>
    <x v="1"/>
    <n v="2"/>
    <s v="105207"/>
    <s v="Suntory Sri Thái Bình Dương"/>
    <x v="8"/>
    <x v="8"/>
    <s v="rPET"/>
    <s v="rPET"/>
    <x v="3"/>
    <s v="NĐ"/>
    <s v="(blank)"/>
    <x v="1"/>
    <n v="-3300"/>
    <n v="0"/>
    <n v="0"/>
    <n v="0"/>
    <n v="0"/>
    <n v="0"/>
    <m/>
    <m/>
    <m/>
    <m/>
    <m/>
    <m/>
    <m/>
    <m/>
    <m/>
    <m/>
    <m/>
    <n v="0"/>
    <n v="0"/>
    <x v="7"/>
    <x v="8"/>
  </r>
  <r>
    <x v="1"/>
    <x v="1"/>
    <n v="2"/>
    <s v="105207"/>
    <s v="Suntory Sri Thái Bình Dương"/>
    <x v="8"/>
    <x v="8"/>
    <s v="rPET"/>
    <s v="rPET"/>
    <x v="3"/>
    <s v="NĐ"/>
    <s v="(blank)"/>
    <x v="0"/>
    <n v="22000"/>
    <n v="796901490"/>
    <n v="3494980.5022831052"/>
    <n v="0"/>
    <n v="3520000"/>
    <n v="777932987.14771688"/>
    <m/>
    <m/>
    <m/>
    <m/>
    <m/>
    <m/>
    <m/>
    <m/>
    <m/>
    <m/>
    <m/>
    <n v="30782.263114028148"/>
    <n v="31532.833478474335"/>
    <x v="7"/>
    <x v="8"/>
  </r>
  <r>
    <x v="1"/>
    <x v="1"/>
    <n v="2"/>
    <s v="105207"/>
    <s v="Suntory Sri Thái Bình Dương"/>
    <x v="8"/>
    <x v="8"/>
    <s v="rPET"/>
    <s v="rPET"/>
    <x v="3"/>
    <s v="NĐ"/>
    <s v="(blank)"/>
    <x v="2"/>
    <n v="3300"/>
    <n v="0"/>
    <n v="0"/>
    <n v="0"/>
    <n v="0"/>
    <n v="0"/>
    <m/>
    <m/>
    <m/>
    <m/>
    <m/>
    <m/>
    <m/>
    <m/>
    <m/>
    <m/>
    <m/>
    <n v="0"/>
    <n v="0"/>
    <x v="7"/>
    <x v="8"/>
  </r>
  <r>
    <x v="1"/>
    <x v="1"/>
    <n v="2"/>
    <s v="105207"/>
    <s v="Suntory Sri Thái Bình Dương"/>
    <x v="68"/>
    <x v="66"/>
    <s v="Khác"/>
    <s v="Khác"/>
    <x v="2"/>
    <s v="NĐ"/>
    <s v="(blank)"/>
    <x v="0"/>
    <n v="0"/>
    <n v="0"/>
    <n v="0"/>
    <n v="0"/>
    <n v="0"/>
    <n v="11953522.35"/>
    <m/>
    <m/>
    <m/>
    <m/>
    <m/>
    <m/>
    <m/>
    <m/>
    <m/>
    <m/>
    <m/>
    <n v="472.99250217711506"/>
    <n v="0"/>
    <x v="7"/>
    <x v="68"/>
  </r>
  <r>
    <x v="1"/>
    <x v="1"/>
    <n v="2"/>
    <s v="105207"/>
    <s v="Suntory Sri Thái Bình Dương"/>
    <x v="97"/>
    <x v="95"/>
    <s v="Khác"/>
    <s v="Khác"/>
    <x v="2"/>
    <s v="NĐ"/>
    <s v="(blank)"/>
    <x v="4"/>
    <n v="0"/>
    <n v="-11953522.35"/>
    <n v="0"/>
    <n v="0"/>
    <n v="0"/>
    <n v="-11953522.35"/>
    <m/>
    <m/>
    <m/>
    <m/>
    <m/>
    <m/>
    <m/>
    <m/>
    <m/>
    <m/>
    <m/>
    <n v="-472.99250217711506"/>
    <n v="-472.99250217711506"/>
    <x v="7"/>
    <x v="97"/>
  </r>
  <r>
    <x v="1"/>
    <x v="1"/>
    <n v="2"/>
    <s v="105214"/>
    <s v="Người mua hàng không lấy hóa đơn"/>
    <x v="27"/>
    <x v="25"/>
    <s v="Khác"/>
    <s v="Khác"/>
    <x v="2"/>
    <s v="NĐ"/>
    <s v="(blank)"/>
    <x v="0"/>
    <n v="0"/>
    <n v="6761641"/>
    <n v="0"/>
    <n v="0"/>
    <n v="0"/>
    <n v="6761641"/>
    <m/>
    <m/>
    <m/>
    <m/>
    <m/>
    <m/>
    <m/>
    <m/>
    <m/>
    <m/>
    <m/>
    <n v="267.55339570794968"/>
    <n v="267.55339570794968"/>
    <x v="9"/>
    <x v="27"/>
  </r>
  <r>
    <x v="1"/>
    <x v="1"/>
    <n v="2"/>
    <s v="105222"/>
    <s v="CN Cty Coca - Hà Nội"/>
    <x v="8"/>
    <x v="8"/>
    <s v="rPET"/>
    <s v="rPET"/>
    <x v="3"/>
    <s v="NĐ"/>
    <s v="(blank)"/>
    <x v="0"/>
    <n v="88000"/>
    <n v="3197744000"/>
    <n v="6989961.0045662103"/>
    <n v="0"/>
    <n v="52592592.59259259"/>
    <n v="3138161446.4028411"/>
    <m/>
    <m/>
    <m/>
    <m/>
    <m/>
    <m/>
    <m/>
    <m/>
    <m/>
    <m/>
    <m/>
    <n v="124174.84916233367"/>
    <n v="126532.48905180293"/>
    <x v="3"/>
    <x v="8"/>
  </r>
  <r>
    <x v="1"/>
    <x v="1"/>
    <n v="2"/>
    <s v="105222"/>
    <s v="CN Cty Coca - Hà Nội"/>
    <x v="8"/>
    <x v="8"/>
    <s v="rPET"/>
    <s v="rPET"/>
    <x v="3"/>
    <s v="NĐ"/>
    <s v="(blank)"/>
    <x v="4"/>
    <n v="0"/>
    <n v="-94248000"/>
    <n v="0"/>
    <n v="0"/>
    <n v="0"/>
    <n v="-94248000"/>
    <m/>
    <m/>
    <m/>
    <m/>
    <m/>
    <m/>
    <m/>
    <m/>
    <m/>
    <m/>
    <m/>
    <n v="-3729.3273095514596"/>
    <n v="-3729.3273095514596"/>
    <x v="3"/>
    <x v="8"/>
  </r>
  <r>
    <x v="1"/>
    <x v="1"/>
    <n v="2"/>
    <s v="105222"/>
    <s v="CN Cty Coca - Hà Nội"/>
    <x v="97"/>
    <x v="95"/>
    <s v="Khác"/>
    <s v="Khác"/>
    <x v="2"/>
    <s v="NĐ"/>
    <s v="(blank)"/>
    <x v="4"/>
    <n v="0"/>
    <n v="94248000"/>
    <n v="0"/>
    <n v="0"/>
    <n v="0"/>
    <n v="94248000"/>
    <m/>
    <m/>
    <m/>
    <m/>
    <m/>
    <m/>
    <m/>
    <m/>
    <m/>
    <m/>
    <m/>
    <n v="3729.3273095514596"/>
    <n v="3729.3273095514596"/>
    <x v="3"/>
    <x v="97"/>
  </r>
  <r>
    <x v="1"/>
    <x v="1"/>
    <n v="2"/>
    <s v="105223"/>
    <s v="Dynaplast Bắc Ninh"/>
    <x v="1"/>
    <x v="1"/>
    <s v="rHDPE"/>
    <s v="rHDPE thổi"/>
    <x v="0"/>
    <s v="NĐ"/>
    <s v="(blank)"/>
    <x v="0"/>
    <n v="24750"/>
    <n v="900108000"/>
    <n v="0"/>
    <n v="0"/>
    <n v="18981481.481481481"/>
    <n v="881126518.51851857"/>
    <m/>
    <m/>
    <m/>
    <m/>
    <m/>
    <m/>
    <m/>
    <m/>
    <m/>
    <m/>
    <m/>
    <n v="34865.558830756207"/>
    <n v="35616.642750464147"/>
    <x v="2"/>
    <x v="1"/>
  </r>
  <r>
    <x v="1"/>
    <x v="1"/>
    <n v="2"/>
    <s v="105229"/>
    <s v="GIA TƯỜNG"/>
    <x v="44"/>
    <x v="42"/>
    <s v="GC"/>
    <s v="GC"/>
    <x v="10"/>
    <s v="NĐ"/>
    <s v="(blank)"/>
    <x v="0"/>
    <n v="386000"/>
    <n v="7465500000"/>
    <n v="0"/>
    <n v="553550000"/>
    <n v="0"/>
    <n v="6911950000"/>
    <m/>
    <m/>
    <m/>
    <m/>
    <m/>
    <m/>
    <m/>
    <m/>
    <m/>
    <m/>
    <m/>
    <n v="273501.01749908976"/>
    <n v="295404.60306273261"/>
    <x v="24"/>
    <x v="44"/>
  </r>
  <r>
    <x v="1"/>
    <x v="1"/>
    <n v="2"/>
    <s v="105247"/>
    <s v="MINH THÀNH"/>
    <x v="29"/>
    <x v="27"/>
    <s v="Khác"/>
    <s v="Phó sản"/>
    <x v="5"/>
    <s v="NĐ"/>
    <s v="(blank)"/>
    <x v="0"/>
    <n v="1752"/>
    <n v="36266400"/>
    <n v="0"/>
    <n v="0"/>
    <n v="0"/>
    <n v="36266400"/>
    <m/>
    <m/>
    <m/>
    <m/>
    <m/>
    <m/>
    <m/>
    <m/>
    <m/>
    <m/>
    <m/>
    <n v="1435.0360319488695"/>
    <n v="1435.0360319488695"/>
    <x v="10"/>
    <x v="29"/>
  </r>
  <r>
    <x v="1"/>
    <x v="1"/>
    <n v="2"/>
    <s v="105249"/>
    <s v="RỒNG VIỆT"/>
    <x v="29"/>
    <x v="27"/>
    <s v="Khác"/>
    <s v="Phó sản"/>
    <x v="5"/>
    <s v="NĐ"/>
    <s v="(blank)"/>
    <x v="0"/>
    <n v="11072"/>
    <n v="229190400"/>
    <n v="0"/>
    <n v="0"/>
    <n v="0"/>
    <n v="229190400"/>
    <m/>
    <m/>
    <m/>
    <m/>
    <m/>
    <m/>
    <m/>
    <m/>
    <m/>
    <m/>
    <m/>
    <n v="9068.9035078412562"/>
    <n v="9068.9035078412562"/>
    <x v="28"/>
    <x v="29"/>
  </r>
  <r>
    <x v="1"/>
    <x v="1"/>
    <n v="2"/>
    <s v="105249"/>
    <s v="RỒNG VIỆT"/>
    <x v="106"/>
    <x v="104"/>
    <s v="Khác"/>
    <s v="Phó sản"/>
    <x v="5"/>
    <s v="NĐ"/>
    <s v="(blank)"/>
    <x v="0"/>
    <n v="5406"/>
    <n v="98389200"/>
    <n v="0"/>
    <n v="0"/>
    <n v="0"/>
    <n v="98389200"/>
    <m/>
    <m/>
    <m/>
    <m/>
    <m/>
    <m/>
    <m/>
    <m/>
    <m/>
    <m/>
    <m/>
    <n v="3893.1916913347814"/>
    <n v="3893.1916913347814"/>
    <x v="28"/>
    <x v="106"/>
  </r>
  <r>
    <x v="1"/>
    <x v="1"/>
    <n v="2"/>
    <s v="105263"/>
    <s v="Unilever Duy Tân"/>
    <x v="1"/>
    <x v="1"/>
    <s v="rHDPE"/>
    <s v="rHDPE thổi"/>
    <x v="0"/>
    <s v="NĐ"/>
    <s v="(blank)"/>
    <x v="0"/>
    <n v="77000"/>
    <n v="2738120000"/>
    <n v="0"/>
    <n v="0"/>
    <n v="0"/>
    <n v="2738120000"/>
    <m/>
    <m/>
    <m/>
    <m/>
    <m/>
    <m/>
    <m/>
    <m/>
    <m/>
    <m/>
    <m/>
    <n v="108345.48948337411"/>
    <n v="108345.48948337411"/>
    <x v="2"/>
    <x v="1"/>
  </r>
  <r>
    <x v="1"/>
    <x v="1"/>
    <n v="2"/>
    <s v="105263"/>
    <s v="Unilever Duy Tân"/>
    <x v="9"/>
    <x v="9"/>
    <s v="rPET"/>
    <s v="rPET"/>
    <x v="3"/>
    <s v="NĐ"/>
    <s v="(blank)"/>
    <x v="0"/>
    <n v="11000"/>
    <n v="363220000"/>
    <n v="1747490.2511415526"/>
    <n v="0"/>
    <n v="0"/>
    <n v="361472509.74885845"/>
    <m/>
    <m/>
    <m/>
    <m/>
    <m/>
    <m/>
    <m/>
    <m/>
    <m/>
    <m/>
    <m/>
    <n v="14303.213885265724"/>
    <n v="14372.360849835341"/>
    <x v="2"/>
    <x v="9"/>
  </r>
  <r>
    <x v="1"/>
    <x v="1"/>
    <n v="2"/>
    <s v="105263"/>
    <s v="Unilever Duy Tân"/>
    <x v="6"/>
    <x v="6"/>
    <s v="rHDPE"/>
    <s v="rHDPE thổi"/>
    <x v="0"/>
    <s v="NĐ"/>
    <s v="(blank)"/>
    <x v="0"/>
    <n v="5500"/>
    <n v="188595000"/>
    <n v="0"/>
    <n v="0"/>
    <n v="0"/>
    <n v="188595000"/>
    <m/>
    <m/>
    <m/>
    <m/>
    <m/>
    <m/>
    <m/>
    <m/>
    <m/>
    <m/>
    <m/>
    <n v="7462.5719797221955"/>
    <n v="7462.5719797221955"/>
    <x v="2"/>
    <x v="6"/>
  </r>
  <r>
    <x v="1"/>
    <x v="1"/>
    <n v="2"/>
    <s v="105263"/>
    <s v="Unilever Duy Tân"/>
    <x v="50"/>
    <x v="48"/>
    <s v="rHDPE"/>
    <s v="rHDPE thổi"/>
    <x v="0"/>
    <s v="NĐ"/>
    <s v="(blank)"/>
    <x v="0"/>
    <n v="44000"/>
    <n v="1508760000"/>
    <n v="0"/>
    <n v="0"/>
    <n v="0"/>
    <n v="1508760000"/>
    <m/>
    <m/>
    <m/>
    <m/>
    <m/>
    <m/>
    <m/>
    <m/>
    <m/>
    <m/>
    <m/>
    <n v="59700.575837777564"/>
    <n v="59700.575837777564"/>
    <x v="2"/>
    <x v="50"/>
  </r>
  <r>
    <x v="1"/>
    <x v="1"/>
    <n v="2"/>
    <s v="105263"/>
    <s v="Unilever Duy Tân"/>
    <x v="83"/>
    <x v="81"/>
    <s v="rHDPE"/>
    <s v="rHDPE thổi"/>
    <x v="0"/>
    <s v="NĐ"/>
    <s v="(blank)"/>
    <x v="0"/>
    <n v="24000"/>
    <n v="853440000"/>
    <n v="0"/>
    <n v="0"/>
    <n v="0"/>
    <n v="853440000"/>
    <m/>
    <m/>
    <m/>
    <m/>
    <m/>
    <m/>
    <m/>
    <m/>
    <m/>
    <m/>
    <m/>
    <n v="33770.022696116604"/>
    <n v="33770.022696116604"/>
    <x v="2"/>
    <x v="83"/>
  </r>
  <r>
    <x v="1"/>
    <x v="1"/>
    <n v="2"/>
    <s v="105265"/>
    <s v="Muji- DTP"/>
    <x v="9"/>
    <x v="9"/>
    <s v="rPET"/>
    <s v="rPET"/>
    <x v="3"/>
    <s v="NĐ"/>
    <s v="(blank)"/>
    <x v="0"/>
    <n v="1100"/>
    <n v="34230900"/>
    <n v="174749.02511415526"/>
    <n v="0"/>
    <n v="0"/>
    <n v="34056150.974885844"/>
    <m/>
    <m/>
    <m/>
    <m/>
    <m/>
    <m/>
    <m/>
    <m/>
    <m/>
    <m/>
    <m/>
    <n v="1347.5780270016269"/>
    <n v="1354.4927234585884"/>
    <x v="34"/>
    <x v="9"/>
  </r>
  <r>
    <x v="1"/>
    <x v="1"/>
    <n v="2"/>
    <s v="105271"/>
    <s v="Suntory- Ngọc Nghĩa Tây Ninh"/>
    <x v="97"/>
    <x v="95"/>
    <s v="Khác"/>
    <s v="Khác"/>
    <x v="2"/>
    <s v="NĐ"/>
    <s v="(blank)"/>
    <x v="4"/>
    <n v="0"/>
    <n v="-26333835"/>
    <n v="0"/>
    <n v="0"/>
    <n v="0"/>
    <n v="-26333835"/>
    <m/>
    <m/>
    <m/>
    <m/>
    <m/>
    <m/>
    <m/>
    <m/>
    <m/>
    <m/>
    <m/>
    <n v="-1042.0113957932483"/>
    <n v="-1042.0113957932483"/>
    <x v="7"/>
    <x v="97"/>
  </r>
  <r>
    <x v="1"/>
    <x v="1"/>
    <n v="2"/>
    <s v="105272"/>
    <s v="LINH CHI"/>
    <x v="104"/>
    <x v="102"/>
    <s v="Xơ sợi"/>
    <s v="Xơ sợi"/>
    <x v="7"/>
    <s v="NĐ"/>
    <s v="(blank)"/>
    <x v="0"/>
    <n v="11000"/>
    <n v="209000000"/>
    <n v="1747490.2511415526"/>
    <n v="0"/>
    <n v="0"/>
    <n v="207252509.74885845"/>
    <m/>
    <m/>
    <m/>
    <m/>
    <m/>
    <m/>
    <m/>
    <m/>
    <m/>
    <m/>
    <m/>
    <n v="8200.8365650146206"/>
    <n v="8269.9835295842349"/>
    <x v="42"/>
    <x v="104"/>
  </r>
  <r>
    <x v="1"/>
    <x v="1"/>
    <n v="2"/>
    <s v="105281"/>
    <s v="Plascene- DTP"/>
    <x v="9"/>
    <x v="9"/>
    <s v="rPET"/>
    <s v="rPET"/>
    <x v="3"/>
    <s v="NĐ"/>
    <s v="(blank)"/>
    <x v="0"/>
    <n v="77000"/>
    <n v="2410180080"/>
    <n v="12232431.757990867"/>
    <n v="0"/>
    <n v="0"/>
    <n v="2397947648.2420092"/>
    <m/>
    <m/>
    <m/>
    <m/>
    <m/>
    <m/>
    <m/>
    <m/>
    <m/>
    <m/>
    <m/>
    <n v="94885.107922328549"/>
    <n v="95369.136674315872"/>
    <x v="54"/>
    <x v="9"/>
  </r>
  <r>
    <x v="1"/>
    <x v="1"/>
    <n v="2"/>
    <s v="105284"/>
    <s v="Motul -DTP"/>
    <x v="63"/>
    <x v="61"/>
    <s v="rHDPE"/>
    <s v="rHDPE thổi"/>
    <x v="0"/>
    <s v="NĐ"/>
    <s v="(blank)"/>
    <x v="1"/>
    <n v="-1410"/>
    <n v="0"/>
    <n v="0"/>
    <n v="0"/>
    <n v="0"/>
    <n v="0"/>
    <m/>
    <m/>
    <m/>
    <m/>
    <m/>
    <m/>
    <m/>
    <m/>
    <m/>
    <m/>
    <m/>
    <n v="0"/>
    <n v="0"/>
    <x v="59"/>
    <x v="63"/>
  </r>
  <r>
    <x v="1"/>
    <x v="1"/>
    <n v="2"/>
    <s v="105284"/>
    <s v="Motul -DTP"/>
    <x v="63"/>
    <x v="61"/>
    <s v="rHDPE"/>
    <s v="rHDPE thổi"/>
    <x v="0"/>
    <s v="NĐ"/>
    <s v="(blank)"/>
    <x v="0"/>
    <n v="22000"/>
    <n v="759102300"/>
    <n v="0"/>
    <n v="0"/>
    <n v="0"/>
    <n v="759102300"/>
    <m/>
    <m/>
    <m/>
    <m/>
    <m/>
    <m/>
    <m/>
    <m/>
    <m/>
    <m/>
    <m/>
    <n v="30037.146020428285"/>
    <n v="30037.146020428285"/>
    <x v="59"/>
    <x v="63"/>
  </r>
  <r>
    <x v="1"/>
    <x v="1"/>
    <n v="2"/>
    <s v="105284"/>
    <s v="Motul -DTP"/>
    <x v="63"/>
    <x v="61"/>
    <s v="rHDPE"/>
    <s v="rHDPE thổi"/>
    <x v="0"/>
    <s v="NĐ"/>
    <s v="(blank)"/>
    <x v="2"/>
    <n v="1410"/>
    <n v="0"/>
    <n v="0"/>
    <n v="0"/>
    <n v="0"/>
    <n v="0"/>
    <m/>
    <m/>
    <m/>
    <m/>
    <m/>
    <m/>
    <m/>
    <m/>
    <m/>
    <m/>
    <m/>
    <n v="0"/>
    <n v="0"/>
    <x v="59"/>
    <x v="63"/>
  </r>
  <r>
    <x v="1"/>
    <x v="1"/>
    <n v="2"/>
    <s v="105286"/>
    <s v="MONDELEZ-VIỆT THÀNH"/>
    <x v="33"/>
    <x v="31"/>
    <s v="rPET"/>
    <s v="rPET"/>
    <x v="3"/>
    <s v="NĐ"/>
    <s v="(blank)"/>
    <x v="0"/>
    <n v="4400"/>
    <n v="145072928"/>
    <n v="698996.10045662103"/>
    <n v="0"/>
    <n v="0"/>
    <n v="144373931.89954337"/>
    <m/>
    <m/>
    <m/>
    <m/>
    <m/>
    <m/>
    <m/>
    <m/>
    <m/>
    <m/>
    <m/>
    <n v="5712.7753057920563"/>
    <n v="5740.4340916199026"/>
    <x v="88"/>
    <x v="33"/>
  </r>
  <r>
    <x v="1"/>
    <x v="1"/>
    <n v="2"/>
    <s v="105290"/>
    <s v="HOÀNG TẤN"/>
    <x v="75"/>
    <x v="73"/>
    <s v="Khác"/>
    <s v="Phó sản"/>
    <x v="5"/>
    <s v="NĐ"/>
    <s v="(blank)"/>
    <x v="0"/>
    <n v="21200"/>
    <n v="106000000"/>
    <n v="0"/>
    <n v="0"/>
    <n v="0"/>
    <n v="106000000"/>
    <m/>
    <m/>
    <m/>
    <m/>
    <m/>
    <m/>
    <m/>
    <m/>
    <m/>
    <m/>
    <m/>
    <n v="4194.3457135690378"/>
    <n v="4194.3457135690378"/>
    <x v="66"/>
    <x v="75"/>
  </r>
  <r>
    <x v="1"/>
    <x v="1"/>
    <n v="2"/>
    <s v="105290"/>
    <s v="HOÀNG TẤN"/>
    <x v="76"/>
    <x v="74"/>
    <s v="Khác"/>
    <s v="Phó sản"/>
    <x v="5"/>
    <s v="NĐ"/>
    <s v="(blank)"/>
    <x v="0"/>
    <n v="23538"/>
    <n v="117690000"/>
    <n v="0"/>
    <n v="0"/>
    <n v="0"/>
    <n v="117690000"/>
    <m/>
    <m/>
    <m/>
    <m/>
    <m/>
    <m/>
    <m/>
    <m/>
    <m/>
    <m/>
    <m/>
    <n v="4656.9108210371696"/>
    <n v="4656.9108210371696"/>
    <x v="66"/>
    <x v="76"/>
  </r>
  <r>
    <x v="1"/>
    <x v="1"/>
    <n v="2"/>
    <s v="105290"/>
    <s v="HOÀNG TẤN"/>
    <x v="77"/>
    <x v="75"/>
    <s v="Khác"/>
    <s v="Phó sản"/>
    <x v="5"/>
    <s v="NĐ"/>
    <s v="(blank)"/>
    <x v="0"/>
    <n v="28910"/>
    <n v="144550000"/>
    <n v="0"/>
    <n v="0"/>
    <n v="0"/>
    <n v="144550000"/>
    <m/>
    <m/>
    <m/>
    <m/>
    <m/>
    <m/>
    <m/>
    <m/>
    <m/>
    <m/>
    <m/>
    <n v="5719.7421971358908"/>
    <n v="5719.7421971358908"/>
    <x v="66"/>
    <x v="77"/>
  </r>
  <r>
    <x v="1"/>
    <x v="1"/>
    <n v="2"/>
    <s v="105290"/>
    <s v="HOÀNG TẤN"/>
    <x v="78"/>
    <x v="76"/>
    <s v="Khác"/>
    <s v="Phó sản"/>
    <x v="5"/>
    <s v="NĐ"/>
    <s v="(blank)"/>
    <x v="0"/>
    <n v="31610"/>
    <n v="158050000"/>
    <n v="0"/>
    <n v="0"/>
    <n v="0"/>
    <n v="158050000"/>
    <m/>
    <m/>
    <m/>
    <m/>
    <m/>
    <m/>
    <m/>
    <m/>
    <m/>
    <m/>
    <m/>
    <n v="6253.9277361281729"/>
    <n v="6253.9277361281729"/>
    <x v="66"/>
    <x v="78"/>
  </r>
  <r>
    <x v="1"/>
    <x v="1"/>
    <n v="2"/>
    <s v="105291"/>
    <s v="AN NHẬT"/>
    <x v="9"/>
    <x v="9"/>
    <s v="rPET"/>
    <s v="rPET"/>
    <x v="3"/>
    <s v="NĐ"/>
    <s v="(blank)"/>
    <x v="0"/>
    <n v="3300"/>
    <n v="103935678"/>
    <n v="455267.19700793084"/>
    <n v="0"/>
    <n v="0"/>
    <n v="103480410.80299208"/>
    <m/>
    <m/>
    <m/>
    <m/>
    <m/>
    <m/>
    <m/>
    <m/>
    <m/>
    <m/>
    <m/>
    <n v="4094.6473348103113"/>
    <n v="4112.6619387376586"/>
    <x v="67"/>
    <x v="9"/>
  </r>
  <r>
    <x v="1"/>
    <x v="1"/>
    <n v="2"/>
    <s v="105291"/>
    <s v="AN NHẬT"/>
    <x v="84"/>
    <x v="82"/>
    <s v="rPP"/>
    <s v="rPP"/>
    <x v="6"/>
    <s v="NĐ"/>
    <s v="(blank)"/>
    <x v="0"/>
    <n v="500"/>
    <n v="14601680"/>
    <n v="68979.87833453498"/>
    <n v="0"/>
    <n v="0"/>
    <n v="14532700.121665465"/>
    <m/>
    <m/>
    <m/>
    <m/>
    <m/>
    <m/>
    <m/>
    <m/>
    <m/>
    <m/>
    <m/>
    <n v="575.0487590744508"/>
    <n v="577.77824451798824"/>
    <x v="67"/>
    <x v="84"/>
  </r>
  <r>
    <x v="1"/>
    <x v="1"/>
    <n v="2"/>
    <s v="105292"/>
    <s v="NHỰA ĐỒNG NAI"/>
    <x v="87"/>
    <x v="85"/>
    <s v="rHDPE"/>
    <s v="rHDPE thổi"/>
    <x v="0"/>
    <s v="NĐ"/>
    <s v="(blank)"/>
    <x v="0"/>
    <n v="11000"/>
    <n v="187000000"/>
    <n v="0"/>
    <n v="0"/>
    <n v="0"/>
    <n v="187000000"/>
    <m/>
    <m/>
    <m/>
    <m/>
    <m/>
    <m/>
    <m/>
    <m/>
    <m/>
    <m/>
    <m/>
    <n v="7399.4589475227367"/>
    <n v="7399.4589475227367"/>
    <x v="73"/>
    <x v="87"/>
  </r>
  <r>
    <x v="1"/>
    <x v="1"/>
    <n v="2"/>
    <s v="105323"/>
    <s v="ĐẠI LỤC"/>
    <x v="62"/>
    <x v="60"/>
    <s v="Xơ sợi"/>
    <s v="Xơ sợi"/>
    <x v="7"/>
    <s v="NĐ"/>
    <s v="(blank)"/>
    <x v="1"/>
    <n v="-5500"/>
    <n v="0"/>
    <n v="0"/>
    <n v="0"/>
    <n v="0"/>
    <n v="0"/>
    <m/>
    <m/>
    <m/>
    <m/>
    <m/>
    <m/>
    <m/>
    <m/>
    <m/>
    <m/>
    <m/>
    <n v="0"/>
    <n v="0"/>
    <x v="120"/>
    <x v="62"/>
  </r>
  <r>
    <x v="1"/>
    <x v="1"/>
    <n v="2"/>
    <s v="105323"/>
    <s v="ĐẠI LỤC"/>
    <x v="62"/>
    <x v="60"/>
    <s v="Xơ sợi"/>
    <s v="Xơ sợi"/>
    <x v="7"/>
    <s v="NĐ"/>
    <s v="(blank)"/>
    <x v="0"/>
    <n v="5500"/>
    <n v="105050000"/>
    <n v="873745.12557077629"/>
    <n v="0"/>
    <n v="0"/>
    <n v="104176254.87442923"/>
    <m/>
    <m/>
    <m/>
    <m/>
    <m/>
    <m/>
    <m/>
    <m/>
    <m/>
    <m/>
    <m/>
    <n v="4122.1813970588473"/>
    <n v="4156.7548793436554"/>
    <x v="120"/>
    <x v="62"/>
  </r>
  <r>
    <x v="1"/>
    <x v="1"/>
    <n v="2"/>
    <s v="105323"/>
    <s v="ĐẠI LỤC"/>
    <x v="62"/>
    <x v="60"/>
    <s v="Xơ sợi"/>
    <s v="Xơ sợi"/>
    <x v="7"/>
    <s v="NĐ"/>
    <s v="(blank)"/>
    <x v="2"/>
    <n v="5500"/>
    <n v="0"/>
    <n v="873745.12557077629"/>
    <n v="0"/>
    <n v="0"/>
    <n v="-873745.12557077629"/>
    <m/>
    <m/>
    <m/>
    <m/>
    <m/>
    <m/>
    <m/>
    <m/>
    <m/>
    <m/>
    <m/>
    <n v="-34.573482284807795"/>
    <n v="0"/>
    <x v="120"/>
    <x v="62"/>
  </r>
  <r>
    <x v="1"/>
    <x v="1"/>
    <n v="2"/>
    <s v="105324"/>
    <s v="NHỰA TRƯỜNG AN"/>
    <x v="51"/>
    <x v="49"/>
    <s v="rHDPE"/>
    <s v="rHDPE ép"/>
    <x v="1"/>
    <s v="NĐ"/>
    <s v="(blank)"/>
    <x v="0"/>
    <n v="9750"/>
    <n v="153472222"/>
    <n v="2271737.326484018"/>
    <n v="0"/>
    <n v="0"/>
    <n v="151200484.67351601"/>
    <m/>
    <m/>
    <m/>
    <m/>
    <m/>
    <m/>
    <m/>
    <m/>
    <m/>
    <m/>
    <m/>
    <n v="5982.8972149049323"/>
    <n v="6072.788268845432"/>
    <x v="106"/>
    <x v="51"/>
  </r>
  <r>
    <x v="1"/>
    <x v="1"/>
    <n v="2"/>
    <s v="105324"/>
    <s v="NHỰA TRƯỜNG AN"/>
    <x v="46"/>
    <x v="44"/>
    <s v="rHDPE"/>
    <s v="rHDPE ép"/>
    <x v="1"/>
    <s v="NĐ"/>
    <s v="(blank)"/>
    <x v="0"/>
    <n v="1500"/>
    <n v="23611111"/>
    <n v="349498.05022831052"/>
    <n v="0"/>
    <n v="0"/>
    <n v="23261612.949771691"/>
    <m/>
    <m/>
    <m/>
    <m/>
    <m/>
    <m/>
    <m/>
    <m/>
    <m/>
    <m/>
    <m/>
    <n v="920.44572232619737"/>
    <n v="934.27511524012039"/>
    <x v="106"/>
    <x v="46"/>
  </r>
  <r>
    <x v="1"/>
    <x v="1"/>
    <n v="2"/>
    <s v="105324"/>
    <s v="NHỰA TRƯỜNG AN"/>
    <x v="52"/>
    <x v="50"/>
    <s v="rHDPE"/>
    <s v="rHDPE ép"/>
    <x v="1"/>
    <s v="NĐ"/>
    <s v="(blank)"/>
    <x v="0"/>
    <n v="750"/>
    <n v="11805556"/>
    <n v="0"/>
    <n v="0"/>
    <n v="0"/>
    <n v="11805556"/>
    <m/>
    <m/>
    <m/>
    <m/>
    <m/>
    <m/>
    <m/>
    <m/>
    <m/>
    <m/>
    <m/>
    <n v="467.13757740470982"/>
    <n v="467.13757740470982"/>
    <x v="106"/>
    <x v="52"/>
  </r>
  <r>
    <x v="1"/>
    <x v="1"/>
    <n v="2"/>
    <s v="105326"/>
    <s v="Kim Thuận Phát (Long An)"/>
    <x v="108"/>
    <x v="106"/>
    <s v="Khác"/>
    <s v="Phó sản"/>
    <x v="5"/>
    <s v="NĐ"/>
    <s v="(blank)"/>
    <x v="0"/>
    <n v="15875"/>
    <n v="5879630"/>
    <n v="0"/>
    <n v="0"/>
    <n v="0"/>
    <n v="5879630"/>
    <m/>
    <m/>
    <m/>
    <m/>
    <m/>
    <m/>
    <m/>
    <m/>
    <m/>
    <m/>
    <m/>
    <n v="232.65283856482947"/>
    <n v="232.65283856482947"/>
    <x v="121"/>
    <x v="108"/>
  </r>
  <r>
    <x v="1"/>
    <x v="1"/>
    <n v="2"/>
    <s v="105327"/>
    <s v="MEGA"/>
    <x v="109"/>
    <x v="107"/>
    <s v="rPP"/>
    <s v="rPP"/>
    <x v="6"/>
    <s v="NĐ"/>
    <s v="(blank)"/>
    <x v="0"/>
    <n v="5"/>
    <n v="105000"/>
    <n v="0"/>
    <n v="0"/>
    <n v="0"/>
    <n v="105000"/>
    <m/>
    <m/>
    <m/>
    <m/>
    <m/>
    <m/>
    <m/>
    <m/>
    <m/>
    <m/>
    <m/>
    <n v="4.1547764143844246"/>
    <n v="4.1547764143844246"/>
    <x v="122"/>
    <x v="109"/>
  </r>
  <r>
    <x v="1"/>
    <x v="1"/>
    <n v="2"/>
    <s v="105327"/>
    <s v="MEGA"/>
    <x v="84"/>
    <x v="82"/>
    <s v="rPP"/>
    <s v="rPP"/>
    <x v="6"/>
    <s v="NĐ"/>
    <s v="(blank)"/>
    <x v="0"/>
    <n v="5"/>
    <n v="89250"/>
    <n v="0"/>
    <n v="0"/>
    <n v="0"/>
    <n v="89250"/>
    <m/>
    <m/>
    <m/>
    <m/>
    <m/>
    <m/>
    <m/>
    <m/>
    <m/>
    <m/>
    <m/>
    <n v="3.5315599522267607"/>
    <n v="3.5315599522267607"/>
    <x v="122"/>
    <x v="84"/>
  </r>
  <r>
    <x v="1"/>
    <x v="1"/>
    <n v="2"/>
    <s v="105327"/>
    <s v="MEGA"/>
    <x v="57"/>
    <x v="55"/>
    <s v="rPP"/>
    <s v="rPP"/>
    <x v="6"/>
    <s v="NĐ"/>
    <s v="(blank)"/>
    <x v="0"/>
    <n v="5"/>
    <n v="105000"/>
    <n v="0"/>
    <n v="0"/>
    <n v="0"/>
    <n v="105000"/>
    <m/>
    <m/>
    <m/>
    <m/>
    <m/>
    <m/>
    <m/>
    <m/>
    <m/>
    <m/>
    <m/>
    <n v="4.1547764143844246"/>
    <n v="4.1547764143844246"/>
    <x v="122"/>
    <x v="57"/>
  </r>
  <r>
    <x v="1"/>
    <x v="1"/>
    <n v="2"/>
    <s v="105327"/>
    <s v="MEGA"/>
    <x v="86"/>
    <x v="84"/>
    <s v="rPP"/>
    <s v="rPP"/>
    <x v="6"/>
    <s v="NĐ"/>
    <s v="(blank)"/>
    <x v="0"/>
    <n v="5"/>
    <n v="105000"/>
    <n v="0"/>
    <n v="0"/>
    <n v="0"/>
    <n v="105000"/>
    <m/>
    <m/>
    <m/>
    <m/>
    <m/>
    <m/>
    <m/>
    <m/>
    <m/>
    <m/>
    <m/>
    <n v="4.1547764143844246"/>
    <n v="4.1547764143844246"/>
    <x v="122"/>
    <x v="86"/>
  </r>
  <r>
    <x v="1"/>
    <x v="1"/>
    <n v="2"/>
    <s v="105327"/>
    <s v="MEGA"/>
    <x v="90"/>
    <x v="88"/>
    <s v="rPP"/>
    <s v="rPP"/>
    <x v="6"/>
    <s v="NĐ"/>
    <s v="(blank)"/>
    <x v="0"/>
    <n v="5"/>
    <n v="105000"/>
    <n v="0"/>
    <n v="0"/>
    <n v="0"/>
    <n v="105000"/>
    <m/>
    <m/>
    <m/>
    <m/>
    <m/>
    <m/>
    <m/>
    <m/>
    <m/>
    <m/>
    <m/>
    <n v="4.1547764143844246"/>
    <n v="4.1547764143844246"/>
    <x v="122"/>
    <x v="90"/>
  </r>
  <r>
    <x v="1"/>
    <x v="1"/>
    <n v="2"/>
    <s v="105329"/>
    <s v="DUROCOLOUR"/>
    <x v="84"/>
    <x v="82"/>
    <s v="rPP"/>
    <s v="rPP"/>
    <x v="6"/>
    <s v="NĐ"/>
    <s v="(blank)"/>
    <x v="0"/>
    <n v="100"/>
    <n v="1955000"/>
    <n v="0"/>
    <n v="0"/>
    <n v="0"/>
    <n v="1955000"/>
    <m/>
    <m/>
    <m/>
    <m/>
    <m/>
    <m/>
    <m/>
    <m/>
    <m/>
    <m/>
    <m/>
    <n v="77.357979905919521"/>
    <n v="77.357979905919521"/>
    <x v="123"/>
    <x v="84"/>
  </r>
  <r>
    <x v="1"/>
    <x v="1"/>
    <n v="2"/>
    <s v="105330"/>
    <s v="Việt Thành Plast"/>
    <x v="58"/>
    <x v="56"/>
    <s v="rPET"/>
    <s v="rPET"/>
    <x v="3"/>
    <s v="NĐ"/>
    <s v="(blank)"/>
    <x v="0"/>
    <n v="1100"/>
    <n v="31680000"/>
    <n v="174749.02511415526"/>
    <n v="0"/>
    <n v="0"/>
    <n v="31505250.974885844"/>
    <m/>
    <m/>
    <m/>
    <m/>
    <m/>
    <m/>
    <m/>
    <m/>
    <m/>
    <m/>
    <m/>
    <n v="1246.6407017115962"/>
    <n v="1253.5553981685578"/>
    <x v="124"/>
    <x v="58"/>
  </r>
  <r>
    <x v="1"/>
    <x v="1"/>
    <n v="2"/>
    <s v="105333"/>
    <s v="LƯỚI BẢO NÔNG"/>
    <x v="107"/>
    <x v="105"/>
    <s v="rHDPE"/>
    <s v="rHDPE ép"/>
    <x v="1"/>
    <s v="NĐ"/>
    <s v="(blank)"/>
    <x v="0"/>
    <n v="750"/>
    <n v="11250000"/>
    <n v="174749.02511415526"/>
    <n v="0"/>
    <n v="0"/>
    <n v="11075250.974885846"/>
    <m/>
    <m/>
    <m/>
    <m/>
    <m/>
    <m/>
    <m/>
    <m/>
    <m/>
    <m/>
    <m/>
    <n v="438.23991936994111"/>
    <n v="445.15461582690261"/>
    <x v="125"/>
    <x v="107"/>
  </r>
  <r>
    <x v="1"/>
    <x v="1"/>
    <n v="2"/>
    <s v="105333"/>
    <s v="LƯỚI BẢO NÔNG"/>
    <x v="30"/>
    <x v="28"/>
    <s v="rHDPE"/>
    <s v="rHDPE ép"/>
    <x v="1"/>
    <s v="NĐ"/>
    <s v="(blank)"/>
    <x v="0"/>
    <n v="750"/>
    <n v="11250000"/>
    <n v="174749.02511415526"/>
    <n v="0"/>
    <n v="0"/>
    <n v="11075250.974885846"/>
    <m/>
    <m/>
    <m/>
    <m/>
    <m/>
    <m/>
    <m/>
    <m/>
    <m/>
    <m/>
    <m/>
    <n v="438.23991936994111"/>
    <n v="445.15461582690261"/>
    <x v="125"/>
    <x v="30"/>
  </r>
  <r>
    <x v="1"/>
    <x v="1"/>
    <n v="2"/>
    <s v="105333"/>
    <s v="LƯỚI BẢO NÔNG"/>
    <x v="52"/>
    <x v="50"/>
    <s v="rHDPE"/>
    <s v="rHDPE ép"/>
    <x v="1"/>
    <s v="NĐ"/>
    <s v="(blank)"/>
    <x v="0"/>
    <n v="750"/>
    <n v="11250000"/>
    <n v="174749.02511415526"/>
    <n v="0"/>
    <n v="0"/>
    <n v="11075250.974885846"/>
    <m/>
    <m/>
    <m/>
    <m/>
    <m/>
    <m/>
    <m/>
    <m/>
    <m/>
    <m/>
    <m/>
    <n v="438.23991936994111"/>
    <n v="445.15461582690261"/>
    <x v="125"/>
    <x v="52"/>
  </r>
  <r>
    <x v="1"/>
    <x v="1"/>
    <n v="2"/>
    <s v="105334"/>
    <s v="NHỰA BUYO"/>
    <x v="86"/>
    <x v="84"/>
    <s v="rPP"/>
    <s v="rPP"/>
    <x v="6"/>
    <s v="NĐ"/>
    <s v="(blank)"/>
    <x v="0"/>
    <n v="50"/>
    <n v="1347700"/>
    <n v="0"/>
    <n v="0"/>
    <n v="0"/>
    <n v="1347700"/>
    <m/>
    <m/>
    <m/>
    <m/>
    <m/>
    <m/>
    <m/>
    <m/>
    <m/>
    <m/>
    <m/>
    <n v="53.327544511103703"/>
    <n v="53.327544511103703"/>
    <x v="126"/>
    <x v="86"/>
  </r>
  <r>
    <x v="1"/>
    <x v="1"/>
    <n v="2"/>
    <s v="1551400100"/>
    <s v="Thành phẩm nhựa"/>
    <x v="41"/>
    <x v="39"/>
    <s v="Khác"/>
    <s v="Khác"/>
    <x v="2"/>
    <s v="NĐ"/>
    <s v="(blank)"/>
    <x v="0"/>
    <n v="0"/>
    <n v="0"/>
    <n v="0"/>
    <n v="0"/>
    <n v="0"/>
    <n v="0"/>
    <m/>
    <m/>
    <m/>
    <m/>
    <m/>
    <m/>
    <m/>
    <m/>
    <m/>
    <m/>
    <m/>
    <n v="0"/>
    <n v="0"/>
    <x v="107"/>
    <x v="41"/>
  </r>
  <r>
    <x v="1"/>
    <x v="1"/>
    <n v="2"/>
    <s v="1551490100"/>
    <s v="TP-ĐC K/C số dư"/>
    <x v="110"/>
    <x v="108"/>
    <s v="Khác"/>
    <s v="Khác"/>
    <x v="2"/>
    <s v="NĐ"/>
    <s v="(blank)"/>
    <x v="0"/>
    <n v="0"/>
    <n v="0"/>
    <n v="0"/>
    <n v="0"/>
    <n v="0"/>
    <n v="0"/>
    <m/>
    <m/>
    <m/>
    <m/>
    <m/>
    <m/>
    <m/>
    <m/>
    <m/>
    <m/>
    <m/>
    <n v="0"/>
    <n v="0"/>
    <x v="127"/>
    <x v="110"/>
  </r>
  <r>
    <x v="1"/>
    <x v="1"/>
    <n v="2"/>
    <s v="200274"/>
    <s v="STARLINGER &amp; CO.Gesellschaft m.b.H"/>
    <x v="41"/>
    <x v="39"/>
    <s v="Khác"/>
    <s v="Khác"/>
    <x v="2"/>
    <s v="NĐ"/>
    <s v="(blank)"/>
    <x v="0"/>
    <n v="0"/>
    <n v="0"/>
    <n v="0"/>
    <n v="0"/>
    <n v="0"/>
    <n v="0"/>
    <m/>
    <m/>
    <m/>
    <m/>
    <m/>
    <m/>
    <m/>
    <m/>
    <m/>
    <m/>
    <m/>
    <n v="0"/>
    <n v="0"/>
    <x v="108"/>
    <x v="41"/>
  </r>
  <r>
    <x v="1"/>
    <x v="1"/>
    <n v="2"/>
    <s v="200319"/>
    <s v="Niagara Bottling, LLC"/>
    <x v="9"/>
    <x v="9"/>
    <s v="rPET"/>
    <s v="rPET"/>
    <x v="3"/>
    <s v="XK"/>
    <s v="United States of America (the)"/>
    <x v="0"/>
    <n v="1672000"/>
    <n v="53916439509"/>
    <n v="125411706.92307681"/>
    <n v="808746592.63499999"/>
    <n v="659628299.25339365"/>
    <n v="52322652910.188538"/>
    <m/>
    <m/>
    <m/>
    <m/>
    <m/>
    <m/>
    <m/>
    <m/>
    <m/>
    <m/>
    <m/>
    <n v="2076052.925313703"/>
    <n v="2139287.2600945495"/>
    <x v="14"/>
    <x v="9"/>
  </r>
  <r>
    <x v="1"/>
    <x v="1"/>
    <n v="2"/>
    <s v="200319"/>
    <s v="Niagara Bottling, LLC"/>
    <x v="39"/>
    <x v="37"/>
    <s v="Khác"/>
    <s v="Khác"/>
    <x v="8"/>
    <s v="NĐ"/>
    <s v="(blank)"/>
    <x v="0"/>
    <n v="0"/>
    <n v="0"/>
    <n v="0"/>
    <n v="0"/>
    <n v="-36890984.253393687"/>
    <n v="36890984.253393687"/>
    <m/>
    <m/>
    <m/>
    <m/>
    <m/>
    <m/>
    <m/>
    <m/>
    <m/>
    <m/>
    <m/>
    <n v="1459.7503931374017"/>
    <n v="0"/>
    <x v="14"/>
    <x v="39"/>
  </r>
  <r>
    <x v="1"/>
    <x v="1"/>
    <n v="2"/>
    <s v="200326"/>
    <s v="Resinex"/>
    <x v="8"/>
    <x v="8"/>
    <s v="rPET"/>
    <s v="rPET"/>
    <x v="3"/>
    <s v="XK"/>
    <s v="Israel"/>
    <x v="0"/>
    <n v="66000"/>
    <n v="2392533000"/>
    <n v="4950462.115384615"/>
    <n v="0"/>
    <n v="235591411.99999997"/>
    <n v="2151991125.8846154"/>
    <m/>
    <m/>
    <m/>
    <m/>
    <m/>
    <m/>
    <m/>
    <m/>
    <m/>
    <m/>
    <m/>
    <n v="84891.168673949331"/>
    <n v="94380"/>
    <x v="37"/>
    <x v="8"/>
  </r>
  <r>
    <x v="1"/>
    <x v="1"/>
    <n v="2"/>
    <s v="200326"/>
    <s v="Resinex"/>
    <x v="39"/>
    <x v="37"/>
    <s v="Khác"/>
    <s v="Khác"/>
    <x v="8"/>
    <s v="NĐ"/>
    <s v="(blank)"/>
    <x v="0"/>
    <n v="0"/>
    <n v="0"/>
    <n v="0"/>
    <n v="0"/>
    <n v="21358587"/>
    <n v="-21358587"/>
    <m/>
    <m/>
    <m/>
    <m/>
    <m/>
    <m/>
    <m/>
    <m/>
    <m/>
    <m/>
    <m/>
    <n v="-845.14431916359797"/>
    <n v="0"/>
    <x v="37"/>
    <x v="39"/>
  </r>
  <r>
    <x v="1"/>
    <x v="1"/>
    <n v="2"/>
    <s v="200329"/>
    <s v="Pentaplast SRL"/>
    <x v="3"/>
    <x v="3"/>
    <s v="rHDPE"/>
    <s v="rHDPE ép"/>
    <x v="1"/>
    <s v="XK"/>
    <s v="Italy"/>
    <x v="0"/>
    <n v="25000"/>
    <n v="602062500"/>
    <n v="0"/>
    <n v="0"/>
    <n v="126732111"/>
    <n v="475330389"/>
    <m/>
    <m/>
    <m/>
    <m/>
    <m/>
    <m/>
    <m/>
    <m/>
    <m/>
    <m/>
    <m/>
    <n v="18750.705680473373"/>
    <n v="23750"/>
    <x v="128"/>
    <x v="3"/>
  </r>
  <r>
    <x v="1"/>
    <x v="1"/>
    <n v="2"/>
    <s v="200329"/>
    <s v="Pentaplast SRL"/>
    <x v="39"/>
    <x v="37"/>
    <s v="Khác"/>
    <s v="Khác"/>
    <x v="8"/>
    <s v="NĐ"/>
    <s v="(blank)"/>
    <x v="0"/>
    <n v="0"/>
    <n v="0"/>
    <n v="0"/>
    <n v="0"/>
    <n v="-1984674"/>
    <n v="1984674"/>
    <m/>
    <m/>
    <m/>
    <m/>
    <m/>
    <m/>
    <m/>
    <m/>
    <m/>
    <m/>
    <m/>
    <n v="78.53215928992374"/>
    <n v="0"/>
    <x v="128"/>
    <x v="39"/>
  </r>
  <r>
    <x v="1"/>
    <x v="1"/>
    <n v="2"/>
    <s v="200330"/>
    <s v="Fega"/>
    <x v="58"/>
    <x v="56"/>
    <s v="rPET"/>
    <s v="rPET"/>
    <x v="3"/>
    <s v="XK"/>
    <s v="Greece"/>
    <x v="0"/>
    <n v="22000"/>
    <n v="613470000.00000012"/>
    <n v="1650154.0384615385"/>
    <n v="0"/>
    <n v="15397937"/>
    <n v="596421908.96153855"/>
    <m/>
    <m/>
    <m/>
    <m/>
    <m/>
    <m/>
    <m/>
    <m/>
    <m/>
    <m/>
    <m/>
    <n v="23527.491477772724"/>
    <n v="24200.000000000004"/>
    <x v="30"/>
    <x v="58"/>
  </r>
  <r>
    <x v="1"/>
    <x v="1"/>
    <n v="2"/>
    <s v="200330"/>
    <s v="Fega"/>
    <x v="39"/>
    <x v="37"/>
    <s v="Khác"/>
    <s v="Khác"/>
    <x v="8"/>
    <s v="NĐ"/>
    <s v="(blank)"/>
    <x v="0"/>
    <n v="0"/>
    <n v="0"/>
    <n v="0"/>
    <n v="0"/>
    <n v="-667223.33333333337"/>
    <n v="667223.33333333337"/>
    <m/>
    <m/>
    <m/>
    <m/>
    <m/>
    <m/>
    <m/>
    <m/>
    <m/>
    <m/>
    <m/>
    <n v="26.401559699621814"/>
    <n v="0"/>
    <x v="30"/>
    <x v="39"/>
  </r>
  <r>
    <x v="1"/>
    <x v="1"/>
    <n v="2"/>
    <s v="200332"/>
    <s v="OUTEIRINHO TURISMO E INDUSTRIA SA"/>
    <x v="33"/>
    <x v="31"/>
    <s v="rPET"/>
    <s v="rPET"/>
    <x v="3"/>
    <s v="XK"/>
    <s v="Portugal"/>
    <x v="0"/>
    <n v="880000"/>
    <n v="27867125000"/>
    <n v="66006161.538461506"/>
    <n v="0"/>
    <n v="345083999.0000003"/>
    <n v="27456034839.461521"/>
    <m/>
    <m/>
    <m/>
    <m/>
    <m/>
    <m/>
    <m/>
    <m/>
    <m/>
    <m/>
    <m/>
    <n v="1083772.7916803025"/>
    <n v="1100000"/>
    <x v="44"/>
    <x v="33"/>
  </r>
  <r>
    <x v="1"/>
    <x v="1"/>
    <n v="2"/>
    <s v="200332"/>
    <s v="OUTEIRINHO TURISMO E INDUSTRIA SA"/>
    <x v="111"/>
    <x v="109"/>
    <s v="rHDPE"/>
    <s v="rHDPE ép"/>
    <x v="1"/>
    <s v="XK"/>
    <s v="Portugal"/>
    <x v="0"/>
    <n v="25000"/>
    <n v="760500000"/>
    <n v="0"/>
    <n v="0"/>
    <n v="14903000"/>
    <n v="745597000"/>
    <m/>
    <m/>
    <m/>
    <m/>
    <m/>
    <m/>
    <m/>
    <m/>
    <m/>
    <m/>
    <m/>
    <n v="29412.110453648915"/>
    <n v="30000"/>
    <x v="44"/>
    <x v="111"/>
  </r>
  <r>
    <x v="1"/>
    <x v="1"/>
    <n v="2"/>
    <s v="200332"/>
    <s v="OUTEIRINHO TURISMO E INDUSTRIA SA"/>
    <x v="39"/>
    <x v="37"/>
    <s v="Khác"/>
    <s v="Khác"/>
    <x v="8"/>
    <s v="NĐ"/>
    <s v="(blank)"/>
    <x v="0"/>
    <n v="0"/>
    <n v="0"/>
    <n v="0"/>
    <n v="0"/>
    <n v="-4528345.9999999953"/>
    <n v="4528345.9999999953"/>
    <m/>
    <m/>
    <m/>
    <m/>
    <m/>
    <m/>
    <m/>
    <m/>
    <m/>
    <m/>
    <m/>
    <n v="179.1834776854482"/>
    <n v="0"/>
    <x v="44"/>
    <x v="39"/>
  </r>
  <r>
    <x v="1"/>
    <x v="1"/>
    <n v="2"/>
    <s v="200341"/>
    <s v="Pragmatrade"/>
    <x v="33"/>
    <x v="31"/>
    <s v="rPET"/>
    <s v="rPET"/>
    <x v="3"/>
    <s v="XK"/>
    <s v="Italy"/>
    <x v="0"/>
    <n v="22000"/>
    <n v="782012000"/>
    <n v="1650154.0384615385"/>
    <n v="0"/>
    <n v="84327387"/>
    <n v="696034458.96153843"/>
    <m/>
    <m/>
    <m/>
    <m/>
    <m/>
    <m/>
    <m/>
    <m/>
    <m/>
    <m/>
    <m/>
    <n v="27413.724260005452"/>
    <n v="30800"/>
    <x v="129"/>
    <x v="33"/>
  </r>
  <r>
    <x v="1"/>
    <x v="1"/>
    <n v="2"/>
    <s v="200341"/>
    <s v="Pragmatrade"/>
    <x v="112"/>
    <x v="110"/>
    <s v="Khác"/>
    <s v="Khác"/>
    <x v="16"/>
    <s v="NĐ"/>
    <s v="(blank)"/>
    <x v="0"/>
    <n v="0"/>
    <n v="0"/>
    <n v="0"/>
    <n v="0"/>
    <n v="-1188704"/>
    <n v="1188704"/>
    <m/>
    <m/>
    <m/>
    <m/>
    <m/>
    <m/>
    <m/>
    <m/>
    <m/>
    <m/>
    <m/>
    <n v="47.036184217946882"/>
    <n v="0"/>
    <x v="129"/>
    <x v="112"/>
  </r>
  <r>
    <x v="1"/>
    <x v="1"/>
    <n v="2"/>
    <s v="200341"/>
    <s v="Pragmatrade"/>
    <x v="39"/>
    <x v="37"/>
    <s v="Khác"/>
    <s v="Khác"/>
    <x v="8"/>
    <s v="NĐ"/>
    <s v="(blank)"/>
    <x v="0"/>
    <n v="0"/>
    <n v="0"/>
    <n v="0"/>
    <n v="0"/>
    <n v="-1528654"/>
    <n v="1528654"/>
    <m/>
    <m/>
    <m/>
    <m/>
    <m/>
    <m/>
    <m/>
    <m/>
    <m/>
    <m/>
    <m/>
    <n v="60.487767475756272"/>
    <n v="0"/>
    <x v="129"/>
    <x v="39"/>
  </r>
  <r>
    <x v="1"/>
    <x v="1"/>
    <n v="2"/>
    <s v="200355"/>
    <s v="International Gate SA"/>
    <x v="33"/>
    <x v="31"/>
    <s v="rPET"/>
    <s v="rPET"/>
    <x v="3"/>
    <s v="XK"/>
    <s v="Poland"/>
    <x v="0"/>
    <n v="110000"/>
    <n v="3783384000"/>
    <n v="10334120.192307692"/>
    <n v="0"/>
    <n v="250850185"/>
    <n v="3522199694.8076921"/>
    <m/>
    <m/>
    <m/>
    <m/>
    <m/>
    <m/>
    <m/>
    <m/>
    <m/>
    <m/>
    <m/>
    <n v="139272.42763177905"/>
    <n v="149600"/>
    <x v="51"/>
    <x v="33"/>
  </r>
  <r>
    <x v="1"/>
    <x v="1"/>
    <n v="2"/>
    <s v="200355"/>
    <s v="International Gate SA"/>
    <x v="39"/>
    <x v="37"/>
    <s v="Khác"/>
    <s v="Khác"/>
    <x v="8"/>
    <s v="NĐ"/>
    <s v="(blank)"/>
    <x v="0"/>
    <n v="0"/>
    <n v="0"/>
    <n v="0"/>
    <n v="0"/>
    <n v="8341480"/>
    <n v="-8341480"/>
    <m/>
    <m/>
    <m/>
    <m/>
    <m/>
    <m/>
    <m/>
    <m/>
    <m/>
    <m/>
    <m/>
    <n v="-330.06651776247031"/>
    <n v="0"/>
    <x v="51"/>
    <x v="39"/>
  </r>
  <r>
    <x v="1"/>
    <x v="1"/>
    <n v="2"/>
    <s v="200364"/>
    <s v="POLYRESIN EOOD"/>
    <x v="33"/>
    <x v="31"/>
    <s v="rPET"/>
    <s v="rPET"/>
    <x v="3"/>
    <s v="XK"/>
    <s v="Greece"/>
    <x v="0"/>
    <n v="22000"/>
    <n v="708279000"/>
    <n v="1650154.0384615385"/>
    <n v="0"/>
    <n v="15397937"/>
    <n v="691230908.96153843"/>
    <m/>
    <m/>
    <m/>
    <m/>
    <m/>
    <m/>
    <m/>
    <m/>
    <m/>
    <m/>
    <m/>
    <n v="27267.491477772721"/>
    <n v="27940"/>
    <x v="87"/>
    <x v="33"/>
  </r>
  <r>
    <x v="1"/>
    <x v="1"/>
    <n v="2"/>
    <s v="200364"/>
    <s v="POLYRESIN EOOD"/>
    <x v="58"/>
    <x v="56"/>
    <s v="rPET"/>
    <s v="rPET"/>
    <x v="3"/>
    <s v="XK"/>
    <s v="Greece"/>
    <x v="0"/>
    <n v="22000"/>
    <n v="613470000.00000012"/>
    <n v="1650154.0384615385"/>
    <n v="0"/>
    <n v="15397937"/>
    <n v="596421908.96153855"/>
    <m/>
    <m/>
    <m/>
    <m/>
    <m/>
    <m/>
    <m/>
    <m/>
    <m/>
    <m/>
    <m/>
    <n v="23527.491477772724"/>
    <n v="24200.000000000004"/>
    <x v="87"/>
    <x v="58"/>
  </r>
  <r>
    <x v="1"/>
    <x v="1"/>
    <n v="2"/>
    <s v="200364"/>
    <s v="POLYRESIN EOOD"/>
    <x v="39"/>
    <x v="37"/>
    <s v="Khác"/>
    <s v="Khác"/>
    <x v="8"/>
    <s v="NĐ"/>
    <s v="(blank)"/>
    <x v="0"/>
    <n v="0"/>
    <n v="0"/>
    <n v="0"/>
    <n v="0"/>
    <n v="-1098888.6666666667"/>
    <n v="1098888.6666666667"/>
    <m/>
    <m/>
    <m/>
    <m/>
    <m/>
    <m/>
    <m/>
    <m/>
    <m/>
    <m/>
    <m/>
    <n v="43.482254421914426"/>
    <n v="0"/>
    <x v="87"/>
    <x v="39"/>
  </r>
  <r>
    <x v="1"/>
    <x v="1"/>
    <n v="2"/>
    <s v="200365"/>
    <s v="Vinmar International"/>
    <x v="33"/>
    <x v="31"/>
    <s v="rPET"/>
    <s v="rPET"/>
    <x v="3"/>
    <s v="XK"/>
    <s v="Bulgaria"/>
    <x v="0"/>
    <n v="66000"/>
    <n v="2088586500"/>
    <n v="4950462.115384615"/>
    <n v="0"/>
    <n v="29335667.000000007"/>
    <n v="2054300370.8846154"/>
    <m/>
    <m/>
    <m/>
    <m/>
    <m/>
    <m/>
    <m/>
    <m/>
    <m/>
    <m/>
    <m/>
    <n v="81037.489975724486"/>
    <n v="82390"/>
    <x v="93"/>
    <x v="33"/>
  </r>
  <r>
    <x v="1"/>
    <x v="1"/>
    <n v="2"/>
    <s v="200365"/>
    <s v="Vinmar International"/>
    <x v="33"/>
    <x v="31"/>
    <s v="rPET"/>
    <s v="rPET"/>
    <x v="3"/>
    <s v="XK"/>
    <s v="Italy"/>
    <x v="0"/>
    <n v="242000"/>
    <n v="7637701500.000001"/>
    <n v="31610839.615384616"/>
    <n v="0"/>
    <n v="100036295.00000003"/>
    <n v="7506054365.3846149"/>
    <m/>
    <m/>
    <m/>
    <m/>
    <m/>
    <m/>
    <m/>
    <m/>
    <m/>
    <m/>
    <m/>
    <n v="296096.81914732221"/>
    <n v="301290.00000000006"/>
    <x v="93"/>
    <x v="33"/>
  </r>
  <r>
    <x v="1"/>
    <x v="1"/>
    <n v="2"/>
    <s v="200365"/>
    <s v="Vinmar International"/>
    <x v="33"/>
    <x v="31"/>
    <s v="rPET"/>
    <s v="rPET"/>
    <x v="3"/>
    <s v="XK"/>
    <s v="Romania"/>
    <x v="0"/>
    <n v="22000"/>
    <n v="697125000"/>
    <n v="1650154.0384615383"/>
    <n v="0"/>
    <n v="12666482"/>
    <n v="682808363.96153843"/>
    <m/>
    <m/>
    <m/>
    <m/>
    <m/>
    <m/>
    <m/>
    <m/>
    <m/>
    <m/>
    <m/>
    <n v="26935.241181914731"/>
    <n v="27500"/>
    <x v="93"/>
    <x v="33"/>
  </r>
  <r>
    <x v="1"/>
    <x v="1"/>
    <n v="2"/>
    <s v="200365"/>
    <s v="Vinmar International"/>
    <x v="39"/>
    <x v="37"/>
    <s v="Khác"/>
    <s v="Khác"/>
    <x v="8"/>
    <s v="NĐ"/>
    <s v="(blank)"/>
    <x v="0"/>
    <n v="0"/>
    <n v="0"/>
    <n v="0"/>
    <n v="0"/>
    <n v="-3518449"/>
    <n v="3518449"/>
    <m/>
    <m/>
    <m/>
    <m/>
    <m/>
    <m/>
    <m/>
    <m/>
    <m/>
    <m/>
    <m/>
    <n v="139.22256114680442"/>
    <n v="0"/>
    <x v="93"/>
    <x v="39"/>
  </r>
  <r>
    <x v="1"/>
    <x v="1"/>
    <n v="2"/>
    <s v="200369"/>
    <s v="PTI- Retal"/>
    <x v="33"/>
    <x v="31"/>
    <s v="rPET"/>
    <s v="rPET"/>
    <x v="3"/>
    <s v="XK"/>
    <s v="Bulgaria"/>
    <x v="0"/>
    <n v="22000"/>
    <n v="800371000"/>
    <n v="1650154.0384615385"/>
    <n v="0"/>
    <n v="103874956"/>
    <n v="694845889.96153843"/>
    <m/>
    <m/>
    <m/>
    <m/>
    <m/>
    <m/>
    <m/>
    <m/>
    <m/>
    <m/>
    <m/>
    <n v="27694.13670631879"/>
    <n v="31900"/>
    <x v="130"/>
    <x v="33"/>
  </r>
  <r>
    <x v="1"/>
    <x v="1"/>
    <n v="2"/>
    <s v="200370"/>
    <s v="KORYFES SA"/>
    <x v="33"/>
    <x v="31"/>
    <s v="rPET"/>
    <s v="rPET"/>
    <x v="3"/>
    <s v="XK"/>
    <s v="Belgium"/>
    <x v="0"/>
    <n v="440000"/>
    <n v="15166438320"/>
    <n v="38419790.769230776"/>
    <n v="0"/>
    <n v="1244777301.8235292"/>
    <n v="13883241227.407238"/>
    <m/>
    <m/>
    <m/>
    <m/>
    <m/>
    <m/>
    <m/>
    <m/>
    <m/>
    <m/>
    <m/>
    <n v="548007.55202897778"/>
    <n v="598664"/>
    <x v="131"/>
    <x v="33"/>
  </r>
  <r>
    <x v="1"/>
    <x v="1"/>
    <n v="2"/>
    <s v="200370"/>
    <s v="KORYFES SA"/>
    <x v="39"/>
    <x v="37"/>
    <s v="Khác"/>
    <s v="Khác"/>
    <x v="8"/>
    <s v="NĐ"/>
    <s v="(blank)"/>
    <x v="0"/>
    <n v="0"/>
    <n v="0"/>
    <n v="0"/>
    <n v="0"/>
    <n v="-7656516.8235294065"/>
    <n v="7656516.8235294065"/>
    <m/>
    <m/>
    <m/>
    <m/>
    <m/>
    <m/>
    <m/>
    <m/>
    <m/>
    <m/>
    <m/>
    <n v="302.96300490226196"/>
    <n v="0"/>
    <x v="131"/>
    <x v="39"/>
  </r>
  <r>
    <x v="1"/>
    <x v="1"/>
    <n v="2"/>
    <s v="200372"/>
    <s v="MERAXIS AG"/>
    <x v="33"/>
    <x v="31"/>
    <s v="rPET"/>
    <s v="rPET"/>
    <x v="3"/>
    <s v="XK"/>
    <s v="Bulgaria"/>
    <x v="0"/>
    <n v="220000"/>
    <n v="6907758000"/>
    <n v="16501540.384615382"/>
    <n v="0"/>
    <n v="92914889.000000015"/>
    <n v="6798341570.615386"/>
    <m/>
    <m/>
    <m/>
    <m/>
    <m/>
    <m/>
    <m/>
    <m/>
    <m/>
    <m/>
    <m/>
    <n v="269561.52143597871"/>
    <n v="273900"/>
    <x v="132"/>
    <x v="33"/>
  </r>
  <r>
    <x v="1"/>
    <x v="1"/>
    <n v="2"/>
    <s v="200372"/>
    <s v="MERAXIS AG"/>
    <x v="39"/>
    <x v="37"/>
    <s v="Khác"/>
    <s v="Khác"/>
    <x v="8"/>
    <s v="NĐ"/>
    <s v="(blank)"/>
    <x v="0"/>
    <n v="0"/>
    <n v="0"/>
    <n v="0"/>
    <n v="0"/>
    <n v="-365559.00000000012"/>
    <n v="365559.00000000012"/>
    <m/>
    <m/>
    <m/>
    <m/>
    <m/>
    <m/>
    <m/>
    <m/>
    <m/>
    <m/>
    <m/>
    <n v="14.464913440628155"/>
    <n v="0"/>
    <x v="132"/>
    <x v="39"/>
  </r>
  <r>
    <x v="1"/>
    <x v="1"/>
    <n v="2"/>
    <s v="200374"/>
    <s v="POLYCAD"/>
    <x v="33"/>
    <x v="31"/>
    <s v="rPET"/>
    <s v="rPET"/>
    <x v="3"/>
    <s v="XK"/>
    <s v="United States of America (the)"/>
    <x v="0"/>
    <n v="66000"/>
    <n v="2417629500"/>
    <n v="4950462.115384615"/>
    <n v="33462000"/>
    <n v="235471968"/>
    <n v="2143745069.8846154"/>
    <m/>
    <m/>
    <m/>
    <m/>
    <m/>
    <m/>
    <m/>
    <m/>
    <m/>
    <m/>
    <m/>
    <n v="84565.880468821124"/>
    <n v="95370"/>
    <x v="133"/>
    <x v="33"/>
  </r>
  <r>
    <x v="1"/>
    <x v="1"/>
    <n v="2"/>
    <s v="200374"/>
    <s v="POLYCAD"/>
    <x v="39"/>
    <x v="37"/>
    <s v="Khác"/>
    <s v="Khác"/>
    <x v="8"/>
    <s v="NĐ"/>
    <s v="(blank)"/>
    <x v="0"/>
    <n v="0"/>
    <n v="0"/>
    <n v="0"/>
    <n v="0"/>
    <n v="21478031"/>
    <n v="-21478031"/>
    <m/>
    <m/>
    <m/>
    <m/>
    <m/>
    <m/>
    <m/>
    <m/>
    <m/>
    <m/>
    <m/>
    <n v="-849.87063453540497"/>
    <n v="0"/>
    <x v="133"/>
    <x v="39"/>
  </r>
  <r>
    <x v="1"/>
    <x v="1"/>
    <n v="2"/>
    <s v="2421100100"/>
    <s v="Chi phí phân bổ"/>
    <x v="27"/>
    <x v="25"/>
    <s v="Khác"/>
    <s v="Khác"/>
    <x v="2"/>
    <s v="NĐ"/>
    <s v="(blank)"/>
    <x v="0"/>
    <n v="0"/>
    <n v="0"/>
    <n v="0"/>
    <n v="0"/>
    <n v="0"/>
    <n v="0"/>
    <m/>
    <m/>
    <m/>
    <m/>
    <m/>
    <m/>
    <m/>
    <m/>
    <m/>
    <m/>
    <m/>
    <n v="0"/>
    <n v="0"/>
    <x v="64"/>
    <x v="27"/>
  </r>
  <r>
    <x v="1"/>
    <x v="1"/>
    <n v="2"/>
    <s v="2422200100"/>
    <s v="Chi phí trả trước dài hạn cho BP gián tiếp"/>
    <x v="99"/>
    <x v="97"/>
    <s v="Khác"/>
    <s v="Khác"/>
    <x v="2"/>
    <s v="NĐ"/>
    <s v="(blank)"/>
    <x v="0"/>
    <n v="0"/>
    <n v="0"/>
    <n v="0"/>
    <n v="0"/>
    <n v="0"/>
    <n v="0"/>
    <m/>
    <m/>
    <m/>
    <m/>
    <m/>
    <m/>
    <m/>
    <m/>
    <m/>
    <m/>
    <m/>
    <n v="0"/>
    <n v="0"/>
    <x v="112"/>
    <x v="99"/>
  </r>
  <r>
    <x v="1"/>
    <x v="1"/>
    <n v="2"/>
    <s v="3389000200"/>
    <s v="PT CP vận chuyển"/>
    <x v="41"/>
    <x v="39"/>
    <s v="Khác"/>
    <s v="Khác"/>
    <x v="2"/>
    <s v="NĐ"/>
    <s v="(blank)"/>
    <x v="0"/>
    <n v="0"/>
    <n v="0"/>
    <n v="0"/>
    <n v="0"/>
    <n v="0"/>
    <n v="0"/>
    <m/>
    <m/>
    <m/>
    <m/>
    <m/>
    <m/>
    <m/>
    <m/>
    <m/>
    <m/>
    <m/>
    <n v="0"/>
    <n v="0"/>
    <x v="117"/>
    <x v="41"/>
  </r>
  <r>
    <x v="1"/>
    <x v="1"/>
    <n v="2"/>
    <s v="6219000210"/>
    <s v="Chênh lệch CPSX cấp dưới (lower level)"/>
    <x v="41"/>
    <x v="39"/>
    <s v="Khác"/>
    <s v="Khác"/>
    <x v="2"/>
    <s v="NĐ"/>
    <s v="(blank)"/>
    <x v="0"/>
    <n v="0"/>
    <n v="0"/>
    <n v="0"/>
    <n v="0"/>
    <n v="0"/>
    <n v="0"/>
    <m/>
    <m/>
    <m/>
    <m/>
    <m/>
    <m/>
    <m/>
    <m/>
    <m/>
    <m/>
    <m/>
    <n v="0"/>
    <n v="0"/>
    <x v="80"/>
    <x v="41"/>
  </r>
  <r>
    <x v="1"/>
    <x v="1"/>
    <n v="2"/>
    <s v="6219000220"/>
    <s v="Chênh lệch CPSX đơn cấp (single level)"/>
    <x v="41"/>
    <x v="39"/>
    <s v="Khác"/>
    <s v="Khác"/>
    <x v="2"/>
    <s v="NĐ"/>
    <s v="(blank)"/>
    <x v="0"/>
    <n v="0"/>
    <n v="0"/>
    <n v="0"/>
    <n v="0"/>
    <n v="0"/>
    <n v="0"/>
    <m/>
    <m/>
    <m/>
    <m/>
    <m/>
    <m/>
    <m/>
    <m/>
    <m/>
    <m/>
    <m/>
    <n v="0"/>
    <n v="0"/>
    <x v="81"/>
    <x v="41"/>
  </r>
  <r>
    <x v="1"/>
    <x v="1"/>
    <n v="2"/>
    <s v="6219000900"/>
    <s v="Kết chuyển CPSX không phân bổ được"/>
    <x v="37"/>
    <x v="35"/>
    <s v="Khác"/>
    <s v="Khác"/>
    <x v="2"/>
    <s v="NĐ"/>
    <s v="(blank)"/>
    <x v="0"/>
    <n v="0"/>
    <n v="0"/>
    <n v="0"/>
    <n v="0"/>
    <n v="0"/>
    <n v="0"/>
    <m/>
    <m/>
    <m/>
    <m/>
    <m/>
    <m/>
    <m/>
    <m/>
    <m/>
    <m/>
    <m/>
    <n v="0"/>
    <n v="0"/>
    <x v="20"/>
    <x v="37"/>
  </r>
  <r>
    <x v="1"/>
    <x v="1"/>
    <n v="2"/>
    <s v="6329000200"/>
    <s v="GV DC CL từ CPSX TT"/>
    <x v="41"/>
    <x v="39"/>
    <s v="Khác"/>
    <s v="Khác"/>
    <x v="2"/>
    <s v="NĐ"/>
    <s v="(blank)"/>
    <x v="0"/>
    <n v="0"/>
    <n v="0"/>
    <n v="0"/>
    <n v="0"/>
    <n v="0"/>
    <n v="0"/>
    <m/>
    <m/>
    <m/>
    <m/>
    <m/>
    <m/>
    <m/>
    <m/>
    <m/>
    <m/>
    <m/>
    <n v="0"/>
    <n v="0"/>
    <x v="134"/>
    <x v="41"/>
  </r>
  <r>
    <x v="1"/>
    <x v="1"/>
    <n v="2"/>
    <s v="6422004803"/>
    <s v="Chi phí thử mẫu, xuất mẫu"/>
    <x v="41"/>
    <x v="39"/>
    <s v="Khác"/>
    <s v="Khác"/>
    <x v="2"/>
    <s v="NĐ"/>
    <s v="(blank)"/>
    <x v="0"/>
    <n v="0"/>
    <n v="0"/>
    <n v="0"/>
    <n v="0"/>
    <n v="0"/>
    <n v="0"/>
    <m/>
    <m/>
    <m/>
    <m/>
    <m/>
    <m/>
    <m/>
    <m/>
    <m/>
    <m/>
    <m/>
    <n v="0"/>
    <n v="0"/>
    <x v="135"/>
    <x v="41"/>
  </r>
  <r>
    <x v="1"/>
    <x v="1"/>
    <n v="2"/>
    <s v="BN"/>
    <s v="Bán Ngoài"/>
    <x v="38"/>
    <x v="36"/>
    <s v="Khác"/>
    <s v="Khác"/>
    <x v="2"/>
    <s v="NĐ"/>
    <s v="(blank)"/>
    <x v="0"/>
    <n v="0"/>
    <n v="0"/>
    <n v="-873745.12557077629"/>
    <n v="0"/>
    <n v="700000.81481510401"/>
    <n v="173744.31075567228"/>
    <m/>
    <m/>
    <m/>
    <m/>
    <m/>
    <m/>
    <m/>
    <m/>
    <m/>
    <m/>
    <m/>
    <n v="6.874940613915669"/>
    <n v="0"/>
    <x v="21"/>
    <x v="38"/>
  </r>
  <r>
    <x v="1"/>
    <x v="1"/>
    <n v="2"/>
    <s v="BN"/>
    <s v="Bán Ngoài"/>
    <x v="39"/>
    <x v="37"/>
    <s v="Khác"/>
    <s v="Khác"/>
    <x v="8"/>
    <s v="NĐ"/>
    <s v="(blank)"/>
    <x v="0"/>
    <n v="0"/>
    <n v="0"/>
    <n v="0"/>
    <n v="231247.36499965191"/>
    <n v="-62900740.740740731"/>
    <n v="62669493.375741079"/>
    <m/>
    <m/>
    <m/>
    <m/>
    <m/>
    <m/>
    <m/>
    <m/>
    <m/>
    <m/>
    <m/>
    <n v="2479.7879331328572"/>
    <n v="0"/>
    <x v="21"/>
    <x v="39"/>
  </r>
  <r>
    <x v="1"/>
    <x v="1"/>
    <n v="2"/>
    <s v="BN"/>
    <s v="Bán Ngoài"/>
    <x v="41"/>
    <x v="39"/>
    <s v="Khác"/>
    <s v="Khác"/>
    <x v="2"/>
    <s v="NĐ"/>
    <s v="(blank)"/>
    <x v="0"/>
    <n v="0"/>
    <n v="0"/>
    <n v="0"/>
    <n v="0"/>
    <n v="0"/>
    <n v="0"/>
    <m/>
    <m/>
    <m/>
    <m/>
    <m/>
    <m/>
    <m/>
    <m/>
    <m/>
    <m/>
    <m/>
    <n v="0"/>
    <n v="0"/>
    <x v="21"/>
    <x v="41"/>
  </r>
  <r>
    <x v="1"/>
    <x v="2"/>
    <n v="3"/>
    <s v="1000"/>
    <s v="CPSX Nhựa Duy Tân"/>
    <x v="9"/>
    <x v="9"/>
    <s v="rPET"/>
    <s v="rPET"/>
    <x v="3"/>
    <s v="NĐ"/>
    <s v="(blank)"/>
    <x v="0"/>
    <n v="11000"/>
    <n v="342309000"/>
    <n v="1709320.5337519622"/>
    <n v="0"/>
    <n v="0"/>
    <n v="340599679.46624804"/>
    <m/>
    <m/>
    <m/>
    <m/>
    <m/>
    <m/>
    <m/>
    <m/>
    <m/>
    <m/>
    <m/>
    <n v="13423.007720538255"/>
    <n v="13490.371914061228"/>
    <x v="0"/>
    <x v="9"/>
  </r>
  <r>
    <x v="1"/>
    <x v="2"/>
    <n v="3"/>
    <s v="1000"/>
    <s v="CPSX Nhựa Duy Tân"/>
    <x v="2"/>
    <x v="2"/>
    <s v="rHDPE"/>
    <s v="rHDPE ép"/>
    <x v="1"/>
    <s v="NĐ"/>
    <s v="(blank)"/>
    <x v="0"/>
    <n v="16500"/>
    <n v="341758725.00000006"/>
    <n v="0"/>
    <n v="0"/>
    <n v="0"/>
    <n v="341758725.00000006"/>
    <m/>
    <m/>
    <m/>
    <m/>
    <m/>
    <m/>
    <m/>
    <m/>
    <m/>
    <m/>
    <m/>
    <n v="13468.685617747051"/>
    <n v="13468.685617747051"/>
    <x v="0"/>
    <x v="2"/>
  </r>
  <r>
    <x v="1"/>
    <x v="2"/>
    <n v="3"/>
    <s v="1000"/>
    <s v="CPSX Nhựa Duy Tân"/>
    <x v="4"/>
    <x v="4"/>
    <s v="rHDPE"/>
    <s v="rHDPE ép"/>
    <x v="1"/>
    <s v="NĐ"/>
    <s v="(blank)"/>
    <x v="0"/>
    <n v="11000"/>
    <n v="227839150.00000003"/>
    <n v="0"/>
    <n v="0"/>
    <n v="0"/>
    <n v="227839150.00000003"/>
    <m/>
    <m/>
    <m/>
    <m/>
    <m/>
    <m/>
    <m/>
    <m/>
    <m/>
    <m/>
    <m/>
    <n v="8979.1237451647012"/>
    <n v="8979.1237451647012"/>
    <x v="0"/>
    <x v="4"/>
  </r>
  <r>
    <x v="1"/>
    <x v="2"/>
    <n v="3"/>
    <s v="1000"/>
    <s v="CPSX Nhựa Duy Tân"/>
    <x v="113"/>
    <x v="111"/>
    <s v="rHDPE"/>
    <s v="rHDPE thổi"/>
    <x v="0"/>
    <s v="NĐ"/>
    <s v="(blank)"/>
    <x v="0"/>
    <n v="500"/>
    <n v="17077500"/>
    <n v="0"/>
    <n v="0"/>
    <n v="0"/>
    <n v="17077500"/>
    <m/>
    <m/>
    <m/>
    <m/>
    <m/>
    <m/>
    <m/>
    <m/>
    <m/>
    <m/>
    <m/>
    <n v="673.02298906070428"/>
    <n v="673.02298906070428"/>
    <x v="0"/>
    <x v="113"/>
  </r>
  <r>
    <x v="1"/>
    <x v="2"/>
    <n v="3"/>
    <s v="101290"/>
    <s v="Cty Thạnh Phát"/>
    <x v="37"/>
    <x v="35"/>
    <s v="Khác"/>
    <s v="Khác"/>
    <x v="2"/>
    <s v="NĐ"/>
    <s v="(blank)"/>
    <x v="0"/>
    <n v="0"/>
    <n v="0"/>
    <n v="0"/>
    <n v="0"/>
    <n v="0"/>
    <n v="0"/>
    <m/>
    <m/>
    <m/>
    <m/>
    <m/>
    <m/>
    <m/>
    <m/>
    <m/>
    <m/>
    <m/>
    <n v="0"/>
    <n v="0"/>
    <x v="1"/>
    <x v="37"/>
  </r>
  <r>
    <x v="1"/>
    <x v="2"/>
    <n v="3"/>
    <s v="101290"/>
    <s v="Cty Thạnh Phát"/>
    <x v="27"/>
    <x v="25"/>
    <s v="Khác"/>
    <s v="Khác"/>
    <x v="2"/>
    <s v="NĐ"/>
    <s v="(blank)"/>
    <x v="0"/>
    <n v="0"/>
    <n v="0"/>
    <n v="0"/>
    <n v="0"/>
    <n v="0"/>
    <n v="0"/>
    <m/>
    <m/>
    <m/>
    <m/>
    <m/>
    <m/>
    <m/>
    <m/>
    <m/>
    <m/>
    <m/>
    <n v="0"/>
    <n v="0"/>
    <x v="1"/>
    <x v="27"/>
  </r>
  <r>
    <x v="1"/>
    <x v="2"/>
    <n v="3"/>
    <s v="101290"/>
    <s v="Cty Thạnh Phát"/>
    <x v="7"/>
    <x v="7"/>
    <s v="Khác"/>
    <s v="Khác"/>
    <x v="2"/>
    <s v="NĐ"/>
    <s v="(blank)"/>
    <x v="0"/>
    <n v="0"/>
    <n v="0"/>
    <n v="0"/>
    <n v="0"/>
    <n v="0"/>
    <n v="0"/>
    <m/>
    <m/>
    <m/>
    <m/>
    <m/>
    <m/>
    <m/>
    <m/>
    <m/>
    <m/>
    <m/>
    <n v="0"/>
    <n v="0"/>
    <x v="1"/>
    <x v="7"/>
  </r>
  <r>
    <x v="1"/>
    <x v="2"/>
    <n v="3"/>
    <s v="102357"/>
    <s v="CH TTNT HOÀN HẢO"/>
    <x v="41"/>
    <x v="39"/>
    <s v="Khác"/>
    <s v="Khác"/>
    <x v="2"/>
    <s v="NĐ"/>
    <s v="(blank)"/>
    <x v="0"/>
    <n v="0"/>
    <n v="0"/>
    <n v="0"/>
    <n v="0"/>
    <n v="0"/>
    <n v="0"/>
    <m/>
    <m/>
    <m/>
    <m/>
    <m/>
    <m/>
    <m/>
    <m/>
    <m/>
    <m/>
    <m/>
    <n v="0"/>
    <n v="0"/>
    <x v="136"/>
    <x v="41"/>
  </r>
  <r>
    <x v="1"/>
    <x v="2"/>
    <n v="3"/>
    <s v="102865"/>
    <s v="Dynaplast Bình Dương"/>
    <x v="1"/>
    <x v="1"/>
    <s v="rHDPE"/>
    <s v="rHDPE thổi"/>
    <x v="0"/>
    <s v="NĐ"/>
    <s v="(blank)"/>
    <x v="0"/>
    <n v="9625"/>
    <n v="344267000"/>
    <n v="0"/>
    <n v="0"/>
    <n v="0"/>
    <n v="344267000"/>
    <m/>
    <m/>
    <m/>
    <m/>
    <m/>
    <m/>
    <m/>
    <m/>
    <m/>
    <m/>
    <m/>
    <n v="13567.536546623422"/>
    <n v="13567.536546623422"/>
    <x v="2"/>
    <x v="1"/>
  </r>
  <r>
    <x v="1"/>
    <x v="2"/>
    <n v="3"/>
    <s v="104894"/>
    <s v="UNILEVER-NGỌC NGHĨA"/>
    <x v="9"/>
    <x v="9"/>
    <s v="rPET"/>
    <s v="rPET"/>
    <x v="3"/>
    <s v="NĐ"/>
    <s v="(blank)"/>
    <x v="0"/>
    <n v="227700"/>
    <n v="7504016300"/>
    <n v="35382935.04866562"/>
    <n v="0"/>
    <n v="30800000"/>
    <n v="7437833364.951334"/>
    <m/>
    <m/>
    <m/>
    <m/>
    <m/>
    <m/>
    <m/>
    <m/>
    <m/>
    <m/>
    <m/>
    <n v="293124.45284233539"/>
    <n v="295732.71732901462"/>
    <x v="2"/>
    <x v="9"/>
  </r>
  <r>
    <x v="1"/>
    <x v="2"/>
    <n v="3"/>
    <s v="104894"/>
    <s v="UNILEVER-NGỌC NGHĨA"/>
    <x v="39"/>
    <x v="37"/>
    <s v="Khác"/>
    <s v="Khác"/>
    <x v="8"/>
    <s v="NĐ"/>
    <s v="(blank)"/>
    <x v="0"/>
    <n v="0"/>
    <n v="0"/>
    <n v="0"/>
    <n v="0"/>
    <n v="3080000"/>
    <n v="-3080000"/>
    <m/>
    <m/>
    <m/>
    <m/>
    <m/>
    <m/>
    <m/>
    <m/>
    <m/>
    <m/>
    <m/>
    <n v="-121.38256807536052"/>
    <n v="0"/>
    <x v="2"/>
    <x v="39"/>
  </r>
  <r>
    <x v="1"/>
    <x v="2"/>
    <n v="3"/>
    <s v="105194"/>
    <s v="Suntory Việt Nam"/>
    <x v="8"/>
    <x v="8"/>
    <s v="rPET"/>
    <s v="rPET"/>
    <x v="3"/>
    <s v="NĐ"/>
    <s v="(blank)"/>
    <x v="0"/>
    <n v="154000"/>
    <n v="5521472000"/>
    <n v="10873916.666666666"/>
    <n v="0"/>
    <n v="98518518.518518522"/>
    <n v="5330822062.6648149"/>
    <m/>
    <m/>
    <m/>
    <m/>
    <m/>
    <m/>
    <m/>
    <m/>
    <m/>
    <m/>
    <m/>
    <n v="210087.29607761226"/>
    <n v="217600.795752012"/>
    <x v="7"/>
    <x v="8"/>
  </r>
  <r>
    <x v="1"/>
    <x v="2"/>
    <n v="3"/>
    <s v="105194"/>
    <s v="Suntory Việt Nam"/>
    <x v="33"/>
    <x v="31"/>
    <s v="rPET"/>
    <s v="rPET"/>
    <x v="3"/>
    <s v="NĐ"/>
    <s v="(blank)"/>
    <x v="3"/>
    <n v="-1100"/>
    <n v="-40308400"/>
    <n v="0"/>
    <n v="0"/>
    <n v="0"/>
    <n v="-40308400"/>
    <m/>
    <m/>
    <m/>
    <m/>
    <m/>
    <m/>
    <m/>
    <m/>
    <m/>
    <m/>
    <m/>
    <n v="-1588.5510087691111"/>
    <n v="-1588.5510087691111"/>
    <x v="7"/>
    <x v="33"/>
  </r>
  <r>
    <x v="1"/>
    <x v="2"/>
    <n v="3"/>
    <s v="105194"/>
    <s v="Suntory Việt Nam"/>
    <x v="68"/>
    <x v="66"/>
    <s v="Khác"/>
    <s v="Khác"/>
    <x v="2"/>
    <s v="NĐ"/>
    <s v="(blank)"/>
    <x v="0"/>
    <n v="0"/>
    <n v="0"/>
    <n v="0"/>
    <n v="0"/>
    <n v="0"/>
    <n v="81257502.150000006"/>
    <m/>
    <m/>
    <m/>
    <m/>
    <m/>
    <m/>
    <m/>
    <m/>
    <m/>
    <m/>
    <m/>
    <n v="3202.3520410247174"/>
    <n v="0"/>
    <x v="7"/>
    <x v="68"/>
  </r>
  <r>
    <x v="1"/>
    <x v="2"/>
    <n v="3"/>
    <s v="105194"/>
    <s v="Suntory Việt Nam"/>
    <x v="39"/>
    <x v="37"/>
    <s v="Khác"/>
    <s v="Khác"/>
    <x v="8"/>
    <s v="NĐ"/>
    <s v="(blank)"/>
    <x v="0"/>
    <n v="0"/>
    <n v="0"/>
    <n v="0"/>
    <n v="0"/>
    <n v="65740740.740740739"/>
    <n v="-65740740.740740739"/>
    <m/>
    <m/>
    <m/>
    <m/>
    <m/>
    <m/>
    <m/>
    <m/>
    <m/>
    <m/>
    <m/>
    <n v="-2590.837642301165"/>
    <n v="0"/>
    <x v="7"/>
    <x v="39"/>
  </r>
  <r>
    <x v="1"/>
    <x v="2"/>
    <n v="3"/>
    <s v="105194"/>
    <s v="Suntory Việt Nam"/>
    <x v="97"/>
    <x v="95"/>
    <s v="Khác"/>
    <s v="Khác"/>
    <x v="2"/>
    <s v="NĐ"/>
    <s v="(blank)"/>
    <x v="4"/>
    <n v="0"/>
    <n v="-81257502"/>
    <n v="0"/>
    <n v="0"/>
    <n v="0"/>
    <n v="-81257502"/>
    <m/>
    <m/>
    <m/>
    <m/>
    <m/>
    <m/>
    <m/>
    <m/>
    <m/>
    <m/>
    <m/>
    <n v="-3202.3520351132283"/>
    <n v="-3202.3520351132283"/>
    <x v="7"/>
    <x v="97"/>
  </r>
  <r>
    <x v="1"/>
    <x v="2"/>
    <n v="3"/>
    <s v="105204"/>
    <s v="CTY NGỌC NGHĨA-TÂY NINH"/>
    <x v="9"/>
    <x v="9"/>
    <s v="rPET"/>
    <s v="rPET"/>
    <x v="3"/>
    <s v="NĐ"/>
    <s v="(blank)"/>
    <x v="5"/>
    <n v="0"/>
    <n v="-38002800"/>
    <n v="0"/>
    <n v="0"/>
    <n v="0"/>
    <n v="-38002800"/>
    <m/>
    <m/>
    <m/>
    <m/>
    <m/>
    <m/>
    <m/>
    <m/>
    <m/>
    <m/>
    <m/>
    <n v="-1497.6874863812698"/>
    <n v="-1497.6874863812698"/>
    <x v="5"/>
    <x v="9"/>
  </r>
  <r>
    <x v="1"/>
    <x v="2"/>
    <n v="3"/>
    <s v="105204"/>
    <s v="CTY NGỌC NGHĨA-TÂY NINH"/>
    <x v="9"/>
    <x v="9"/>
    <s v="rPET"/>
    <s v="rPET"/>
    <x v="3"/>
    <s v="NĐ"/>
    <s v="(blank)"/>
    <x v="0"/>
    <n v="45000"/>
    <n v="1476855000"/>
    <n v="7008214.1883830447"/>
    <n v="0"/>
    <n v="5544000"/>
    <n v="1464302785.8116171"/>
    <m/>
    <m/>
    <m/>
    <m/>
    <m/>
    <m/>
    <m/>
    <m/>
    <m/>
    <m/>
    <m/>
    <n v="57708.062526532027"/>
    <n v="58202.744342511869"/>
    <x v="5"/>
    <x v="9"/>
  </r>
  <r>
    <x v="1"/>
    <x v="2"/>
    <n v="3"/>
    <s v="105204"/>
    <s v="CTY NGỌC NGHĨA-TÂY NINH"/>
    <x v="39"/>
    <x v="37"/>
    <s v="Khác"/>
    <s v="Khác"/>
    <x v="8"/>
    <s v="NĐ"/>
    <s v="(blank)"/>
    <x v="0"/>
    <n v="0"/>
    <n v="0"/>
    <n v="0"/>
    <n v="0"/>
    <n v="-3080000"/>
    <n v="3080000"/>
    <m/>
    <m/>
    <m/>
    <m/>
    <m/>
    <m/>
    <m/>
    <m/>
    <m/>
    <m/>
    <m/>
    <n v="121.38256807536052"/>
    <n v="0"/>
    <x v="5"/>
    <x v="39"/>
  </r>
  <r>
    <x v="1"/>
    <x v="2"/>
    <n v="3"/>
    <s v="105207"/>
    <s v="Suntory Sri Thái Bình Dương"/>
    <x v="8"/>
    <x v="8"/>
    <s v="rPET"/>
    <s v="rPET"/>
    <x v="3"/>
    <s v="NĐ"/>
    <s v="(blank)"/>
    <x v="0"/>
    <n v="88000"/>
    <n v="3106435200"/>
    <n v="12427333.333333334"/>
    <n v="0"/>
    <n v="14080000"/>
    <n v="3033668994.6666665"/>
    <m/>
    <m/>
    <m/>
    <m/>
    <m/>
    <m/>
    <m/>
    <m/>
    <m/>
    <m/>
    <m/>
    <n v="119556.66664390817"/>
    <n v="122424.37731678448"/>
    <x v="7"/>
    <x v="8"/>
  </r>
  <r>
    <x v="1"/>
    <x v="2"/>
    <n v="3"/>
    <s v="105207"/>
    <s v="Suntory Sri Thái Bình Dương"/>
    <x v="68"/>
    <x v="66"/>
    <s v="Khác"/>
    <s v="Khác"/>
    <x v="2"/>
    <s v="NĐ"/>
    <s v="(blank)"/>
    <x v="0"/>
    <n v="0"/>
    <n v="0"/>
    <n v="0"/>
    <n v="0"/>
    <n v="0"/>
    <n v="46258872"/>
    <m/>
    <m/>
    <m/>
    <m/>
    <m/>
    <m/>
    <m/>
    <m/>
    <m/>
    <m/>
    <m/>
    <n v="1823.0586622173339"/>
    <n v="0"/>
    <x v="7"/>
    <x v="68"/>
  </r>
  <r>
    <x v="1"/>
    <x v="2"/>
    <n v="3"/>
    <s v="105207"/>
    <s v="Suntory Sri Thái Bình Dương"/>
    <x v="27"/>
    <x v="25"/>
    <s v="Khác"/>
    <s v="Khác"/>
    <x v="2"/>
    <s v="NĐ"/>
    <s v="(blank)"/>
    <x v="0"/>
    <n v="0"/>
    <n v="3832350"/>
    <n v="0"/>
    <n v="0"/>
    <n v="0"/>
    <n v="3832350"/>
    <m/>
    <m/>
    <m/>
    <m/>
    <m/>
    <m/>
    <m/>
    <m/>
    <m/>
    <m/>
    <m/>
    <n v="151.0326249232493"/>
    <n v="151.0326249232493"/>
    <x v="7"/>
    <x v="27"/>
  </r>
  <r>
    <x v="1"/>
    <x v="2"/>
    <n v="3"/>
    <s v="105207"/>
    <s v="Suntory Sri Thái Bình Dương"/>
    <x v="97"/>
    <x v="95"/>
    <s v="Khác"/>
    <s v="Khác"/>
    <x v="2"/>
    <s v="NĐ"/>
    <s v="(blank)"/>
    <x v="4"/>
    <n v="0"/>
    <n v="-46258872"/>
    <n v="0"/>
    <n v="0"/>
    <n v="0"/>
    <n v="-46258872"/>
    <m/>
    <m/>
    <m/>
    <m/>
    <m/>
    <m/>
    <m/>
    <m/>
    <m/>
    <m/>
    <m/>
    <n v="-1823.0586622173339"/>
    <n v="-1823.0586622173339"/>
    <x v="7"/>
    <x v="97"/>
  </r>
  <r>
    <x v="1"/>
    <x v="2"/>
    <n v="3"/>
    <s v="105209"/>
    <s v="Công ty TNHH MTV Đồng Lâm"/>
    <x v="27"/>
    <x v="25"/>
    <s v="Khác"/>
    <s v="Khác"/>
    <x v="2"/>
    <s v="NĐ"/>
    <s v="(blank)"/>
    <x v="0"/>
    <n v="0"/>
    <n v="4000000"/>
    <n v="0"/>
    <n v="0"/>
    <n v="0"/>
    <n v="4000000"/>
    <m/>
    <m/>
    <m/>
    <m/>
    <m/>
    <m/>
    <m/>
    <m/>
    <m/>
    <m/>
    <m/>
    <n v="157.63969879916951"/>
    <n v="157.63969879916951"/>
    <x v="17"/>
    <x v="27"/>
  </r>
  <r>
    <x v="1"/>
    <x v="2"/>
    <n v="3"/>
    <s v="105214"/>
    <s v="Người mua hàng không lấy hóa đơn"/>
    <x v="27"/>
    <x v="25"/>
    <s v="Khác"/>
    <s v="Khác"/>
    <x v="2"/>
    <s v="NĐ"/>
    <s v="(blank)"/>
    <x v="0"/>
    <n v="0"/>
    <n v="72864702"/>
    <n v="0"/>
    <n v="0"/>
    <n v="0"/>
    <n v="72864702"/>
    <m/>
    <m/>
    <m/>
    <m/>
    <m/>
    <m/>
    <m/>
    <m/>
    <m/>
    <m/>
    <m/>
    <n v="2871.5924190928108"/>
    <n v="2871.5924190928108"/>
    <x v="9"/>
    <x v="27"/>
  </r>
  <r>
    <x v="1"/>
    <x v="2"/>
    <n v="3"/>
    <s v="105219"/>
    <s v="CTY VÂN LONG"/>
    <x v="63"/>
    <x v="61"/>
    <s v="rHDPE"/>
    <s v="rHDPE thổi"/>
    <x v="0"/>
    <s v="NĐ"/>
    <s v="(blank)"/>
    <x v="0"/>
    <n v="300"/>
    <n v="10019100"/>
    <n v="0"/>
    <n v="0"/>
    <n v="0"/>
    <n v="10019100"/>
    <m/>
    <m/>
    <m/>
    <m/>
    <m/>
    <m/>
    <m/>
    <m/>
    <m/>
    <m/>
    <m/>
    <n v="394.85197655968977"/>
    <n v="394.85197655968977"/>
    <x v="47"/>
    <x v="63"/>
  </r>
  <r>
    <x v="1"/>
    <x v="2"/>
    <n v="3"/>
    <s v="105222"/>
    <s v="CN Cty Coca - Hà Nội"/>
    <x v="8"/>
    <x v="8"/>
    <s v="rPET"/>
    <s v="rPET"/>
    <x v="3"/>
    <s v="NĐ"/>
    <s v="(blank)"/>
    <x v="0"/>
    <n v="66000"/>
    <n v="2418042000"/>
    <n v="4660250"/>
    <n v="0"/>
    <n v="41111112.000000007"/>
    <n v="2372270638"/>
    <m/>
    <m/>
    <m/>
    <m/>
    <m/>
    <m/>
    <m/>
    <m/>
    <m/>
    <m/>
    <m/>
    <n v="93491.00721110843"/>
    <n v="95294.85314093536"/>
    <x v="3"/>
    <x v="8"/>
  </r>
  <r>
    <x v="1"/>
    <x v="2"/>
    <n v="3"/>
    <s v="105222"/>
    <s v="CN Cty Coca - Hà Nội"/>
    <x v="8"/>
    <x v="8"/>
    <s v="rPET"/>
    <s v="rPET"/>
    <x v="3"/>
    <s v="NĐ"/>
    <s v="(blank)"/>
    <x v="4"/>
    <n v="0"/>
    <n v="-71268120"/>
    <n v="0"/>
    <n v="0"/>
    <n v="0"/>
    <n v="-71268120"/>
    <m/>
    <m/>
    <m/>
    <m/>
    <m/>
    <m/>
    <m/>
    <m/>
    <m/>
    <m/>
    <m/>
    <n v="-2808.6712426957674"/>
    <n v="-2808.6712426957674"/>
    <x v="3"/>
    <x v="8"/>
  </r>
  <r>
    <x v="1"/>
    <x v="2"/>
    <n v="3"/>
    <s v="105222"/>
    <s v="CN Cty Coca - Hà Nội"/>
    <x v="97"/>
    <x v="95"/>
    <s v="Khác"/>
    <s v="Khác"/>
    <x v="2"/>
    <s v="NĐ"/>
    <s v="(blank)"/>
    <x v="4"/>
    <n v="0"/>
    <n v="-94248000"/>
    <n v="0"/>
    <n v="0"/>
    <n v="0"/>
    <n v="-94248000"/>
    <m/>
    <m/>
    <m/>
    <m/>
    <m/>
    <m/>
    <m/>
    <m/>
    <m/>
    <m/>
    <m/>
    <n v="-3714.3065831060321"/>
    <n v="-3714.3065831060321"/>
    <x v="3"/>
    <x v="97"/>
  </r>
  <r>
    <x v="1"/>
    <x v="2"/>
    <n v="3"/>
    <s v="105223"/>
    <s v="Dynaplast Bắc Ninh"/>
    <x v="1"/>
    <x v="1"/>
    <s v="rHDPE"/>
    <s v="rHDPE thổi"/>
    <x v="0"/>
    <s v="NĐ"/>
    <s v="(blank)"/>
    <x v="0"/>
    <n v="24750"/>
    <n v="900108000"/>
    <n v="0"/>
    <n v="0"/>
    <n v="19444444.444444444"/>
    <n v="880663555.55555558"/>
    <m/>
    <m/>
    <m/>
    <m/>
    <m/>
    <m/>
    <m/>
    <m/>
    <m/>
    <m/>
    <m/>
    <n v="34706.884410295868"/>
    <n v="35473.188501680714"/>
    <x v="2"/>
    <x v="1"/>
  </r>
  <r>
    <x v="1"/>
    <x v="2"/>
    <n v="3"/>
    <s v="105229"/>
    <s v="GIA TƯỜNG"/>
    <x v="44"/>
    <x v="42"/>
    <s v="GC"/>
    <s v="GC"/>
    <x v="10"/>
    <s v="NĐ"/>
    <s v="(blank)"/>
    <x v="0"/>
    <n v="140000"/>
    <n v="2755000000"/>
    <n v="0"/>
    <n v="205500000"/>
    <n v="0"/>
    <n v="2549500000"/>
    <m/>
    <m/>
    <m/>
    <m/>
    <m/>
    <m/>
    <m/>
    <m/>
    <m/>
    <m/>
    <m/>
    <n v="100475.60302212066"/>
    <n v="108574.342547928"/>
    <x v="24"/>
    <x v="44"/>
  </r>
  <r>
    <x v="1"/>
    <x v="2"/>
    <n v="3"/>
    <s v="105247"/>
    <s v="MINH THÀNH"/>
    <x v="29"/>
    <x v="27"/>
    <s v="Khác"/>
    <s v="Phó sản"/>
    <x v="5"/>
    <s v="NĐ"/>
    <s v="(blank)"/>
    <x v="0"/>
    <n v="20980"/>
    <n v="434286000"/>
    <n v="0"/>
    <n v="0"/>
    <n v="0"/>
    <n v="434286000"/>
    <m/>
    <m/>
    <m/>
    <m/>
    <m/>
    <m/>
    <m/>
    <m/>
    <m/>
    <m/>
    <m/>
    <n v="17115.178558174033"/>
    <n v="17115.178558174033"/>
    <x v="10"/>
    <x v="29"/>
  </r>
  <r>
    <x v="1"/>
    <x v="2"/>
    <n v="3"/>
    <s v="105247"/>
    <s v="MINH THÀNH"/>
    <x v="79"/>
    <x v="77"/>
    <s v="Khác"/>
    <s v="Phó sản"/>
    <x v="5"/>
    <s v="NĐ"/>
    <s v="(blank)"/>
    <x v="0"/>
    <n v="20894"/>
    <n v="396986000"/>
    <n v="0"/>
    <n v="0"/>
    <n v="0"/>
    <n v="396986000"/>
    <m/>
    <m/>
    <m/>
    <m/>
    <m/>
    <m/>
    <m/>
    <m/>
    <m/>
    <m/>
    <m/>
    <n v="15645.188366871776"/>
    <n v="15645.188366871776"/>
    <x v="10"/>
    <x v="79"/>
  </r>
  <r>
    <x v="1"/>
    <x v="2"/>
    <n v="3"/>
    <s v="105247"/>
    <s v="MINH THÀNH"/>
    <x v="106"/>
    <x v="104"/>
    <s v="Khác"/>
    <s v="Phó sản"/>
    <x v="5"/>
    <s v="NĐ"/>
    <s v="(blank)"/>
    <x v="0"/>
    <n v="1494"/>
    <n v="28386000"/>
    <n v="0"/>
    <n v="0"/>
    <n v="0"/>
    <n v="28386000"/>
    <m/>
    <m/>
    <m/>
    <m/>
    <m/>
    <m/>
    <m/>
    <m/>
    <m/>
    <m/>
    <m/>
    <n v="1118.6901225283063"/>
    <n v="1118.6901225283063"/>
    <x v="10"/>
    <x v="106"/>
  </r>
  <r>
    <x v="1"/>
    <x v="2"/>
    <n v="3"/>
    <s v="105248"/>
    <s v="ĐẠI NHẤT LONG"/>
    <x v="109"/>
    <x v="107"/>
    <s v="rPP"/>
    <s v="rPP"/>
    <x v="6"/>
    <s v="NĐ"/>
    <s v="(blank)"/>
    <x v="0"/>
    <n v="23625"/>
    <n v="459374999"/>
    <n v="0"/>
    <n v="0"/>
    <n v="0"/>
    <n v="459374999"/>
    <m/>
    <m/>
    <m/>
    <m/>
    <m/>
    <m/>
    <m/>
    <m/>
    <m/>
    <m/>
    <m/>
    <n v="18103.934119557198"/>
    <n v="18103.934119557198"/>
    <x v="27"/>
    <x v="109"/>
  </r>
  <r>
    <x v="1"/>
    <x v="2"/>
    <n v="3"/>
    <s v="105248"/>
    <s v="ĐẠI NHẤT LONG"/>
    <x v="31"/>
    <x v="29"/>
    <s v="rPP"/>
    <s v="rPP"/>
    <x v="6"/>
    <s v="NĐ"/>
    <s v="(blank)"/>
    <x v="0"/>
    <n v="5250"/>
    <n v="97222221.999999985"/>
    <n v="1196524.3736263737"/>
    <n v="0"/>
    <n v="0"/>
    <n v="96025697.626373619"/>
    <m/>
    <m/>
    <m/>
    <m/>
    <m/>
    <m/>
    <m/>
    <m/>
    <m/>
    <m/>
    <m/>
    <n v="3784.3655127004158"/>
    <n v="3831.5204481664973"/>
    <x v="27"/>
    <x v="31"/>
  </r>
  <r>
    <x v="1"/>
    <x v="2"/>
    <n v="3"/>
    <s v="105249"/>
    <s v="RỒNG VIỆT"/>
    <x v="29"/>
    <x v="27"/>
    <s v="Khác"/>
    <s v="Phó sản"/>
    <x v="5"/>
    <s v="NĐ"/>
    <s v="(blank)"/>
    <x v="0"/>
    <n v="18182"/>
    <n v="374377900"/>
    <n v="0"/>
    <n v="0"/>
    <n v="0"/>
    <n v="374377900"/>
    <m/>
    <m/>
    <m/>
    <m/>
    <m/>
    <m/>
    <m/>
    <m/>
    <m/>
    <m/>
    <m/>
    <n v="14754.204848266401"/>
    <n v="14754.204848266401"/>
    <x v="28"/>
    <x v="29"/>
  </r>
  <r>
    <x v="1"/>
    <x v="2"/>
    <n v="3"/>
    <s v="105249"/>
    <s v="RỒNG VIỆT"/>
    <x v="106"/>
    <x v="104"/>
    <s v="Khác"/>
    <s v="Phó sản"/>
    <x v="5"/>
    <s v="NĐ"/>
    <s v="(blank)"/>
    <x v="0"/>
    <n v="2738"/>
    <n v="52022000"/>
    <n v="0"/>
    <n v="0"/>
    <n v="0"/>
    <n v="52022000"/>
    <m/>
    <m/>
    <m/>
    <m/>
    <m/>
    <m/>
    <m/>
    <m/>
    <m/>
    <m/>
    <m/>
    <n v="2050.1831027325989"/>
    <n v="2050.1831027325989"/>
    <x v="28"/>
    <x v="106"/>
  </r>
  <r>
    <x v="1"/>
    <x v="2"/>
    <n v="3"/>
    <s v="105263"/>
    <s v="Unilever Duy Tân"/>
    <x v="1"/>
    <x v="1"/>
    <s v="rHDPE"/>
    <s v="rHDPE thổi"/>
    <x v="0"/>
    <s v="NĐ"/>
    <s v="(blank)"/>
    <x v="0"/>
    <n v="88000"/>
    <n v="3129280000"/>
    <n v="0"/>
    <n v="0"/>
    <n v="0"/>
    <n v="3129280000"/>
    <m/>
    <m/>
    <m/>
    <m/>
    <m/>
    <m/>
    <m/>
    <m/>
    <m/>
    <m/>
    <m/>
    <n v="123324.68916456631"/>
    <n v="123324.68916456631"/>
    <x v="2"/>
    <x v="1"/>
  </r>
  <r>
    <x v="1"/>
    <x v="2"/>
    <n v="3"/>
    <s v="105263"/>
    <s v="Unilever Duy Tân"/>
    <x v="9"/>
    <x v="9"/>
    <s v="rPET"/>
    <s v="rPET"/>
    <x v="3"/>
    <s v="NĐ"/>
    <s v="(blank)"/>
    <x v="0"/>
    <n v="22000"/>
    <n v="726440000"/>
    <n v="3418641.0675039245"/>
    <n v="0"/>
    <n v="0"/>
    <n v="723021358.93249607"/>
    <m/>
    <m/>
    <m/>
    <m/>
    <m/>
    <m/>
    <m/>
    <m/>
    <m/>
    <m/>
    <m/>
    <n v="28494.217311871227"/>
    <n v="28628.945698917174"/>
    <x v="2"/>
    <x v="9"/>
  </r>
  <r>
    <x v="1"/>
    <x v="2"/>
    <n v="3"/>
    <s v="105263"/>
    <s v="Unilever Duy Tân"/>
    <x v="6"/>
    <x v="6"/>
    <s v="rHDPE"/>
    <s v="rHDPE thổi"/>
    <x v="0"/>
    <s v="NĐ"/>
    <s v="(blank)"/>
    <x v="0"/>
    <n v="5500"/>
    <n v="188595000"/>
    <n v="0"/>
    <n v="0"/>
    <n v="0"/>
    <n v="188595000"/>
    <m/>
    <m/>
    <m/>
    <m/>
    <m/>
    <m/>
    <m/>
    <m/>
    <m/>
    <m/>
    <m/>
    <n v="7432.5147487573431"/>
    <n v="7432.5147487573431"/>
    <x v="2"/>
    <x v="6"/>
  </r>
  <r>
    <x v="1"/>
    <x v="2"/>
    <n v="3"/>
    <s v="105263"/>
    <s v="Unilever Duy Tân"/>
    <x v="50"/>
    <x v="48"/>
    <s v="rHDPE"/>
    <s v="rHDPE thổi"/>
    <x v="0"/>
    <s v="NĐ"/>
    <s v="(blank)"/>
    <x v="0"/>
    <n v="44000"/>
    <n v="1508760000"/>
    <n v="0"/>
    <n v="0"/>
    <n v="0"/>
    <n v="1508760000"/>
    <m/>
    <m/>
    <m/>
    <m/>
    <m/>
    <m/>
    <m/>
    <m/>
    <m/>
    <m/>
    <m/>
    <n v="59460.117990058745"/>
    <n v="59460.117990058745"/>
    <x v="2"/>
    <x v="50"/>
  </r>
  <r>
    <x v="1"/>
    <x v="2"/>
    <n v="3"/>
    <s v="105263"/>
    <s v="Unilever Duy Tân"/>
    <x v="83"/>
    <x v="81"/>
    <s v="rHDPE"/>
    <s v="rHDPE thổi"/>
    <x v="0"/>
    <s v="NĐ"/>
    <s v="(blank)"/>
    <x v="0"/>
    <n v="44000"/>
    <n v="1564640000"/>
    <n v="0"/>
    <n v="0"/>
    <n v="0"/>
    <n v="1564640000"/>
    <m/>
    <m/>
    <m/>
    <m/>
    <m/>
    <m/>
    <m/>
    <m/>
    <m/>
    <m/>
    <m/>
    <n v="61662.344582283142"/>
    <n v="61662.344582283142"/>
    <x v="2"/>
    <x v="83"/>
  </r>
  <r>
    <x v="1"/>
    <x v="2"/>
    <n v="3"/>
    <s v="105271"/>
    <s v="Suntory- Ngọc Nghĩa Tây Ninh"/>
    <x v="8"/>
    <x v="8"/>
    <s v="rPET"/>
    <s v="rPET"/>
    <x v="3"/>
    <s v="NĐ"/>
    <s v="(blank)"/>
    <x v="1"/>
    <n v="-5500"/>
    <n v="0"/>
    <n v="0"/>
    <n v="0"/>
    <n v="0"/>
    <n v="0"/>
    <m/>
    <m/>
    <m/>
    <m/>
    <m/>
    <m/>
    <m/>
    <m/>
    <m/>
    <m/>
    <m/>
    <n v="0"/>
    <n v="0"/>
    <x v="7"/>
    <x v="8"/>
  </r>
  <r>
    <x v="1"/>
    <x v="2"/>
    <n v="3"/>
    <s v="105271"/>
    <s v="Suntory- Ngọc Nghĩa Tây Ninh"/>
    <x v="8"/>
    <x v="8"/>
    <s v="rPET"/>
    <s v="rPET"/>
    <x v="3"/>
    <s v="NĐ"/>
    <s v="(blank)"/>
    <x v="0"/>
    <n v="22000"/>
    <n v="776600000"/>
    <n v="3418641.0675039245"/>
    <n v="0"/>
    <n v="3080000"/>
    <n v="758536640.93249607"/>
    <m/>
    <m/>
    <m/>
    <m/>
    <m/>
    <m/>
    <m/>
    <m/>
    <m/>
    <m/>
    <m/>
    <n v="29893.87190118312"/>
    <n v="30605.747521858761"/>
    <x v="7"/>
    <x v="8"/>
  </r>
  <r>
    <x v="1"/>
    <x v="2"/>
    <n v="3"/>
    <s v="105271"/>
    <s v="Suntory- Ngọc Nghĩa Tây Ninh"/>
    <x v="8"/>
    <x v="8"/>
    <s v="rPET"/>
    <s v="rPET"/>
    <x v="3"/>
    <s v="NĐ"/>
    <s v="(blank)"/>
    <x v="4"/>
    <n v="0"/>
    <n v="-11564718"/>
    <n v="0"/>
    <n v="0"/>
    <n v="0"/>
    <n v="-11564718"/>
    <m/>
    <m/>
    <m/>
    <m/>
    <m/>
    <m/>
    <m/>
    <m/>
    <m/>
    <m/>
    <m/>
    <n v="-455.76466555433348"/>
    <n v="-455.76466555433348"/>
    <x v="7"/>
    <x v="8"/>
  </r>
  <r>
    <x v="1"/>
    <x v="2"/>
    <n v="3"/>
    <s v="105271"/>
    <s v="Suntory- Ngọc Nghĩa Tây Ninh"/>
    <x v="8"/>
    <x v="8"/>
    <s v="rPET"/>
    <s v="rPET"/>
    <x v="3"/>
    <s v="NĐ"/>
    <s v="(blank)"/>
    <x v="2"/>
    <n v="5500"/>
    <n v="0"/>
    <n v="854660.26687598112"/>
    <n v="0"/>
    <n v="0"/>
    <n v="-854660.26687598112"/>
    <m/>
    <m/>
    <m/>
    <m/>
    <m/>
    <m/>
    <m/>
    <m/>
    <m/>
    <m/>
    <m/>
    <n v="-33.682096761486875"/>
    <n v="0"/>
    <x v="7"/>
    <x v="8"/>
  </r>
  <r>
    <x v="1"/>
    <x v="2"/>
    <n v="3"/>
    <s v="105271"/>
    <s v="Suntory- Ngọc Nghĩa Tây Ninh"/>
    <x v="68"/>
    <x v="66"/>
    <s v="Khác"/>
    <s v="Khác"/>
    <x v="2"/>
    <s v="NĐ"/>
    <s v="(blank)"/>
    <x v="0"/>
    <n v="0"/>
    <n v="0"/>
    <n v="0"/>
    <n v="0"/>
    <n v="0"/>
    <n v="11564718"/>
    <m/>
    <m/>
    <m/>
    <m/>
    <m/>
    <m/>
    <m/>
    <m/>
    <m/>
    <m/>
    <m/>
    <n v="455.76466555433348"/>
    <n v="0"/>
    <x v="7"/>
    <x v="68"/>
  </r>
  <r>
    <x v="1"/>
    <x v="2"/>
    <n v="3"/>
    <s v="105272"/>
    <s v="LINH CHI"/>
    <x v="104"/>
    <x v="102"/>
    <s v="Xơ sợi"/>
    <s v="Xơ sợi"/>
    <x v="7"/>
    <s v="NĐ"/>
    <s v="(blank)"/>
    <x v="0"/>
    <n v="33000"/>
    <n v="627000000"/>
    <n v="5127961.6012558872"/>
    <n v="0"/>
    <n v="0"/>
    <n v="621872038.39874411"/>
    <m/>
    <m/>
    <m/>
    <m/>
    <m/>
    <m/>
    <m/>
    <m/>
    <m/>
    <m/>
    <m/>
    <n v="24507.930206200897"/>
    <n v="24710.02278676982"/>
    <x v="42"/>
    <x v="104"/>
  </r>
  <r>
    <x v="1"/>
    <x v="2"/>
    <n v="3"/>
    <s v="105281"/>
    <s v="Plascene- DTP"/>
    <x v="9"/>
    <x v="9"/>
    <s v="rPET"/>
    <s v="rPET"/>
    <x v="3"/>
    <s v="NĐ"/>
    <s v="(blank)"/>
    <x v="0"/>
    <n v="110000"/>
    <n v="3434725800"/>
    <n v="17093205.337519623"/>
    <n v="0"/>
    <n v="0"/>
    <n v="3417632594.6624804"/>
    <m/>
    <m/>
    <m/>
    <m/>
    <m/>
    <m/>
    <m/>
    <m/>
    <m/>
    <m/>
    <m/>
    <n v="134688.64320720438"/>
    <n v="135362.28514243409"/>
    <x v="54"/>
    <x v="9"/>
  </r>
  <r>
    <x v="1"/>
    <x v="2"/>
    <n v="3"/>
    <s v="105284"/>
    <s v="Motul -DTP"/>
    <x v="63"/>
    <x v="61"/>
    <s v="rHDPE"/>
    <s v="rHDPE thổi"/>
    <x v="0"/>
    <s v="NĐ"/>
    <s v="(blank)"/>
    <x v="1"/>
    <n v="-1075"/>
    <n v="0"/>
    <n v="0"/>
    <n v="0"/>
    <n v="0"/>
    <n v="0"/>
    <m/>
    <m/>
    <m/>
    <m/>
    <m/>
    <m/>
    <m/>
    <m/>
    <m/>
    <m/>
    <m/>
    <n v="0"/>
    <n v="0"/>
    <x v="59"/>
    <x v="63"/>
  </r>
  <r>
    <x v="1"/>
    <x v="2"/>
    <n v="3"/>
    <s v="105284"/>
    <s v="Motul -DTP"/>
    <x v="63"/>
    <x v="61"/>
    <s v="rHDPE"/>
    <s v="rHDPE thổi"/>
    <x v="0"/>
    <s v="NĐ"/>
    <s v="(blank)"/>
    <x v="0"/>
    <n v="33000"/>
    <n v="1127115000"/>
    <n v="0"/>
    <n v="0"/>
    <n v="0"/>
    <n v="1127115000"/>
    <m/>
    <m/>
    <m/>
    <m/>
    <m/>
    <m/>
    <m/>
    <m/>
    <m/>
    <m/>
    <m/>
    <n v="44419.517278006482"/>
    <n v="44419.517278006482"/>
    <x v="59"/>
    <x v="63"/>
  </r>
  <r>
    <x v="1"/>
    <x v="2"/>
    <n v="3"/>
    <s v="105284"/>
    <s v="Motul -DTP"/>
    <x v="63"/>
    <x v="61"/>
    <s v="rHDPE"/>
    <s v="rHDPE thổi"/>
    <x v="0"/>
    <s v="NĐ"/>
    <s v="(blank)"/>
    <x v="2"/>
    <n v="1075"/>
    <n v="0"/>
    <n v="0"/>
    <n v="0"/>
    <n v="0"/>
    <n v="0"/>
    <m/>
    <m/>
    <m/>
    <m/>
    <m/>
    <m/>
    <m/>
    <m/>
    <m/>
    <m/>
    <m/>
    <n v="0"/>
    <n v="0"/>
    <x v="59"/>
    <x v="63"/>
  </r>
  <r>
    <x v="1"/>
    <x v="2"/>
    <n v="3"/>
    <s v="105286"/>
    <s v="MONDELEZ-VIỆT THÀNH"/>
    <x v="33"/>
    <x v="31"/>
    <s v="rPET"/>
    <s v="rPET"/>
    <x v="3"/>
    <s v="NĐ"/>
    <s v="(blank)"/>
    <x v="0"/>
    <n v="12100"/>
    <n v="398950552"/>
    <n v="1880252.5871271589"/>
    <n v="0"/>
    <n v="0"/>
    <n v="397070299.41287279"/>
    <m/>
    <m/>
    <m/>
    <m/>
    <m/>
    <m/>
    <m/>
    <m/>
    <m/>
    <m/>
    <m/>
    <n v="15648.510600385329"/>
    <n v="15722.611213260603"/>
    <x v="88"/>
    <x v="33"/>
  </r>
  <r>
    <x v="1"/>
    <x v="2"/>
    <n v="3"/>
    <s v="105290"/>
    <s v="HOÀNG TẤN"/>
    <x v="76"/>
    <x v="74"/>
    <s v="Khác"/>
    <s v="Phó sản"/>
    <x v="5"/>
    <s v="NĐ"/>
    <s v="(blank)"/>
    <x v="0"/>
    <n v="25940"/>
    <n v="129700000"/>
    <n v="0"/>
    <n v="0"/>
    <n v="0"/>
    <n v="129700000"/>
    <m/>
    <m/>
    <m/>
    <m/>
    <m/>
    <m/>
    <m/>
    <m/>
    <m/>
    <m/>
    <m/>
    <n v="5111.4672335630712"/>
    <n v="5111.4672335630712"/>
    <x v="66"/>
    <x v="76"/>
  </r>
  <r>
    <x v="1"/>
    <x v="2"/>
    <n v="3"/>
    <s v="105290"/>
    <s v="HOÀNG TẤN"/>
    <x v="77"/>
    <x v="75"/>
    <s v="Khác"/>
    <s v="Phó sản"/>
    <x v="5"/>
    <s v="NĐ"/>
    <s v="(blank)"/>
    <x v="0"/>
    <n v="25230"/>
    <n v="126150000"/>
    <n v="0"/>
    <n v="0"/>
    <n v="0"/>
    <n v="126150000"/>
    <m/>
    <m/>
    <m/>
    <m/>
    <m/>
    <m/>
    <m/>
    <m/>
    <m/>
    <m/>
    <m/>
    <n v="4971.5620008788082"/>
    <n v="4971.5620008788082"/>
    <x v="66"/>
    <x v="77"/>
  </r>
  <r>
    <x v="1"/>
    <x v="2"/>
    <n v="3"/>
    <s v="105290"/>
    <s v="HOÀNG TẤN"/>
    <x v="78"/>
    <x v="76"/>
    <s v="Khác"/>
    <s v="Phó sản"/>
    <x v="5"/>
    <s v="NĐ"/>
    <s v="(blank)"/>
    <x v="0"/>
    <n v="32430"/>
    <n v="162150000"/>
    <n v="0"/>
    <n v="0"/>
    <n v="0"/>
    <n v="162150000"/>
    <m/>
    <m/>
    <m/>
    <m/>
    <m/>
    <m/>
    <m/>
    <m/>
    <m/>
    <m/>
    <m/>
    <n v="6390.3192900713339"/>
    <n v="6390.3192900713339"/>
    <x v="66"/>
    <x v="78"/>
  </r>
  <r>
    <x v="1"/>
    <x v="2"/>
    <n v="3"/>
    <s v="105290"/>
    <s v="HOÀNG TẤN"/>
    <x v="96"/>
    <x v="94"/>
    <s v="Khác"/>
    <s v="Phó sản"/>
    <x v="5"/>
    <s v="NĐ"/>
    <s v="(blank)"/>
    <x v="0"/>
    <n v="30396"/>
    <n v="60792000"/>
    <n v="0"/>
    <n v="0"/>
    <n v="0"/>
    <n v="60792000"/>
    <m/>
    <m/>
    <m/>
    <m/>
    <m/>
    <m/>
    <m/>
    <m/>
    <m/>
    <m/>
    <m/>
    <n v="2395.8081423497783"/>
    <n v="2395.8081423497783"/>
    <x v="66"/>
    <x v="96"/>
  </r>
  <r>
    <x v="1"/>
    <x v="2"/>
    <n v="3"/>
    <s v="105292"/>
    <s v="NHỰA ĐỒNG NAI"/>
    <x v="87"/>
    <x v="85"/>
    <s v="rHDPE"/>
    <s v="rHDPE thổi"/>
    <x v="0"/>
    <s v="NĐ"/>
    <s v="(blank)"/>
    <x v="0"/>
    <n v="11000"/>
    <n v="187000000"/>
    <n v="0"/>
    <n v="0"/>
    <n v="0"/>
    <n v="187000000"/>
    <m/>
    <m/>
    <m/>
    <m/>
    <m/>
    <m/>
    <m/>
    <m/>
    <m/>
    <m/>
    <m/>
    <n v="7369.6559188611745"/>
    <n v="7369.6559188611745"/>
    <x v="73"/>
    <x v="87"/>
  </r>
  <r>
    <x v="1"/>
    <x v="2"/>
    <n v="3"/>
    <s v="105301"/>
    <s v="TÂN TƯỜNG KHANG"/>
    <x v="58"/>
    <x v="56"/>
    <s v="rPET"/>
    <s v="rPET"/>
    <x v="3"/>
    <s v="NĐ"/>
    <s v="(blank)"/>
    <x v="0"/>
    <n v="11000"/>
    <n v="310486000"/>
    <n v="1709320.5337519622"/>
    <n v="0"/>
    <n v="0"/>
    <n v="308776679.46624804"/>
    <m/>
    <m/>
    <m/>
    <m/>
    <m/>
    <m/>
    <m/>
    <m/>
    <m/>
    <m/>
    <m/>
    <n v="12168.865686816762"/>
    <n v="12236.229880339735"/>
    <x v="83"/>
    <x v="58"/>
  </r>
  <r>
    <x v="1"/>
    <x v="2"/>
    <n v="3"/>
    <s v="105306"/>
    <s v="MTV MILKIWAY SOLUTION"/>
    <x v="9"/>
    <x v="9"/>
    <s v="rPET"/>
    <s v="rPET"/>
    <x v="3"/>
    <s v="NĐ"/>
    <s v="(blank)"/>
    <x v="0"/>
    <n v="22000"/>
    <n v="714225600"/>
    <n v="3418641.0675039245"/>
    <n v="0"/>
    <n v="0"/>
    <n v="710806958.93249607"/>
    <m/>
    <m/>
    <m/>
    <m/>
    <m/>
    <m/>
    <m/>
    <m/>
    <m/>
    <m/>
    <m/>
    <n v="28012.848727618082"/>
    <n v="28147.577114664029"/>
    <x v="84"/>
    <x v="9"/>
  </r>
  <r>
    <x v="1"/>
    <x v="2"/>
    <n v="3"/>
    <s v="105319"/>
    <s v="PHƯƠNG VI"/>
    <x v="80"/>
    <x v="78"/>
    <s v="rHDPE"/>
    <s v="rHDPE ép"/>
    <x v="1"/>
    <s v="NĐ"/>
    <s v="(blank)"/>
    <x v="0"/>
    <n v="5000"/>
    <n v="134875000"/>
    <n v="0"/>
    <n v="0"/>
    <n v="0"/>
    <n v="134875000"/>
    <m/>
    <m/>
    <m/>
    <m/>
    <m/>
    <m/>
    <m/>
    <m/>
    <m/>
    <m/>
    <m/>
    <n v="5315.4135938844965"/>
    <n v="5315.4135938844965"/>
    <x v="3"/>
    <x v="80"/>
  </r>
  <r>
    <x v="1"/>
    <x v="2"/>
    <n v="3"/>
    <s v="105322"/>
    <s v="PHÚC LONG TÂY NINH"/>
    <x v="29"/>
    <x v="27"/>
    <s v="Khác"/>
    <s v="Phó sản"/>
    <x v="5"/>
    <s v="NĐ"/>
    <s v="(blank)"/>
    <x v="0"/>
    <n v="506"/>
    <n v="10474200"/>
    <n v="0"/>
    <n v="0"/>
    <n v="0"/>
    <n v="10474200"/>
    <m/>
    <m/>
    <m/>
    <m/>
    <m/>
    <m/>
    <m/>
    <m/>
    <m/>
    <m/>
    <m/>
    <n v="412.78743329056533"/>
    <n v="412.78743329056533"/>
    <x v="105"/>
    <x v="29"/>
  </r>
  <r>
    <x v="1"/>
    <x v="2"/>
    <n v="3"/>
    <s v="105322"/>
    <s v="PHÚC LONG TÂY NINH"/>
    <x v="106"/>
    <x v="104"/>
    <s v="Khác"/>
    <s v="Phó sản"/>
    <x v="5"/>
    <s v="NĐ"/>
    <s v="(blank)"/>
    <x v="0"/>
    <n v="258"/>
    <n v="4695600"/>
    <n v="0"/>
    <n v="0"/>
    <n v="0"/>
    <n v="4695600"/>
    <m/>
    <m/>
    <m/>
    <m/>
    <m/>
    <m/>
    <m/>
    <m/>
    <m/>
    <m/>
    <m/>
    <n v="185.05324242034507"/>
    <n v="185.05324242034507"/>
    <x v="105"/>
    <x v="106"/>
  </r>
  <r>
    <x v="1"/>
    <x v="2"/>
    <n v="3"/>
    <s v="105324"/>
    <s v="NHỰA TRƯỜNG AN"/>
    <x v="51"/>
    <x v="49"/>
    <s v="rHDPE"/>
    <s v="rHDPE ép"/>
    <x v="1"/>
    <s v="NĐ"/>
    <s v="(blank)"/>
    <x v="0"/>
    <n v="14250"/>
    <n v="224305555"/>
    <n v="2804839.6031111744"/>
    <n v="0"/>
    <n v="0"/>
    <n v="221500715.39688882"/>
    <m/>
    <m/>
    <m/>
    <m/>
    <m/>
    <m/>
    <m/>
    <m/>
    <m/>
    <m/>
    <m/>
    <n v="8729.3265147415314"/>
    <n v="8839.865032295138"/>
    <x v="106"/>
    <x v="51"/>
  </r>
  <r>
    <x v="1"/>
    <x v="2"/>
    <n v="3"/>
    <s v="105324"/>
    <s v="NHỰA TRƯỜNG AN"/>
    <x v="46"/>
    <x v="44"/>
    <s v="rHDPE"/>
    <s v="rHDPE ép"/>
    <x v="1"/>
    <s v="NĐ"/>
    <s v="(blank)"/>
    <x v="0"/>
    <n v="7500"/>
    <n v="118055556"/>
    <n v="442869.41101755382"/>
    <n v="0"/>
    <n v="0"/>
    <n v="117612686.58898245"/>
    <m/>
    <m/>
    <m/>
    <m/>
    <m/>
    <m/>
    <m/>
    <m/>
    <m/>
    <m/>
    <m/>
    <n v="4635.107122212079"/>
    <n v="4652.5605723521221"/>
    <x v="106"/>
    <x v="46"/>
  </r>
  <r>
    <x v="1"/>
    <x v="2"/>
    <n v="3"/>
    <s v="105324"/>
    <s v="NHỰA TRƯỜNG AN"/>
    <x v="114"/>
    <x v="112"/>
    <s v="rHDPE"/>
    <s v="rHDPE ép"/>
    <x v="1"/>
    <s v="NĐ"/>
    <s v="(blank)"/>
    <x v="0"/>
    <n v="6000"/>
    <n v="72222222"/>
    <n v="1367456.4270015699"/>
    <n v="0"/>
    <n v="0"/>
    <n v="70854765.572998434"/>
    <m/>
    <m/>
    <m/>
    <m/>
    <m/>
    <m/>
    <m/>
    <m/>
    <m/>
    <m/>
    <m/>
    <n v="2792.3809758533093"/>
    <n v="2846.2723306716885"/>
    <x v="106"/>
    <x v="114"/>
  </r>
  <r>
    <x v="1"/>
    <x v="2"/>
    <n v="3"/>
    <s v="105326"/>
    <s v="Kim Thuận Phát (Long An)"/>
    <x v="108"/>
    <x v="106"/>
    <s v="Khác"/>
    <s v="Phó sản"/>
    <x v="5"/>
    <s v="NĐ"/>
    <s v="(blank)"/>
    <x v="0"/>
    <n v="86440"/>
    <n v="32014815"/>
    <n v="0"/>
    <n v="0"/>
    <n v="0"/>
    <n v="32014815"/>
    <m/>
    <m/>
    <m/>
    <m/>
    <m/>
    <m/>
    <m/>
    <m/>
    <m/>
    <m/>
    <m/>
    <n v="1261.7014484277834"/>
    <n v="1261.7014484277834"/>
    <x v="121"/>
    <x v="108"/>
  </r>
  <r>
    <x v="1"/>
    <x v="2"/>
    <n v="3"/>
    <s v="105328"/>
    <s v="CN COCA-COLA VN - LONG AN"/>
    <x v="8"/>
    <x v="8"/>
    <s v="rPET"/>
    <s v="rPET"/>
    <x v="3"/>
    <s v="NĐ"/>
    <s v="(blank)"/>
    <x v="0"/>
    <n v="88000"/>
    <n v="3183576000"/>
    <n v="8546602.6687598117"/>
    <n v="0"/>
    <n v="14080000"/>
    <n v="3160949397.3312402"/>
    <m/>
    <m/>
    <m/>
    <m/>
    <m/>
    <m/>
    <m/>
    <m/>
    <m/>
    <m/>
    <m/>
    <n v="124572.77772867827"/>
    <n v="125464.49043606623"/>
    <x v="3"/>
    <x v="8"/>
  </r>
  <r>
    <x v="1"/>
    <x v="2"/>
    <n v="3"/>
    <s v="105328"/>
    <s v="CN COCA-COLA VN - LONG AN"/>
    <x v="8"/>
    <x v="8"/>
    <s v="rPET"/>
    <s v="rPET"/>
    <x v="3"/>
    <s v="NĐ"/>
    <s v="(blank)"/>
    <x v="4"/>
    <n v="0"/>
    <n v="-94442040"/>
    <n v="0"/>
    <n v="0"/>
    <n v="0"/>
    <n v="-94442040"/>
    <m/>
    <m/>
    <m/>
    <m/>
    <m/>
    <m/>
    <m/>
    <m/>
    <m/>
    <m/>
    <m/>
    <n v="-3721.9536848947801"/>
    <n v="-3721.9536848947801"/>
    <x v="3"/>
    <x v="8"/>
  </r>
  <r>
    <x v="1"/>
    <x v="2"/>
    <n v="3"/>
    <s v="105330"/>
    <s v="Việt Thành Plast"/>
    <x v="33"/>
    <x v="31"/>
    <s v="rPET"/>
    <s v="rPET"/>
    <x v="3"/>
    <s v="NĐ"/>
    <s v="(blank)"/>
    <x v="0"/>
    <n v="5500"/>
    <n v="181341160"/>
    <n v="854660.26687598112"/>
    <n v="0"/>
    <n v="0"/>
    <n v="180486499.73312402"/>
    <m/>
    <m/>
    <m/>
    <m/>
    <m/>
    <m/>
    <m/>
    <m/>
    <m/>
    <m/>
    <m/>
    <n v="7112.9593638115148"/>
    <n v="7146.6414605730024"/>
    <x v="124"/>
    <x v="33"/>
  </r>
  <r>
    <x v="1"/>
    <x v="2"/>
    <n v="3"/>
    <s v="105333"/>
    <s v="LƯỚI BẢO NÔNG"/>
    <x v="30"/>
    <x v="28"/>
    <s v="rHDPE"/>
    <s v="rHDPE ép"/>
    <x v="1"/>
    <s v="NĐ"/>
    <s v="(blank)"/>
    <x v="0"/>
    <n v="24000"/>
    <n v="360000000"/>
    <n v="5469825.7080062795"/>
    <n v="0"/>
    <n v="0"/>
    <n v="354530174.29199374"/>
    <m/>
    <m/>
    <m/>
    <m/>
    <m/>
    <m/>
    <m/>
    <m/>
    <m/>
    <m/>
    <m/>
    <n v="13972.00747265174"/>
    <n v="14187.572891925256"/>
    <x v="125"/>
    <x v="30"/>
  </r>
  <r>
    <x v="1"/>
    <x v="2"/>
    <n v="3"/>
    <s v="105335"/>
    <s v="EATONE PRO"/>
    <x v="87"/>
    <x v="85"/>
    <s v="rHDPE"/>
    <s v="rHDPE thổi"/>
    <x v="0"/>
    <s v="NĐ"/>
    <s v="(blank)"/>
    <x v="0"/>
    <n v="100"/>
    <n v="1700000"/>
    <n v="0"/>
    <n v="0"/>
    <n v="0"/>
    <n v="1700000"/>
    <m/>
    <m/>
    <m/>
    <m/>
    <m/>
    <m/>
    <m/>
    <m/>
    <m/>
    <m/>
    <m/>
    <n v="66.996871989647047"/>
    <n v="66.996871989647047"/>
    <x v="137"/>
    <x v="87"/>
  </r>
  <r>
    <x v="1"/>
    <x v="2"/>
    <n v="3"/>
    <s v="105339"/>
    <s v="HUY THÀNH"/>
    <x v="51"/>
    <x v="49"/>
    <s v="rHDPE"/>
    <s v="rHDPE ép"/>
    <x v="1"/>
    <s v="NĐ"/>
    <s v="(blank)"/>
    <x v="0"/>
    <n v="50"/>
    <n v="856482"/>
    <n v="0"/>
    <n v="0"/>
    <n v="0"/>
    <n v="856482"/>
    <m/>
    <m/>
    <m/>
    <m/>
    <m/>
    <m/>
    <m/>
    <m/>
    <m/>
    <m/>
    <m/>
    <n v="33.753891126727574"/>
    <n v="33.753891126727574"/>
    <x v="138"/>
    <x v="51"/>
  </r>
  <r>
    <x v="1"/>
    <x v="2"/>
    <n v="3"/>
    <s v="105339"/>
    <s v="HUY THÀNH"/>
    <x v="107"/>
    <x v="105"/>
    <s v="rHDPE"/>
    <s v="rHDPE ép"/>
    <x v="1"/>
    <s v="NĐ"/>
    <s v="(blank)"/>
    <x v="0"/>
    <n v="50"/>
    <n v="856482"/>
    <n v="0"/>
    <n v="0"/>
    <n v="0"/>
    <n v="856482"/>
    <m/>
    <m/>
    <m/>
    <m/>
    <m/>
    <m/>
    <m/>
    <m/>
    <m/>
    <m/>
    <m/>
    <n v="33.753891126727574"/>
    <n v="33.753891126727574"/>
    <x v="138"/>
    <x v="107"/>
  </r>
  <r>
    <x v="1"/>
    <x v="2"/>
    <n v="3"/>
    <s v="105339"/>
    <s v="HUY THÀNH"/>
    <x v="46"/>
    <x v="44"/>
    <s v="rHDPE"/>
    <s v="rHDPE ép"/>
    <x v="1"/>
    <s v="NĐ"/>
    <s v="(blank)"/>
    <x v="0"/>
    <n v="50"/>
    <n v="856482"/>
    <n v="0"/>
    <n v="0"/>
    <n v="0"/>
    <n v="856482"/>
    <m/>
    <m/>
    <m/>
    <m/>
    <m/>
    <m/>
    <m/>
    <m/>
    <m/>
    <m/>
    <m/>
    <n v="33.753891126727574"/>
    <n v="33.753891126727574"/>
    <x v="138"/>
    <x v="46"/>
  </r>
  <r>
    <x v="1"/>
    <x v="2"/>
    <n v="3"/>
    <s v="105339"/>
    <s v="HUY THÀNH"/>
    <x v="30"/>
    <x v="28"/>
    <s v="rHDPE"/>
    <s v="rHDPE ép"/>
    <x v="1"/>
    <s v="NĐ"/>
    <s v="(blank)"/>
    <x v="0"/>
    <n v="50"/>
    <n v="856482"/>
    <n v="0"/>
    <n v="0"/>
    <n v="0"/>
    <n v="856482"/>
    <m/>
    <m/>
    <m/>
    <m/>
    <m/>
    <m/>
    <m/>
    <m/>
    <m/>
    <m/>
    <m/>
    <n v="33.753891126727574"/>
    <n v="33.753891126727574"/>
    <x v="138"/>
    <x v="30"/>
  </r>
  <r>
    <x v="1"/>
    <x v="2"/>
    <n v="3"/>
    <s v="105339"/>
    <s v="HUY THÀNH"/>
    <x v="52"/>
    <x v="50"/>
    <s v="rHDPE"/>
    <s v="rHDPE ép"/>
    <x v="1"/>
    <s v="NĐ"/>
    <s v="(blank)"/>
    <x v="0"/>
    <n v="10550"/>
    <n v="180717593.00000003"/>
    <n v="2393048.7472527474"/>
    <n v="9722222"/>
    <n v="0"/>
    <n v="168602322.2527473"/>
    <m/>
    <m/>
    <m/>
    <m/>
    <m/>
    <m/>
    <m/>
    <m/>
    <m/>
    <m/>
    <m/>
    <n v="6644.6048241908993"/>
    <n v="7122.0667320577268"/>
    <x v="138"/>
    <x v="52"/>
  </r>
  <r>
    <x v="1"/>
    <x v="2"/>
    <n v="3"/>
    <s v="105339"/>
    <s v="HUY THÀNH"/>
    <x v="115"/>
    <x v="113"/>
    <s v="rHDPE"/>
    <s v="rHDPE ép"/>
    <x v="1"/>
    <s v="NĐ"/>
    <s v="(blank)"/>
    <x v="0"/>
    <n v="50"/>
    <n v="833331"/>
    <n v="0"/>
    <n v="0"/>
    <n v="0"/>
    <n v="833331"/>
    <m/>
    <m/>
    <m/>
    <m/>
    <m/>
    <m/>
    <m/>
    <m/>
    <m/>
    <m/>
    <m/>
    <n v="32.841511960002684"/>
    <n v="32.841511960002684"/>
    <x v="138"/>
    <x v="115"/>
  </r>
  <r>
    <x v="1"/>
    <x v="2"/>
    <n v="3"/>
    <s v="105339"/>
    <s v="HUY THÀNH"/>
    <x v="112"/>
    <x v="110"/>
    <s v="Khác"/>
    <s v="Khác"/>
    <x v="16"/>
    <s v="NĐ"/>
    <s v="(blank)"/>
    <x v="0"/>
    <n v="0"/>
    <n v="0"/>
    <n v="0"/>
    <n v="-9722222"/>
    <n v="0"/>
    <n v="9722222"/>
    <m/>
    <m/>
    <m/>
    <m/>
    <m/>
    <m/>
    <m/>
    <m/>
    <m/>
    <m/>
    <m/>
    <n v="383.15203693466481"/>
    <n v="0"/>
    <x v="138"/>
    <x v="112"/>
  </r>
  <r>
    <x v="1"/>
    <x v="2"/>
    <n v="3"/>
    <s v="105341"/>
    <s v="TÂN HOA THỊNH"/>
    <x v="46"/>
    <x v="44"/>
    <s v="rHDPE"/>
    <s v="rHDPE ép"/>
    <x v="1"/>
    <s v="NĐ"/>
    <s v="(blank)"/>
    <x v="0"/>
    <n v="10000"/>
    <n v="146000000"/>
    <n v="2393048.7472527474"/>
    <n v="0"/>
    <n v="0"/>
    <n v="143606951.25274724"/>
    <m/>
    <m/>
    <m/>
    <m/>
    <m/>
    <m/>
    <m/>
    <m/>
    <m/>
    <m/>
    <m/>
    <n v="5659.5391352375236"/>
    <n v="5753.8490061696866"/>
    <x v="139"/>
    <x v="46"/>
  </r>
  <r>
    <x v="1"/>
    <x v="2"/>
    <n v="3"/>
    <s v="105341"/>
    <s v="TÂN HOA THỊNH"/>
    <x v="52"/>
    <x v="50"/>
    <s v="rHDPE"/>
    <s v="rHDPE ép"/>
    <x v="1"/>
    <s v="NĐ"/>
    <s v="(blank)"/>
    <x v="0"/>
    <n v="10000"/>
    <n v="146000000"/>
    <n v="2393048.7472527474"/>
    <n v="0"/>
    <n v="0"/>
    <n v="143606951.25274724"/>
    <m/>
    <m/>
    <m/>
    <m/>
    <m/>
    <m/>
    <m/>
    <m/>
    <m/>
    <m/>
    <m/>
    <n v="5659.5391352375236"/>
    <n v="5753.8490061696866"/>
    <x v="139"/>
    <x v="52"/>
  </r>
  <r>
    <x v="1"/>
    <x v="2"/>
    <n v="3"/>
    <s v="105344"/>
    <s v="Mega Market"/>
    <x v="26"/>
    <x v="24"/>
    <s v="Khác"/>
    <s v="Khác"/>
    <x v="2"/>
    <s v="NĐ"/>
    <s v="(blank)"/>
    <x v="0"/>
    <n v="0"/>
    <n v="161435342"/>
    <n v="0"/>
    <n v="0"/>
    <n v="0"/>
    <n v="161435342"/>
    <m/>
    <m/>
    <m/>
    <m/>
    <m/>
    <m/>
    <m/>
    <m/>
    <m/>
    <m/>
    <m/>
    <n v="6362.15467210523"/>
    <n v="6362.15467210523"/>
    <x v="140"/>
    <x v="26"/>
  </r>
  <r>
    <x v="1"/>
    <x v="2"/>
    <n v="3"/>
    <s v="105345"/>
    <s v="GREENU"/>
    <x v="26"/>
    <x v="24"/>
    <s v="Khác"/>
    <s v="Khác"/>
    <x v="2"/>
    <s v="NĐ"/>
    <s v="(blank)"/>
    <x v="0"/>
    <n v="0"/>
    <n v="17937260"/>
    <n v="0"/>
    <n v="0"/>
    <n v="0"/>
    <n v="17937260"/>
    <m/>
    <m/>
    <m/>
    <m/>
    <m/>
    <m/>
    <m/>
    <m/>
    <m/>
    <m/>
    <m/>
    <n v="706.90606592059783"/>
    <n v="706.90606592059783"/>
    <x v="141"/>
    <x v="26"/>
  </r>
  <r>
    <x v="1"/>
    <x v="2"/>
    <n v="3"/>
    <s v="1331000100"/>
    <s v="Thuế GTGT được khấu trừ của hàng hoá, dịch vụ"/>
    <x v="99"/>
    <x v="97"/>
    <s v="Khác"/>
    <s v="Khác"/>
    <x v="2"/>
    <s v="NĐ"/>
    <s v="(blank)"/>
    <x v="0"/>
    <n v="0"/>
    <n v="0"/>
    <n v="0"/>
    <n v="0"/>
    <n v="0"/>
    <n v="0"/>
    <m/>
    <m/>
    <m/>
    <m/>
    <m/>
    <m/>
    <m/>
    <m/>
    <m/>
    <m/>
    <m/>
    <n v="0"/>
    <n v="0"/>
    <x v="142"/>
    <x v="99"/>
  </r>
  <r>
    <x v="1"/>
    <x v="2"/>
    <n v="3"/>
    <s v="1531100100"/>
    <s v="Vật tư cơ khí kỹ thuật"/>
    <x v="41"/>
    <x v="39"/>
    <s v="Khác"/>
    <s v="Khác"/>
    <x v="2"/>
    <s v="NĐ"/>
    <s v="(blank)"/>
    <x v="0"/>
    <n v="0"/>
    <n v="0"/>
    <n v="0"/>
    <n v="0"/>
    <n v="0"/>
    <n v="0"/>
    <m/>
    <m/>
    <m/>
    <m/>
    <m/>
    <m/>
    <m/>
    <m/>
    <m/>
    <m/>
    <m/>
    <n v="0"/>
    <n v="0"/>
    <x v="143"/>
    <x v="41"/>
  </r>
  <r>
    <x v="1"/>
    <x v="2"/>
    <n v="3"/>
    <s v="1551400100"/>
    <s v="Thành phẩm nhựa"/>
    <x v="41"/>
    <x v="39"/>
    <s v="Khác"/>
    <s v="Khác"/>
    <x v="2"/>
    <s v="NĐ"/>
    <s v="(blank)"/>
    <x v="0"/>
    <n v="0"/>
    <n v="0"/>
    <n v="0"/>
    <n v="0"/>
    <n v="0"/>
    <n v="0"/>
    <m/>
    <m/>
    <m/>
    <m/>
    <m/>
    <m/>
    <m/>
    <m/>
    <m/>
    <m/>
    <m/>
    <n v="0"/>
    <n v="0"/>
    <x v="107"/>
    <x v="41"/>
  </r>
  <r>
    <x v="1"/>
    <x v="2"/>
    <n v="3"/>
    <s v="1551490100"/>
    <s v="TP-ĐC K/C số dư"/>
    <x v="110"/>
    <x v="108"/>
    <s v="Khác"/>
    <s v="Khác"/>
    <x v="2"/>
    <s v="NĐ"/>
    <s v="(blank)"/>
    <x v="0"/>
    <n v="0"/>
    <n v="0"/>
    <n v="0"/>
    <n v="0"/>
    <n v="0"/>
    <n v="0"/>
    <m/>
    <m/>
    <m/>
    <m/>
    <m/>
    <m/>
    <m/>
    <m/>
    <m/>
    <m/>
    <m/>
    <n v="0"/>
    <n v="0"/>
    <x v="127"/>
    <x v="110"/>
  </r>
  <r>
    <x v="1"/>
    <x v="2"/>
    <n v="3"/>
    <s v="200276"/>
    <s v="ZHejiang Boretech Environmental"/>
    <x v="41"/>
    <x v="39"/>
    <s v="Khác"/>
    <s v="Khác"/>
    <x v="2"/>
    <s v="NĐ"/>
    <s v="(blank)"/>
    <x v="0"/>
    <n v="0"/>
    <n v="0"/>
    <n v="0"/>
    <n v="0"/>
    <n v="0"/>
    <n v="0"/>
    <m/>
    <m/>
    <m/>
    <m/>
    <m/>
    <m/>
    <m/>
    <m/>
    <m/>
    <m/>
    <m/>
    <n v="0"/>
    <n v="0"/>
    <x v="144"/>
    <x v="41"/>
  </r>
  <r>
    <x v="1"/>
    <x v="2"/>
    <n v="3"/>
    <s v="200311"/>
    <s v="Plascene, Inc."/>
    <x v="9"/>
    <x v="9"/>
    <s v="rPET"/>
    <s v="rPET"/>
    <x v="3"/>
    <s v="XK"/>
    <s v="United States of America (the)"/>
    <x v="0"/>
    <n v="44000"/>
    <n v="1399346960"/>
    <n v="3300100"/>
    <n v="0"/>
    <n v="22203202"/>
    <n v="1373843658"/>
    <m/>
    <m/>
    <m/>
    <m/>
    <m/>
    <m/>
    <m/>
    <m/>
    <m/>
    <m/>
    <m/>
    <n v="54088.332992125986"/>
    <n v="55092.4"/>
    <x v="13"/>
    <x v="9"/>
  </r>
  <r>
    <x v="1"/>
    <x v="2"/>
    <n v="3"/>
    <s v="200311"/>
    <s v="Plascene, Inc."/>
    <x v="39"/>
    <x v="37"/>
    <s v="Khác"/>
    <s v="Khác"/>
    <x v="8"/>
    <s v="NĐ"/>
    <s v="(blank)"/>
    <x v="0"/>
    <n v="0"/>
    <n v="0"/>
    <n v="0"/>
    <n v="0"/>
    <n v="-459962"/>
    <n v="459962"/>
    <m/>
    <m/>
    <m/>
    <m/>
    <m/>
    <m/>
    <m/>
    <m/>
    <m/>
    <m/>
    <m/>
    <n v="18.127067784765902"/>
    <n v="0"/>
    <x v="13"/>
    <x v="39"/>
  </r>
  <r>
    <x v="1"/>
    <x v="2"/>
    <n v="3"/>
    <s v="200319"/>
    <s v="Niagara Bottling, LLC"/>
    <x v="9"/>
    <x v="9"/>
    <s v="rPET"/>
    <s v="rPET"/>
    <x v="3"/>
    <s v="XK"/>
    <s v="United States of America (the)"/>
    <x v="0"/>
    <n v="1078000"/>
    <n v="34230245055"/>
    <n v="80852450"/>
    <n v="513453675.82500011"/>
    <n v="414722958.29807729"/>
    <n v="33221215970.876911"/>
    <m/>
    <m/>
    <m/>
    <m/>
    <m/>
    <m/>
    <m/>
    <m/>
    <m/>
    <m/>
    <m/>
    <n v="1309078.5586905417"/>
    <n v="1348838.9200632663"/>
    <x v="14"/>
    <x v="9"/>
  </r>
  <r>
    <x v="1"/>
    <x v="2"/>
    <n v="3"/>
    <s v="200319"/>
    <s v="Niagara Bottling, LLC"/>
    <x v="39"/>
    <x v="37"/>
    <s v="Khác"/>
    <s v="Khác"/>
    <x v="8"/>
    <s v="NĐ"/>
    <s v="(blank)"/>
    <x v="0"/>
    <n v="0"/>
    <n v="0"/>
    <n v="0"/>
    <n v="0"/>
    <n v="-18571772.943076905"/>
    <n v="18571772.943076905"/>
    <m/>
    <m/>
    <m/>
    <m/>
    <m/>
    <m/>
    <m/>
    <m/>
    <m/>
    <m/>
    <m/>
    <n v="731.91217322830244"/>
    <n v="0"/>
    <x v="14"/>
    <x v="39"/>
  </r>
  <r>
    <x v="1"/>
    <x v="2"/>
    <n v="3"/>
    <s v="200332"/>
    <s v="OUTEIRINHO TURISMO E INDUSTRIA SA"/>
    <x v="33"/>
    <x v="31"/>
    <s v="rPET"/>
    <s v="rPET"/>
    <x v="3"/>
    <s v="XK"/>
    <s v="Portugal"/>
    <x v="0"/>
    <n v="880000"/>
    <n v="27864650000"/>
    <n v="66002000"/>
    <n v="0"/>
    <n v="356687044.0000003"/>
    <n v="27441960956.000019"/>
    <m/>
    <m/>
    <m/>
    <m/>
    <m/>
    <m/>
    <m/>
    <m/>
    <m/>
    <m/>
    <m/>
    <n v="1083313.8861055239"/>
    <n v="1100000"/>
    <x v="44"/>
    <x v="33"/>
  </r>
  <r>
    <x v="1"/>
    <x v="2"/>
    <n v="3"/>
    <s v="200332"/>
    <s v="OUTEIRINHO TURISMO E INDUSTRIA SA"/>
    <x v="39"/>
    <x v="37"/>
    <s v="Khác"/>
    <s v="Khác"/>
    <x v="8"/>
    <s v="NĐ"/>
    <s v="(blank)"/>
    <x v="0"/>
    <n v="0"/>
    <n v="0"/>
    <n v="0"/>
    <n v="0"/>
    <n v="80537171.999999955"/>
    <n v="-80537171.999999955"/>
    <m/>
    <m/>
    <m/>
    <m/>
    <m/>
    <m/>
    <m/>
    <m/>
    <m/>
    <m/>
    <m/>
    <n v="-3173.9638840542279"/>
    <n v="0"/>
    <x v="44"/>
    <x v="39"/>
  </r>
  <r>
    <x v="1"/>
    <x v="2"/>
    <n v="3"/>
    <s v="200337"/>
    <s v="Toyota Tsusho"/>
    <x v="39"/>
    <x v="37"/>
    <s v="Khác"/>
    <s v="Khác"/>
    <x v="8"/>
    <s v="NĐ"/>
    <s v="(blank)"/>
    <x v="0"/>
    <n v="0"/>
    <n v="0"/>
    <n v="0"/>
    <n v="0"/>
    <n v="-944367"/>
    <n v="944367"/>
    <m/>
    <m/>
    <m/>
    <m/>
    <m/>
    <m/>
    <m/>
    <m/>
    <m/>
    <m/>
    <m/>
    <n v="37.217432358968829"/>
    <n v="0"/>
    <x v="110"/>
    <x v="39"/>
  </r>
  <r>
    <x v="1"/>
    <x v="2"/>
    <n v="3"/>
    <s v="200343"/>
    <s v="MILKYWAY"/>
    <x v="58"/>
    <x v="56"/>
    <s v="rPET"/>
    <s v="rPET"/>
    <x v="3"/>
    <s v="XK"/>
    <s v="United States of America (the)"/>
    <x v="0"/>
    <n v="220000"/>
    <n v="6312552400"/>
    <n v="16500500"/>
    <n v="0"/>
    <n v="88365322.000000015"/>
    <n v="6207686578.000001"/>
    <m/>
    <m/>
    <m/>
    <m/>
    <m/>
    <m/>
    <m/>
    <m/>
    <m/>
    <m/>
    <m/>
    <n v="243821.15388845242"/>
    <n v="247940"/>
    <x v="23"/>
    <x v="58"/>
  </r>
  <r>
    <x v="1"/>
    <x v="2"/>
    <n v="3"/>
    <s v="200343"/>
    <s v="MILKYWAY"/>
    <x v="39"/>
    <x v="37"/>
    <s v="Khác"/>
    <s v="Khác"/>
    <x v="8"/>
    <s v="NĐ"/>
    <s v="(blank)"/>
    <x v="0"/>
    <n v="0"/>
    <n v="0"/>
    <n v="0"/>
    <n v="0"/>
    <n v="1577646"/>
    <n v="-1577646"/>
    <m/>
    <m/>
    <m/>
    <m/>
    <m/>
    <m/>
    <m/>
    <m/>
    <m/>
    <m/>
    <m/>
    <n v="-62.174910062928632"/>
    <n v="0"/>
    <x v="23"/>
    <x v="39"/>
  </r>
  <r>
    <x v="1"/>
    <x v="2"/>
    <n v="3"/>
    <s v="200358"/>
    <s v="REYNERA"/>
    <x v="116"/>
    <x v="114"/>
    <s v="rPP"/>
    <s v="rPP"/>
    <x v="6"/>
    <s v="XK"/>
    <s v="Mexico"/>
    <x v="0"/>
    <n v="50"/>
    <n v="1372680"/>
    <n v="0"/>
    <n v="0"/>
    <n v="36543.151767151772"/>
    <n v="1336136.8482328483"/>
    <m/>
    <m/>
    <m/>
    <m/>
    <m/>
    <m/>
    <m/>
    <m/>
    <m/>
    <m/>
    <m/>
    <n v="52.562425186186012"/>
    <n v="54"/>
    <x v="58"/>
    <x v="116"/>
  </r>
  <r>
    <x v="1"/>
    <x v="2"/>
    <n v="3"/>
    <s v="200358"/>
    <s v="REYNERA"/>
    <x v="85"/>
    <x v="83"/>
    <s v="rPP"/>
    <s v="rPP"/>
    <x v="6"/>
    <s v="XK"/>
    <s v="Mexico"/>
    <x v="0"/>
    <n v="19000"/>
    <n v="520797600"/>
    <n v="0"/>
    <n v="0"/>
    <n v="13886397.671517672"/>
    <n v="506911202.32848233"/>
    <m/>
    <m/>
    <m/>
    <m/>
    <m/>
    <m/>
    <m/>
    <m/>
    <m/>
    <m/>
    <m/>
    <n v="19972.860611839336"/>
    <n v="20520"/>
    <x v="58"/>
    <x v="85"/>
  </r>
  <r>
    <x v="1"/>
    <x v="2"/>
    <n v="3"/>
    <s v="200358"/>
    <s v="REYNERA"/>
    <x v="86"/>
    <x v="84"/>
    <s v="rPP"/>
    <s v="rPP"/>
    <x v="6"/>
    <s v="XK"/>
    <s v="Mexico"/>
    <x v="0"/>
    <n v="5000"/>
    <n v="137052000"/>
    <n v="0"/>
    <n v="0"/>
    <n v="3654315.176715177"/>
    <n v="133397684.82328482"/>
    <m/>
    <m/>
    <m/>
    <m/>
    <m/>
    <m/>
    <m/>
    <m/>
    <m/>
    <m/>
    <m/>
    <n v="5256.0159504840358"/>
    <n v="5400"/>
    <x v="58"/>
    <x v="86"/>
  </r>
  <r>
    <x v="1"/>
    <x v="2"/>
    <n v="3"/>
    <s v="200358"/>
    <s v="REYNERA"/>
    <x v="39"/>
    <x v="37"/>
    <s v="Khác"/>
    <s v="Khác"/>
    <x v="8"/>
    <s v="NĐ"/>
    <s v="(blank)"/>
    <x v="0"/>
    <n v="0"/>
    <n v="0"/>
    <n v="0"/>
    <n v="0"/>
    <n v="-2568163"/>
    <n v="2568163"/>
    <m/>
    <m/>
    <m/>
    <m/>
    <m/>
    <m/>
    <m/>
    <m/>
    <m/>
    <m/>
    <m/>
    <n v="101.21111044679289"/>
    <n v="0"/>
    <x v="58"/>
    <x v="39"/>
  </r>
  <r>
    <x v="1"/>
    <x v="2"/>
    <n v="3"/>
    <s v="200365"/>
    <s v="Vinmar International"/>
    <x v="33"/>
    <x v="31"/>
    <s v="rPET"/>
    <s v="rPET"/>
    <x v="3"/>
    <s v="XK"/>
    <s v="Bulgaria"/>
    <x v="0"/>
    <n v="66000"/>
    <n v="2087118000.0000005"/>
    <n v="6200160"/>
    <n v="0"/>
    <n v="29828075.000000004"/>
    <n v="2051089765.0000005"/>
    <m/>
    <m/>
    <m/>
    <m/>
    <m/>
    <m/>
    <m/>
    <m/>
    <m/>
    <m/>
    <m/>
    <n v="80751.56555118112"/>
    <n v="82170.000000000015"/>
    <x v="93"/>
    <x v="33"/>
  </r>
  <r>
    <x v="1"/>
    <x v="2"/>
    <n v="3"/>
    <s v="200365"/>
    <s v="Vinmar International"/>
    <x v="33"/>
    <x v="31"/>
    <s v="rPET"/>
    <s v="rPET"/>
    <x v="3"/>
    <s v="XK"/>
    <s v="Spain"/>
    <x v="0"/>
    <n v="704000"/>
    <n v="22248897000"/>
    <n v="61968340"/>
    <n v="0"/>
    <n v="279820429.625"/>
    <n v="21907108230.375"/>
    <m/>
    <m/>
    <m/>
    <m/>
    <m/>
    <m/>
    <m/>
    <m/>
    <m/>
    <m/>
    <m/>
    <n v="863015.67980894994"/>
    <n v="876480"/>
    <x v="93"/>
    <x v="33"/>
  </r>
  <r>
    <x v="1"/>
    <x v="2"/>
    <n v="3"/>
    <s v="200365"/>
    <s v="Vinmar International"/>
    <x v="39"/>
    <x v="37"/>
    <s v="Khác"/>
    <s v="Khác"/>
    <x v="8"/>
    <s v="NĐ"/>
    <s v="(blank)"/>
    <x v="0"/>
    <n v="0"/>
    <n v="0"/>
    <n v="0"/>
    <n v="0"/>
    <n v="-10660638.059999993"/>
    <n v="10660638.059999993"/>
    <m/>
    <m/>
    <m/>
    <m/>
    <m/>
    <m/>
    <m/>
    <m/>
    <m/>
    <m/>
    <m/>
    <n v="420.13494319634049"/>
    <n v="0"/>
    <x v="93"/>
    <x v="39"/>
  </r>
  <r>
    <x v="1"/>
    <x v="2"/>
    <n v="3"/>
    <s v="200367"/>
    <s v="MAS CO.LTD"/>
    <x v="33"/>
    <x v="31"/>
    <s v="rPET"/>
    <s v="rPET"/>
    <x v="3"/>
    <s v="XK"/>
    <s v="Spain"/>
    <x v="0"/>
    <n v="44000"/>
    <n v="1592580000"/>
    <n v="3300100"/>
    <n v="0"/>
    <n v="154820286"/>
    <n v="1434459614"/>
    <m/>
    <m/>
    <m/>
    <m/>
    <m/>
    <m/>
    <m/>
    <m/>
    <m/>
    <m/>
    <m/>
    <n v="56474.787952755905"/>
    <n v="62700"/>
    <x v="94"/>
    <x v="33"/>
  </r>
  <r>
    <x v="1"/>
    <x v="2"/>
    <n v="3"/>
    <s v="200367"/>
    <s v="MAS CO.LTD"/>
    <x v="39"/>
    <x v="37"/>
    <s v="Khác"/>
    <s v="Khác"/>
    <x v="8"/>
    <s v="NĐ"/>
    <s v="(blank)"/>
    <x v="0"/>
    <n v="0"/>
    <n v="0"/>
    <n v="0"/>
    <n v="0"/>
    <n v="-480694"/>
    <n v="480694"/>
    <m/>
    <m/>
    <m/>
    <m/>
    <m/>
    <m/>
    <m/>
    <m/>
    <m/>
    <m/>
    <m/>
    <n v="18.944114343641985"/>
    <n v="0"/>
    <x v="94"/>
    <x v="39"/>
  </r>
  <r>
    <x v="1"/>
    <x v="2"/>
    <n v="3"/>
    <s v="200368"/>
    <s v="SodaStream"/>
    <x v="39"/>
    <x v="37"/>
    <s v="Khác"/>
    <s v="Khác"/>
    <x v="8"/>
    <s v="NĐ"/>
    <s v="(blank)"/>
    <x v="0"/>
    <n v="0"/>
    <n v="0"/>
    <n v="0"/>
    <n v="0"/>
    <n v="4468334"/>
    <n v="-4468334"/>
    <m/>
    <m/>
    <m/>
    <m/>
    <m/>
    <m/>
    <m/>
    <m/>
    <m/>
    <m/>
    <m/>
    <n v="-176.09670647352206"/>
    <n v="0"/>
    <x v="111"/>
    <x v="39"/>
  </r>
  <r>
    <x v="1"/>
    <x v="2"/>
    <n v="3"/>
    <s v="200370"/>
    <s v="KORYFES SA"/>
    <x v="33"/>
    <x v="31"/>
    <s v="rPET"/>
    <s v="rPET"/>
    <x v="3"/>
    <s v="XK"/>
    <s v="Bulgaria"/>
    <x v="0"/>
    <n v="66000"/>
    <n v="2429103600"/>
    <n v="6200160"/>
    <n v="0"/>
    <n v="255407667"/>
    <n v="2167495773"/>
    <m/>
    <m/>
    <m/>
    <m/>
    <m/>
    <m/>
    <m/>
    <m/>
    <m/>
    <m/>
    <m/>
    <n v="85334.4792519685"/>
    <n v="95634"/>
    <x v="131"/>
    <x v="33"/>
  </r>
  <r>
    <x v="1"/>
    <x v="2"/>
    <n v="3"/>
    <s v="200370"/>
    <s v="KORYFES SA"/>
    <x v="98"/>
    <x v="96"/>
    <s v="rHDPE"/>
    <s v="rHDPE thổi"/>
    <x v="0"/>
    <s v="XK"/>
    <s v="Belgium"/>
    <x v="0"/>
    <n v="99000"/>
    <n v="3734181000"/>
    <n v="0"/>
    <n v="0"/>
    <n v="253682191"/>
    <n v="3480498809"/>
    <m/>
    <m/>
    <m/>
    <m/>
    <m/>
    <m/>
    <m/>
    <m/>
    <m/>
    <m/>
    <m/>
    <n v="137027.51216535433"/>
    <n v="147015"/>
    <x v="131"/>
    <x v="98"/>
  </r>
  <r>
    <x v="1"/>
    <x v="2"/>
    <n v="3"/>
    <s v="200370"/>
    <s v="KORYFES SA"/>
    <x v="59"/>
    <x v="57"/>
    <s v="Khác"/>
    <s v="Khác"/>
    <x v="13"/>
    <s v="NĐ"/>
    <s v="(blank)"/>
    <x v="0"/>
    <n v="0"/>
    <n v="0"/>
    <n v="0"/>
    <n v="0"/>
    <n v="-759524"/>
    <n v="759524"/>
    <m/>
    <m/>
    <m/>
    <m/>
    <m/>
    <m/>
    <m/>
    <m/>
    <m/>
    <m/>
    <m/>
    <n v="29.932783647685106"/>
    <n v="0"/>
    <x v="131"/>
    <x v="59"/>
  </r>
  <r>
    <x v="1"/>
    <x v="2"/>
    <n v="3"/>
    <s v="200370"/>
    <s v="KORYFES SA"/>
    <x v="39"/>
    <x v="37"/>
    <s v="Khác"/>
    <s v="Khác"/>
    <x v="8"/>
    <s v="NĐ"/>
    <s v="(blank)"/>
    <x v="0"/>
    <n v="0"/>
    <n v="0"/>
    <n v="0"/>
    <n v="0"/>
    <n v="-14482669"/>
    <n v="14482669"/>
    <m/>
    <m/>
    <m/>
    <m/>
    <m/>
    <m/>
    <m/>
    <m/>
    <m/>
    <m/>
    <m/>
    <n v="570.76089474201751"/>
    <n v="0"/>
    <x v="131"/>
    <x v="39"/>
  </r>
  <r>
    <x v="1"/>
    <x v="2"/>
    <n v="3"/>
    <s v="200375"/>
    <s v="Nu-pure"/>
    <x v="9"/>
    <x v="9"/>
    <s v="rPET"/>
    <s v="rPET"/>
    <x v="3"/>
    <s v="XK"/>
    <s v="Australia"/>
    <x v="0"/>
    <n v="11000"/>
    <n v="364284800.00000006"/>
    <n v="1650050"/>
    <n v="0"/>
    <n v="45104542"/>
    <n v="317530208.00000006"/>
    <m/>
    <m/>
    <m/>
    <m/>
    <m/>
    <m/>
    <m/>
    <m/>
    <m/>
    <m/>
    <m/>
    <n v="12560.530379746839"/>
    <n v="14410.000000000002"/>
    <x v="145"/>
    <x v="9"/>
  </r>
  <r>
    <x v="1"/>
    <x v="2"/>
    <n v="3"/>
    <s v="200375"/>
    <s v="Nu-pure"/>
    <x v="39"/>
    <x v="37"/>
    <s v="Khác"/>
    <s v="Khác"/>
    <x v="8"/>
    <s v="NĐ"/>
    <s v="(blank)"/>
    <x v="0"/>
    <n v="0"/>
    <n v="0"/>
    <n v="0"/>
    <n v="0"/>
    <n v="-14625889"/>
    <n v="14625889"/>
    <m/>
    <m/>
    <m/>
    <m/>
    <m/>
    <m/>
    <m/>
    <m/>
    <m/>
    <m/>
    <m/>
    <n v="576.4051841575216"/>
    <n v="0"/>
    <x v="145"/>
    <x v="39"/>
  </r>
  <r>
    <x v="1"/>
    <x v="2"/>
    <n v="3"/>
    <s v="200376"/>
    <s v="CORAL A.E."/>
    <x v="8"/>
    <x v="8"/>
    <s v="rPET"/>
    <s v="rPET"/>
    <x v="3"/>
    <s v="XK"/>
    <s v="Greece"/>
    <x v="0"/>
    <n v="1100"/>
    <n v="37528040"/>
    <n v="165005"/>
    <n v="0"/>
    <n v="763363.6"/>
    <n v="36599671.399999999"/>
    <m/>
    <m/>
    <m/>
    <m/>
    <m/>
    <m/>
    <m/>
    <m/>
    <m/>
    <m/>
    <m/>
    <n v="1437.5361901021208"/>
    <n v="1474"/>
    <x v="146"/>
    <x v="8"/>
  </r>
  <r>
    <x v="1"/>
    <x v="2"/>
    <n v="3"/>
    <s v="200376"/>
    <s v="CORAL A.E."/>
    <x v="9"/>
    <x v="9"/>
    <s v="rPET"/>
    <s v="rPET"/>
    <x v="3"/>
    <s v="XK"/>
    <s v="Greece"/>
    <x v="0"/>
    <n v="11000"/>
    <n v="350075000"/>
    <n v="1650050"/>
    <n v="0"/>
    <n v="7633636"/>
    <n v="340791314"/>
    <m/>
    <m/>
    <m/>
    <m/>
    <m/>
    <m/>
    <m/>
    <m/>
    <m/>
    <m/>
    <m/>
    <n v="13385.36190102121"/>
    <n v="13750"/>
    <x v="146"/>
    <x v="9"/>
  </r>
  <r>
    <x v="1"/>
    <x v="2"/>
    <n v="3"/>
    <s v="200376"/>
    <s v="CORAL A.E."/>
    <x v="33"/>
    <x v="31"/>
    <s v="rPET"/>
    <s v="rPET"/>
    <x v="3"/>
    <s v="XK"/>
    <s v="Greece"/>
    <x v="0"/>
    <n v="9900"/>
    <n v="325149660"/>
    <n v="1485045"/>
    <n v="0"/>
    <n v="6870272.4000000004"/>
    <n v="316794342.60000002"/>
    <m/>
    <m/>
    <m/>
    <m/>
    <m/>
    <m/>
    <m/>
    <m/>
    <m/>
    <m/>
    <m/>
    <n v="12442.825710919089"/>
    <n v="12771"/>
    <x v="146"/>
    <x v="33"/>
  </r>
  <r>
    <x v="1"/>
    <x v="2"/>
    <n v="3"/>
    <s v="200376"/>
    <s v="CORAL A.E."/>
    <x v="39"/>
    <x v="37"/>
    <s v="Khác"/>
    <s v="Khác"/>
    <x v="8"/>
    <s v="NĐ"/>
    <s v="(blank)"/>
    <x v="0"/>
    <n v="0"/>
    <n v="0"/>
    <n v="0"/>
    <n v="0"/>
    <n v="67833"/>
    <n v="-67833"/>
    <m/>
    <m/>
    <m/>
    <m/>
    <m/>
    <m/>
    <m/>
    <m/>
    <m/>
    <m/>
    <m/>
    <n v="-2.6732934221610165"/>
    <n v="0"/>
    <x v="146"/>
    <x v="39"/>
  </r>
  <r>
    <x v="1"/>
    <x v="2"/>
    <n v="3"/>
    <s v="200377"/>
    <s v="COLLECTIVE POLYMERS"/>
    <x v="117"/>
    <x v="115"/>
    <s v="rPET"/>
    <s v="rPET"/>
    <x v="3"/>
    <s v="XK"/>
    <s v="Canada"/>
    <x v="0"/>
    <n v="1100"/>
    <n v="33047080"/>
    <n v="330010"/>
    <n v="0"/>
    <n v="6052388"/>
    <n v="26664682"/>
    <m/>
    <m/>
    <m/>
    <m/>
    <m/>
    <m/>
    <m/>
    <m/>
    <m/>
    <m/>
    <m/>
    <n v="1047.3166535742341"/>
    <n v="1298"/>
    <x v="147"/>
    <x v="117"/>
  </r>
  <r>
    <x v="1"/>
    <x v="2"/>
    <n v="3"/>
    <s v="200377"/>
    <s v="COLLECTIVE POLYMERS"/>
    <x v="39"/>
    <x v="37"/>
    <s v="Khác"/>
    <s v="Khác"/>
    <x v="8"/>
    <s v="NĐ"/>
    <s v="(blank)"/>
    <x v="0"/>
    <n v="0"/>
    <n v="0"/>
    <n v="0"/>
    <n v="0"/>
    <n v="540000"/>
    <n v="-540000"/>
    <m/>
    <m/>
    <m/>
    <m/>
    <m/>
    <m/>
    <m/>
    <m/>
    <m/>
    <m/>
    <m/>
    <n v="-21.281359337887885"/>
    <n v="0"/>
    <x v="147"/>
    <x v="39"/>
  </r>
  <r>
    <x v="1"/>
    <x v="2"/>
    <n v="3"/>
    <s v="2421100100"/>
    <s v="Chi phí phân bổ"/>
    <x v="27"/>
    <x v="25"/>
    <s v="Khác"/>
    <s v="Khác"/>
    <x v="2"/>
    <s v="NĐ"/>
    <s v="(blank)"/>
    <x v="0"/>
    <n v="0"/>
    <n v="0"/>
    <n v="0"/>
    <n v="0"/>
    <n v="0"/>
    <n v="0"/>
    <m/>
    <m/>
    <m/>
    <m/>
    <m/>
    <m/>
    <m/>
    <m/>
    <m/>
    <m/>
    <m/>
    <n v="0"/>
    <n v="0"/>
    <x v="64"/>
    <x v="27"/>
  </r>
  <r>
    <x v="1"/>
    <x v="2"/>
    <n v="3"/>
    <s v="2422200100"/>
    <s v="Chi phí trả trước dài hạn cho BP gián tiếp"/>
    <x v="99"/>
    <x v="97"/>
    <s v="Khác"/>
    <s v="Khác"/>
    <x v="2"/>
    <s v="NĐ"/>
    <s v="(blank)"/>
    <x v="0"/>
    <n v="0"/>
    <n v="0"/>
    <n v="0"/>
    <n v="0"/>
    <n v="0"/>
    <n v="0"/>
    <m/>
    <m/>
    <m/>
    <m/>
    <m/>
    <m/>
    <m/>
    <m/>
    <m/>
    <m/>
    <m/>
    <n v="0"/>
    <n v="0"/>
    <x v="112"/>
    <x v="99"/>
  </r>
  <r>
    <x v="1"/>
    <x v="2"/>
    <n v="3"/>
    <s v="300313"/>
    <s v="Công ty TNHH Nhựa Khánh Nga"/>
    <x v="27"/>
    <x v="25"/>
    <s v="Khác"/>
    <s v="Khác"/>
    <x v="2"/>
    <s v="NĐ"/>
    <s v="(blank)"/>
    <x v="0"/>
    <n v="0"/>
    <n v="27000000"/>
    <n v="0"/>
    <n v="0"/>
    <n v="0"/>
    <n v="27000000"/>
    <m/>
    <m/>
    <m/>
    <m/>
    <m/>
    <m/>
    <m/>
    <m/>
    <m/>
    <m/>
    <m/>
    <n v="1064.0679668943942"/>
    <n v="1064.0679668943942"/>
    <x v="18"/>
    <x v="27"/>
  </r>
  <r>
    <x v="1"/>
    <x v="2"/>
    <n v="3"/>
    <s v="301126"/>
    <s v="Repi Thai Co., Ltd."/>
    <x v="27"/>
    <x v="25"/>
    <s v="Khác"/>
    <s v="Khác"/>
    <x v="2"/>
    <s v="NĐ"/>
    <s v="(blank)"/>
    <x v="0"/>
    <n v="0"/>
    <n v="0"/>
    <n v="0"/>
    <n v="0"/>
    <n v="0"/>
    <n v="0"/>
    <m/>
    <m/>
    <m/>
    <m/>
    <m/>
    <m/>
    <m/>
    <m/>
    <m/>
    <m/>
    <m/>
    <n v="0"/>
    <n v="0"/>
    <x v="115"/>
    <x v="27"/>
  </r>
  <r>
    <x v="1"/>
    <x v="2"/>
    <n v="3"/>
    <s v="301126"/>
    <s v="Repi Thai Co., Ltd."/>
    <x v="41"/>
    <x v="39"/>
    <s v="Khác"/>
    <s v="Khác"/>
    <x v="2"/>
    <s v="NĐ"/>
    <s v="(blank)"/>
    <x v="0"/>
    <n v="0"/>
    <n v="0"/>
    <n v="0"/>
    <n v="0"/>
    <n v="0"/>
    <n v="0"/>
    <m/>
    <m/>
    <m/>
    <m/>
    <m/>
    <m/>
    <m/>
    <m/>
    <m/>
    <m/>
    <m/>
    <n v="0"/>
    <n v="0"/>
    <x v="115"/>
    <x v="41"/>
  </r>
  <r>
    <x v="1"/>
    <x v="2"/>
    <n v="3"/>
    <s v="3389000100"/>
    <s v="PT khác (GRIR khác)"/>
    <x v="41"/>
    <x v="39"/>
    <s v="Khác"/>
    <s v="Khác"/>
    <x v="2"/>
    <s v="NĐ"/>
    <s v="(blank)"/>
    <x v="0"/>
    <n v="0"/>
    <n v="0"/>
    <n v="0"/>
    <n v="0"/>
    <n v="0"/>
    <n v="0"/>
    <m/>
    <m/>
    <m/>
    <m/>
    <m/>
    <m/>
    <m/>
    <m/>
    <m/>
    <m/>
    <m/>
    <n v="0"/>
    <n v="0"/>
    <x v="116"/>
    <x v="41"/>
  </r>
  <r>
    <x v="1"/>
    <x v="2"/>
    <n v="3"/>
    <s v="3389000200"/>
    <s v="PT CP vận chuyển"/>
    <x v="41"/>
    <x v="39"/>
    <s v="Khác"/>
    <s v="Khác"/>
    <x v="2"/>
    <s v="NĐ"/>
    <s v="(blank)"/>
    <x v="0"/>
    <n v="0"/>
    <n v="0"/>
    <n v="0"/>
    <n v="0"/>
    <n v="0"/>
    <n v="0"/>
    <m/>
    <m/>
    <m/>
    <m/>
    <m/>
    <m/>
    <m/>
    <m/>
    <m/>
    <m/>
    <m/>
    <n v="0"/>
    <n v="0"/>
    <x v="117"/>
    <x v="41"/>
  </r>
  <r>
    <x v="1"/>
    <x v="2"/>
    <n v="3"/>
    <s v="3389090100"/>
    <s v="Phải trả khác- T/gian (Gắn TK151)"/>
    <x v="27"/>
    <x v="25"/>
    <s v="Khác"/>
    <s v="Khác"/>
    <x v="2"/>
    <s v="NĐ"/>
    <s v="(blank)"/>
    <x v="0"/>
    <n v="0"/>
    <n v="0"/>
    <n v="0"/>
    <n v="0"/>
    <n v="0"/>
    <n v="0"/>
    <m/>
    <m/>
    <m/>
    <m/>
    <m/>
    <m/>
    <m/>
    <m/>
    <m/>
    <m/>
    <m/>
    <n v="0"/>
    <n v="0"/>
    <x v="148"/>
    <x v="27"/>
  </r>
  <r>
    <x v="1"/>
    <x v="2"/>
    <n v="3"/>
    <s v="6219000210"/>
    <s v="Chênh lệch CPSX cấp dưới (lower level)"/>
    <x v="41"/>
    <x v="39"/>
    <s v="Khác"/>
    <s v="Khác"/>
    <x v="2"/>
    <s v="NĐ"/>
    <s v="(blank)"/>
    <x v="0"/>
    <n v="0"/>
    <n v="0"/>
    <n v="0"/>
    <n v="0"/>
    <n v="0"/>
    <n v="0"/>
    <m/>
    <m/>
    <m/>
    <m/>
    <m/>
    <m/>
    <m/>
    <m/>
    <m/>
    <m/>
    <m/>
    <n v="0"/>
    <n v="0"/>
    <x v="80"/>
    <x v="41"/>
  </r>
  <r>
    <x v="1"/>
    <x v="2"/>
    <n v="3"/>
    <s v="6219000220"/>
    <s v="Chênh lệch CPSX đơn cấp (single level)"/>
    <x v="41"/>
    <x v="39"/>
    <s v="Khác"/>
    <s v="Khác"/>
    <x v="2"/>
    <s v="NĐ"/>
    <s v="(blank)"/>
    <x v="0"/>
    <n v="0"/>
    <n v="0"/>
    <n v="0"/>
    <n v="0"/>
    <n v="0"/>
    <n v="0"/>
    <m/>
    <m/>
    <m/>
    <m/>
    <m/>
    <m/>
    <m/>
    <m/>
    <m/>
    <m/>
    <m/>
    <n v="0"/>
    <n v="0"/>
    <x v="81"/>
    <x v="41"/>
  </r>
  <r>
    <x v="1"/>
    <x v="2"/>
    <n v="3"/>
    <s v="6219000900"/>
    <s v="Kết chuyển CPSX không phân bổ được"/>
    <x v="27"/>
    <x v="25"/>
    <s v="Khác"/>
    <s v="Khác"/>
    <x v="2"/>
    <s v="NĐ"/>
    <s v="(blank)"/>
    <x v="0"/>
    <n v="0"/>
    <n v="0"/>
    <n v="0"/>
    <n v="0"/>
    <n v="0"/>
    <n v="0"/>
    <m/>
    <m/>
    <m/>
    <m/>
    <m/>
    <m/>
    <m/>
    <m/>
    <m/>
    <m/>
    <m/>
    <n v="0"/>
    <n v="0"/>
    <x v="20"/>
    <x v="27"/>
  </r>
  <r>
    <x v="1"/>
    <x v="2"/>
    <n v="3"/>
    <s v="6277005001"/>
    <s v="Chi phí thuê nhà, văn phòng, Xưởng, kho,"/>
    <x v="7"/>
    <x v="7"/>
    <s v="Khác"/>
    <s v="Khác"/>
    <x v="2"/>
    <s v="NĐ"/>
    <s v="(blank)"/>
    <x v="0"/>
    <n v="0"/>
    <n v="0"/>
    <n v="0"/>
    <n v="0"/>
    <n v="0"/>
    <n v="0"/>
    <m/>
    <m/>
    <m/>
    <m/>
    <m/>
    <m/>
    <m/>
    <m/>
    <m/>
    <m/>
    <m/>
    <n v="0"/>
    <n v="0"/>
    <x v="149"/>
    <x v="7"/>
  </r>
  <r>
    <x v="1"/>
    <x v="2"/>
    <n v="3"/>
    <s v="6422004803"/>
    <s v="Chi phí thử mẫu, xuất mẫu"/>
    <x v="27"/>
    <x v="25"/>
    <s v="Khác"/>
    <s v="Khác"/>
    <x v="2"/>
    <s v="NĐ"/>
    <s v="(blank)"/>
    <x v="0"/>
    <n v="0"/>
    <n v="0"/>
    <n v="0"/>
    <n v="0"/>
    <n v="0"/>
    <n v="0"/>
    <m/>
    <m/>
    <m/>
    <m/>
    <m/>
    <m/>
    <m/>
    <m/>
    <m/>
    <m/>
    <m/>
    <n v="0"/>
    <n v="0"/>
    <x v="135"/>
    <x v="27"/>
  </r>
  <r>
    <x v="1"/>
    <x v="2"/>
    <n v="3"/>
    <s v="6428007201"/>
    <s v="Chi phí bằng tiền khác"/>
    <x v="27"/>
    <x v="25"/>
    <s v="Khác"/>
    <s v="Khác"/>
    <x v="2"/>
    <s v="NĐ"/>
    <s v="(blank)"/>
    <x v="0"/>
    <n v="0"/>
    <n v="-5068405"/>
    <n v="0"/>
    <n v="0"/>
    <n v="0"/>
    <n v="-5068405"/>
    <m/>
    <m/>
    <m/>
    <m/>
    <m/>
    <m/>
    <m/>
    <m/>
    <m/>
    <m/>
    <m/>
    <n v="-199.7454593980512"/>
    <n v="-199.7454593980512"/>
    <x v="150"/>
    <x v="27"/>
  </r>
  <r>
    <x v="1"/>
    <x v="2"/>
    <n v="3"/>
    <s v="BN"/>
    <s v="Bán Ngoài"/>
    <x v="38"/>
    <x v="36"/>
    <s v="Khác"/>
    <s v="Khác"/>
    <x v="2"/>
    <s v="NĐ"/>
    <s v="(blank)"/>
    <x v="0"/>
    <n v="0"/>
    <n v="0"/>
    <n v="0"/>
    <n v="0"/>
    <n v="6681816.3762957454"/>
    <n v="-6681816.3762957454"/>
    <m/>
    <m/>
    <m/>
    <m/>
    <m/>
    <m/>
    <m/>
    <m/>
    <m/>
    <m/>
    <m/>
    <n v="-263.3298802476549"/>
    <n v="0"/>
    <x v="21"/>
    <x v="38"/>
  </r>
  <r>
    <x v="1"/>
    <x v="2"/>
    <n v="3"/>
    <s v="BN"/>
    <s v="Bán Ngoài"/>
    <x v="39"/>
    <x v="37"/>
    <s v="Khác"/>
    <s v="Khác"/>
    <x v="8"/>
    <s v="NĐ"/>
    <s v="(blank)"/>
    <x v="0"/>
    <n v="0"/>
    <n v="0"/>
    <n v="0"/>
    <n v="-14835.825000107288"/>
    <n v="0"/>
    <n v="14835.825000107288"/>
    <m/>
    <m/>
    <m/>
    <m/>
    <m/>
    <m/>
    <m/>
    <m/>
    <m/>
    <m/>
    <m/>
    <n v="0.58467874611352544"/>
    <n v="0"/>
    <x v="21"/>
    <x v="39"/>
  </r>
  <r>
    <x v="1"/>
    <x v="2"/>
    <n v="3"/>
    <s v="BN"/>
    <s v="Bán Ngoài"/>
    <x v="41"/>
    <x v="39"/>
    <s v="Khác"/>
    <s v="Khác"/>
    <x v="2"/>
    <s v="NĐ"/>
    <s v="(blank)"/>
    <x v="0"/>
    <n v="0"/>
    <n v="0"/>
    <n v="0"/>
    <n v="0"/>
    <n v="0"/>
    <n v="0"/>
    <m/>
    <m/>
    <m/>
    <m/>
    <m/>
    <m/>
    <m/>
    <m/>
    <m/>
    <m/>
    <m/>
    <n v="0"/>
    <n v="0"/>
    <x v="21"/>
    <x v="41"/>
  </r>
  <r>
    <x v="1"/>
    <x v="3"/>
    <n v="4"/>
    <s v="1000"/>
    <s v="CPSX Nhựa Duy Tân"/>
    <x v="2"/>
    <x v="2"/>
    <s v="rHDPE"/>
    <s v="rHDPE ép"/>
    <x v="1"/>
    <s v="NĐ"/>
    <s v="(blank)"/>
    <x v="0"/>
    <n v="16500"/>
    <n v="330000000"/>
    <n v="0"/>
    <n v="0"/>
    <n v="0"/>
    <n v="330000000"/>
    <m/>
    <m/>
    <m/>
    <m/>
    <m/>
    <m/>
    <m/>
    <m/>
    <m/>
    <m/>
    <m/>
    <n v="12854.914766594131"/>
    <n v="12854.914766594131"/>
    <x v="0"/>
    <x v="2"/>
  </r>
  <r>
    <x v="1"/>
    <x v="3"/>
    <n v="4"/>
    <s v="1000"/>
    <s v="CPSX Nhựa Duy Tân"/>
    <x v="3"/>
    <x v="3"/>
    <s v="rHDPE"/>
    <s v="rHDPE ép"/>
    <x v="1"/>
    <s v="NĐ"/>
    <s v="(blank)"/>
    <x v="0"/>
    <n v="11000"/>
    <n v="220000000"/>
    <n v="0"/>
    <n v="0"/>
    <n v="0"/>
    <n v="220000000"/>
    <m/>
    <m/>
    <m/>
    <m/>
    <m/>
    <m/>
    <m/>
    <m/>
    <m/>
    <m/>
    <m/>
    <n v="8569.9431777294212"/>
    <n v="8569.9431777294212"/>
    <x v="0"/>
    <x v="3"/>
  </r>
  <r>
    <x v="1"/>
    <x v="3"/>
    <n v="4"/>
    <s v="1000"/>
    <s v="CPSX Nhựa Duy Tân"/>
    <x v="113"/>
    <x v="111"/>
    <s v="rHDPE"/>
    <s v="rHDPE thổi"/>
    <x v="0"/>
    <s v="NĐ"/>
    <s v="(blank)"/>
    <x v="1"/>
    <n v="-500"/>
    <n v="0"/>
    <n v="0"/>
    <n v="0"/>
    <n v="0"/>
    <n v="0"/>
    <m/>
    <m/>
    <m/>
    <m/>
    <m/>
    <m/>
    <m/>
    <m/>
    <m/>
    <m/>
    <m/>
    <n v="0"/>
    <n v="0"/>
    <x v="0"/>
    <x v="113"/>
  </r>
  <r>
    <x v="1"/>
    <x v="3"/>
    <n v="4"/>
    <s v="1000"/>
    <s v="CPSX Nhựa Duy Tân"/>
    <x v="113"/>
    <x v="111"/>
    <s v="rHDPE"/>
    <s v="rHDPE thổi"/>
    <x v="0"/>
    <s v="NĐ"/>
    <s v="(blank)"/>
    <x v="2"/>
    <n v="500"/>
    <n v="0"/>
    <n v="0"/>
    <n v="0"/>
    <n v="0"/>
    <n v="0"/>
    <m/>
    <m/>
    <m/>
    <m/>
    <m/>
    <m/>
    <m/>
    <m/>
    <m/>
    <m/>
    <m/>
    <n v="0"/>
    <n v="0"/>
    <x v="0"/>
    <x v="113"/>
  </r>
  <r>
    <x v="1"/>
    <x v="3"/>
    <n v="4"/>
    <s v="101290"/>
    <s v="Cty Thạnh Phát"/>
    <x v="7"/>
    <x v="7"/>
    <s v="Khác"/>
    <s v="Khác"/>
    <x v="2"/>
    <s v="NĐ"/>
    <s v="(blank)"/>
    <x v="0"/>
    <n v="0"/>
    <n v="0"/>
    <n v="0"/>
    <n v="0"/>
    <n v="0"/>
    <n v="0"/>
    <m/>
    <m/>
    <m/>
    <m/>
    <m/>
    <m/>
    <m/>
    <m/>
    <m/>
    <m/>
    <m/>
    <n v="0"/>
    <n v="0"/>
    <x v="1"/>
    <x v="7"/>
  </r>
  <r>
    <x v="1"/>
    <x v="3"/>
    <n v="4"/>
    <s v="101423"/>
    <s v="Quang Chí Bảo"/>
    <x v="41"/>
    <x v="39"/>
    <s v="Khác"/>
    <s v="Khác"/>
    <x v="2"/>
    <s v="NĐ"/>
    <s v="(blank)"/>
    <x v="0"/>
    <n v="0"/>
    <n v="0"/>
    <n v="0"/>
    <n v="0"/>
    <n v="0"/>
    <n v="0"/>
    <m/>
    <m/>
    <m/>
    <m/>
    <m/>
    <m/>
    <m/>
    <m/>
    <m/>
    <m/>
    <m/>
    <n v="0"/>
    <n v="0"/>
    <x v="151"/>
    <x v="41"/>
  </r>
  <r>
    <x v="1"/>
    <x v="3"/>
    <n v="4"/>
    <s v="102132"/>
    <s v="TRƯỜNG THỊNH"/>
    <x v="41"/>
    <x v="39"/>
    <s v="Khác"/>
    <s v="Khác"/>
    <x v="2"/>
    <s v="NĐ"/>
    <s v="(blank)"/>
    <x v="0"/>
    <n v="0"/>
    <n v="0"/>
    <n v="0"/>
    <n v="0"/>
    <n v="0"/>
    <n v="0"/>
    <m/>
    <m/>
    <m/>
    <m/>
    <m/>
    <m/>
    <m/>
    <m/>
    <m/>
    <m/>
    <m/>
    <n v="0"/>
    <n v="0"/>
    <x v="152"/>
    <x v="41"/>
  </r>
  <r>
    <x v="1"/>
    <x v="3"/>
    <n v="4"/>
    <s v="104894"/>
    <s v="UNILEVER-NGỌC NGHĨA"/>
    <x v="9"/>
    <x v="9"/>
    <s v="rPET"/>
    <s v="rPET"/>
    <x v="3"/>
    <s v="NĐ"/>
    <s v="(blank)"/>
    <x v="1"/>
    <n v="-85100"/>
    <n v="0"/>
    <n v="-9604398.4646924827"/>
    <n v="0"/>
    <n v="4620000"/>
    <n v="4984398.4646924837"/>
    <m/>
    <m/>
    <m/>
    <m/>
    <m/>
    <m/>
    <m/>
    <m/>
    <m/>
    <m/>
    <m/>
    <n v="194.1636891708016"/>
    <n v="0"/>
    <x v="2"/>
    <x v="9"/>
  </r>
  <r>
    <x v="1"/>
    <x v="3"/>
    <n v="4"/>
    <s v="104894"/>
    <s v="UNILEVER-NGỌC NGHĨA"/>
    <x v="9"/>
    <x v="9"/>
    <s v="rPET"/>
    <s v="rPET"/>
    <x v="3"/>
    <s v="NĐ"/>
    <s v="(blank)"/>
    <x v="0"/>
    <n v="176000"/>
    <n v="5643088000"/>
    <n v="26959714.988610484"/>
    <n v="0"/>
    <n v="21560000"/>
    <n v="5594568285.0113888"/>
    <m/>
    <m/>
    <m/>
    <m/>
    <m/>
    <m/>
    <m/>
    <m/>
    <m/>
    <m/>
    <m/>
    <n v="217932.41957488516"/>
    <n v="219822.47048603074"/>
    <x v="2"/>
    <x v="9"/>
  </r>
  <r>
    <x v="1"/>
    <x v="3"/>
    <n v="4"/>
    <s v="104894"/>
    <s v="UNILEVER-NGỌC NGHĨA"/>
    <x v="9"/>
    <x v="9"/>
    <s v="rPET"/>
    <s v="rPET"/>
    <x v="3"/>
    <s v="NĐ"/>
    <s v="(blank)"/>
    <x v="2"/>
    <n v="85100"/>
    <n v="0"/>
    <n v="11289380.651480637"/>
    <n v="0"/>
    <n v="9240000"/>
    <n v="-20529380.651480637"/>
    <m/>
    <m/>
    <m/>
    <m/>
    <m/>
    <m/>
    <m/>
    <m/>
    <m/>
    <m/>
    <m/>
    <n v="-799.70738935075849"/>
    <n v="0"/>
    <x v="2"/>
    <x v="9"/>
  </r>
  <r>
    <x v="1"/>
    <x v="3"/>
    <n v="4"/>
    <s v="104894"/>
    <s v="UNILEVER-NGỌC NGHĨA"/>
    <x v="39"/>
    <x v="37"/>
    <s v="Khác"/>
    <s v="Khác"/>
    <x v="8"/>
    <s v="NĐ"/>
    <s v="(blank)"/>
    <x v="0"/>
    <n v="0"/>
    <n v="0"/>
    <n v="0"/>
    <n v="0"/>
    <n v="0"/>
    <n v="0"/>
    <m/>
    <m/>
    <m/>
    <m/>
    <m/>
    <m/>
    <m/>
    <m/>
    <m/>
    <m/>
    <m/>
    <n v="0"/>
    <n v="0"/>
    <x v="2"/>
    <x v="39"/>
  </r>
  <r>
    <x v="1"/>
    <x v="3"/>
    <n v="4"/>
    <s v="105194"/>
    <s v="Suntory Việt Nam"/>
    <x v="8"/>
    <x v="8"/>
    <s v="rPET"/>
    <s v="rPET"/>
    <x v="3"/>
    <s v="NĐ"/>
    <s v="(blank)"/>
    <x v="0"/>
    <n v="374000"/>
    <n v="13360028000"/>
    <n v="26385063.893442616"/>
    <n v="0"/>
    <n v="236111112.99999997"/>
    <n v="12900931617.106562"/>
    <m/>
    <m/>
    <m/>
    <m/>
    <m/>
    <m/>
    <m/>
    <m/>
    <m/>
    <m/>
    <m/>
    <n v="502546.5949926186"/>
    <n v="520430.3673312458"/>
    <x v="7"/>
    <x v="8"/>
  </r>
  <r>
    <x v="1"/>
    <x v="3"/>
    <n v="4"/>
    <s v="105194"/>
    <s v="Suntory Việt Nam"/>
    <x v="68"/>
    <x v="66"/>
    <s v="Khác"/>
    <s v="Khác"/>
    <x v="2"/>
    <s v="NĐ"/>
    <s v="(blank)"/>
    <x v="0"/>
    <n v="0"/>
    <n v="0"/>
    <n v="0"/>
    <n v="0"/>
    <n v="0"/>
    <n v="196600206"/>
    <m/>
    <m/>
    <m/>
    <m/>
    <m/>
    <m/>
    <m/>
    <m/>
    <m/>
    <m/>
    <m/>
    <n v="7658.4208824995394"/>
    <n v="0"/>
    <x v="7"/>
    <x v="68"/>
  </r>
  <r>
    <x v="1"/>
    <x v="3"/>
    <n v="4"/>
    <s v="105194"/>
    <s v="Suntory Việt Nam"/>
    <x v="97"/>
    <x v="95"/>
    <s v="Khác"/>
    <s v="Khác"/>
    <x v="2"/>
    <s v="NĐ"/>
    <s v="(blank)"/>
    <x v="4"/>
    <n v="0"/>
    <n v="-196600206"/>
    <n v="0"/>
    <n v="0"/>
    <n v="0"/>
    <n v="-196600206"/>
    <m/>
    <m/>
    <m/>
    <m/>
    <m/>
    <m/>
    <m/>
    <m/>
    <m/>
    <m/>
    <m/>
    <n v="-7658.4208824995385"/>
    <n v="-7658.4208824995385"/>
    <x v="7"/>
    <x v="97"/>
  </r>
  <r>
    <x v="1"/>
    <x v="3"/>
    <n v="4"/>
    <s v="105204"/>
    <s v="CTY NGỌC NGHĨA-TÂY NINH"/>
    <x v="9"/>
    <x v="9"/>
    <s v="rPET"/>
    <s v="rPET"/>
    <x v="3"/>
    <s v="NĐ"/>
    <s v="(blank)"/>
    <x v="0"/>
    <n v="11000"/>
    <n v="352693000"/>
    <n v="1684982.186788155"/>
    <n v="0"/>
    <n v="0"/>
    <n v="351008017.81321186"/>
    <m/>
    <m/>
    <m/>
    <m/>
    <m/>
    <m/>
    <m/>
    <m/>
    <m/>
    <m/>
    <m/>
    <n v="13673.267125393917"/>
    <n v="13738.904405376921"/>
    <x v="5"/>
    <x v="9"/>
  </r>
  <r>
    <x v="1"/>
    <x v="3"/>
    <n v="4"/>
    <s v="105204"/>
    <s v="CTY NGỌC NGHĨA-TÂY NINH"/>
    <x v="39"/>
    <x v="37"/>
    <s v="Khác"/>
    <s v="Khác"/>
    <x v="8"/>
    <s v="NĐ"/>
    <s v="(blank)"/>
    <x v="0"/>
    <n v="0"/>
    <n v="0"/>
    <n v="0"/>
    <n v="0"/>
    <n v="3080000"/>
    <n v="-3080000"/>
    <m/>
    <m/>
    <m/>
    <m/>
    <m/>
    <m/>
    <m/>
    <m/>
    <m/>
    <m/>
    <m/>
    <n v="-119.97920448821189"/>
    <n v="0"/>
    <x v="5"/>
    <x v="39"/>
  </r>
  <r>
    <x v="1"/>
    <x v="3"/>
    <n v="4"/>
    <s v="105207"/>
    <s v="Suntory Sri Thái Bình Dương"/>
    <x v="8"/>
    <x v="8"/>
    <s v="rPET"/>
    <s v="rPET"/>
    <x v="3"/>
    <s v="NĐ"/>
    <s v="(blank)"/>
    <x v="1"/>
    <n v="-730.9"/>
    <n v="0"/>
    <n v="0"/>
    <n v="0"/>
    <n v="0"/>
    <n v="0"/>
    <m/>
    <m/>
    <m/>
    <m/>
    <m/>
    <m/>
    <m/>
    <m/>
    <m/>
    <m/>
    <m/>
    <n v="0"/>
    <n v="0"/>
    <x v="7"/>
    <x v="8"/>
  </r>
  <r>
    <x v="1"/>
    <x v="3"/>
    <n v="4"/>
    <s v="105207"/>
    <s v="Suntory Sri Thái Bình Dương"/>
    <x v="8"/>
    <x v="8"/>
    <s v="rPET"/>
    <s v="rPET"/>
    <x v="3"/>
    <s v="NĐ"/>
    <s v="(blank)"/>
    <x v="0"/>
    <n v="44000"/>
    <n v="1566767400"/>
    <n v="6739928.74715262"/>
    <n v="0"/>
    <n v="7040000"/>
    <n v="1529655646.2528474"/>
    <m/>
    <m/>
    <m/>
    <m/>
    <m/>
    <m/>
    <m/>
    <m/>
    <m/>
    <m/>
    <m/>
    <n v="59586.645317635812"/>
    <n v="61032.307230540282"/>
    <x v="7"/>
    <x v="8"/>
  </r>
  <r>
    <x v="1"/>
    <x v="3"/>
    <n v="4"/>
    <s v="105207"/>
    <s v="Suntory Sri Thái Bình Dương"/>
    <x v="8"/>
    <x v="8"/>
    <s v="rPET"/>
    <s v="rPET"/>
    <x v="3"/>
    <s v="NĐ"/>
    <s v="(blank)"/>
    <x v="2"/>
    <n v="730.9"/>
    <n v="0"/>
    <n v="168498.21867881549"/>
    <n v="0"/>
    <n v="0"/>
    <n v="-168498.21867881549"/>
    <m/>
    <m/>
    <m/>
    <m/>
    <m/>
    <m/>
    <m/>
    <m/>
    <m/>
    <m/>
    <m/>
    <n v="-6.5637279983003403"/>
    <n v="0"/>
    <x v="7"/>
    <x v="8"/>
  </r>
  <r>
    <x v="1"/>
    <x v="3"/>
    <n v="4"/>
    <s v="105207"/>
    <s v="Suntory Sri Thái Bình Dương"/>
    <x v="68"/>
    <x v="66"/>
    <s v="Khác"/>
    <s v="Khác"/>
    <x v="2"/>
    <s v="NĐ"/>
    <s v="(blank)"/>
    <x v="0"/>
    <n v="0"/>
    <n v="0"/>
    <n v="0"/>
    <n v="0"/>
    <n v="0"/>
    <n v="23331825"/>
    <m/>
    <m/>
    <m/>
    <m/>
    <m/>
    <m/>
    <m/>
    <m/>
    <m/>
    <m/>
    <m/>
    <n v="908.87461128512155"/>
    <n v="0"/>
    <x v="7"/>
    <x v="68"/>
  </r>
  <r>
    <x v="1"/>
    <x v="3"/>
    <n v="4"/>
    <s v="105207"/>
    <s v="Suntory Sri Thái Bình Dương"/>
    <x v="97"/>
    <x v="95"/>
    <s v="Khác"/>
    <s v="Khác"/>
    <x v="2"/>
    <s v="NĐ"/>
    <s v="(blank)"/>
    <x v="4"/>
    <n v="0"/>
    <n v="-23331825"/>
    <n v="0"/>
    <n v="0"/>
    <n v="0"/>
    <n v="-23331825"/>
    <m/>
    <m/>
    <m/>
    <m/>
    <m/>
    <m/>
    <m/>
    <m/>
    <m/>
    <m/>
    <m/>
    <n v="-908.87461128512155"/>
    <n v="-908.87461128512155"/>
    <x v="7"/>
    <x v="97"/>
  </r>
  <r>
    <x v="1"/>
    <x v="3"/>
    <n v="4"/>
    <s v="105209"/>
    <s v="Công ty TNHH MTV Đồng Lâm"/>
    <x v="35"/>
    <x v="33"/>
    <s v="Khác"/>
    <s v="Khác"/>
    <x v="2"/>
    <s v="NĐ"/>
    <s v="(blank)"/>
    <x v="0"/>
    <n v="0"/>
    <n v="20000000"/>
    <n v="0"/>
    <n v="0"/>
    <n v="0"/>
    <n v="20000000"/>
    <m/>
    <m/>
    <m/>
    <m/>
    <m/>
    <m/>
    <m/>
    <m/>
    <m/>
    <m/>
    <m/>
    <n v="779.08574342994734"/>
    <n v="779.08574342994734"/>
    <x v="17"/>
    <x v="35"/>
  </r>
  <r>
    <x v="1"/>
    <x v="3"/>
    <n v="4"/>
    <s v="105214"/>
    <s v="Người mua hàng không lấy hóa đơn"/>
    <x v="51"/>
    <x v="49"/>
    <s v="rHDPE"/>
    <s v="rHDPE ép"/>
    <x v="1"/>
    <s v="NĐ"/>
    <s v="(blank)"/>
    <x v="0"/>
    <n v="25"/>
    <n v="375000"/>
    <n v="0"/>
    <n v="0"/>
    <n v="0"/>
    <n v="375000"/>
    <m/>
    <m/>
    <m/>
    <m/>
    <m/>
    <m/>
    <m/>
    <m/>
    <m/>
    <m/>
    <m/>
    <n v="14.607857689311512"/>
    <n v="14.607857689311512"/>
    <x v="9"/>
    <x v="51"/>
  </r>
  <r>
    <x v="1"/>
    <x v="3"/>
    <n v="4"/>
    <s v="105214"/>
    <s v="Người mua hàng không lấy hóa đơn"/>
    <x v="107"/>
    <x v="105"/>
    <s v="rHDPE"/>
    <s v="rHDPE ép"/>
    <x v="1"/>
    <s v="NĐ"/>
    <s v="(blank)"/>
    <x v="0"/>
    <n v="25"/>
    <n v="375000"/>
    <n v="0"/>
    <n v="0"/>
    <n v="0"/>
    <n v="375000"/>
    <m/>
    <m/>
    <m/>
    <m/>
    <m/>
    <m/>
    <m/>
    <m/>
    <m/>
    <m/>
    <m/>
    <n v="14.607857689311512"/>
    <n v="14.607857689311512"/>
    <x v="9"/>
    <x v="107"/>
  </r>
  <r>
    <x v="1"/>
    <x v="3"/>
    <n v="4"/>
    <s v="105214"/>
    <s v="Người mua hàng không lấy hóa đơn"/>
    <x v="46"/>
    <x v="44"/>
    <s v="rHDPE"/>
    <s v="rHDPE ép"/>
    <x v="1"/>
    <s v="NĐ"/>
    <s v="(blank)"/>
    <x v="0"/>
    <n v="25"/>
    <n v="375000"/>
    <n v="0"/>
    <n v="0"/>
    <n v="0"/>
    <n v="375000"/>
    <m/>
    <m/>
    <m/>
    <m/>
    <m/>
    <m/>
    <m/>
    <m/>
    <m/>
    <m/>
    <m/>
    <n v="14.607857689311512"/>
    <n v="14.607857689311512"/>
    <x v="9"/>
    <x v="46"/>
  </r>
  <r>
    <x v="1"/>
    <x v="3"/>
    <n v="4"/>
    <s v="105214"/>
    <s v="Người mua hàng không lấy hóa đơn"/>
    <x v="30"/>
    <x v="28"/>
    <s v="rHDPE"/>
    <s v="rHDPE ép"/>
    <x v="1"/>
    <s v="NĐ"/>
    <s v="(blank)"/>
    <x v="0"/>
    <n v="25"/>
    <n v="375000"/>
    <n v="0"/>
    <n v="0"/>
    <n v="0"/>
    <n v="375000"/>
    <m/>
    <m/>
    <m/>
    <m/>
    <m/>
    <m/>
    <m/>
    <m/>
    <m/>
    <m/>
    <m/>
    <n v="14.607857689311512"/>
    <n v="14.607857689311512"/>
    <x v="9"/>
    <x v="30"/>
  </r>
  <r>
    <x v="1"/>
    <x v="3"/>
    <n v="4"/>
    <s v="105214"/>
    <s v="Người mua hàng không lấy hóa đơn"/>
    <x v="52"/>
    <x v="50"/>
    <s v="rHDPE"/>
    <s v="rHDPE ép"/>
    <x v="1"/>
    <s v="NĐ"/>
    <s v="(blank)"/>
    <x v="0"/>
    <n v="25"/>
    <n v="375000"/>
    <n v="0"/>
    <n v="0"/>
    <n v="0"/>
    <n v="375000"/>
    <m/>
    <m/>
    <m/>
    <m/>
    <m/>
    <m/>
    <m/>
    <m/>
    <m/>
    <m/>
    <m/>
    <n v="14.607857689311512"/>
    <n v="14.607857689311512"/>
    <x v="9"/>
    <x v="52"/>
  </r>
  <r>
    <x v="1"/>
    <x v="3"/>
    <n v="4"/>
    <s v="105214"/>
    <s v="Người mua hàng không lấy hóa đơn"/>
    <x v="114"/>
    <x v="112"/>
    <s v="rHDPE"/>
    <s v="rHDPE ép"/>
    <x v="1"/>
    <s v="NĐ"/>
    <s v="(blank)"/>
    <x v="0"/>
    <n v="25"/>
    <n v="375000"/>
    <n v="0"/>
    <n v="0"/>
    <n v="0"/>
    <n v="375000"/>
    <m/>
    <m/>
    <m/>
    <m/>
    <m/>
    <m/>
    <m/>
    <m/>
    <m/>
    <m/>
    <m/>
    <n v="14.607857689311512"/>
    <n v="14.607857689311512"/>
    <x v="9"/>
    <x v="114"/>
  </r>
  <r>
    <x v="1"/>
    <x v="3"/>
    <n v="4"/>
    <s v="105214"/>
    <s v="Người mua hàng không lấy hóa đơn"/>
    <x v="115"/>
    <x v="113"/>
    <s v="rHDPE"/>
    <s v="rHDPE ép"/>
    <x v="1"/>
    <s v="NĐ"/>
    <s v="(blank)"/>
    <x v="0"/>
    <n v="25"/>
    <n v="375000"/>
    <n v="0"/>
    <n v="0"/>
    <n v="0"/>
    <n v="375000"/>
    <m/>
    <m/>
    <m/>
    <m/>
    <m/>
    <m/>
    <m/>
    <m/>
    <m/>
    <m/>
    <m/>
    <n v="14.607857689311512"/>
    <n v="14.607857689311512"/>
    <x v="9"/>
    <x v="115"/>
  </r>
  <r>
    <x v="1"/>
    <x v="3"/>
    <n v="4"/>
    <s v="105214"/>
    <s v="Người mua hàng không lấy hóa đơn"/>
    <x v="27"/>
    <x v="25"/>
    <s v="Khác"/>
    <s v="Khác"/>
    <x v="2"/>
    <s v="NĐ"/>
    <s v="(blank)"/>
    <x v="0"/>
    <n v="0"/>
    <n v="5842454"/>
    <n v="0"/>
    <n v="0"/>
    <n v="0"/>
    <n v="5842454"/>
    <m/>
    <m/>
    <m/>
    <m/>
    <m/>
    <m/>
    <m/>
    <m/>
    <m/>
    <m/>
    <m/>
    <n v="227.58863090226347"/>
    <n v="227.58863090226347"/>
    <x v="9"/>
    <x v="27"/>
  </r>
  <r>
    <x v="1"/>
    <x v="3"/>
    <n v="4"/>
    <s v="105223"/>
    <s v="Dynaplast Bắc Ninh"/>
    <x v="1"/>
    <x v="1"/>
    <s v="rHDPE"/>
    <s v="rHDPE thổi"/>
    <x v="0"/>
    <s v="NĐ"/>
    <s v="(blank)"/>
    <x v="0"/>
    <n v="24750"/>
    <n v="900108000"/>
    <n v="0"/>
    <n v="0"/>
    <n v="19444444"/>
    <n v="880663556"/>
    <m/>
    <m/>
    <m/>
    <m/>
    <m/>
    <m/>
    <m/>
    <m/>
    <m/>
    <m/>
    <m/>
    <n v="34305.621061896054"/>
    <n v="35063.065517362149"/>
    <x v="2"/>
    <x v="1"/>
  </r>
  <r>
    <x v="1"/>
    <x v="3"/>
    <n v="4"/>
    <s v="105229"/>
    <s v="GIA TƯỜNG"/>
    <x v="44"/>
    <x v="42"/>
    <s v="GC"/>
    <s v="GC"/>
    <x v="10"/>
    <s v="NĐ"/>
    <s v="(blank)"/>
    <x v="0"/>
    <n v="120000"/>
    <n v="2242500000"/>
    <n v="0"/>
    <n v="164250000"/>
    <n v="0"/>
    <n v="2078250000"/>
    <m/>
    <m/>
    <m/>
    <m/>
    <m/>
    <m/>
    <m/>
    <m/>
    <m/>
    <m/>
    <m/>
    <n v="80956.7473141644"/>
    <n v="87354.988982082839"/>
    <x v="24"/>
    <x v="44"/>
  </r>
  <r>
    <x v="1"/>
    <x v="3"/>
    <n v="4"/>
    <s v="105248"/>
    <s v="ĐẠI NHẤT LONG"/>
    <x v="109"/>
    <x v="107"/>
    <s v="rPP"/>
    <s v="rPP"/>
    <x v="6"/>
    <s v="NĐ"/>
    <s v="(blank)"/>
    <x v="0"/>
    <n v="6375"/>
    <n v="123958333"/>
    <n v="0"/>
    <n v="0"/>
    <n v="0"/>
    <n v="123958333"/>
    <m/>
    <m/>
    <m/>
    <m/>
    <m/>
    <m/>
    <m/>
    <m/>
    <m/>
    <m/>
    <m/>
    <n v="4828.7085009820985"/>
    <n v="4828.7085009820985"/>
    <x v="27"/>
    <x v="109"/>
  </r>
  <r>
    <x v="1"/>
    <x v="3"/>
    <n v="4"/>
    <s v="105263"/>
    <s v="Unilever Duy Tân"/>
    <x v="1"/>
    <x v="1"/>
    <s v="rHDPE"/>
    <s v="rHDPE thổi"/>
    <x v="0"/>
    <s v="NĐ"/>
    <s v="(blank)"/>
    <x v="0"/>
    <n v="22000"/>
    <n v="761805000"/>
    <n v="0"/>
    <n v="0"/>
    <n v="0"/>
    <n v="761805000"/>
    <m/>
    <m/>
    <m/>
    <m/>
    <m/>
    <m/>
    <m/>
    <m/>
    <m/>
    <m/>
    <m/>
    <n v="29675.570738682552"/>
    <n v="29675.570738682552"/>
    <x v="2"/>
    <x v="1"/>
  </r>
  <r>
    <x v="1"/>
    <x v="3"/>
    <n v="4"/>
    <s v="105263"/>
    <s v="Unilever Duy Tân"/>
    <x v="50"/>
    <x v="48"/>
    <s v="rHDPE"/>
    <s v="rHDPE thổi"/>
    <x v="0"/>
    <s v="NĐ"/>
    <s v="(blank)"/>
    <x v="0"/>
    <n v="22000"/>
    <n v="733590000"/>
    <n v="0"/>
    <n v="0"/>
    <n v="0"/>
    <n v="733590000"/>
    <m/>
    <m/>
    <m/>
    <m/>
    <m/>
    <m/>
    <m/>
    <m/>
    <m/>
    <m/>
    <m/>
    <n v="28576.475526138755"/>
    <n v="28576.475526138755"/>
    <x v="2"/>
    <x v="50"/>
  </r>
  <r>
    <x v="1"/>
    <x v="3"/>
    <n v="4"/>
    <s v="105263"/>
    <s v="Unilever Duy Tân"/>
    <x v="83"/>
    <x v="81"/>
    <s v="rHDPE"/>
    <s v="rHDPE thổi"/>
    <x v="0"/>
    <s v="NĐ"/>
    <s v="(blank)"/>
    <x v="0"/>
    <n v="22000"/>
    <n v="761805000"/>
    <n v="0"/>
    <n v="0"/>
    <n v="0"/>
    <n v="761805000"/>
    <m/>
    <m/>
    <m/>
    <m/>
    <m/>
    <m/>
    <m/>
    <m/>
    <m/>
    <m/>
    <m/>
    <n v="29675.570738682552"/>
    <n v="29675.570738682552"/>
    <x v="2"/>
    <x v="83"/>
  </r>
  <r>
    <x v="1"/>
    <x v="3"/>
    <n v="4"/>
    <s v="105271"/>
    <s v="Suntory- Ngọc Nghĩa Tây Ninh"/>
    <x v="8"/>
    <x v="8"/>
    <s v="rPET"/>
    <s v="rPET"/>
    <x v="3"/>
    <s v="NĐ"/>
    <s v="(blank)"/>
    <x v="0"/>
    <n v="22000"/>
    <n v="783376000"/>
    <n v="3369964.37357631"/>
    <n v="0"/>
    <n v="3080000"/>
    <n v="765260123.12642372"/>
    <m/>
    <m/>
    <m/>
    <m/>
    <m/>
    <m/>
    <m/>
    <m/>
    <m/>
    <m/>
    <m/>
    <n v="29810.162597162143"/>
    <n v="30515.853667258922"/>
    <x v="7"/>
    <x v="8"/>
  </r>
  <r>
    <x v="1"/>
    <x v="3"/>
    <n v="4"/>
    <s v="105271"/>
    <s v="Suntory- Ngọc Nghĩa Tây Ninh"/>
    <x v="68"/>
    <x v="66"/>
    <s v="Khác"/>
    <s v="Khác"/>
    <x v="2"/>
    <s v="NĐ"/>
    <s v="(blank)"/>
    <x v="0"/>
    <n v="0"/>
    <n v="0"/>
    <n v="0"/>
    <n v="0"/>
    <n v="0"/>
    <n v="11665912.5"/>
    <m/>
    <m/>
    <m/>
    <m/>
    <m/>
    <m/>
    <m/>
    <m/>
    <m/>
    <m/>
    <m/>
    <n v="454.43730564256077"/>
    <n v="0"/>
    <x v="7"/>
    <x v="68"/>
  </r>
  <r>
    <x v="1"/>
    <x v="3"/>
    <n v="4"/>
    <s v="105271"/>
    <s v="Suntory- Ngọc Nghĩa Tây Ninh"/>
    <x v="97"/>
    <x v="95"/>
    <s v="Khác"/>
    <s v="Khác"/>
    <x v="2"/>
    <s v="NĐ"/>
    <s v="(blank)"/>
    <x v="4"/>
    <n v="0"/>
    <n v="-11665913"/>
    <n v="0"/>
    <n v="0"/>
    <n v="0"/>
    <n v="-11665913"/>
    <m/>
    <m/>
    <m/>
    <m/>
    <m/>
    <m/>
    <m/>
    <m/>
    <m/>
    <m/>
    <m/>
    <n v="-454.43732511970438"/>
    <n v="-454.43732511970438"/>
    <x v="7"/>
    <x v="97"/>
  </r>
  <r>
    <x v="1"/>
    <x v="3"/>
    <n v="4"/>
    <s v="105281"/>
    <s v="Plascene- DTP"/>
    <x v="9"/>
    <x v="9"/>
    <s v="rPET"/>
    <s v="rPET"/>
    <x v="3"/>
    <s v="NĐ"/>
    <s v="(blank)"/>
    <x v="0"/>
    <n v="56100"/>
    <n v="1806420000"/>
    <n v="8761907.3712984044"/>
    <n v="0"/>
    <n v="0"/>
    <n v="1797658092.6287017"/>
    <m/>
    <m/>
    <m/>
    <m/>
    <m/>
    <m/>
    <m/>
    <m/>
    <m/>
    <m/>
    <m/>
    <n v="70026.489576424647"/>
    <n v="70367.803432336281"/>
    <x v="54"/>
    <x v="9"/>
  </r>
  <r>
    <x v="1"/>
    <x v="3"/>
    <n v="4"/>
    <s v="105284"/>
    <s v="Motul -DTP"/>
    <x v="63"/>
    <x v="61"/>
    <s v="rHDPE"/>
    <s v="rHDPE thổi"/>
    <x v="0"/>
    <s v="NĐ"/>
    <s v="(blank)"/>
    <x v="0"/>
    <n v="33000"/>
    <n v="1062187500"/>
    <n v="0"/>
    <n v="0"/>
    <n v="0"/>
    <n v="1062187500"/>
    <m/>
    <m/>
    <m/>
    <m/>
    <m/>
    <m/>
    <m/>
    <m/>
    <m/>
    <m/>
    <m/>
    <n v="41376.756904974864"/>
    <n v="41376.756904974864"/>
    <x v="59"/>
    <x v="63"/>
  </r>
  <r>
    <x v="1"/>
    <x v="3"/>
    <n v="4"/>
    <s v="105286"/>
    <s v="MONDELEZ-VIỆT THÀNH"/>
    <x v="33"/>
    <x v="31"/>
    <s v="rPET"/>
    <s v="rPET"/>
    <x v="3"/>
    <s v="NĐ"/>
    <s v="(blank)"/>
    <x v="0"/>
    <n v="6600"/>
    <n v="220882772"/>
    <n v="1010989.3120728929"/>
    <n v="0"/>
    <n v="0"/>
    <n v="219871782.68792707"/>
    <m/>
    <m/>
    <m/>
    <m/>
    <m/>
    <m/>
    <m/>
    <m/>
    <m/>
    <m/>
    <m/>
    <n v="8564.948563734577"/>
    <n v="8604.3309317243784"/>
    <x v="88"/>
    <x v="33"/>
  </r>
  <r>
    <x v="1"/>
    <x v="3"/>
    <n v="4"/>
    <s v="105290"/>
    <s v="HOÀNG TẤN"/>
    <x v="75"/>
    <x v="73"/>
    <s v="Khác"/>
    <s v="Phó sản"/>
    <x v="5"/>
    <s v="NĐ"/>
    <s v="(blank)"/>
    <x v="0"/>
    <n v="6590"/>
    <n v="32950000"/>
    <n v="0"/>
    <n v="0"/>
    <n v="0"/>
    <n v="32950000"/>
    <m/>
    <m/>
    <m/>
    <m/>
    <m/>
    <m/>
    <m/>
    <m/>
    <m/>
    <m/>
    <m/>
    <n v="1283.5437623008384"/>
    <n v="1283.5437623008384"/>
    <x v="66"/>
    <x v="75"/>
  </r>
  <r>
    <x v="1"/>
    <x v="3"/>
    <n v="4"/>
    <s v="105290"/>
    <s v="HOÀNG TẤN"/>
    <x v="76"/>
    <x v="74"/>
    <s v="Khác"/>
    <s v="Phó sản"/>
    <x v="5"/>
    <s v="NĐ"/>
    <s v="(blank)"/>
    <x v="0"/>
    <n v="3832"/>
    <n v="19160000"/>
    <n v="0"/>
    <n v="0"/>
    <n v="0"/>
    <n v="19160000"/>
    <m/>
    <m/>
    <m/>
    <m/>
    <m/>
    <m/>
    <m/>
    <m/>
    <m/>
    <m/>
    <m/>
    <n v="746.36414220588949"/>
    <n v="746.36414220588949"/>
    <x v="66"/>
    <x v="76"/>
  </r>
  <r>
    <x v="1"/>
    <x v="3"/>
    <n v="4"/>
    <s v="105290"/>
    <s v="HOÀNG TẤN"/>
    <x v="77"/>
    <x v="75"/>
    <s v="Khác"/>
    <s v="Phó sản"/>
    <x v="5"/>
    <s v="NĐ"/>
    <s v="(blank)"/>
    <x v="0"/>
    <n v="10716"/>
    <n v="53580000"/>
    <n v="0"/>
    <n v="0"/>
    <n v="0"/>
    <n v="53580000"/>
    <m/>
    <m/>
    <m/>
    <m/>
    <m/>
    <m/>
    <m/>
    <m/>
    <m/>
    <m/>
    <m/>
    <n v="2087.1707066488289"/>
    <n v="2087.1707066488289"/>
    <x v="66"/>
    <x v="77"/>
  </r>
  <r>
    <x v="1"/>
    <x v="3"/>
    <n v="4"/>
    <s v="105290"/>
    <s v="HOÀNG TẤN"/>
    <x v="78"/>
    <x v="76"/>
    <s v="Khác"/>
    <s v="Phó sản"/>
    <x v="5"/>
    <s v="NĐ"/>
    <s v="(blank)"/>
    <x v="0"/>
    <n v="30806"/>
    <n v="154030000"/>
    <n v="0"/>
    <n v="0"/>
    <n v="0"/>
    <n v="154030000"/>
    <m/>
    <m/>
    <m/>
    <m/>
    <m/>
    <m/>
    <m/>
    <m/>
    <m/>
    <m/>
    <m/>
    <n v="6000.1288530257398"/>
    <n v="6000.1288530257398"/>
    <x v="66"/>
    <x v="78"/>
  </r>
  <r>
    <x v="1"/>
    <x v="3"/>
    <n v="4"/>
    <s v="105290"/>
    <s v="HOÀNG TẤN"/>
    <x v="96"/>
    <x v="94"/>
    <s v="Khác"/>
    <s v="Phó sản"/>
    <x v="5"/>
    <s v="NĐ"/>
    <s v="(blank)"/>
    <x v="0"/>
    <n v="31366"/>
    <n v="62732000"/>
    <n v="0"/>
    <n v="0"/>
    <n v="0"/>
    <n v="62732000"/>
    <m/>
    <m/>
    <m/>
    <m/>
    <m/>
    <m/>
    <m/>
    <m/>
    <m/>
    <m/>
    <m/>
    <n v="2443.6803428423727"/>
    <n v="2443.6803428423727"/>
    <x v="66"/>
    <x v="96"/>
  </r>
  <r>
    <x v="1"/>
    <x v="3"/>
    <n v="4"/>
    <s v="105291"/>
    <s v="AN NHẬT"/>
    <x v="9"/>
    <x v="9"/>
    <s v="rPET"/>
    <s v="rPET"/>
    <x v="3"/>
    <s v="NĐ"/>
    <s v="(blank)"/>
    <x v="0"/>
    <n v="4400"/>
    <n v="142805320"/>
    <n v="673992.87471526198"/>
    <n v="0"/>
    <n v="0"/>
    <n v="142131327.12528473"/>
    <m/>
    <m/>
    <m/>
    <m/>
    <m/>
    <m/>
    <m/>
    <m/>
    <m/>
    <m/>
    <m/>
    <n v="5536.624532904375"/>
    <n v="5562.8794448975759"/>
    <x v="67"/>
    <x v="9"/>
  </r>
  <r>
    <x v="1"/>
    <x v="3"/>
    <n v="4"/>
    <s v="105292"/>
    <s v="NHỰA ĐỒNG NAI"/>
    <x v="87"/>
    <x v="85"/>
    <s v="rHDPE"/>
    <s v="rHDPE thổi"/>
    <x v="0"/>
    <s v="NĐ"/>
    <s v="(blank)"/>
    <x v="0"/>
    <n v="28000"/>
    <n v="476000000"/>
    <n v="0"/>
    <n v="0"/>
    <n v="0"/>
    <n v="476000000"/>
    <m/>
    <m/>
    <m/>
    <m/>
    <m/>
    <m/>
    <m/>
    <m/>
    <m/>
    <m/>
    <m/>
    <n v="18542.240693632746"/>
    <n v="18542.240693632746"/>
    <x v="73"/>
    <x v="87"/>
  </r>
  <r>
    <x v="1"/>
    <x v="3"/>
    <n v="4"/>
    <s v="105322"/>
    <s v="PHÚC LONG TÂY NINH"/>
    <x v="29"/>
    <x v="27"/>
    <s v="Khác"/>
    <s v="Phó sản"/>
    <x v="5"/>
    <s v="NĐ"/>
    <s v="(blank)"/>
    <x v="0"/>
    <n v="3134"/>
    <n v="62274300"/>
    <n v="0"/>
    <n v="0"/>
    <n v="0"/>
    <n v="62274300"/>
    <m/>
    <m/>
    <m/>
    <m/>
    <m/>
    <m/>
    <m/>
    <m/>
    <m/>
    <m/>
    <m/>
    <n v="2425.8509656039782"/>
    <n v="2425.8509656039782"/>
    <x v="105"/>
    <x v="29"/>
  </r>
  <r>
    <x v="1"/>
    <x v="3"/>
    <n v="4"/>
    <s v="105322"/>
    <s v="PHÚC LONG TÂY NINH"/>
    <x v="106"/>
    <x v="104"/>
    <s v="Khác"/>
    <s v="Phó sản"/>
    <x v="5"/>
    <s v="NĐ"/>
    <s v="(blank)"/>
    <x v="0"/>
    <n v="398"/>
    <n v="7562000"/>
    <n v="0"/>
    <n v="0"/>
    <n v="0"/>
    <n v="7562000"/>
    <m/>
    <m/>
    <m/>
    <m/>
    <m/>
    <m/>
    <m/>
    <m/>
    <m/>
    <m/>
    <m/>
    <n v="294.57231959086306"/>
    <n v="294.57231959086306"/>
    <x v="105"/>
    <x v="106"/>
  </r>
  <r>
    <x v="1"/>
    <x v="3"/>
    <n v="4"/>
    <s v="105324"/>
    <s v="NHỰA TRƯỜNG AN"/>
    <x v="51"/>
    <x v="49"/>
    <s v="rHDPE"/>
    <s v="rHDPE ép"/>
    <x v="1"/>
    <s v="NĐ"/>
    <s v="(blank)"/>
    <x v="0"/>
    <n v="23250"/>
    <n v="362777779"/>
    <n v="5223444.7790432805"/>
    <n v="0"/>
    <n v="0"/>
    <n v="357554334.22095674"/>
    <m/>
    <m/>
    <m/>
    <m/>
    <m/>
    <m/>
    <m/>
    <m/>
    <m/>
    <m/>
    <m/>
    <n v="13928.274214656698"/>
    <n v="14131.749782604007"/>
    <x v="106"/>
    <x v="51"/>
  </r>
  <r>
    <x v="1"/>
    <x v="3"/>
    <n v="4"/>
    <s v="105324"/>
    <s v="NHỰA TRƯỜNG AN"/>
    <x v="107"/>
    <x v="105"/>
    <s v="rHDPE"/>
    <s v="rHDPE ép"/>
    <x v="1"/>
    <s v="NĐ"/>
    <s v="(blank)"/>
    <x v="0"/>
    <n v="4500"/>
    <n v="69166668"/>
    <n v="997697.35159079893"/>
    <n v="0"/>
    <n v="0"/>
    <n v="68168970.648409203"/>
    <m/>
    <m/>
    <m/>
    <m/>
    <m/>
    <m/>
    <m/>
    <m/>
    <m/>
    <m/>
    <m/>
    <n v="2655.4736588235073"/>
    <n v="2694.3382479676175"/>
    <x v="106"/>
    <x v="107"/>
  </r>
  <r>
    <x v="1"/>
    <x v="3"/>
    <n v="4"/>
    <s v="105324"/>
    <s v="NHỰA TRƯỜNG AN"/>
    <x v="46"/>
    <x v="44"/>
    <s v="rHDPE"/>
    <s v="rHDPE ép"/>
    <x v="1"/>
    <s v="NĐ"/>
    <s v="(blank)"/>
    <x v="0"/>
    <n v="9750"/>
    <n v="149598148"/>
    <n v="2190476.8428246016"/>
    <n v="0"/>
    <n v="0"/>
    <n v="147407671.15717539"/>
    <m/>
    <m/>
    <m/>
    <m/>
    <m/>
    <m/>
    <m/>
    <m/>
    <m/>
    <m/>
    <m/>
    <n v="5742.16075353826"/>
    <n v="5827.489217516164"/>
    <x v="106"/>
    <x v="46"/>
  </r>
  <r>
    <x v="1"/>
    <x v="3"/>
    <n v="4"/>
    <s v="105326"/>
    <s v="Kim Thuận Phát (Long An)"/>
    <x v="108"/>
    <x v="106"/>
    <s v="Khác"/>
    <s v="Phó sản"/>
    <x v="5"/>
    <s v="NĐ"/>
    <s v="(blank)"/>
    <x v="0"/>
    <n v="2594"/>
    <n v="960741"/>
    <n v="0"/>
    <n v="0"/>
    <n v="0"/>
    <n v="960741"/>
    <m/>
    <m/>
    <m/>
    <m/>
    <m/>
    <m/>
    <m/>
    <m/>
    <m/>
    <m/>
    <m/>
    <n v="37.424980811431553"/>
    <n v="37.424980811431553"/>
    <x v="121"/>
    <x v="108"/>
  </r>
  <r>
    <x v="1"/>
    <x v="3"/>
    <n v="4"/>
    <s v="105328"/>
    <s v="CN COCA-COLA VN - LONG AN"/>
    <x v="8"/>
    <x v="8"/>
    <s v="rPET"/>
    <s v="rPET"/>
    <x v="3"/>
    <s v="NĐ"/>
    <s v="(blank)"/>
    <x v="0"/>
    <n v="66000"/>
    <n v="2392566000"/>
    <n v="10109893.12072893"/>
    <n v="0"/>
    <n v="13200000"/>
    <n v="2369256106.879271"/>
    <m/>
    <m/>
    <m/>
    <m/>
    <m/>
    <m/>
    <m/>
    <m/>
    <m/>
    <m/>
    <m/>
    <n v="92292.682770198997"/>
    <n v="93200.703040760767"/>
    <x v="3"/>
    <x v="8"/>
  </r>
  <r>
    <x v="1"/>
    <x v="3"/>
    <n v="4"/>
    <s v="105328"/>
    <s v="CN COCA-COLA VN - LONG AN"/>
    <x v="8"/>
    <x v="8"/>
    <s v="rPET"/>
    <s v="rPET"/>
    <x v="3"/>
    <s v="NĐ"/>
    <s v="(blank)"/>
    <x v="4"/>
    <n v="0"/>
    <n v="-71268120"/>
    <n v="0"/>
    <n v="0"/>
    <n v="0"/>
    <n v="-71268120"/>
    <m/>
    <m/>
    <m/>
    <m/>
    <m/>
    <m/>
    <m/>
    <m/>
    <m/>
    <m/>
    <m/>
    <n v="-2776.1988126527349"/>
    <n v="-2776.1988126527349"/>
    <x v="3"/>
    <x v="8"/>
  </r>
  <r>
    <x v="1"/>
    <x v="3"/>
    <n v="4"/>
    <s v="105333"/>
    <s v="LƯỚI BẢO NÔNG"/>
    <x v="30"/>
    <x v="28"/>
    <s v="rHDPE"/>
    <s v="rHDPE ép"/>
    <x v="1"/>
    <s v="NĐ"/>
    <s v="(blank)"/>
    <x v="0"/>
    <n v="9000"/>
    <n v="139500000"/>
    <n v="2021978.6241457858"/>
    <n v="0"/>
    <n v="0"/>
    <n v="137478021.37585422"/>
    <m/>
    <m/>
    <m/>
    <m/>
    <m/>
    <m/>
    <m/>
    <m/>
    <m/>
    <m/>
    <m/>
    <n v="5355.3583244442789"/>
    <n v="5434.1230604238826"/>
    <x v="125"/>
    <x v="30"/>
  </r>
  <r>
    <x v="1"/>
    <x v="3"/>
    <n v="4"/>
    <s v="105333"/>
    <s v="LƯỚI BẢO NÔNG"/>
    <x v="52"/>
    <x v="50"/>
    <s v="rHDPE"/>
    <s v="rHDPE ép"/>
    <x v="1"/>
    <s v="NĐ"/>
    <s v="(blank)"/>
    <x v="0"/>
    <n v="3000"/>
    <n v="46500000"/>
    <n v="673992.87471526198"/>
    <n v="0"/>
    <n v="0"/>
    <n v="45826007.125284739"/>
    <m/>
    <m/>
    <m/>
    <m/>
    <m/>
    <m/>
    <m/>
    <m/>
    <m/>
    <m/>
    <m/>
    <n v="1785.1194414814263"/>
    <n v="1811.3743534746275"/>
    <x v="125"/>
    <x v="52"/>
  </r>
  <r>
    <x v="1"/>
    <x v="3"/>
    <n v="4"/>
    <s v="105335"/>
    <s v="EATONE PRO"/>
    <x v="87"/>
    <x v="85"/>
    <s v="rHDPE"/>
    <s v="rHDPE thổi"/>
    <x v="0"/>
    <s v="NĐ"/>
    <s v="(blank)"/>
    <x v="0"/>
    <n v="1000"/>
    <n v="17000000"/>
    <n v="0"/>
    <n v="0"/>
    <n v="0"/>
    <n v="17000000"/>
    <m/>
    <m/>
    <m/>
    <m/>
    <m/>
    <m/>
    <m/>
    <m/>
    <m/>
    <m/>
    <m/>
    <n v="662.22288191545522"/>
    <n v="662.22288191545522"/>
    <x v="137"/>
    <x v="87"/>
  </r>
  <r>
    <x v="1"/>
    <x v="3"/>
    <n v="4"/>
    <s v="105336"/>
    <s v="Hailide Việt Nam"/>
    <x v="45"/>
    <x v="43"/>
    <s v="Xơ sợi"/>
    <s v="Xơ sợi"/>
    <x v="7"/>
    <s v="XK"/>
    <s v="Xuất khẩu tại chỗ"/>
    <x v="0"/>
    <n v="1000"/>
    <n v="29187899.999999996"/>
    <n v="168498.21867881549"/>
    <n v="0"/>
    <n v="2200000"/>
    <n v="26819401.781321179"/>
    <m/>
    <m/>
    <m/>
    <m/>
    <m/>
    <m/>
    <m/>
    <m/>
    <m/>
    <m/>
    <m/>
    <n v="1038.3043662919542"/>
    <n v="1129.9999999999998"/>
    <x v="153"/>
    <x v="45"/>
  </r>
  <r>
    <x v="1"/>
    <x v="3"/>
    <n v="4"/>
    <s v="105336"/>
    <s v="Hailide Việt Nam"/>
    <x v="39"/>
    <x v="37"/>
    <s v="Khác"/>
    <s v="Khác"/>
    <x v="8"/>
    <s v="NĐ"/>
    <s v="(blank)"/>
    <x v="0"/>
    <n v="0"/>
    <n v="0"/>
    <n v="0"/>
    <n v="0"/>
    <n v="-2200000"/>
    <n v="2200000"/>
    <m/>
    <m/>
    <m/>
    <m/>
    <m/>
    <m/>
    <m/>
    <m/>
    <m/>
    <m/>
    <m/>
    <n v="85.699431777294208"/>
    <n v="0"/>
    <x v="153"/>
    <x v="39"/>
  </r>
  <r>
    <x v="1"/>
    <x v="3"/>
    <n v="4"/>
    <s v="105339"/>
    <s v="HUY THÀNH"/>
    <x v="3"/>
    <x v="3"/>
    <s v="rHDPE"/>
    <s v="rHDPE ép"/>
    <x v="1"/>
    <s v="NĐ"/>
    <s v="(blank)"/>
    <x v="0"/>
    <n v="1500"/>
    <n v="28472222"/>
    <n v="0"/>
    <n v="1388889"/>
    <n v="0"/>
    <n v="27083333"/>
    <m/>
    <m/>
    <m/>
    <m/>
    <m/>
    <m/>
    <m/>
    <m/>
    <m/>
    <m/>
    <m/>
    <n v="1055.0119312432912"/>
    <n v="1109.1151121986252"/>
    <x v="138"/>
    <x v="3"/>
  </r>
  <r>
    <x v="1"/>
    <x v="3"/>
    <n v="4"/>
    <s v="105339"/>
    <s v="HUY THÀNH"/>
    <x v="4"/>
    <x v="4"/>
    <s v="rHDPE"/>
    <s v="rHDPE ép"/>
    <x v="1"/>
    <s v="NĐ"/>
    <s v="(blank)"/>
    <x v="0"/>
    <n v="1500"/>
    <n v="28472222"/>
    <n v="0"/>
    <n v="1388889"/>
    <n v="0"/>
    <n v="27083333"/>
    <m/>
    <m/>
    <m/>
    <m/>
    <m/>
    <m/>
    <m/>
    <m/>
    <m/>
    <m/>
    <m/>
    <n v="1055.0119312432912"/>
    <n v="1109.1151121986252"/>
    <x v="138"/>
    <x v="4"/>
  </r>
  <r>
    <x v="1"/>
    <x v="3"/>
    <n v="4"/>
    <s v="105339"/>
    <s v="HUY THÀNH"/>
    <x v="5"/>
    <x v="5"/>
    <s v="rHDPE"/>
    <s v="rHDPE ép"/>
    <x v="1"/>
    <s v="NĐ"/>
    <s v="(blank)"/>
    <x v="0"/>
    <n v="26875"/>
    <n v="512118055"/>
    <n v="0"/>
    <n v="26875000"/>
    <n v="0"/>
    <n v="485243055"/>
    <m/>
    <m/>
    <m/>
    <m/>
    <m/>
    <m/>
    <m/>
    <m/>
    <m/>
    <m/>
    <m/>
    <n v="18902.297312444687"/>
    <n v="19949.193780178681"/>
    <x v="138"/>
    <x v="5"/>
  </r>
  <r>
    <x v="1"/>
    <x v="3"/>
    <n v="4"/>
    <s v="105339"/>
    <s v="HUY THÀNH"/>
    <x v="51"/>
    <x v="49"/>
    <s v="rHDPE"/>
    <s v="rHDPE ép"/>
    <x v="1"/>
    <s v="NĐ"/>
    <s v="(blank)"/>
    <x v="0"/>
    <n v="6000"/>
    <n v="103822222.00000001"/>
    <n v="1347985.749430524"/>
    <n v="6600000"/>
    <n v="0"/>
    <n v="95874236.250569493"/>
    <m/>
    <m/>
    <m/>
    <m/>
    <m/>
    <m/>
    <m/>
    <m/>
    <m/>
    <m/>
    <m/>
    <n v="3734.7125312526668"/>
    <n v="4044.3206505709522"/>
    <x v="138"/>
    <x v="51"/>
  </r>
  <r>
    <x v="1"/>
    <x v="3"/>
    <n v="4"/>
    <s v="105339"/>
    <s v="HUY THÀNH"/>
    <x v="112"/>
    <x v="110"/>
    <s v="Khác"/>
    <s v="Khác"/>
    <x v="16"/>
    <s v="NĐ"/>
    <s v="(blank)"/>
    <x v="0"/>
    <n v="0"/>
    <n v="0"/>
    <n v="0"/>
    <n v="10022222"/>
    <n v="0"/>
    <n v="-10022222"/>
    <m/>
    <m/>
    <m/>
    <m/>
    <m/>
    <m/>
    <m/>
    <m/>
    <m/>
    <m/>
    <m/>
    <n v="-390.40851388449869"/>
    <n v="0"/>
    <x v="138"/>
    <x v="112"/>
  </r>
  <r>
    <x v="1"/>
    <x v="3"/>
    <n v="4"/>
    <s v="105342"/>
    <s v="VIỆT NHẬT"/>
    <x v="46"/>
    <x v="44"/>
    <s v="rHDPE"/>
    <s v="rHDPE ép"/>
    <x v="1"/>
    <s v="NĐ"/>
    <s v="(blank)"/>
    <x v="0"/>
    <n v="750"/>
    <n v="11805556"/>
    <n v="168498.21867881549"/>
    <n v="0"/>
    <n v="0"/>
    <n v="11637057.781321185"/>
    <m/>
    <m/>
    <m/>
    <m/>
    <m/>
    <m/>
    <m/>
    <m/>
    <m/>
    <m/>
    <m/>
    <n v="453.31329064489341"/>
    <n v="459.87701864319376"/>
    <x v="154"/>
    <x v="46"/>
  </r>
  <r>
    <x v="1"/>
    <x v="3"/>
    <n v="4"/>
    <s v="105342"/>
    <s v="VIỆT NHẬT"/>
    <x v="30"/>
    <x v="28"/>
    <s v="rHDPE"/>
    <s v="rHDPE ép"/>
    <x v="1"/>
    <s v="NĐ"/>
    <s v="(blank)"/>
    <x v="0"/>
    <n v="750"/>
    <n v="11805556"/>
    <n v="168498.21867881549"/>
    <n v="0"/>
    <n v="0"/>
    <n v="11637057.781321185"/>
    <m/>
    <m/>
    <m/>
    <m/>
    <m/>
    <m/>
    <m/>
    <m/>
    <m/>
    <m/>
    <m/>
    <n v="453.31329064489341"/>
    <n v="459.87701864319376"/>
    <x v="154"/>
    <x v="30"/>
  </r>
  <r>
    <x v="1"/>
    <x v="3"/>
    <n v="4"/>
    <s v="105346"/>
    <s v="GUNICA"/>
    <x v="84"/>
    <x v="82"/>
    <s v="rPP"/>
    <s v="rPP"/>
    <x v="6"/>
    <s v="NĐ"/>
    <s v="(blank)"/>
    <x v="0"/>
    <n v="100"/>
    <n v="1906240.0000000002"/>
    <n v="0"/>
    <n v="0"/>
    <n v="0"/>
    <n v="1906240.0000000002"/>
    <m/>
    <m/>
    <m/>
    <m/>
    <m/>
    <m/>
    <m/>
    <m/>
    <m/>
    <m/>
    <m/>
    <n v="74.256220377795145"/>
    <n v="74.256220377795145"/>
    <x v="155"/>
    <x v="84"/>
  </r>
  <r>
    <x v="1"/>
    <x v="3"/>
    <n v="4"/>
    <s v="105346"/>
    <s v="GUNICA"/>
    <x v="31"/>
    <x v="29"/>
    <s v="rPP"/>
    <s v="rPP"/>
    <x v="6"/>
    <s v="NĐ"/>
    <s v="(blank)"/>
    <x v="0"/>
    <n v="100"/>
    <n v="2022159.9999999998"/>
    <n v="0"/>
    <n v="0"/>
    <n v="0"/>
    <n v="2022159.9999999998"/>
    <m/>
    <m/>
    <m/>
    <m/>
    <m/>
    <m/>
    <m/>
    <m/>
    <m/>
    <m/>
    <m/>
    <n v="78.771801346715108"/>
    <n v="78.771801346715108"/>
    <x v="155"/>
    <x v="31"/>
  </r>
  <r>
    <x v="1"/>
    <x v="3"/>
    <n v="4"/>
    <s v="105346"/>
    <s v="GUNICA"/>
    <x v="118"/>
    <x v="116"/>
    <s v="rPP"/>
    <s v="rPP"/>
    <x v="6"/>
    <s v="NĐ"/>
    <s v="(blank)"/>
    <x v="0"/>
    <n v="100"/>
    <n v="2022159.9999999998"/>
    <n v="0"/>
    <n v="0"/>
    <n v="0"/>
    <n v="2022159.9999999998"/>
    <m/>
    <m/>
    <m/>
    <m/>
    <m/>
    <m/>
    <m/>
    <m/>
    <m/>
    <m/>
    <m/>
    <n v="78.771801346715108"/>
    <n v="78.771801346715108"/>
    <x v="155"/>
    <x v="118"/>
  </r>
  <r>
    <x v="1"/>
    <x v="3"/>
    <n v="4"/>
    <s v="105347"/>
    <s v="Kim Hòa"/>
    <x v="30"/>
    <x v="28"/>
    <s v="rHDPE"/>
    <s v="rHDPE ép"/>
    <x v="1"/>
    <s v="NĐ"/>
    <s v="(blank)"/>
    <x v="0"/>
    <n v="50"/>
    <n v="750000"/>
    <n v="0"/>
    <n v="0"/>
    <n v="0"/>
    <n v="750000"/>
    <m/>
    <m/>
    <m/>
    <m/>
    <m/>
    <m/>
    <m/>
    <m/>
    <m/>
    <m/>
    <m/>
    <n v="29.215715378623024"/>
    <n v="29.215715378623024"/>
    <x v="156"/>
    <x v="30"/>
  </r>
  <r>
    <x v="1"/>
    <x v="3"/>
    <n v="4"/>
    <s v="105348"/>
    <s v="Bao Bì Vinh Nam"/>
    <x v="98"/>
    <x v="96"/>
    <s v="rHDPE"/>
    <s v="rHDPE thổi"/>
    <x v="0"/>
    <s v="NĐ"/>
    <s v="(blank)"/>
    <x v="0"/>
    <n v="500"/>
    <n v="17303300"/>
    <n v="0"/>
    <n v="0"/>
    <n v="0"/>
    <n v="17303300"/>
    <m/>
    <m/>
    <m/>
    <m/>
    <m/>
    <m/>
    <m/>
    <m/>
    <m/>
    <m/>
    <m/>
    <n v="674.03771721457042"/>
    <n v="674.03771721457042"/>
    <x v="157"/>
    <x v="98"/>
  </r>
  <r>
    <x v="1"/>
    <x v="3"/>
    <n v="4"/>
    <s v="105349"/>
    <s v="MTVN Plastic"/>
    <x v="87"/>
    <x v="85"/>
    <s v="rHDPE"/>
    <s v="rHDPE thổi"/>
    <x v="0"/>
    <s v="NĐ"/>
    <s v="(blank)"/>
    <x v="0"/>
    <n v="1000"/>
    <n v="16700000"/>
    <n v="0"/>
    <n v="0"/>
    <n v="0"/>
    <n v="16700000"/>
    <m/>
    <m/>
    <m/>
    <m/>
    <m/>
    <m/>
    <m/>
    <m/>
    <m/>
    <m/>
    <m/>
    <n v="650.53659576400605"/>
    <n v="650.53659576400605"/>
    <x v="158"/>
    <x v="87"/>
  </r>
  <r>
    <x v="1"/>
    <x v="3"/>
    <n v="4"/>
    <s v="105350"/>
    <s v="Suntory - Ngọc Nghĩa Hưng Yên"/>
    <x v="8"/>
    <x v="8"/>
    <s v="rPET"/>
    <s v="rPET"/>
    <x v="3"/>
    <s v="NĐ"/>
    <s v="(blank)"/>
    <x v="0"/>
    <n v="3300"/>
    <n v="143649000"/>
    <n v="465618.77459016396"/>
    <n v="0"/>
    <n v="7499999.9999999991"/>
    <n v="133958947.25040984"/>
    <m/>
    <m/>
    <m/>
    <m/>
    <m/>
    <m/>
    <m/>
    <m/>
    <m/>
    <m/>
    <m/>
    <n v="5218.2753003839325"/>
    <n v="5595.7443978984256"/>
    <x v="7"/>
    <x v="8"/>
  </r>
  <r>
    <x v="1"/>
    <x v="3"/>
    <n v="4"/>
    <s v="105350"/>
    <s v="Suntory - Ngọc Nghĩa Hưng Yên"/>
    <x v="68"/>
    <x v="66"/>
    <s v="Khác"/>
    <s v="Khác"/>
    <x v="2"/>
    <s v="NĐ"/>
    <s v="(blank)"/>
    <x v="0"/>
    <n v="0"/>
    <n v="0"/>
    <n v="0"/>
    <n v="0"/>
    <n v="0"/>
    <n v="1724433.9749999999"/>
    <m/>
    <m/>
    <m/>
    <m/>
    <m/>
    <m/>
    <m/>
    <m/>
    <m/>
    <m/>
    <m/>
    <n v="67.174096270436706"/>
    <n v="0"/>
    <x v="7"/>
    <x v="68"/>
  </r>
  <r>
    <x v="1"/>
    <x v="3"/>
    <n v="4"/>
    <s v="105350"/>
    <s v="Suntory - Ngọc Nghĩa Hưng Yên"/>
    <x v="39"/>
    <x v="37"/>
    <s v="Khác"/>
    <s v="Khác"/>
    <x v="8"/>
    <s v="NĐ"/>
    <s v="(blank)"/>
    <x v="0"/>
    <n v="0"/>
    <n v="0"/>
    <n v="0"/>
    <n v="0"/>
    <n v="-7500000"/>
    <n v="7500000"/>
    <m/>
    <m/>
    <m/>
    <m/>
    <m/>
    <m/>
    <m/>
    <m/>
    <m/>
    <m/>
    <m/>
    <n v="292.15715378623025"/>
    <n v="0"/>
    <x v="7"/>
    <x v="39"/>
  </r>
  <r>
    <x v="1"/>
    <x v="3"/>
    <n v="4"/>
    <s v="105350"/>
    <s v="Suntory - Ngọc Nghĩa Hưng Yên"/>
    <x v="97"/>
    <x v="95"/>
    <s v="Khác"/>
    <s v="Khác"/>
    <x v="2"/>
    <s v="NĐ"/>
    <s v="(blank)"/>
    <x v="4"/>
    <n v="0"/>
    <n v="-1724434"/>
    <n v="0"/>
    <n v="0"/>
    <n v="0"/>
    <n v="-1724434"/>
    <m/>
    <m/>
    <m/>
    <m/>
    <m/>
    <m/>
    <m/>
    <m/>
    <m/>
    <m/>
    <m/>
    <n v="-67.17409724429389"/>
    <n v="-67.17409724429389"/>
    <x v="7"/>
    <x v="97"/>
  </r>
  <r>
    <x v="1"/>
    <x v="3"/>
    <n v="4"/>
    <s v="1551300100"/>
    <s v="Bán thành phẩm nhựa"/>
    <x v="41"/>
    <x v="39"/>
    <s v="Khác"/>
    <s v="Khác"/>
    <x v="2"/>
    <s v="NĐ"/>
    <s v="(blank)"/>
    <x v="0"/>
    <n v="0"/>
    <n v="0"/>
    <n v="0"/>
    <n v="0"/>
    <n v="0"/>
    <n v="0"/>
    <m/>
    <m/>
    <m/>
    <m/>
    <m/>
    <m/>
    <m/>
    <m/>
    <m/>
    <m/>
    <m/>
    <n v="0"/>
    <n v="0"/>
    <x v="159"/>
    <x v="41"/>
  </r>
  <r>
    <x v="1"/>
    <x v="3"/>
    <n v="4"/>
    <s v="1551400100"/>
    <s v="Thành phẩm nhựa"/>
    <x v="41"/>
    <x v="39"/>
    <s v="Khác"/>
    <s v="Khác"/>
    <x v="2"/>
    <s v="NĐ"/>
    <s v="(blank)"/>
    <x v="0"/>
    <n v="0"/>
    <n v="0"/>
    <n v="0"/>
    <n v="0"/>
    <n v="0"/>
    <n v="0"/>
    <m/>
    <m/>
    <m/>
    <m/>
    <m/>
    <m/>
    <m/>
    <m/>
    <m/>
    <m/>
    <m/>
    <n v="0"/>
    <n v="0"/>
    <x v="107"/>
    <x v="41"/>
  </r>
  <r>
    <x v="1"/>
    <x v="3"/>
    <n v="4"/>
    <s v="1551490100"/>
    <s v="TP-ĐC K/C số dư"/>
    <x v="110"/>
    <x v="108"/>
    <s v="Khác"/>
    <s v="Khác"/>
    <x v="2"/>
    <s v="NĐ"/>
    <s v="(blank)"/>
    <x v="0"/>
    <n v="0"/>
    <n v="0"/>
    <n v="0"/>
    <n v="0"/>
    <n v="0"/>
    <n v="0"/>
    <m/>
    <m/>
    <m/>
    <m/>
    <m/>
    <m/>
    <m/>
    <m/>
    <m/>
    <m/>
    <m/>
    <n v="0"/>
    <n v="0"/>
    <x v="127"/>
    <x v="110"/>
  </r>
  <r>
    <x v="1"/>
    <x v="3"/>
    <n v="4"/>
    <s v="200274"/>
    <s v="STARLINGER &amp; CO.Gesellschaft m.b.H"/>
    <x v="41"/>
    <x v="39"/>
    <s v="Khác"/>
    <s v="Khác"/>
    <x v="2"/>
    <s v="NĐ"/>
    <s v="(blank)"/>
    <x v="0"/>
    <n v="0"/>
    <n v="0"/>
    <n v="0"/>
    <n v="0"/>
    <n v="0"/>
    <n v="0"/>
    <m/>
    <m/>
    <m/>
    <m/>
    <m/>
    <m/>
    <m/>
    <m/>
    <m/>
    <m/>
    <m/>
    <n v="0"/>
    <n v="0"/>
    <x v="108"/>
    <x v="41"/>
  </r>
  <r>
    <x v="1"/>
    <x v="3"/>
    <n v="4"/>
    <s v="200311"/>
    <s v="Plascene, Inc."/>
    <x v="9"/>
    <x v="9"/>
    <s v="rPET"/>
    <s v="rPET"/>
    <x v="3"/>
    <s v="XK"/>
    <s v="United States of America (the)"/>
    <x v="0"/>
    <n v="44000"/>
    <n v="1430034672"/>
    <n v="3104125.1639344264"/>
    <n v="0"/>
    <n v="19850444"/>
    <n v="1407080102.8360655"/>
    <m/>
    <m/>
    <m/>
    <m/>
    <m/>
    <m/>
    <m/>
    <m/>
    <m/>
    <m/>
    <m/>
    <n v="54437.60892982845"/>
    <n v="55325.599999999999"/>
    <x v="13"/>
    <x v="9"/>
  </r>
  <r>
    <x v="1"/>
    <x v="3"/>
    <n v="4"/>
    <s v="200319"/>
    <s v="Niagara Bottling, LLC"/>
    <x v="9"/>
    <x v="9"/>
    <s v="rPET"/>
    <s v="rPET"/>
    <x v="3"/>
    <s v="XK"/>
    <s v="United Kingdom of Great Britain and Northern Ireland (the)"/>
    <x v="0"/>
    <n v="110000"/>
    <n v="3461430720"/>
    <n v="8250057.3140495867"/>
    <n v="51921460.799999997"/>
    <n v="46721699"/>
    <n v="3354537502.885951"/>
    <m/>
    <m/>
    <m/>
    <m/>
    <m/>
    <m/>
    <m/>
    <m/>
    <m/>
    <m/>
    <m/>
    <n v="132068.40562543113"/>
    <n v="136276.79999999999"/>
    <x v="14"/>
    <x v="9"/>
  </r>
  <r>
    <x v="1"/>
    <x v="3"/>
    <n v="4"/>
    <s v="200319"/>
    <s v="Niagara Bottling, LLC"/>
    <x v="9"/>
    <x v="9"/>
    <s v="rPET"/>
    <s v="rPET"/>
    <x v="3"/>
    <s v="XK"/>
    <s v="United States of America (the)"/>
    <x v="0"/>
    <n v="1298000"/>
    <n v="40761604853"/>
    <n v="97350676.305785224"/>
    <n v="611424072.79499972"/>
    <n v="484280343"/>
    <n v="39568549760.899216"/>
    <m/>
    <m/>
    <m/>
    <m/>
    <m/>
    <m/>
    <m/>
    <m/>
    <m/>
    <m/>
    <m/>
    <n v="1541921.9881926917"/>
    <n v="1588420.2401628764"/>
    <x v="14"/>
    <x v="9"/>
  </r>
  <r>
    <x v="1"/>
    <x v="3"/>
    <n v="4"/>
    <s v="200319"/>
    <s v="Niagara Bottling, LLC"/>
    <x v="39"/>
    <x v="37"/>
    <s v="Khác"/>
    <s v="Khác"/>
    <x v="8"/>
    <s v="NĐ"/>
    <s v="(blank)"/>
    <x v="0"/>
    <n v="0"/>
    <n v="0"/>
    <n v="0"/>
    <n v="0"/>
    <n v="40863691.176470578"/>
    <n v="-40863691.176470578"/>
    <m/>
    <m/>
    <m/>
    <m/>
    <m/>
    <m/>
    <m/>
    <m/>
    <m/>
    <m/>
    <m/>
    <n v="-1591.8159609756196"/>
    <n v="0"/>
    <x v="14"/>
    <x v="39"/>
  </r>
  <r>
    <x v="1"/>
    <x v="3"/>
    <n v="4"/>
    <s v="200326"/>
    <s v="Resinex"/>
    <x v="39"/>
    <x v="37"/>
    <s v="Khác"/>
    <s v="Khác"/>
    <x v="8"/>
    <s v="NĐ"/>
    <s v="(blank)"/>
    <x v="0"/>
    <n v="0"/>
    <n v="0"/>
    <n v="0"/>
    <n v="0"/>
    <n v="-21358587"/>
    <n v="21358587"/>
    <m/>
    <m/>
    <m/>
    <m/>
    <m/>
    <m/>
    <m/>
    <m/>
    <m/>
    <m/>
    <m/>
    <n v="832.00853157541042"/>
    <n v="0"/>
    <x v="37"/>
    <x v="39"/>
  </r>
  <r>
    <x v="1"/>
    <x v="3"/>
    <n v="4"/>
    <s v="200329"/>
    <s v="Pentaplast SRL"/>
    <x v="39"/>
    <x v="37"/>
    <s v="Khác"/>
    <s v="Khác"/>
    <x v="8"/>
    <s v="NĐ"/>
    <s v="(blank)"/>
    <x v="0"/>
    <n v="0"/>
    <n v="0"/>
    <n v="0"/>
    <n v="0"/>
    <n v="1984674"/>
    <n v="-1984674"/>
    <m/>
    <m/>
    <m/>
    <m/>
    <m/>
    <m/>
    <m/>
    <m/>
    <m/>
    <m/>
    <m/>
    <n v="-77.311560937804359"/>
    <n v="0"/>
    <x v="128"/>
    <x v="39"/>
  </r>
  <r>
    <x v="1"/>
    <x v="3"/>
    <n v="4"/>
    <s v="200330"/>
    <s v="Fega"/>
    <x v="39"/>
    <x v="37"/>
    <s v="Khác"/>
    <s v="Khác"/>
    <x v="8"/>
    <s v="NĐ"/>
    <s v="(blank)"/>
    <x v="0"/>
    <n v="0"/>
    <n v="0"/>
    <n v="0"/>
    <n v="0"/>
    <n v="667223.33333333337"/>
    <n v="-667223.33333333337"/>
    <m/>
    <m/>
    <m/>
    <m/>
    <m/>
    <m/>
    <m/>
    <m/>
    <m/>
    <m/>
    <m/>
    <n v="-25.99120933419038"/>
    <n v="0"/>
    <x v="30"/>
    <x v="39"/>
  </r>
  <r>
    <x v="1"/>
    <x v="3"/>
    <n v="4"/>
    <s v="200332"/>
    <s v="OUTEIRINHO TURISMO E INDUSTRIA SA"/>
    <x v="33"/>
    <x v="31"/>
    <s v="rPET"/>
    <s v="rPET"/>
    <x v="3"/>
    <s v="XK"/>
    <s v="Portugal"/>
    <x v="0"/>
    <n v="880000"/>
    <n v="28283750000"/>
    <n v="66000458.512396738"/>
    <n v="0"/>
    <n v="371406170.9999997"/>
    <n v="27846343370.487629"/>
    <m/>
    <m/>
    <m/>
    <m/>
    <m/>
    <m/>
    <m/>
    <m/>
    <m/>
    <m/>
    <m/>
    <n v="1082987.4561628797"/>
    <n v="1100000"/>
    <x v="44"/>
    <x v="33"/>
  </r>
  <r>
    <x v="1"/>
    <x v="3"/>
    <n v="4"/>
    <s v="200332"/>
    <s v="OUTEIRINHO TURISMO E INDUSTRIA SA"/>
    <x v="39"/>
    <x v="37"/>
    <s v="Khác"/>
    <s v="Khác"/>
    <x v="8"/>
    <s v="NĐ"/>
    <s v="(blank)"/>
    <x v="0"/>
    <n v="0"/>
    <n v="0"/>
    <n v="0"/>
    <n v="0"/>
    <n v="491808.99999999866"/>
    <n v="-491808.99999999866"/>
    <m/>
    <m/>
    <m/>
    <m/>
    <m/>
    <m/>
    <m/>
    <m/>
    <m/>
    <m/>
    <m/>
    <n v="-19.158069019526913"/>
    <n v="0"/>
    <x v="44"/>
    <x v="39"/>
  </r>
  <r>
    <x v="1"/>
    <x v="3"/>
    <n v="4"/>
    <s v="200341"/>
    <s v="Pragmatrade"/>
    <x v="39"/>
    <x v="37"/>
    <s v="Khác"/>
    <s v="Khác"/>
    <x v="8"/>
    <s v="NĐ"/>
    <s v="(blank)"/>
    <x v="0"/>
    <n v="0"/>
    <n v="0"/>
    <n v="0"/>
    <n v="0"/>
    <n v="582543"/>
    <n v="-582543"/>
    <m/>
    <m/>
    <m/>
    <m/>
    <m/>
    <m/>
    <m/>
    <m/>
    <m/>
    <m/>
    <m/>
    <n v="-22.692547311745589"/>
    <n v="0"/>
    <x v="129"/>
    <x v="39"/>
  </r>
  <r>
    <x v="1"/>
    <x v="3"/>
    <n v="4"/>
    <s v="200355"/>
    <s v="International Gate SA"/>
    <x v="33"/>
    <x v="31"/>
    <s v="rPET"/>
    <s v="rPET"/>
    <x v="3"/>
    <s v="XK"/>
    <s v="Italy"/>
    <x v="0"/>
    <n v="22000"/>
    <n v="720852000"/>
    <n v="2066681.4628099173"/>
    <n v="0"/>
    <n v="13349908"/>
    <n v="705435410.53719008"/>
    <m/>
    <m/>
    <m/>
    <m/>
    <m/>
    <m/>
    <m/>
    <m/>
    <m/>
    <m/>
    <m/>
    <n v="27773.047658944492"/>
    <n v="28380"/>
    <x v="51"/>
    <x v="33"/>
  </r>
  <r>
    <x v="1"/>
    <x v="3"/>
    <n v="4"/>
    <s v="200355"/>
    <s v="International Gate SA"/>
    <x v="39"/>
    <x v="37"/>
    <s v="Khác"/>
    <s v="Khác"/>
    <x v="8"/>
    <s v="NĐ"/>
    <s v="(blank)"/>
    <x v="0"/>
    <n v="0"/>
    <n v="0"/>
    <n v="0"/>
    <n v="0"/>
    <n v="-12120832"/>
    <n v="12120832"/>
    <m/>
    <m/>
    <m/>
    <m/>
    <m/>
    <m/>
    <m/>
    <m/>
    <m/>
    <m/>
    <m/>
    <n v="472.15837048547479"/>
    <n v="0"/>
    <x v="51"/>
    <x v="39"/>
  </r>
  <r>
    <x v="1"/>
    <x v="3"/>
    <n v="4"/>
    <s v="200364"/>
    <s v="POLYRESIN EOOD"/>
    <x v="58"/>
    <x v="56"/>
    <s v="rPET"/>
    <s v="rPET"/>
    <x v="3"/>
    <s v="XK"/>
    <s v="Greece"/>
    <x v="0"/>
    <n v="44000"/>
    <n v="1290805999.9999998"/>
    <n v="3300022.9256198346"/>
    <n v="0"/>
    <n v="22382117"/>
    <n v="1265123860.0743799"/>
    <m/>
    <m/>
    <m/>
    <m/>
    <m/>
    <m/>
    <m/>
    <m/>
    <m/>
    <m/>
    <m/>
    <n v="49593.25206093218"/>
    <n v="50599.999999999993"/>
    <x v="87"/>
    <x v="58"/>
  </r>
  <r>
    <x v="1"/>
    <x v="3"/>
    <n v="4"/>
    <s v="200364"/>
    <s v="POLYRESIN EOOD"/>
    <x v="39"/>
    <x v="37"/>
    <s v="Khác"/>
    <s v="Khác"/>
    <x v="8"/>
    <s v="NĐ"/>
    <s v="(blank)"/>
    <x v="0"/>
    <n v="0"/>
    <n v="0"/>
    <n v="0"/>
    <n v="0"/>
    <n v="-230278.33333333326"/>
    <n v="230278.33333333326"/>
    <m/>
    <m/>
    <m/>
    <m/>
    <m/>
    <m/>
    <m/>
    <m/>
    <m/>
    <m/>
    <m/>
    <n v="8.9703283260404589"/>
    <n v="0"/>
    <x v="87"/>
    <x v="39"/>
  </r>
  <r>
    <x v="1"/>
    <x v="3"/>
    <n v="4"/>
    <s v="200365"/>
    <s v="Vinmar International"/>
    <x v="39"/>
    <x v="37"/>
    <s v="Khác"/>
    <s v="Khác"/>
    <x v="8"/>
    <s v="NĐ"/>
    <s v="(blank)"/>
    <x v="0"/>
    <n v="0"/>
    <n v="0"/>
    <n v="0"/>
    <n v="0"/>
    <n v="3518449"/>
    <n v="-3518449"/>
    <m/>
    <m/>
    <m/>
    <m/>
    <m/>
    <m/>
    <m/>
    <m/>
    <m/>
    <m/>
    <m/>
    <n v="-137.05867274426771"/>
    <n v="0"/>
    <x v="93"/>
    <x v="39"/>
  </r>
  <r>
    <x v="1"/>
    <x v="3"/>
    <n v="4"/>
    <s v="200367"/>
    <s v="MAS CO.LTD"/>
    <x v="33"/>
    <x v="31"/>
    <s v="rPET"/>
    <s v="rPET"/>
    <x v="3"/>
    <s v="XK"/>
    <s v="Spain"/>
    <x v="0"/>
    <n v="88000"/>
    <n v="2970765600.0000005"/>
    <n v="6600045.8512396691"/>
    <n v="0"/>
    <n v="41311392"/>
    <n v="2922854162.1487608"/>
    <m/>
    <m/>
    <m/>
    <m/>
    <m/>
    <m/>
    <m/>
    <m/>
    <m/>
    <m/>
    <m/>
    <n v="113420.80567127516"/>
    <n v="115280.00000000001"/>
    <x v="94"/>
    <x v="33"/>
  </r>
  <r>
    <x v="1"/>
    <x v="3"/>
    <n v="4"/>
    <s v="200367"/>
    <s v="MAS CO.LTD"/>
    <x v="39"/>
    <x v="37"/>
    <s v="Khác"/>
    <s v="Khác"/>
    <x v="8"/>
    <s v="NĐ"/>
    <s v="(blank)"/>
    <x v="0"/>
    <n v="0"/>
    <n v="0"/>
    <n v="0"/>
    <n v="0"/>
    <n v="-1546666"/>
    <n v="1546666"/>
    <m/>
    <m/>
    <m/>
    <m/>
    <m/>
    <m/>
    <m/>
    <m/>
    <m/>
    <m/>
    <m/>
    <n v="60.249271522391147"/>
    <n v="0"/>
    <x v="94"/>
    <x v="39"/>
  </r>
  <r>
    <x v="1"/>
    <x v="3"/>
    <n v="4"/>
    <s v="200370"/>
    <s v="KORYFES SA"/>
    <x v="8"/>
    <x v="8"/>
    <s v="rPET"/>
    <s v="rPET"/>
    <x v="3"/>
    <s v="XK"/>
    <s v="Bulgaria"/>
    <x v="0"/>
    <n v="22000"/>
    <n v="818819980.00000012"/>
    <n v="2066681.4628099173"/>
    <n v="0"/>
    <n v="61749659.399999999"/>
    <n v="755003639.13719022"/>
    <m/>
    <m/>
    <m/>
    <m/>
    <m/>
    <m/>
    <m/>
    <m/>
    <m/>
    <m/>
    <m/>
    <n v="29596.379425213257"/>
    <n v="32098.000000000004"/>
    <x v="131"/>
    <x v="8"/>
  </r>
  <r>
    <x v="1"/>
    <x v="3"/>
    <n v="4"/>
    <s v="200370"/>
    <s v="KORYFES SA"/>
    <x v="33"/>
    <x v="31"/>
    <s v="rPET"/>
    <s v="rPET"/>
    <x v="3"/>
    <s v="XK"/>
    <s v="Bulgaria"/>
    <x v="0"/>
    <n v="88000"/>
    <n v="3207933520"/>
    <n v="8266725.8512396691"/>
    <n v="0"/>
    <n v="246998637.59999999"/>
    <n v="2952668156.5487604"/>
    <m/>
    <m/>
    <m/>
    <m/>
    <m/>
    <m/>
    <m/>
    <m/>
    <m/>
    <m/>
    <m/>
    <n v="115745.51770085302"/>
    <n v="125752"/>
    <x v="131"/>
    <x v="33"/>
  </r>
  <r>
    <x v="1"/>
    <x v="3"/>
    <n v="4"/>
    <s v="200370"/>
    <s v="KORYFES SA"/>
    <x v="39"/>
    <x v="37"/>
    <s v="Khác"/>
    <s v="Khác"/>
    <x v="8"/>
    <s v="NĐ"/>
    <s v="(blank)"/>
    <x v="0"/>
    <n v="0"/>
    <n v="0"/>
    <n v="0"/>
    <n v="0"/>
    <n v="2747363.8235294106"/>
    <n v="-2747363.8235294106"/>
    <m/>
    <m/>
    <m/>
    <m/>
    <m/>
    <m/>
    <m/>
    <m/>
    <m/>
    <m/>
    <m/>
    <n v="-107.02159934634767"/>
    <n v="0"/>
    <x v="131"/>
    <x v="39"/>
  </r>
  <r>
    <x v="1"/>
    <x v="3"/>
    <n v="4"/>
    <s v="200372"/>
    <s v="MERAXIS AG"/>
    <x v="39"/>
    <x v="37"/>
    <s v="Khác"/>
    <s v="Khác"/>
    <x v="8"/>
    <s v="NĐ"/>
    <s v="(blank)"/>
    <x v="0"/>
    <n v="0"/>
    <n v="0"/>
    <n v="0"/>
    <n v="0"/>
    <n v="365559.00000000012"/>
    <n v="-365559.00000000012"/>
    <m/>
    <m/>
    <m/>
    <m/>
    <m/>
    <m/>
    <m/>
    <m/>
    <m/>
    <m/>
    <m/>
    <n v="-14.24009026412541"/>
    <n v="0"/>
    <x v="132"/>
    <x v="39"/>
  </r>
  <r>
    <x v="1"/>
    <x v="3"/>
    <n v="4"/>
    <s v="200374"/>
    <s v="POLYCAD"/>
    <x v="39"/>
    <x v="37"/>
    <s v="Khác"/>
    <s v="Khác"/>
    <x v="8"/>
    <s v="NĐ"/>
    <s v="(blank)"/>
    <x v="0"/>
    <n v="0"/>
    <n v="0"/>
    <n v="0"/>
    <n v="0"/>
    <n v="-21478031"/>
    <n v="21478031"/>
    <m/>
    <m/>
    <m/>
    <m/>
    <m/>
    <m/>
    <m/>
    <m/>
    <m/>
    <m/>
    <m/>
    <n v="836.66138745232286"/>
    <n v="0"/>
    <x v="133"/>
    <x v="39"/>
  </r>
  <r>
    <x v="1"/>
    <x v="3"/>
    <n v="4"/>
    <s v="200375"/>
    <s v="Nu-pure"/>
    <x v="39"/>
    <x v="37"/>
    <s v="Khác"/>
    <s v="Khác"/>
    <x v="8"/>
    <s v="NĐ"/>
    <s v="(blank)"/>
    <x v="0"/>
    <n v="0"/>
    <n v="0"/>
    <n v="0"/>
    <n v="0"/>
    <n v="14112000"/>
    <n v="-14112000"/>
    <m/>
    <m/>
    <m/>
    <m/>
    <m/>
    <m/>
    <m/>
    <m/>
    <m/>
    <m/>
    <m/>
    <n v="-549.7229005641708"/>
    <n v="0"/>
    <x v="145"/>
    <x v="39"/>
  </r>
  <r>
    <x v="1"/>
    <x v="3"/>
    <n v="4"/>
    <s v="200380"/>
    <s v="Lion Corp"/>
    <x v="33"/>
    <x v="31"/>
    <s v="rPET"/>
    <s v="rPET"/>
    <x v="3"/>
    <s v="XK"/>
    <s v="Japan"/>
    <x v="0"/>
    <n v="105000"/>
    <n v="3471552000"/>
    <n v="7760312.909836066"/>
    <n v="0"/>
    <n v="48637591.000000007"/>
    <n v="3415154096.0901637"/>
    <m/>
    <m/>
    <m/>
    <m/>
    <m/>
    <m/>
    <m/>
    <m/>
    <m/>
    <m/>
    <m/>
    <n v="132216.57360008376"/>
    <n v="134400"/>
    <x v="160"/>
    <x v="33"/>
  </r>
  <r>
    <x v="1"/>
    <x v="3"/>
    <n v="4"/>
    <s v="200380"/>
    <s v="Lion Corp"/>
    <x v="39"/>
    <x v="37"/>
    <s v="Khác"/>
    <s v="Khác"/>
    <x v="8"/>
    <s v="NĐ"/>
    <s v="(blank)"/>
    <x v="0"/>
    <n v="0"/>
    <n v="0"/>
    <n v="0"/>
    <n v="0"/>
    <n v="-1046000"/>
    <n v="1046000"/>
    <m/>
    <m/>
    <m/>
    <m/>
    <m/>
    <m/>
    <m/>
    <m/>
    <m/>
    <m/>
    <m/>
    <n v="40.746184381386243"/>
    <n v="0"/>
    <x v="160"/>
    <x v="39"/>
  </r>
  <r>
    <x v="1"/>
    <x v="3"/>
    <n v="4"/>
    <s v="200381"/>
    <s v="ITD Polyresin"/>
    <x v="58"/>
    <x v="56"/>
    <s v="rPET"/>
    <s v="rPET"/>
    <x v="3"/>
    <s v="XK"/>
    <s v="Bulgaria"/>
    <x v="0"/>
    <n v="110000"/>
    <n v="3252314999.9999995"/>
    <n v="8250057.3140495867"/>
    <n v="0"/>
    <n v="52644880"/>
    <n v="3191420062.6859498"/>
    <m/>
    <m/>
    <m/>
    <m/>
    <m/>
    <m/>
    <m/>
    <m/>
    <m/>
    <m/>
    <m/>
    <n v="124131.468793697"/>
    <n v="126499.99999999999"/>
    <x v="161"/>
    <x v="58"/>
  </r>
  <r>
    <x v="1"/>
    <x v="3"/>
    <n v="4"/>
    <s v="200381"/>
    <s v="ITD Polyresin"/>
    <x v="39"/>
    <x v="37"/>
    <s v="Khác"/>
    <s v="Khác"/>
    <x v="8"/>
    <s v="NĐ"/>
    <s v="(blank)"/>
    <x v="0"/>
    <n v="0"/>
    <n v="0"/>
    <n v="0"/>
    <n v="0"/>
    <n v="-1329167"/>
    <n v="1329167"/>
    <m/>
    <m/>
    <m/>
    <m/>
    <m/>
    <m/>
    <m/>
    <m/>
    <m/>
    <m/>
    <m/>
    <n v="51.776753016877642"/>
    <n v="0"/>
    <x v="161"/>
    <x v="39"/>
  </r>
  <r>
    <x v="1"/>
    <x v="3"/>
    <n v="4"/>
    <s v="2421100100"/>
    <s v="Chi phí phân bổ"/>
    <x v="27"/>
    <x v="25"/>
    <s v="Khác"/>
    <s v="Khác"/>
    <x v="2"/>
    <s v="NĐ"/>
    <s v="(blank)"/>
    <x v="0"/>
    <n v="0"/>
    <n v="0"/>
    <n v="0"/>
    <n v="0"/>
    <n v="0"/>
    <n v="0"/>
    <m/>
    <m/>
    <m/>
    <m/>
    <m/>
    <m/>
    <m/>
    <m/>
    <m/>
    <m/>
    <m/>
    <n v="0"/>
    <n v="0"/>
    <x v="64"/>
    <x v="27"/>
  </r>
  <r>
    <x v="1"/>
    <x v="3"/>
    <n v="4"/>
    <s v="2422200100"/>
    <s v="Chi phí trả trước dài hạn cho BP gián tiếp"/>
    <x v="99"/>
    <x v="97"/>
    <s v="Khác"/>
    <s v="Khác"/>
    <x v="2"/>
    <s v="NĐ"/>
    <s v="(blank)"/>
    <x v="0"/>
    <n v="0"/>
    <n v="0"/>
    <n v="0"/>
    <n v="0"/>
    <n v="0"/>
    <n v="0"/>
    <m/>
    <m/>
    <m/>
    <m/>
    <m/>
    <m/>
    <m/>
    <m/>
    <m/>
    <m/>
    <m/>
    <n v="0"/>
    <n v="0"/>
    <x v="112"/>
    <x v="99"/>
  </r>
  <r>
    <x v="1"/>
    <x v="3"/>
    <n v="4"/>
    <s v="300313"/>
    <s v="Công ty TNHH Nhựa Khánh Nga"/>
    <x v="35"/>
    <x v="33"/>
    <s v="Khác"/>
    <s v="Khác"/>
    <x v="2"/>
    <s v="NĐ"/>
    <s v="(blank)"/>
    <x v="0"/>
    <n v="0"/>
    <n v="67500000"/>
    <n v="0"/>
    <n v="0"/>
    <n v="0"/>
    <n v="67500000"/>
    <m/>
    <m/>
    <m/>
    <m/>
    <m/>
    <m/>
    <m/>
    <m/>
    <m/>
    <m/>
    <m/>
    <n v="2629.4143840760721"/>
    <n v="2629.4143840760721"/>
    <x v="18"/>
    <x v="35"/>
  </r>
  <r>
    <x v="1"/>
    <x v="3"/>
    <n v="4"/>
    <s v="3381000100"/>
    <s v="TS thừa chờ g/quyết"/>
    <x v="60"/>
    <x v="58"/>
    <s v="Khác"/>
    <s v="Khác"/>
    <x v="2"/>
    <s v="NĐ"/>
    <s v="(blank)"/>
    <x v="0"/>
    <n v="0"/>
    <n v="0"/>
    <n v="0"/>
    <n v="0"/>
    <n v="0"/>
    <n v="0"/>
    <m/>
    <m/>
    <m/>
    <m/>
    <m/>
    <m/>
    <m/>
    <m/>
    <m/>
    <m/>
    <m/>
    <n v="0"/>
    <n v="0"/>
    <x v="162"/>
    <x v="60"/>
  </r>
  <r>
    <x v="1"/>
    <x v="3"/>
    <n v="4"/>
    <s v="3389090100"/>
    <s v="Phải trả khác- T/gian (Gắn TK151)"/>
    <x v="27"/>
    <x v="25"/>
    <s v="Khác"/>
    <s v="Khác"/>
    <x v="2"/>
    <s v="NĐ"/>
    <s v="(blank)"/>
    <x v="0"/>
    <n v="0"/>
    <n v="0"/>
    <n v="0"/>
    <n v="0"/>
    <n v="0"/>
    <n v="0"/>
    <m/>
    <m/>
    <m/>
    <m/>
    <m/>
    <m/>
    <m/>
    <m/>
    <m/>
    <m/>
    <m/>
    <n v="0"/>
    <n v="0"/>
    <x v="148"/>
    <x v="27"/>
  </r>
  <r>
    <x v="1"/>
    <x v="3"/>
    <n v="4"/>
    <s v="6219000210"/>
    <s v="Chênh lệch CPSX cấp dưới (lower level)"/>
    <x v="41"/>
    <x v="39"/>
    <s v="Khác"/>
    <s v="Khác"/>
    <x v="2"/>
    <s v="NĐ"/>
    <s v="(blank)"/>
    <x v="0"/>
    <n v="0"/>
    <n v="0"/>
    <n v="0"/>
    <n v="0"/>
    <n v="0"/>
    <n v="0"/>
    <m/>
    <m/>
    <m/>
    <m/>
    <m/>
    <m/>
    <m/>
    <m/>
    <m/>
    <m/>
    <m/>
    <n v="0"/>
    <n v="0"/>
    <x v="80"/>
    <x v="41"/>
  </r>
  <r>
    <x v="1"/>
    <x v="3"/>
    <n v="4"/>
    <s v="6219000220"/>
    <s v="Chênh lệch CPSX đơn cấp (single level)"/>
    <x v="41"/>
    <x v="39"/>
    <s v="Khác"/>
    <s v="Khác"/>
    <x v="2"/>
    <s v="NĐ"/>
    <s v="(blank)"/>
    <x v="0"/>
    <n v="0"/>
    <n v="0"/>
    <n v="0"/>
    <n v="0"/>
    <n v="0"/>
    <n v="0"/>
    <m/>
    <m/>
    <m/>
    <m/>
    <m/>
    <m/>
    <m/>
    <m/>
    <m/>
    <m/>
    <m/>
    <n v="0"/>
    <n v="0"/>
    <x v="81"/>
    <x v="41"/>
  </r>
  <r>
    <x v="1"/>
    <x v="3"/>
    <n v="4"/>
    <s v="6219000900"/>
    <s v="Kết chuyển CPSX không phân bổ được"/>
    <x v="37"/>
    <x v="35"/>
    <s v="Khác"/>
    <s v="Khác"/>
    <x v="2"/>
    <s v="NĐ"/>
    <s v="(blank)"/>
    <x v="0"/>
    <n v="0"/>
    <n v="0"/>
    <n v="0"/>
    <n v="0"/>
    <n v="0"/>
    <n v="0"/>
    <m/>
    <m/>
    <m/>
    <m/>
    <m/>
    <m/>
    <m/>
    <m/>
    <m/>
    <m/>
    <m/>
    <n v="0"/>
    <n v="0"/>
    <x v="20"/>
    <x v="37"/>
  </r>
  <r>
    <x v="1"/>
    <x v="3"/>
    <n v="4"/>
    <s v="BN"/>
    <s v="Bán Ngoài"/>
    <x v="38"/>
    <x v="36"/>
    <s v="Khác"/>
    <s v="Khác"/>
    <x v="2"/>
    <s v="NĐ"/>
    <s v="(blank)"/>
    <x v="0"/>
    <n v="0"/>
    <n v="0"/>
    <n v="4791705"/>
    <n v="0"/>
    <n v="89427860.999996901"/>
    <n v="-94219565.999996901"/>
    <m/>
    <m/>
    <m/>
    <m/>
    <m/>
    <m/>
    <m/>
    <m/>
    <m/>
    <m/>
    <m/>
    <n v="-3670.2560311377288"/>
    <n v="0"/>
    <x v="21"/>
    <x v="38"/>
  </r>
  <r>
    <x v="1"/>
    <x v="3"/>
    <n v="4"/>
    <s v="BN"/>
    <s v="Bán Ngoài"/>
    <x v="39"/>
    <x v="37"/>
    <s v="Khác"/>
    <s v="Khác"/>
    <x v="8"/>
    <s v="NĐ"/>
    <s v="(blank)"/>
    <x v="0"/>
    <n v="0"/>
    <n v="0"/>
    <n v="0"/>
    <n v="-144863.59499967098"/>
    <n v="0"/>
    <n v="144863.59499967098"/>
    <m/>
    <m/>
    <m/>
    <m/>
    <m/>
    <m/>
    <m/>
    <m/>
    <m/>
    <m/>
    <m/>
    <n v="5.6430580803126738"/>
    <n v="0"/>
    <x v="21"/>
    <x v="39"/>
  </r>
  <r>
    <x v="1"/>
    <x v="3"/>
    <n v="4"/>
    <s v="BN"/>
    <s v="Bán Ngoài"/>
    <x v="41"/>
    <x v="39"/>
    <s v="Khác"/>
    <s v="Khác"/>
    <x v="2"/>
    <s v="NĐ"/>
    <s v="(blank)"/>
    <x v="0"/>
    <n v="0"/>
    <n v="0"/>
    <n v="0"/>
    <n v="0"/>
    <n v="0"/>
    <n v="0"/>
    <m/>
    <m/>
    <m/>
    <m/>
    <m/>
    <m/>
    <m/>
    <m/>
    <m/>
    <m/>
    <m/>
    <n v="0"/>
    <n v="0"/>
    <x v="21"/>
    <x v="41"/>
  </r>
  <r>
    <x v="1"/>
    <x v="4"/>
    <n v="5"/>
    <s v="1000"/>
    <s v="CPSX Nhựa Duy Tân"/>
    <x v="9"/>
    <x v="9"/>
    <s v="rPET"/>
    <s v="rPET"/>
    <x v="3"/>
    <s v="NĐ"/>
    <s v="(blank)"/>
    <x v="0"/>
    <n v="11000"/>
    <n v="354200000"/>
    <n v="1684982.1706864564"/>
    <n v="0"/>
    <n v="0"/>
    <n v="352515017.82931352"/>
    <m/>
    <m/>
    <m/>
    <m/>
    <m/>
    <m/>
    <m/>
    <m/>
    <m/>
    <m/>
    <m/>
    <n v="13674.584213499948"/>
    <n v="13739.947189333376"/>
    <x v="0"/>
    <x v="9"/>
  </r>
  <r>
    <x v="1"/>
    <x v="4"/>
    <n v="5"/>
    <s v="1000"/>
    <s v="CPSX Nhựa Duy Tân"/>
    <x v="2"/>
    <x v="2"/>
    <s v="rHDPE"/>
    <s v="rHDPE ép"/>
    <x v="1"/>
    <s v="NĐ"/>
    <s v="(blank)"/>
    <x v="0"/>
    <n v="16500"/>
    <n v="330000000"/>
    <n v="0"/>
    <n v="0"/>
    <n v="0"/>
    <n v="330000000"/>
    <m/>
    <m/>
    <m/>
    <m/>
    <m/>
    <m/>
    <m/>
    <m/>
    <m/>
    <m/>
    <m/>
    <n v="12801.193033540414"/>
    <n v="12801.193033540414"/>
    <x v="0"/>
    <x v="2"/>
  </r>
  <r>
    <x v="1"/>
    <x v="4"/>
    <n v="5"/>
    <s v="1000"/>
    <s v="CPSX Nhựa Duy Tân"/>
    <x v="3"/>
    <x v="3"/>
    <s v="rHDPE"/>
    <s v="rHDPE ép"/>
    <x v="1"/>
    <s v="NĐ"/>
    <s v="(blank)"/>
    <x v="0"/>
    <n v="5500"/>
    <n v="110000000"/>
    <n v="0"/>
    <n v="0"/>
    <n v="0"/>
    <n v="110000000"/>
    <m/>
    <m/>
    <m/>
    <m/>
    <m/>
    <m/>
    <m/>
    <m/>
    <m/>
    <m/>
    <m/>
    <n v="4267.064344513471"/>
    <n v="4267.064344513471"/>
    <x v="0"/>
    <x v="3"/>
  </r>
  <r>
    <x v="1"/>
    <x v="4"/>
    <n v="5"/>
    <s v="1000"/>
    <s v="CPSX Nhựa Duy Tân"/>
    <x v="4"/>
    <x v="4"/>
    <s v="rHDPE"/>
    <s v="rHDPE ép"/>
    <x v="1"/>
    <s v="NĐ"/>
    <s v="(blank)"/>
    <x v="0"/>
    <n v="5500"/>
    <n v="110000000"/>
    <n v="0"/>
    <n v="0"/>
    <n v="0"/>
    <n v="110000000"/>
    <m/>
    <m/>
    <m/>
    <m/>
    <m/>
    <m/>
    <m/>
    <m/>
    <m/>
    <m/>
    <m/>
    <n v="4267.064344513471"/>
    <n v="4267.064344513471"/>
    <x v="0"/>
    <x v="4"/>
  </r>
  <r>
    <x v="1"/>
    <x v="4"/>
    <n v="5"/>
    <s v="1000"/>
    <s v="CPSX Nhựa Duy Tân"/>
    <x v="6"/>
    <x v="6"/>
    <s v="rHDPE"/>
    <s v="rHDPE thổi"/>
    <x v="0"/>
    <s v="NĐ"/>
    <s v="(blank)"/>
    <x v="0"/>
    <n v="25"/>
    <n v="833625"/>
    <n v="0"/>
    <n v="0"/>
    <n v="0"/>
    <n v="833625"/>
    <m/>
    <m/>
    <m/>
    <m/>
    <m/>
    <m/>
    <m/>
    <m/>
    <m/>
    <m/>
    <m/>
    <n v="32.337559219954926"/>
    <n v="32.337559219954926"/>
    <x v="0"/>
    <x v="6"/>
  </r>
  <r>
    <x v="1"/>
    <x v="4"/>
    <n v="5"/>
    <s v="100899"/>
    <s v="CH TTNT Quang Phát"/>
    <x v="41"/>
    <x v="39"/>
    <s v="Khác"/>
    <s v="Khác"/>
    <x v="2"/>
    <s v="NĐ"/>
    <s v="(blank)"/>
    <x v="0"/>
    <n v="0"/>
    <n v="0"/>
    <n v="0"/>
    <n v="0"/>
    <n v="0"/>
    <n v="0"/>
    <m/>
    <m/>
    <m/>
    <m/>
    <m/>
    <m/>
    <m/>
    <m/>
    <m/>
    <m/>
    <m/>
    <n v="0"/>
    <n v="0"/>
    <x v="163"/>
    <x v="41"/>
  </r>
  <r>
    <x v="1"/>
    <x v="4"/>
    <n v="5"/>
    <s v="101111"/>
    <s v="CÔNG TY TNHH PLB VN"/>
    <x v="41"/>
    <x v="39"/>
    <s v="Khác"/>
    <s v="Khác"/>
    <x v="2"/>
    <s v="NĐ"/>
    <s v="(blank)"/>
    <x v="0"/>
    <n v="0"/>
    <n v="0"/>
    <n v="0"/>
    <n v="0"/>
    <n v="0"/>
    <n v="0"/>
    <m/>
    <m/>
    <m/>
    <m/>
    <m/>
    <m/>
    <m/>
    <m/>
    <m/>
    <m/>
    <m/>
    <n v="0"/>
    <n v="0"/>
    <x v="164"/>
    <x v="41"/>
  </r>
  <r>
    <x v="1"/>
    <x v="4"/>
    <n v="5"/>
    <s v="101290"/>
    <s v="Cty Thạnh Phát"/>
    <x v="7"/>
    <x v="7"/>
    <s v="Khác"/>
    <s v="Khác"/>
    <x v="2"/>
    <s v="NĐ"/>
    <s v="(blank)"/>
    <x v="0"/>
    <n v="0"/>
    <n v="0"/>
    <n v="0"/>
    <n v="0"/>
    <n v="0"/>
    <n v="0"/>
    <m/>
    <m/>
    <m/>
    <m/>
    <m/>
    <m/>
    <m/>
    <m/>
    <m/>
    <m/>
    <m/>
    <n v="0"/>
    <n v="0"/>
    <x v="1"/>
    <x v="7"/>
  </r>
  <r>
    <x v="1"/>
    <x v="4"/>
    <n v="5"/>
    <s v="102865"/>
    <s v="Dynaplast Bình Dương"/>
    <x v="1"/>
    <x v="1"/>
    <s v="rHDPE"/>
    <s v="rHDPE thổi"/>
    <x v="0"/>
    <s v="NĐ"/>
    <s v="(blank)"/>
    <x v="0"/>
    <n v="9625"/>
    <n v="335286875"/>
    <n v="0"/>
    <n v="0"/>
    <n v="0"/>
    <n v="335286875"/>
    <m/>
    <m/>
    <m/>
    <m/>
    <m/>
    <m/>
    <m/>
    <m/>
    <m/>
    <m/>
    <m/>
    <n v="13006.278813598592"/>
    <n v="13006.278813598592"/>
    <x v="2"/>
    <x v="1"/>
  </r>
  <r>
    <x v="1"/>
    <x v="4"/>
    <n v="5"/>
    <s v="102865"/>
    <s v="Dynaplast Bình Dương"/>
    <x v="1"/>
    <x v="1"/>
    <s v="rHDPE"/>
    <s v="rHDPE thổi"/>
    <x v="0"/>
    <s v="NĐ"/>
    <s v="(blank)"/>
    <x v="3"/>
    <n v="-25"/>
    <n v="-870875"/>
    <n v="0"/>
    <n v="0"/>
    <n v="0"/>
    <n v="-870875"/>
    <m/>
    <m/>
    <m/>
    <m/>
    <m/>
    <m/>
    <m/>
    <m/>
    <m/>
    <m/>
    <m/>
    <n v="-33.78254237298335"/>
    <n v="-33.78254237298335"/>
    <x v="2"/>
    <x v="1"/>
  </r>
  <r>
    <x v="1"/>
    <x v="4"/>
    <n v="5"/>
    <s v="102865"/>
    <s v="Dynaplast Bình Dương"/>
    <x v="83"/>
    <x v="81"/>
    <s v="rHDPE"/>
    <s v="rHDPE thổi"/>
    <x v="0"/>
    <s v="NĐ"/>
    <s v="(blank)"/>
    <x v="1"/>
    <n v="75"/>
    <n v="0"/>
    <n v="0"/>
    <n v="0"/>
    <n v="0"/>
    <n v="0"/>
    <m/>
    <m/>
    <m/>
    <m/>
    <m/>
    <m/>
    <m/>
    <m/>
    <m/>
    <m/>
    <m/>
    <n v="0"/>
    <n v="0"/>
    <x v="2"/>
    <x v="83"/>
  </r>
  <r>
    <x v="1"/>
    <x v="4"/>
    <n v="5"/>
    <s v="102865"/>
    <s v="Dynaplast Bình Dương"/>
    <x v="83"/>
    <x v="81"/>
    <s v="rHDPE"/>
    <s v="rHDPE thổi"/>
    <x v="0"/>
    <s v="NĐ"/>
    <s v="(blank)"/>
    <x v="2"/>
    <n v="-75"/>
    <n v="0"/>
    <n v="0"/>
    <n v="0"/>
    <n v="0"/>
    <n v="0"/>
    <m/>
    <m/>
    <m/>
    <m/>
    <m/>
    <m/>
    <m/>
    <m/>
    <m/>
    <m/>
    <m/>
    <n v="0"/>
    <n v="0"/>
    <x v="2"/>
    <x v="83"/>
  </r>
  <r>
    <x v="1"/>
    <x v="4"/>
    <n v="5"/>
    <s v="104894"/>
    <s v="UNILEVER-NGỌC NGHĨA"/>
    <x v="9"/>
    <x v="9"/>
    <s v="rPET"/>
    <s v="rPET"/>
    <x v="3"/>
    <s v="NĐ"/>
    <s v="(blank)"/>
    <x v="0"/>
    <n v="220000"/>
    <n v="7053860000"/>
    <n v="33699643.413729139"/>
    <n v="0"/>
    <n v="30800000"/>
    <n v="6989360356.5862694"/>
    <m/>
    <m/>
    <m/>
    <m/>
    <m/>
    <m/>
    <m/>
    <m/>
    <m/>
    <m/>
    <m/>
    <n v="271127.73062313849"/>
    <n v="273629.76815627079"/>
    <x v="2"/>
    <x v="9"/>
  </r>
  <r>
    <x v="1"/>
    <x v="4"/>
    <n v="5"/>
    <s v="104894"/>
    <s v="UNILEVER-NGỌC NGHĨA"/>
    <x v="39"/>
    <x v="37"/>
    <s v="Khác"/>
    <s v="Khác"/>
    <x v="8"/>
    <s v="NĐ"/>
    <s v="(blank)"/>
    <x v="0"/>
    <n v="0"/>
    <n v="0"/>
    <n v="0"/>
    <n v="0"/>
    <n v="0"/>
    <n v="0"/>
    <m/>
    <m/>
    <m/>
    <m/>
    <m/>
    <m/>
    <m/>
    <m/>
    <m/>
    <m/>
    <m/>
    <n v="0"/>
    <n v="0"/>
    <x v="2"/>
    <x v="39"/>
  </r>
  <r>
    <x v="1"/>
    <x v="4"/>
    <n v="5"/>
    <s v="104909"/>
    <s v="Công ty TNHH La Vie"/>
    <x v="103"/>
    <x v="101"/>
    <s v="rPET"/>
    <s v="rPET"/>
    <x v="3"/>
    <s v="NĐ"/>
    <s v="(blank)"/>
    <x v="0"/>
    <n v="3850"/>
    <n v="135027200"/>
    <n v="168498.21706864564"/>
    <n v="0"/>
    <n v="0"/>
    <n v="134858701.78293136"/>
    <m/>
    <m/>
    <m/>
    <m/>
    <m/>
    <m/>
    <m/>
    <m/>
    <m/>
    <m/>
    <m/>
    <n v="5231.3705265938324"/>
    <n v="5237.9068241771756"/>
    <x v="4"/>
    <x v="103"/>
  </r>
  <r>
    <x v="1"/>
    <x v="4"/>
    <n v="5"/>
    <s v="104909"/>
    <s v="Công ty TNHH La Vie"/>
    <x v="38"/>
    <x v="36"/>
    <s v="Khác"/>
    <s v="Khác"/>
    <x v="2"/>
    <s v="NĐ"/>
    <s v="(blank)"/>
    <x v="0"/>
    <n v="0"/>
    <n v="0"/>
    <n v="0"/>
    <n v="0"/>
    <n v="0"/>
    <n v="0"/>
    <m/>
    <m/>
    <m/>
    <m/>
    <m/>
    <m/>
    <m/>
    <m/>
    <m/>
    <m/>
    <m/>
    <n v="0"/>
    <n v="0"/>
    <x v="4"/>
    <x v="38"/>
  </r>
  <r>
    <x v="1"/>
    <x v="4"/>
    <n v="5"/>
    <s v="104909"/>
    <s v="Công ty TNHH La Vie"/>
    <x v="39"/>
    <x v="37"/>
    <s v="Khác"/>
    <s v="Khác"/>
    <x v="8"/>
    <s v="NĐ"/>
    <s v="(blank)"/>
    <x v="0"/>
    <n v="0"/>
    <n v="8985900"/>
    <n v="0"/>
    <n v="0"/>
    <n v="0"/>
    <n v="8985900"/>
    <m/>
    <m/>
    <m/>
    <m/>
    <m/>
    <m/>
    <m/>
    <m/>
    <m/>
    <m/>
    <m/>
    <n v="348.57648630330544"/>
    <n v="348.57648630330544"/>
    <x v="4"/>
    <x v="39"/>
  </r>
  <r>
    <x v="1"/>
    <x v="4"/>
    <n v="5"/>
    <s v="105194"/>
    <s v="Suntory Việt Nam"/>
    <x v="8"/>
    <x v="8"/>
    <s v="rPET"/>
    <s v="rPET"/>
    <x v="3"/>
    <s v="NĐ"/>
    <s v="(blank)"/>
    <x v="0"/>
    <n v="330000"/>
    <n v="12094104000"/>
    <n v="23261730"/>
    <n v="0"/>
    <n v="204166666.6666666"/>
    <n v="11688682513.333336"/>
    <m/>
    <m/>
    <m/>
    <m/>
    <m/>
    <m/>
    <m/>
    <m/>
    <m/>
    <m/>
    <m/>
    <n v="453421.45806347986"/>
    <n v="469148.36324761581"/>
    <x v="7"/>
    <x v="8"/>
  </r>
  <r>
    <x v="1"/>
    <x v="4"/>
    <n v="5"/>
    <s v="105194"/>
    <s v="Suntory Việt Nam"/>
    <x v="68"/>
    <x v="66"/>
    <s v="Khác"/>
    <s v="Khác"/>
    <x v="2"/>
    <s v="NĐ"/>
    <s v="(blank)"/>
    <x v="0"/>
    <n v="0"/>
    <n v="0"/>
    <n v="0"/>
    <n v="0"/>
    <n v="0"/>
    <n v="177993090"/>
    <m/>
    <m/>
    <m/>
    <m/>
    <m/>
    <m/>
    <m/>
    <m/>
    <m/>
    <m/>
    <m/>
    <n v="6904.6178900797931"/>
    <n v="0"/>
    <x v="7"/>
    <x v="68"/>
  </r>
  <r>
    <x v="1"/>
    <x v="4"/>
    <n v="5"/>
    <s v="105194"/>
    <s v="Suntory Việt Nam"/>
    <x v="97"/>
    <x v="95"/>
    <s v="Khác"/>
    <s v="Khác"/>
    <x v="2"/>
    <s v="NĐ"/>
    <s v="(blank)"/>
    <x v="4"/>
    <n v="0"/>
    <n v="-177993090"/>
    <n v="0"/>
    <n v="0"/>
    <n v="0"/>
    <n v="-177993090"/>
    <m/>
    <m/>
    <m/>
    <m/>
    <m/>
    <m/>
    <m/>
    <m/>
    <m/>
    <m/>
    <m/>
    <n v="-6904.6178900797904"/>
    <n v="-6904.6178900797904"/>
    <x v="7"/>
    <x v="97"/>
  </r>
  <r>
    <x v="1"/>
    <x v="4"/>
    <n v="5"/>
    <s v="105204"/>
    <s v="CTY NGỌC NGHĨA-TÂY NINH"/>
    <x v="8"/>
    <x v="8"/>
    <s v="rPET"/>
    <s v="rPET"/>
    <x v="3"/>
    <s v="NĐ"/>
    <s v="(blank)"/>
    <x v="0"/>
    <n v="2200"/>
    <n v="76626000"/>
    <n v="336996.43413729127"/>
    <n v="0"/>
    <n v="0"/>
    <n v="76289003.565862715"/>
    <m/>
    <m/>
    <m/>
    <m/>
    <m/>
    <m/>
    <m/>
    <m/>
    <m/>
    <m/>
    <m/>
    <n v="2959.3644272213983"/>
    <n v="2972.4370223880837"/>
    <x v="5"/>
    <x v="8"/>
  </r>
  <r>
    <x v="1"/>
    <x v="4"/>
    <n v="5"/>
    <s v="105204"/>
    <s v="CTY NGỌC NGHĨA-TÂY NINH"/>
    <x v="9"/>
    <x v="9"/>
    <s v="rPET"/>
    <s v="rPET"/>
    <x v="3"/>
    <s v="NĐ"/>
    <s v="(blank)"/>
    <x v="1"/>
    <n v="900"/>
    <n v="0"/>
    <n v="168498.21706864564"/>
    <n v="0"/>
    <n v="0"/>
    <n v="-168498.21706864564"/>
    <m/>
    <m/>
    <m/>
    <m/>
    <m/>
    <m/>
    <m/>
    <m/>
    <m/>
    <m/>
    <m/>
    <n v="-6.5362975833428081"/>
    <n v="0"/>
    <x v="5"/>
    <x v="9"/>
  </r>
  <r>
    <x v="1"/>
    <x v="4"/>
    <n v="5"/>
    <s v="105204"/>
    <s v="CTY NGỌC NGHĨA-TÂY NINH"/>
    <x v="9"/>
    <x v="9"/>
    <s v="rPET"/>
    <s v="rPET"/>
    <x v="3"/>
    <s v="NĐ"/>
    <s v="(blank)"/>
    <x v="0"/>
    <n v="28600"/>
    <n v="974001600"/>
    <n v="4380953.6437847866"/>
    <n v="0"/>
    <n v="3080000"/>
    <n v="966540646.35621512"/>
    <m/>
    <m/>
    <m/>
    <m/>
    <m/>
    <m/>
    <m/>
    <m/>
    <m/>
    <m/>
    <m/>
    <n v="37493.555723541904"/>
    <n v="37782.977262355198"/>
    <x v="5"/>
    <x v="9"/>
  </r>
  <r>
    <x v="1"/>
    <x v="4"/>
    <n v="5"/>
    <s v="105204"/>
    <s v="CTY NGỌC NGHĨA-TÂY NINH"/>
    <x v="9"/>
    <x v="9"/>
    <s v="rPET"/>
    <s v="rPET"/>
    <x v="3"/>
    <s v="NĐ"/>
    <s v="(blank)"/>
    <x v="2"/>
    <n v="-900"/>
    <n v="0"/>
    <n v="-168498.21706864564"/>
    <n v="0"/>
    <n v="0"/>
    <n v="168498.21706864564"/>
    <m/>
    <m/>
    <m/>
    <m/>
    <m/>
    <m/>
    <m/>
    <m/>
    <m/>
    <m/>
    <m/>
    <n v="6.5362975833428081"/>
    <n v="0"/>
    <x v="5"/>
    <x v="9"/>
  </r>
  <r>
    <x v="1"/>
    <x v="4"/>
    <n v="5"/>
    <s v="105207"/>
    <s v="Suntory Sri Thái Bình Dương"/>
    <x v="8"/>
    <x v="8"/>
    <s v="rPET"/>
    <s v="rPET"/>
    <x v="3"/>
    <s v="NĐ"/>
    <s v="(blank)"/>
    <x v="3"/>
    <n v="-40039.699999999997"/>
    <n v="-1425747651"/>
    <n v="0"/>
    <n v="0"/>
    <n v="0"/>
    <n v="-1404515849.325"/>
    <m/>
    <m/>
    <m/>
    <m/>
    <m/>
    <m/>
    <m/>
    <m/>
    <m/>
    <m/>
    <m/>
    <n v="-54483.268199625112"/>
    <n v="-55306.88150778124"/>
    <x v="7"/>
    <x v="8"/>
  </r>
  <r>
    <x v="1"/>
    <x v="4"/>
    <n v="5"/>
    <s v="105207"/>
    <s v="Suntory Sri Thái Bình Dương"/>
    <x v="68"/>
    <x v="66"/>
    <s v="Khác"/>
    <s v="Khác"/>
    <x v="2"/>
    <s v="NĐ"/>
    <s v="(blank)"/>
    <x v="0"/>
    <n v="0"/>
    <n v="0"/>
    <n v="0"/>
    <n v="0"/>
    <n v="0"/>
    <n v="-21231801.675000001"/>
    <m/>
    <m/>
    <m/>
    <m/>
    <m/>
    <m/>
    <m/>
    <m/>
    <m/>
    <m/>
    <m/>
    <n v="-823.61330815612632"/>
    <n v="0"/>
    <x v="7"/>
    <x v="68"/>
  </r>
  <r>
    <x v="1"/>
    <x v="4"/>
    <n v="5"/>
    <s v="105207"/>
    <s v="Suntory Sri Thái Bình Dương"/>
    <x v="27"/>
    <x v="25"/>
    <s v="Khác"/>
    <s v="Khác"/>
    <x v="2"/>
    <s v="NĐ"/>
    <s v="(blank)"/>
    <x v="0"/>
    <n v="0"/>
    <n v="9798750"/>
    <n v="0"/>
    <n v="0"/>
    <n v="0"/>
    <n v="9798750"/>
    <m/>
    <m/>
    <m/>
    <m/>
    <m/>
    <m/>
    <m/>
    <m/>
    <m/>
    <m/>
    <m/>
    <n v="380.10815223455791"/>
    <n v="380.10815223455791"/>
    <x v="7"/>
    <x v="27"/>
  </r>
  <r>
    <x v="1"/>
    <x v="4"/>
    <n v="5"/>
    <s v="105207"/>
    <s v="Suntory Sri Thái Bình Dương"/>
    <x v="97"/>
    <x v="95"/>
    <s v="Khác"/>
    <s v="Khác"/>
    <x v="2"/>
    <s v="NĐ"/>
    <s v="(blank)"/>
    <x v="4"/>
    <n v="0"/>
    <n v="21231802"/>
    <n v="0"/>
    <n v="0"/>
    <n v="0"/>
    <n v="21231802"/>
    <m/>
    <m/>
    <m/>
    <m/>
    <m/>
    <m/>
    <m/>
    <m/>
    <m/>
    <m/>
    <m/>
    <n v="823.6133207633618"/>
    <n v="823.6133207633618"/>
    <x v="7"/>
    <x v="97"/>
  </r>
  <r>
    <x v="1"/>
    <x v="4"/>
    <n v="5"/>
    <s v="105209"/>
    <s v="Công ty TNHH MTV Đồng Lâm"/>
    <x v="35"/>
    <x v="33"/>
    <s v="Khác"/>
    <s v="Khác"/>
    <x v="2"/>
    <s v="NĐ"/>
    <s v="(blank)"/>
    <x v="0"/>
    <n v="0"/>
    <n v="12000000"/>
    <n v="0"/>
    <n v="0"/>
    <n v="0"/>
    <n v="12000000"/>
    <m/>
    <m/>
    <m/>
    <m/>
    <m/>
    <m/>
    <m/>
    <m/>
    <m/>
    <m/>
    <m/>
    <n v="465.49792849237866"/>
    <n v="465.49792849237866"/>
    <x v="17"/>
    <x v="35"/>
  </r>
  <r>
    <x v="1"/>
    <x v="4"/>
    <n v="5"/>
    <s v="105214"/>
    <s v="Người mua hàng không lấy hóa đơn"/>
    <x v="27"/>
    <x v="25"/>
    <s v="Khác"/>
    <s v="Khác"/>
    <x v="2"/>
    <s v="NĐ"/>
    <s v="(blank)"/>
    <x v="0"/>
    <n v="0"/>
    <n v="100005050"/>
    <n v="0"/>
    <n v="0"/>
    <n v="0"/>
    <n v="100005050"/>
    <m/>
    <m/>
    <m/>
    <m/>
    <m/>
    <m/>
    <m/>
    <m/>
    <m/>
    <m/>
    <m/>
    <n v="3879.3453011480633"/>
    <n v="3879.3453011480633"/>
    <x v="9"/>
    <x v="27"/>
  </r>
  <r>
    <x v="1"/>
    <x v="4"/>
    <n v="5"/>
    <s v="105223"/>
    <s v="Dynaplast Bắc Ninh"/>
    <x v="1"/>
    <x v="1"/>
    <s v="rHDPE"/>
    <s v="rHDPE thổi"/>
    <x v="0"/>
    <s v="NĐ"/>
    <s v="(blank)"/>
    <x v="0"/>
    <n v="24750"/>
    <n v="877041000"/>
    <n v="0"/>
    <n v="0"/>
    <n v="17870370.370370369"/>
    <n v="859170629.62962961"/>
    <m/>
    <m/>
    <m/>
    <m/>
    <m/>
    <m/>
    <m/>
    <m/>
    <m/>
    <m/>
    <m/>
    <n v="33328.512359507105"/>
    <n v="34021.730725240355"/>
    <x v="2"/>
    <x v="1"/>
  </r>
  <r>
    <x v="1"/>
    <x v="4"/>
    <n v="5"/>
    <s v="105229"/>
    <s v="GIA TƯỜNG"/>
    <x v="44"/>
    <x v="42"/>
    <s v="GC"/>
    <s v="GC"/>
    <x v="10"/>
    <s v="NĐ"/>
    <s v="(blank)"/>
    <x v="0"/>
    <n v="80000"/>
    <n v="1360000000"/>
    <n v="0"/>
    <n v="96000000"/>
    <n v="0"/>
    <n v="1264000000"/>
    <m/>
    <m/>
    <m/>
    <m/>
    <m/>
    <m/>
    <m/>
    <m/>
    <m/>
    <m/>
    <m/>
    <n v="49032.448467863884"/>
    <n v="52756.431895802911"/>
    <x v="24"/>
    <x v="44"/>
  </r>
  <r>
    <x v="1"/>
    <x v="4"/>
    <n v="5"/>
    <s v="105243"/>
    <s v="Unilever"/>
    <x v="93"/>
    <x v="91"/>
    <s v="Khác"/>
    <s v="Khác"/>
    <x v="2"/>
    <s v="NĐ"/>
    <s v="(blank)"/>
    <x v="0"/>
    <n v="0"/>
    <n v="405000000"/>
    <n v="0"/>
    <n v="0"/>
    <n v="0"/>
    <n v="405000000"/>
    <m/>
    <m/>
    <m/>
    <m/>
    <m/>
    <m/>
    <m/>
    <m/>
    <m/>
    <m/>
    <m/>
    <n v="15710.555086617778"/>
    <n v="15710.555086617778"/>
    <x v="2"/>
    <x v="93"/>
  </r>
  <r>
    <x v="1"/>
    <x v="4"/>
    <n v="5"/>
    <s v="105247"/>
    <s v="MINH THÀNH"/>
    <x v="29"/>
    <x v="27"/>
    <s v="Khác"/>
    <s v="Phó sản"/>
    <x v="5"/>
    <s v="NĐ"/>
    <s v="(blank)"/>
    <x v="0"/>
    <n v="16484"/>
    <n v="324474200"/>
    <n v="0"/>
    <n v="0"/>
    <n v="0"/>
    <n v="324474200"/>
    <m/>
    <m/>
    <m/>
    <m/>
    <m/>
    <m/>
    <m/>
    <m/>
    <m/>
    <m/>
    <m/>
    <n v="12586.838995768479"/>
    <n v="12586.838995768479"/>
    <x v="10"/>
    <x v="29"/>
  </r>
  <r>
    <x v="1"/>
    <x v="4"/>
    <n v="5"/>
    <s v="105247"/>
    <s v="MINH THÀNH"/>
    <x v="79"/>
    <x v="77"/>
    <s v="Khác"/>
    <s v="Phó sản"/>
    <x v="5"/>
    <s v="NĐ"/>
    <s v="(blank)"/>
    <x v="0"/>
    <n v="7918"/>
    <n v="153556400"/>
    <n v="0"/>
    <n v="0"/>
    <n v="0"/>
    <n v="153556400"/>
    <m/>
    <m/>
    <m/>
    <m/>
    <m/>
    <m/>
    <m/>
    <m/>
    <m/>
    <m/>
    <m/>
    <n v="5956.6821755622577"/>
    <n v="5956.6821755622577"/>
    <x v="10"/>
    <x v="79"/>
  </r>
  <r>
    <x v="1"/>
    <x v="4"/>
    <n v="5"/>
    <s v="105247"/>
    <s v="MINH THÀNH"/>
    <x v="106"/>
    <x v="104"/>
    <s v="Khác"/>
    <s v="Phó sản"/>
    <x v="5"/>
    <s v="NĐ"/>
    <s v="(blank)"/>
    <x v="0"/>
    <n v="4050"/>
    <n v="76950000"/>
    <n v="0"/>
    <n v="0"/>
    <n v="0"/>
    <n v="76950000"/>
    <m/>
    <m/>
    <m/>
    <m/>
    <m/>
    <m/>
    <m/>
    <m/>
    <m/>
    <m/>
    <m/>
    <n v="2985.0054664573781"/>
    <n v="2985.0054664573781"/>
    <x v="10"/>
    <x v="106"/>
  </r>
  <r>
    <x v="1"/>
    <x v="4"/>
    <n v="5"/>
    <s v="105248"/>
    <s v="ĐẠI NHẤT LONG"/>
    <x v="51"/>
    <x v="49"/>
    <s v="rHDPE"/>
    <s v="rHDPE ép"/>
    <x v="1"/>
    <s v="NĐ"/>
    <s v="(blank)"/>
    <x v="0"/>
    <n v="5250"/>
    <n v="87499999.999999985"/>
    <n v="1179487.5194805195"/>
    <n v="0"/>
    <n v="0"/>
    <n v="86320512.480519459"/>
    <m/>
    <m/>
    <m/>
    <m/>
    <m/>
    <m/>
    <m/>
    <m/>
    <m/>
    <m/>
    <m/>
    <n v="3348.5016455068603"/>
    <n v="3394.2557285902603"/>
    <x v="27"/>
    <x v="51"/>
  </r>
  <r>
    <x v="1"/>
    <x v="4"/>
    <n v="5"/>
    <s v="105248"/>
    <s v="ĐẠI NHẤT LONG"/>
    <x v="31"/>
    <x v="29"/>
    <s v="rPP"/>
    <s v="rPP"/>
    <x v="6"/>
    <s v="NĐ"/>
    <s v="(blank)"/>
    <x v="0"/>
    <n v="20250"/>
    <n v="365625000"/>
    <n v="4549451.8608534317"/>
    <n v="0"/>
    <n v="0"/>
    <n v="361075548.13914651"/>
    <m/>
    <m/>
    <m/>
    <m/>
    <m/>
    <m/>
    <m/>
    <m/>
    <m/>
    <m/>
    <m/>
    <n v="14006.659974001903"/>
    <n v="14183.140008752162"/>
    <x v="27"/>
    <x v="31"/>
  </r>
  <r>
    <x v="1"/>
    <x v="4"/>
    <n v="5"/>
    <s v="105263"/>
    <s v="Unilever Duy Tân"/>
    <x v="1"/>
    <x v="1"/>
    <s v="rHDPE"/>
    <s v="rHDPE thổi"/>
    <x v="0"/>
    <s v="NĐ"/>
    <s v="(blank)"/>
    <x v="0"/>
    <n v="77000"/>
    <n v="2666317500"/>
    <n v="0"/>
    <n v="0"/>
    <n v="0"/>
    <n v="2666317500"/>
    <m/>
    <m/>
    <m/>
    <m/>
    <m/>
    <m/>
    <m/>
    <m/>
    <m/>
    <m/>
    <m/>
    <n v="103430.43941274812"/>
    <n v="103430.43941274812"/>
    <x v="2"/>
    <x v="1"/>
  </r>
  <r>
    <x v="1"/>
    <x v="4"/>
    <n v="5"/>
    <s v="105263"/>
    <s v="Unilever Duy Tân"/>
    <x v="9"/>
    <x v="9"/>
    <s v="rPET"/>
    <s v="rPET"/>
    <x v="3"/>
    <s v="NĐ"/>
    <s v="(blank)"/>
    <x v="0"/>
    <n v="22000"/>
    <n v="705386000"/>
    <n v="3369964.3413729127"/>
    <n v="0"/>
    <n v="0"/>
    <n v="702016035.65862703"/>
    <m/>
    <m/>
    <m/>
    <m/>
    <m/>
    <m/>
    <m/>
    <m/>
    <m/>
    <m/>
    <m/>
    <n v="27232.250863960224"/>
    <n v="27362.976815627084"/>
    <x v="2"/>
    <x v="9"/>
  </r>
  <r>
    <x v="1"/>
    <x v="4"/>
    <n v="5"/>
    <s v="105263"/>
    <s v="Unilever Duy Tân"/>
    <x v="6"/>
    <x v="6"/>
    <s v="rHDPE"/>
    <s v="rHDPE thổi"/>
    <x v="0"/>
    <s v="NĐ"/>
    <s v="(blank)"/>
    <x v="0"/>
    <n v="5500"/>
    <n v="183397500"/>
    <n v="0"/>
    <n v="0"/>
    <n v="0"/>
    <n v="183397500"/>
    <m/>
    <m/>
    <m/>
    <m/>
    <m/>
    <m/>
    <m/>
    <m/>
    <m/>
    <m/>
    <m/>
    <n v="7114.2630283900844"/>
    <n v="7114.2630283900844"/>
    <x v="2"/>
    <x v="6"/>
  </r>
  <r>
    <x v="1"/>
    <x v="4"/>
    <n v="5"/>
    <s v="105263"/>
    <s v="Unilever Duy Tân"/>
    <x v="50"/>
    <x v="48"/>
    <s v="rHDPE"/>
    <s v="rHDPE thổi"/>
    <x v="0"/>
    <s v="NĐ"/>
    <s v="(blank)"/>
    <x v="0"/>
    <n v="33000"/>
    <n v="1100385000"/>
    <n v="0"/>
    <n v="0"/>
    <n v="0"/>
    <n v="1100385000"/>
    <m/>
    <m/>
    <m/>
    <m/>
    <m/>
    <m/>
    <m/>
    <m/>
    <m/>
    <m/>
    <m/>
    <n v="42685.578170340508"/>
    <n v="42685.578170340508"/>
    <x v="2"/>
    <x v="50"/>
  </r>
  <r>
    <x v="1"/>
    <x v="4"/>
    <n v="5"/>
    <s v="105263"/>
    <s v="Unilever Duy Tân"/>
    <x v="83"/>
    <x v="81"/>
    <s v="rHDPE"/>
    <s v="rHDPE thổi"/>
    <x v="0"/>
    <s v="NĐ"/>
    <s v="(blank)"/>
    <x v="0"/>
    <n v="11000"/>
    <n v="380902500"/>
    <n v="0"/>
    <n v="0"/>
    <n v="0"/>
    <n v="380902500"/>
    <m/>
    <m/>
    <m/>
    <m/>
    <m/>
    <m/>
    <m/>
    <m/>
    <m/>
    <m/>
    <m/>
    <n v="14775.77705896402"/>
    <n v="14775.77705896402"/>
    <x v="2"/>
    <x v="83"/>
  </r>
  <r>
    <x v="1"/>
    <x v="4"/>
    <n v="5"/>
    <s v="105271"/>
    <s v="Suntory- Ngọc Nghĩa Tây Ninh"/>
    <x v="8"/>
    <x v="8"/>
    <s v="rPET"/>
    <s v="rPET"/>
    <x v="3"/>
    <s v="NĐ"/>
    <s v="(blank)"/>
    <x v="0"/>
    <n v="44000"/>
    <n v="1593809800"/>
    <n v="6739928.6827458255"/>
    <n v="0"/>
    <n v="6160000"/>
    <n v="1557174423.3172541"/>
    <m/>
    <m/>
    <m/>
    <m/>
    <m/>
    <m/>
    <m/>
    <m/>
    <m/>
    <m/>
    <m/>
    <n v="60405.122362958005"/>
    <n v="61826.263359237695"/>
    <x v="7"/>
    <x v="8"/>
  </r>
  <r>
    <x v="1"/>
    <x v="4"/>
    <n v="5"/>
    <s v="105271"/>
    <s v="Suntory- Ngọc Nghĩa Tây Ninh"/>
    <x v="68"/>
    <x v="66"/>
    <s v="Khác"/>
    <s v="Khác"/>
    <x v="2"/>
    <s v="NĐ"/>
    <s v="(blank)"/>
    <x v="0"/>
    <n v="0"/>
    <n v="0"/>
    <n v="0"/>
    <n v="0"/>
    <n v="0"/>
    <n v="23735448"/>
    <m/>
    <m/>
    <m/>
    <m/>
    <m/>
    <m/>
    <m/>
    <m/>
    <m/>
    <m/>
    <m/>
    <n v="920.73348965321429"/>
    <n v="0"/>
    <x v="7"/>
    <x v="68"/>
  </r>
  <r>
    <x v="1"/>
    <x v="4"/>
    <n v="5"/>
    <s v="105271"/>
    <s v="Suntory- Ngọc Nghĩa Tây Ninh"/>
    <x v="97"/>
    <x v="95"/>
    <s v="Khác"/>
    <s v="Khác"/>
    <x v="2"/>
    <s v="NĐ"/>
    <s v="(blank)"/>
    <x v="4"/>
    <n v="0"/>
    <n v="-23735448"/>
    <n v="0"/>
    <n v="0"/>
    <n v="0"/>
    <n v="-23735448"/>
    <m/>
    <m/>
    <m/>
    <m/>
    <m/>
    <m/>
    <m/>
    <m/>
    <m/>
    <m/>
    <m/>
    <n v="-920.73348965321429"/>
    <n v="-920.73348965321429"/>
    <x v="7"/>
    <x v="97"/>
  </r>
  <r>
    <x v="1"/>
    <x v="4"/>
    <n v="5"/>
    <s v="105281"/>
    <s v="Plascene- DTP"/>
    <x v="9"/>
    <x v="9"/>
    <s v="rPET"/>
    <s v="rPET"/>
    <x v="3"/>
    <s v="NĐ"/>
    <s v="(blank)"/>
    <x v="0"/>
    <n v="64900"/>
    <n v="2106692500"/>
    <n v="9941394.807050094"/>
    <n v="0"/>
    <n v="0"/>
    <n v="2096751105.1929498"/>
    <m/>
    <m/>
    <m/>
    <m/>
    <m/>
    <m/>
    <m/>
    <m/>
    <m/>
    <m/>
    <m/>
    <n v="81336.108002618625"/>
    <n v="81721.749560035852"/>
    <x v="54"/>
    <x v="9"/>
  </r>
  <r>
    <x v="1"/>
    <x v="4"/>
    <n v="5"/>
    <s v="105284"/>
    <s v="Motul -DTP"/>
    <x v="63"/>
    <x v="61"/>
    <s v="rHDPE"/>
    <s v="rHDPE thổi"/>
    <x v="0"/>
    <s v="NĐ"/>
    <s v="(blank)"/>
    <x v="0"/>
    <n v="33000"/>
    <n v="1068237500"/>
    <n v="0"/>
    <n v="0"/>
    <n v="0"/>
    <n v="1068237500"/>
    <m/>
    <m/>
    <m/>
    <m/>
    <m/>
    <m/>
    <m/>
    <m/>
    <m/>
    <m/>
    <m/>
    <n v="41438.52861565644"/>
    <n v="41438.52861565644"/>
    <x v="59"/>
    <x v="63"/>
  </r>
  <r>
    <x v="1"/>
    <x v="4"/>
    <n v="5"/>
    <s v="105286"/>
    <s v="MONDELEZ-VIỆT THÀNH"/>
    <x v="33"/>
    <x v="31"/>
    <s v="rPET"/>
    <s v="rPET"/>
    <x v="3"/>
    <s v="NĐ"/>
    <s v="(blank)"/>
    <x v="0"/>
    <n v="11000"/>
    <n v="373786600"/>
    <n v="1684982.1706864564"/>
    <n v="0"/>
    <n v="0"/>
    <n v="372101617.82931352"/>
    <m/>
    <m/>
    <m/>
    <m/>
    <m/>
    <m/>
    <m/>
    <m/>
    <m/>
    <m/>
    <m/>
    <n v="14434.377690684016"/>
    <n v="14499.740666517444"/>
    <x v="88"/>
    <x v="33"/>
  </r>
  <r>
    <x v="1"/>
    <x v="4"/>
    <n v="5"/>
    <s v="105290"/>
    <s v="HOÀNG TẤN"/>
    <x v="119"/>
    <x v="117"/>
    <s v="rLDPE"/>
    <s v="rLDPE"/>
    <x v="14"/>
    <s v="NĐ"/>
    <s v="(blank)"/>
    <x v="0"/>
    <n v="3839"/>
    <n v="56874074"/>
    <n v="0"/>
    <n v="0"/>
    <n v="0"/>
    <n v="56874074"/>
    <m/>
    <m/>
    <m/>
    <m/>
    <m/>
    <m/>
    <m/>
    <m/>
    <m/>
    <m/>
    <m/>
    <n v="2206.2303026601876"/>
    <n v="2206.2303026601876"/>
    <x v="66"/>
    <x v="119"/>
  </r>
  <r>
    <x v="1"/>
    <x v="4"/>
    <n v="5"/>
    <s v="105290"/>
    <s v="HOÀNG TẤN"/>
    <x v="76"/>
    <x v="74"/>
    <s v="Khác"/>
    <s v="Phó sản"/>
    <x v="5"/>
    <s v="NĐ"/>
    <s v="(blank)"/>
    <x v="0"/>
    <n v="6547"/>
    <n v="32735000"/>
    <n v="0"/>
    <n v="0"/>
    <n v="0"/>
    <n v="32735000"/>
    <m/>
    <m/>
    <m/>
    <m/>
    <m/>
    <m/>
    <m/>
    <m/>
    <m/>
    <m/>
    <m/>
    <n v="1269.839557433168"/>
    <n v="1269.839557433168"/>
    <x v="66"/>
    <x v="76"/>
  </r>
  <r>
    <x v="1"/>
    <x v="4"/>
    <n v="5"/>
    <s v="105290"/>
    <s v="HOÀNG TẤN"/>
    <x v="77"/>
    <x v="75"/>
    <s v="Khác"/>
    <s v="Phó sản"/>
    <x v="5"/>
    <s v="NĐ"/>
    <s v="(blank)"/>
    <x v="0"/>
    <n v="26737"/>
    <n v="133685000"/>
    <n v="0"/>
    <n v="0"/>
    <n v="0"/>
    <n v="133685000"/>
    <m/>
    <m/>
    <m/>
    <m/>
    <m/>
    <m/>
    <m/>
    <m/>
    <m/>
    <m/>
    <m/>
    <n v="5185.8408808753038"/>
    <n v="5185.8408808753038"/>
    <x v="66"/>
    <x v="77"/>
  </r>
  <r>
    <x v="1"/>
    <x v="4"/>
    <n v="5"/>
    <s v="105290"/>
    <s v="HOÀNG TẤN"/>
    <x v="78"/>
    <x v="76"/>
    <s v="Khác"/>
    <s v="Phó sản"/>
    <x v="5"/>
    <s v="NĐ"/>
    <s v="(blank)"/>
    <x v="0"/>
    <n v="38593"/>
    <n v="192965000"/>
    <n v="0"/>
    <n v="0"/>
    <n v="0"/>
    <n v="192965000"/>
    <m/>
    <m/>
    <m/>
    <m/>
    <m/>
    <m/>
    <m/>
    <m/>
    <m/>
    <m/>
    <m/>
    <n v="7485.4006476276536"/>
    <n v="7485.4006476276536"/>
    <x v="66"/>
    <x v="78"/>
  </r>
  <r>
    <x v="1"/>
    <x v="4"/>
    <n v="5"/>
    <s v="105290"/>
    <s v="HOÀNG TẤN"/>
    <x v="96"/>
    <x v="94"/>
    <s v="Khác"/>
    <s v="Phó sản"/>
    <x v="5"/>
    <s v="NĐ"/>
    <s v="(blank)"/>
    <x v="0"/>
    <n v="15761"/>
    <n v="31522000"/>
    <n v="0"/>
    <n v="0"/>
    <n v="0"/>
    <n v="31522000"/>
    <m/>
    <m/>
    <m/>
    <m/>
    <m/>
    <m/>
    <m/>
    <m/>
    <m/>
    <m/>
    <m/>
    <n v="1222.7854751613968"/>
    <n v="1222.7854751613968"/>
    <x v="66"/>
    <x v="96"/>
  </r>
  <r>
    <x v="1"/>
    <x v="4"/>
    <n v="5"/>
    <s v="105291"/>
    <s v="AN NHẬT"/>
    <x v="9"/>
    <x v="9"/>
    <s v="rPET"/>
    <s v="rPET"/>
    <x v="3"/>
    <s v="NĐ"/>
    <s v="(blank)"/>
    <x v="0"/>
    <n v="5500"/>
    <n v="183159717"/>
    <n v="842491.08534322819"/>
    <n v="0"/>
    <n v="0"/>
    <n v="182317225.91465676"/>
    <m/>
    <m/>
    <m/>
    <m/>
    <m/>
    <m/>
    <m/>
    <m/>
    <m/>
    <m/>
    <m/>
    <n v="7072.3575826458109"/>
    <n v="7105.0390705625259"/>
    <x v="67"/>
    <x v="9"/>
  </r>
  <r>
    <x v="1"/>
    <x v="4"/>
    <n v="5"/>
    <s v="105301"/>
    <s v="TÂN TƯỜNG KHANG"/>
    <x v="58"/>
    <x v="56"/>
    <s v="rPET"/>
    <s v="rPET"/>
    <x v="3"/>
    <s v="NĐ"/>
    <s v="(blank)"/>
    <x v="0"/>
    <n v="11000"/>
    <n v="339946200"/>
    <n v="1684982.1706864564"/>
    <n v="0"/>
    <n v="0"/>
    <n v="338261217.82931352"/>
    <m/>
    <m/>
    <m/>
    <m/>
    <m/>
    <m/>
    <m/>
    <m/>
    <m/>
    <m/>
    <m/>
    <n v="13121.658015737892"/>
    <n v="13187.02099157132"/>
    <x v="83"/>
    <x v="58"/>
  </r>
  <r>
    <x v="1"/>
    <x v="4"/>
    <n v="5"/>
    <s v="105322"/>
    <s v="PHÚC LONG TÂY NINH"/>
    <x v="29"/>
    <x v="27"/>
    <s v="Khác"/>
    <s v="Phó sản"/>
    <x v="5"/>
    <s v="NĐ"/>
    <s v="(blank)"/>
    <x v="0"/>
    <n v="2504"/>
    <n v="48828000"/>
    <n v="0"/>
    <n v="0"/>
    <n v="0"/>
    <n v="48828000"/>
    <m/>
    <m/>
    <m/>
    <m/>
    <m/>
    <m/>
    <m/>
    <m/>
    <m/>
    <m/>
    <m/>
    <n v="1894.1110710354887"/>
    <n v="1894.1110710354887"/>
    <x v="105"/>
    <x v="29"/>
  </r>
  <r>
    <x v="1"/>
    <x v="4"/>
    <n v="5"/>
    <s v="105322"/>
    <s v="PHÚC LONG TÂY NINH"/>
    <x v="79"/>
    <x v="77"/>
    <s v="Khác"/>
    <s v="Phó sản"/>
    <x v="5"/>
    <s v="NĐ"/>
    <s v="(blank)"/>
    <x v="0"/>
    <n v="626"/>
    <n v="11984500"/>
    <n v="0"/>
    <n v="0"/>
    <n v="0"/>
    <n v="11984500"/>
    <m/>
    <m/>
    <m/>
    <m/>
    <m/>
    <m/>
    <m/>
    <m/>
    <m/>
    <m/>
    <m/>
    <n v="464.89666033474265"/>
    <n v="464.89666033474265"/>
    <x v="105"/>
    <x v="79"/>
  </r>
  <r>
    <x v="1"/>
    <x v="4"/>
    <n v="5"/>
    <s v="105322"/>
    <s v="PHÚC LONG TÂY NINH"/>
    <x v="106"/>
    <x v="104"/>
    <s v="Khác"/>
    <s v="Phó sản"/>
    <x v="5"/>
    <s v="NĐ"/>
    <s v="(blank)"/>
    <x v="0"/>
    <n v="516"/>
    <n v="9804000"/>
    <n v="0"/>
    <n v="0"/>
    <n v="0"/>
    <n v="9804000"/>
    <m/>
    <m/>
    <m/>
    <m/>
    <m/>
    <m/>
    <m/>
    <m/>
    <m/>
    <m/>
    <m/>
    <n v="380.31180757827337"/>
    <n v="380.31180757827337"/>
    <x v="105"/>
    <x v="106"/>
  </r>
  <r>
    <x v="1"/>
    <x v="4"/>
    <n v="5"/>
    <s v="105324"/>
    <s v="NHỰA TRƯỜNG AN"/>
    <x v="51"/>
    <x v="49"/>
    <s v="rHDPE"/>
    <s v="rHDPE ép"/>
    <x v="1"/>
    <s v="NĐ"/>
    <s v="(blank)"/>
    <x v="0"/>
    <n v="14250"/>
    <n v="221944445"/>
    <n v="3201466.1243042671"/>
    <n v="0"/>
    <n v="0"/>
    <n v="218742978.87569577"/>
    <m/>
    <m/>
    <m/>
    <m/>
    <m/>
    <m/>
    <m/>
    <m/>
    <m/>
    <m/>
    <m/>
    <n v="8485.3669615740419"/>
    <n v="8609.5566156575551"/>
    <x v="106"/>
    <x v="51"/>
  </r>
  <r>
    <x v="1"/>
    <x v="4"/>
    <n v="5"/>
    <s v="105324"/>
    <s v="NHỰA TRƯỜNG AN"/>
    <x v="46"/>
    <x v="44"/>
    <s v="rHDPE"/>
    <s v="rHDPE ép"/>
    <x v="1"/>
    <s v="NĐ"/>
    <s v="(blank)"/>
    <x v="0"/>
    <n v="3000"/>
    <n v="45000000"/>
    <n v="673992.86827458255"/>
    <n v="0"/>
    <n v="0"/>
    <n v="44326007.131725416"/>
    <m/>
    <m/>
    <m/>
    <m/>
    <m/>
    <m/>
    <m/>
    <m/>
    <m/>
    <m/>
    <m/>
    <n v="1719.4720415130487"/>
    <n v="1745.6172318464198"/>
    <x v="106"/>
    <x v="46"/>
  </r>
  <r>
    <x v="1"/>
    <x v="4"/>
    <n v="5"/>
    <s v="105333"/>
    <s v="LƯỚI BẢO NÔNG"/>
    <x v="30"/>
    <x v="28"/>
    <s v="rHDPE"/>
    <s v="rHDPE ép"/>
    <x v="1"/>
    <s v="NĐ"/>
    <s v="(blank)"/>
    <x v="0"/>
    <n v="15750"/>
    <n v="244125000"/>
    <n v="3538462.5584415584"/>
    <n v="0"/>
    <n v="0"/>
    <n v="240586537.44155842"/>
    <m/>
    <m/>
    <m/>
    <m/>
    <m/>
    <m/>
    <m/>
    <m/>
    <m/>
    <m/>
    <m/>
    <n v="9332.7112335166275"/>
    <n v="9469.9734827668271"/>
    <x v="125"/>
    <x v="30"/>
  </r>
  <r>
    <x v="1"/>
    <x v="4"/>
    <n v="5"/>
    <s v="105333"/>
    <s v="LƯỚI BẢO NÔNG"/>
    <x v="52"/>
    <x v="50"/>
    <s v="rHDPE"/>
    <s v="rHDPE ép"/>
    <x v="1"/>
    <s v="NĐ"/>
    <s v="(blank)"/>
    <x v="0"/>
    <n v="10500"/>
    <n v="162750000"/>
    <n v="2358975.0389610389"/>
    <n v="0"/>
    <n v="0"/>
    <n v="160391024.96103895"/>
    <m/>
    <m/>
    <m/>
    <m/>
    <m/>
    <m/>
    <m/>
    <m/>
    <m/>
    <m/>
    <m/>
    <n v="6221.8074890110856"/>
    <n v="6313.3156551778848"/>
    <x v="125"/>
    <x v="52"/>
  </r>
  <r>
    <x v="1"/>
    <x v="4"/>
    <n v="5"/>
    <s v="105339"/>
    <s v="HUY THÀNH"/>
    <x v="5"/>
    <x v="5"/>
    <s v="rHDPE"/>
    <s v="rHDPE ép"/>
    <x v="1"/>
    <s v="NĐ"/>
    <s v="(blank)"/>
    <x v="0"/>
    <n v="35750"/>
    <n v="681236110"/>
    <n v="0"/>
    <n v="35750000"/>
    <n v="3200000.0000000005"/>
    <n v="642286110"/>
    <m/>
    <m/>
    <m/>
    <m/>
    <m/>
    <m/>
    <m/>
    <m/>
    <m/>
    <m/>
    <m/>
    <n v="24915.237808702335"/>
    <n v="26426.166501600517"/>
    <x v="138"/>
    <x v="5"/>
  </r>
  <r>
    <x v="1"/>
    <x v="4"/>
    <n v="5"/>
    <s v="105339"/>
    <s v="HUY THÀNH"/>
    <x v="51"/>
    <x v="49"/>
    <s v="rHDPE"/>
    <s v="rHDPE ép"/>
    <x v="1"/>
    <s v="NĐ"/>
    <s v="(blank)"/>
    <x v="0"/>
    <n v="15000"/>
    <n v="256944444"/>
    <n v="3369964.3413729127"/>
    <n v="15000000"/>
    <n v="0"/>
    <n v="238574479.65862709"/>
    <m/>
    <m/>
    <m/>
    <m/>
    <m/>
    <m/>
    <m/>
    <m/>
    <m/>
    <m/>
    <m/>
    <n v="9254.6605060198362"/>
    <n v="9967.2588683021659"/>
    <x v="138"/>
    <x v="51"/>
  </r>
  <r>
    <x v="1"/>
    <x v="4"/>
    <n v="5"/>
    <s v="105339"/>
    <s v="HUY THÀNH"/>
    <x v="46"/>
    <x v="44"/>
    <s v="rHDPE"/>
    <s v="rHDPE ép"/>
    <x v="1"/>
    <s v="NĐ"/>
    <s v="(blank)"/>
    <x v="0"/>
    <n v="25500"/>
    <n v="438633332"/>
    <n v="5728939.3803339526"/>
    <n v="26550000"/>
    <n v="0"/>
    <n v="406354392.61966598"/>
    <m/>
    <m/>
    <m/>
    <m/>
    <m/>
    <m/>
    <m/>
    <m/>
    <m/>
    <m/>
    <m/>
    <n v="15763.093999852768"/>
    <n v="17015.242284475815"/>
    <x v="138"/>
    <x v="46"/>
  </r>
  <r>
    <x v="1"/>
    <x v="4"/>
    <n v="5"/>
    <s v="105339"/>
    <s v="HUY THÀNH"/>
    <x v="52"/>
    <x v="50"/>
    <s v="rHDPE"/>
    <s v="rHDPE ép"/>
    <x v="1"/>
    <s v="NĐ"/>
    <s v="(blank)"/>
    <x v="0"/>
    <n v="5250"/>
    <n v="89930556"/>
    <n v="1179487.5194805195"/>
    <n v="5250000"/>
    <n v="0"/>
    <n v="83501068.480519474"/>
    <m/>
    <m/>
    <m/>
    <m/>
    <m/>
    <m/>
    <m/>
    <m/>
    <m/>
    <m/>
    <m/>
    <n v="3239.1312003818389"/>
    <n v="3488.5406271806542"/>
    <x v="138"/>
    <x v="52"/>
  </r>
  <r>
    <x v="1"/>
    <x v="4"/>
    <n v="5"/>
    <s v="105350"/>
    <s v="Suntory - Ngọc Nghĩa Hưng Yên"/>
    <x v="39"/>
    <x v="37"/>
    <s v="Khác"/>
    <s v="Khác"/>
    <x v="8"/>
    <s v="NĐ"/>
    <s v="(blank)"/>
    <x v="0"/>
    <n v="0"/>
    <n v="0"/>
    <n v="0"/>
    <n v="0"/>
    <n v="4420000"/>
    <n v="-4420000"/>
    <m/>
    <m/>
    <m/>
    <m/>
    <m/>
    <m/>
    <m/>
    <m/>
    <m/>
    <m/>
    <m/>
    <n v="-171.45840366135945"/>
    <n v="0"/>
    <x v="7"/>
    <x v="39"/>
  </r>
  <r>
    <x v="1"/>
    <x v="4"/>
    <n v="5"/>
    <s v="105351"/>
    <s v="ĐÔ THÀNH"/>
    <x v="9"/>
    <x v="9"/>
    <s v="rPET"/>
    <s v="rPET"/>
    <x v="3"/>
    <s v="NĐ"/>
    <s v="(blank)"/>
    <x v="0"/>
    <n v="3300"/>
    <n v="111222222"/>
    <n v="505494.65120593691"/>
    <n v="0"/>
    <n v="0"/>
    <n v="110716727.34879406"/>
    <m/>
    <m/>
    <m/>
    <m/>
    <m/>
    <m/>
    <m/>
    <m/>
    <m/>
    <m/>
    <m/>
    <n v="4294.8672691932597"/>
    <n v="4314.4761619432884"/>
    <x v="165"/>
    <x v="9"/>
  </r>
  <r>
    <x v="1"/>
    <x v="4"/>
    <n v="5"/>
    <s v="1388190100"/>
    <s v="Phải thu khác-T/gian"/>
    <x v="27"/>
    <x v="25"/>
    <s v="Khác"/>
    <s v="Khác"/>
    <x v="2"/>
    <s v="NĐ"/>
    <s v="(blank)"/>
    <x v="0"/>
    <n v="0"/>
    <n v="0"/>
    <n v="0"/>
    <n v="0"/>
    <n v="0"/>
    <n v="0"/>
    <m/>
    <m/>
    <m/>
    <m/>
    <m/>
    <m/>
    <m/>
    <m/>
    <m/>
    <m/>
    <m/>
    <n v="0"/>
    <n v="0"/>
    <x v="98"/>
    <x v="27"/>
  </r>
  <r>
    <x v="1"/>
    <x v="4"/>
    <n v="5"/>
    <s v="1521000100"/>
    <s v="Nguyên liệu chính"/>
    <x v="41"/>
    <x v="39"/>
    <s v="Khác"/>
    <s v="Khác"/>
    <x v="2"/>
    <s v="NĐ"/>
    <s v="(blank)"/>
    <x v="0"/>
    <n v="0"/>
    <n v="0"/>
    <n v="0"/>
    <n v="0"/>
    <n v="0"/>
    <n v="0"/>
    <m/>
    <m/>
    <m/>
    <m/>
    <m/>
    <m/>
    <m/>
    <m/>
    <m/>
    <m/>
    <m/>
    <n v="0"/>
    <n v="0"/>
    <x v="166"/>
    <x v="41"/>
  </r>
  <r>
    <x v="1"/>
    <x v="4"/>
    <n v="5"/>
    <s v="1522000100"/>
    <s v="Nhiên liệu"/>
    <x v="41"/>
    <x v="39"/>
    <s v="Khác"/>
    <s v="Khác"/>
    <x v="2"/>
    <s v="NĐ"/>
    <s v="(blank)"/>
    <x v="0"/>
    <n v="0"/>
    <n v="0"/>
    <n v="0"/>
    <n v="0"/>
    <n v="0"/>
    <n v="0"/>
    <m/>
    <m/>
    <m/>
    <m/>
    <m/>
    <m/>
    <m/>
    <m/>
    <m/>
    <m/>
    <m/>
    <n v="0"/>
    <n v="0"/>
    <x v="167"/>
    <x v="41"/>
  </r>
  <r>
    <x v="1"/>
    <x v="4"/>
    <n v="5"/>
    <s v="1551300100"/>
    <s v="Bán thành phẩm nhựa"/>
    <x v="41"/>
    <x v="39"/>
    <s v="Khác"/>
    <s v="Khác"/>
    <x v="2"/>
    <s v="NĐ"/>
    <s v="(blank)"/>
    <x v="0"/>
    <n v="0"/>
    <n v="0"/>
    <n v="0"/>
    <n v="0"/>
    <n v="0"/>
    <n v="0"/>
    <m/>
    <m/>
    <m/>
    <m/>
    <m/>
    <m/>
    <m/>
    <m/>
    <m/>
    <m/>
    <m/>
    <n v="0"/>
    <n v="0"/>
    <x v="159"/>
    <x v="41"/>
  </r>
  <r>
    <x v="1"/>
    <x v="4"/>
    <n v="5"/>
    <s v="1551400100"/>
    <s v="Thành phẩm nhựa"/>
    <x v="41"/>
    <x v="39"/>
    <s v="Khác"/>
    <s v="Khác"/>
    <x v="2"/>
    <s v="NĐ"/>
    <s v="(blank)"/>
    <x v="0"/>
    <n v="0"/>
    <n v="0"/>
    <n v="0"/>
    <n v="0"/>
    <n v="0"/>
    <n v="0"/>
    <m/>
    <m/>
    <m/>
    <m/>
    <m/>
    <m/>
    <m/>
    <m/>
    <m/>
    <m/>
    <m/>
    <n v="0"/>
    <n v="0"/>
    <x v="107"/>
    <x v="41"/>
  </r>
  <r>
    <x v="1"/>
    <x v="4"/>
    <n v="5"/>
    <s v="1551490100"/>
    <s v="TP-ĐC K/C số dư"/>
    <x v="110"/>
    <x v="108"/>
    <s v="Khác"/>
    <s v="Khác"/>
    <x v="2"/>
    <s v="NĐ"/>
    <s v="(blank)"/>
    <x v="0"/>
    <n v="0"/>
    <n v="0"/>
    <n v="0"/>
    <n v="0"/>
    <n v="0"/>
    <n v="0"/>
    <m/>
    <m/>
    <m/>
    <m/>
    <m/>
    <m/>
    <m/>
    <m/>
    <m/>
    <m/>
    <m/>
    <n v="0"/>
    <n v="0"/>
    <x v="127"/>
    <x v="110"/>
  </r>
  <r>
    <x v="1"/>
    <x v="4"/>
    <n v="5"/>
    <s v="200311"/>
    <s v="Plascene, Inc."/>
    <x v="9"/>
    <x v="9"/>
    <s v="rPET"/>
    <s v="rPET"/>
    <x v="3"/>
    <s v="XK"/>
    <s v="United States of America (the)"/>
    <x v="0"/>
    <n v="88000"/>
    <n v="2837414580"/>
    <n v="6203128"/>
    <n v="0"/>
    <n v="40523204"/>
    <n v="2790688248"/>
    <m/>
    <m/>
    <m/>
    <m/>
    <m/>
    <m/>
    <m/>
    <m/>
    <m/>
    <m/>
    <m/>
    <n v="108145.23556073554"/>
    <n v="109956"/>
    <x v="13"/>
    <x v="9"/>
  </r>
  <r>
    <x v="1"/>
    <x v="4"/>
    <n v="5"/>
    <s v="200311"/>
    <s v="Plascene, Inc."/>
    <x v="39"/>
    <x v="37"/>
    <s v="Khác"/>
    <s v="Khác"/>
    <x v="8"/>
    <s v="NĐ"/>
    <s v="(blank)"/>
    <x v="0"/>
    <n v="0"/>
    <n v="0"/>
    <n v="0"/>
    <n v="0"/>
    <n v="2528902"/>
    <n v="-2528902"/>
    <m/>
    <m/>
    <m/>
    <m/>
    <m/>
    <m/>
    <m/>
    <m/>
    <m/>
    <m/>
    <m/>
    <n v="-98.099886863352779"/>
    <n v="0"/>
    <x v="13"/>
    <x v="39"/>
  </r>
  <r>
    <x v="1"/>
    <x v="4"/>
    <n v="5"/>
    <s v="200319"/>
    <s v="Niagara Bottling, LLC"/>
    <x v="9"/>
    <x v="9"/>
    <s v="rPET"/>
    <s v="rPET"/>
    <x v="3"/>
    <s v="XK"/>
    <s v="United Kingdom of Great Britain and Northern Ireland (the)"/>
    <x v="0"/>
    <n v="220000"/>
    <n v="6921849970"/>
    <n v="16500035.430463573"/>
    <n v="103827749.55"/>
    <n v="95291741.000000015"/>
    <n v="6706230444.0195389"/>
    <m/>
    <m/>
    <m/>
    <m/>
    <m/>
    <m/>
    <m/>
    <m/>
    <m/>
    <m/>
    <m/>
    <n v="260132.85573368458"/>
    <n v="268496.80007763975"/>
    <x v="14"/>
    <x v="9"/>
  </r>
  <r>
    <x v="1"/>
    <x v="4"/>
    <n v="5"/>
    <s v="200319"/>
    <s v="Niagara Bottling, LLC"/>
    <x v="9"/>
    <x v="9"/>
    <s v="rPET"/>
    <s v="rPET"/>
    <x v="3"/>
    <s v="XK"/>
    <s v="United States of America (the)"/>
    <x v="0"/>
    <n v="1100000"/>
    <n v="34625386620"/>
    <n v="82500177.152317822"/>
    <n v="519380799.29999989"/>
    <n v="405566367.99999994"/>
    <n v="33617939275.54768"/>
    <m/>
    <m/>
    <m/>
    <m/>
    <m/>
    <m/>
    <m/>
    <m/>
    <m/>
    <m/>
    <m/>
    <n v="1304023.5369707397"/>
    <n v="1343100"/>
    <x v="14"/>
    <x v="9"/>
  </r>
  <r>
    <x v="1"/>
    <x v="4"/>
    <n v="5"/>
    <s v="200319"/>
    <s v="Niagara Bottling, LLC"/>
    <x v="39"/>
    <x v="37"/>
    <s v="Khác"/>
    <s v="Khác"/>
    <x v="8"/>
    <s v="NĐ"/>
    <s v="(blank)"/>
    <x v="0"/>
    <n v="0"/>
    <n v="0"/>
    <n v="0"/>
    <n v="0"/>
    <n v="24590553.000000004"/>
    <n v="-24590553.000000004"/>
    <m/>
    <m/>
    <m/>
    <m/>
    <m/>
    <m/>
    <m/>
    <m/>
    <m/>
    <m/>
    <m/>
    <n v="-953.90429016517123"/>
    <n v="0"/>
    <x v="14"/>
    <x v="39"/>
  </r>
  <r>
    <x v="1"/>
    <x v="4"/>
    <n v="5"/>
    <s v="200332"/>
    <s v="OUTEIRINHO TURISMO E INDUSTRIA SA"/>
    <x v="33"/>
    <x v="31"/>
    <s v="rPET"/>
    <s v="rPET"/>
    <x v="3"/>
    <s v="XK"/>
    <s v="Portugal"/>
    <x v="0"/>
    <n v="880000"/>
    <n v="28355250000"/>
    <n v="66000141.72185427"/>
    <n v="0"/>
    <n v="372268936"/>
    <n v="27916980922.278152"/>
    <m/>
    <m/>
    <m/>
    <m/>
    <m/>
    <m/>
    <m/>
    <m/>
    <m/>
    <m/>
    <m/>
    <n v="1082997.9578697579"/>
    <n v="1100000"/>
    <x v="44"/>
    <x v="33"/>
  </r>
  <r>
    <x v="1"/>
    <x v="4"/>
    <n v="5"/>
    <s v="200332"/>
    <s v="OUTEIRINHO TURISMO E INDUSTRIA SA"/>
    <x v="39"/>
    <x v="37"/>
    <s v="Khác"/>
    <s v="Khác"/>
    <x v="8"/>
    <s v="NĐ"/>
    <s v="(blank)"/>
    <x v="0"/>
    <n v="0"/>
    <n v="0"/>
    <n v="0"/>
    <n v="0"/>
    <n v="-84092411.000000224"/>
    <n v="84092411.000000224"/>
    <m/>
    <m/>
    <m/>
    <m/>
    <m/>
    <m/>
    <m/>
    <m/>
    <m/>
    <m/>
    <m/>
    <n v="3262.0702602024699"/>
    <n v="0"/>
    <x v="44"/>
    <x v="39"/>
  </r>
  <r>
    <x v="1"/>
    <x v="4"/>
    <n v="5"/>
    <s v="200341"/>
    <s v="Pragmatrade"/>
    <x v="112"/>
    <x v="110"/>
    <s v="Khác"/>
    <s v="Khác"/>
    <x v="16"/>
    <s v="NĐ"/>
    <s v="(blank)"/>
    <x v="0"/>
    <n v="0"/>
    <n v="0"/>
    <n v="0"/>
    <n v="0"/>
    <n v="1188704"/>
    <n v="-1188704"/>
    <m/>
    <m/>
    <m/>
    <m/>
    <m/>
    <m/>
    <m/>
    <m/>
    <m/>
    <m/>
    <m/>
    <n v="-46.111604132550369"/>
    <n v="0"/>
    <x v="129"/>
    <x v="112"/>
  </r>
  <r>
    <x v="1"/>
    <x v="4"/>
    <n v="5"/>
    <s v="200341"/>
    <s v="Pragmatrade"/>
    <x v="39"/>
    <x v="37"/>
    <s v="Khác"/>
    <s v="Khác"/>
    <x v="8"/>
    <s v="NĐ"/>
    <s v="(blank)"/>
    <x v="0"/>
    <n v="0"/>
    <n v="0"/>
    <n v="0"/>
    <n v="0"/>
    <n v="946111"/>
    <n v="-946111"/>
    <m/>
    <m/>
    <m/>
    <m/>
    <m/>
    <m/>
    <m/>
    <m/>
    <m/>
    <m/>
    <m/>
    <n v="-36.7010592186544"/>
    <n v="0"/>
    <x v="129"/>
    <x v="39"/>
  </r>
  <r>
    <x v="1"/>
    <x v="4"/>
    <n v="5"/>
    <s v="200343"/>
    <s v="MILKYWAY"/>
    <x v="39"/>
    <x v="37"/>
    <s v="Khác"/>
    <s v="Khác"/>
    <x v="8"/>
    <s v="NĐ"/>
    <s v="(blank)"/>
    <x v="0"/>
    <n v="0"/>
    <n v="0"/>
    <n v="0"/>
    <n v="0"/>
    <n v="-1577646"/>
    <n v="1577646"/>
    <m/>
    <m/>
    <m/>
    <m/>
    <m/>
    <m/>
    <m/>
    <m/>
    <m/>
    <m/>
    <m/>
    <n v="61.199245407857255"/>
    <n v="0"/>
    <x v="23"/>
    <x v="39"/>
  </r>
  <r>
    <x v="1"/>
    <x v="4"/>
    <n v="5"/>
    <s v="200355"/>
    <s v="International Gate SA"/>
    <x v="39"/>
    <x v="37"/>
    <s v="Khác"/>
    <s v="Khác"/>
    <x v="8"/>
    <s v="NĐ"/>
    <s v="(blank)"/>
    <x v="0"/>
    <n v="0"/>
    <n v="0"/>
    <n v="0"/>
    <n v="0"/>
    <n v="2450185"/>
    <n v="-2450185"/>
    <m/>
    <m/>
    <m/>
    <m/>
    <m/>
    <m/>
    <m/>
    <m/>
    <m/>
    <m/>
    <m/>
    <n v="-95.046336826924886"/>
    <n v="0"/>
    <x v="51"/>
    <x v="39"/>
  </r>
  <r>
    <x v="1"/>
    <x v="4"/>
    <n v="5"/>
    <s v="200357"/>
    <s v="Genesis Polymers International"/>
    <x v="8"/>
    <x v="8"/>
    <s v="rPET"/>
    <s v="rPET"/>
    <x v="3"/>
    <s v="XK"/>
    <s v="Mexico"/>
    <x v="0"/>
    <n v="220000"/>
    <n v="8101579200"/>
    <n v="20666735.430463579"/>
    <n v="0"/>
    <n v="482334066.36363631"/>
    <n v="7598578398.2059002"/>
    <m/>
    <m/>
    <m/>
    <m/>
    <m/>
    <m/>
    <m/>
    <m/>
    <m/>
    <m/>
    <m/>
    <n v="295067.49547659204"/>
    <n v="314600"/>
    <x v="57"/>
    <x v="8"/>
  </r>
  <r>
    <x v="1"/>
    <x v="4"/>
    <n v="5"/>
    <s v="200357"/>
    <s v="Genesis Polymers International"/>
    <x v="33"/>
    <x v="31"/>
    <s v="rPET"/>
    <s v="rPET"/>
    <x v="3"/>
    <s v="XK"/>
    <s v="Mexico"/>
    <x v="0"/>
    <n v="22000"/>
    <n v="782680799.99999988"/>
    <n v="2066673.5430463578"/>
    <n v="0"/>
    <n v="48233406.63636364"/>
    <n v="732380719.8205899"/>
    <m/>
    <m/>
    <m/>
    <m/>
    <m/>
    <m/>
    <m/>
    <m/>
    <m/>
    <m/>
    <m/>
    <n v="28408.871986834365"/>
    <n v="30359.999999999996"/>
    <x v="57"/>
    <x v="33"/>
  </r>
  <r>
    <x v="1"/>
    <x v="4"/>
    <n v="5"/>
    <s v="200357"/>
    <s v="Genesis Polymers International"/>
    <x v="39"/>
    <x v="37"/>
    <s v="Khác"/>
    <s v="Khác"/>
    <x v="8"/>
    <s v="NĐ"/>
    <s v="(blank)"/>
    <x v="0"/>
    <n v="0"/>
    <n v="0"/>
    <n v="0"/>
    <n v="0"/>
    <n v="-1180252.0000000002"/>
    <n v="1180252.0000000002"/>
    <m/>
    <m/>
    <m/>
    <m/>
    <m/>
    <m/>
    <m/>
    <m/>
    <m/>
    <m/>
    <m/>
    <n v="45.783738424915576"/>
    <n v="0"/>
    <x v="57"/>
    <x v="39"/>
  </r>
  <r>
    <x v="1"/>
    <x v="4"/>
    <n v="5"/>
    <s v="200358"/>
    <s v="REYNERA"/>
    <x v="39"/>
    <x v="37"/>
    <s v="Khác"/>
    <s v="Khác"/>
    <x v="8"/>
    <s v="NĐ"/>
    <s v="(blank)"/>
    <x v="0"/>
    <n v="0"/>
    <n v="0"/>
    <n v="0"/>
    <n v="0"/>
    <n v="2568163"/>
    <n v="-2568163"/>
    <m/>
    <m/>
    <m/>
    <m/>
    <m/>
    <m/>
    <m/>
    <m/>
    <m/>
    <m/>
    <m/>
    <n v="-99.62287971089772"/>
    <n v="0"/>
    <x v="58"/>
    <x v="39"/>
  </r>
  <r>
    <x v="1"/>
    <x v="4"/>
    <n v="5"/>
    <s v="200365"/>
    <s v="Vinmar International"/>
    <x v="33"/>
    <x v="31"/>
    <s v="rPET"/>
    <s v="rPET"/>
    <x v="3"/>
    <s v="XK"/>
    <s v="Italy"/>
    <x v="0"/>
    <n v="374000"/>
    <n v="12555524520"/>
    <n v="35133450.231788084"/>
    <n v="0"/>
    <n v="148588498.99999997"/>
    <n v="12371802570.768213"/>
    <m/>
    <m/>
    <m/>
    <m/>
    <m/>
    <m/>
    <m/>
    <m/>
    <m/>
    <m/>
    <m/>
    <n v="479822.60557097069"/>
    <n v="486948"/>
    <x v="93"/>
    <x v="33"/>
  </r>
  <r>
    <x v="1"/>
    <x v="4"/>
    <n v="5"/>
    <s v="200365"/>
    <s v="Vinmar International"/>
    <x v="33"/>
    <x v="31"/>
    <s v="rPET"/>
    <s v="rPET"/>
    <x v="3"/>
    <s v="XK"/>
    <s v="Romania"/>
    <x v="0"/>
    <n v="66000"/>
    <n v="2228397600"/>
    <n v="6200020.6291390723"/>
    <n v="0"/>
    <n v="29329166.000000004"/>
    <n v="2192868413.3708611"/>
    <m/>
    <m/>
    <m/>
    <m/>
    <m/>
    <m/>
    <m/>
    <m/>
    <m/>
    <m/>
    <m/>
    <n v="84994.899743056638"/>
    <n v="86372"/>
    <x v="93"/>
    <x v="33"/>
  </r>
  <r>
    <x v="1"/>
    <x v="4"/>
    <n v="5"/>
    <s v="200365"/>
    <s v="Vinmar International"/>
    <x v="39"/>
    <x v="37"/>
    <s v="Khác"/>
    <s v="Khác"/>
    <x v="8"/>
    <s v="NĐ"/>
    <s v="(blank)"/>
    <x v="0"/>
    <n v="0"/>
    <n v="0"/>
    <n v="0"/>
    <n v="0"/>
    <n v="11625377.059999995"/>
    <n v="-11625377.059999995"/>
    <m/>
    <m/>
    <m/>
    <m/>
    <m/>
    <m/>
    <m/>
    <m/>
    <m/>
    <m/>
    <m/>
    <n v="-450.96574494773512"/>
    <n v="0"/>
    <x v="93"/>
    <x v="39"/>
  </r>
  <r>
    <x v="1"/>
    <x v="4"/>
    <n v="5"/>
    <s v="200367"/>
    <s v="MAS CO.LTD"/>
    <x v="39"/>
    <x v="37"/>
    <s v="Khác"/>
    <s v="Khác"/>
    <x v="8"/>
    <s v="NĐ"/>
    <s v="(blank)"/>
    <x v="0"/>
    <n v="0"/>
    <n v="0"/>
    <n v="0"/>
    <n v="0"/>
    <n v="-2766714"/>
    <n v="2766714"/>
    <m/>
    <m/>
    <m/>
    <m/>
    <m/>
    <m/>
    <m/>
    <m/>
    <m/>
    <m/>
    <m/>
    <n v="107.32496964423858"/>
    <n v="0"/>
    <x v="94"/>
    <x v="39"/>
  </r>
  <r>
    <x v="1"/>
    <x v="4"/>
    <n v="5"/>
    <s v="200370"/>
    <s v="KORYFES SA"/>
    <x v="33"/>
    <x v="31"/>
    <s v="rPET"/>
    <s v="rPET"/>
    <x v="3"/>
    <s v="XK"/>
    <s v="Belgium"/>
    <x v="0"/>
    <n v="242000"/>
    <n v="8632686700"/>
    <n v="22733408.973509934"/>
    <n v="0"/>
    <n v="486806598"/>
    <n v="8123146693.0264912"/>
    <m/>
    <m/>
    <m/>
    <m/>
    <m/>
    <m/>
    <m/>
    <m/>
    <m/>
    <m/>
    <m/>
    <n v="314972.72946981346"/>
    <n v="334730"/>
    <x v="131"/>
    <x v="33"/>
  </r>
  <r>
    <x v="1"/>
    <x v="4"/>
    <n v="5"/>
    <s v="200370"/>
    <s v="KORYFES SA"/>
    <x v="33"/>
    <x v="31"/>
    <s v="rPET"/>
    <s v="rPET"/>
    <x v="3"/>
    <s v="XK"/>
    <s v="Romania"/>
    <x v="0"/>
    <n v="132000"/>
    <n v="4799388000"/>
    <n v="12400041.258278145"/>
    <n v="0"/>
    <n v="375396666"/>
    <n v="4411591292.7417221"/>
    <m/>
    <m/>
    <m/>
    <m/>
    <m/>
    <m/>
    <m/>
    <m/>
    <m/>
    <m/>
    <m/>
    <n v="171323.93369870764"/>
    <n v="186384"/>
    <x v="131"/>
    <x v="33"/>
  </r>
  <r>
    <x v="1"/>
    <x v="4"/>
    <n v="5"/>
    <s v="200370"/>
    <s v="KORYFES SA"/>
    <x v="39"/>
    <x v="37"/>
    <s v="Khác"/>
    <s v="Khác"/>
    <x v="8"/>
    <s v="NĐ"/>
    <s v="(blank)"/>
    <x v="0"/>
    <n v="0"/>
    <n v="0"/>
    <n v="0"/>
    <n v="0"/>
    <n v="-9744438"/>
    <n v="9744438"/>
    <m/>
    <m/>
    <m/>
    <m/>
    <m/>
    <m/>
    <m/>
    <m/>
    <m/>
    <m/>
    <m/>
    <n v="378.00130861020153"/>
    <n v="0"/>
    <x v="131"/>
    <x v="39"/>
  </r>
  <r>
    <x v="1"/>
    <x v="4"/>
    <n v="5"/>
    <s v="200375"/>
    <s v="Nu-pure"/>
    <x v="39"/>
    <x v="37"/>
    <s v="Khác"/>
    <s v="Khác"/>
    <x v="8"/>
    <s v="NĐ"/>
    <s v="(blank)"/>
    <x v="0"/>
    <n v="0"/>
    <n v="0"/>
    <n v="0"/>
    <n v="0"/>
    <n v="513889"/>
    <n v="-513889"/>
    <m/>
    <m/>
    <m/>
    <m/>
    <m/>
    <m/>
    <m/>
    <m/>
    <m/>
    <m/>
    <m/>
    <n v="-19.934522081251664"/>
    <n v="0"/>
    <x v="145"/>
    <x v="39"/>
  </r>
  <r>
    <x v="1"/>
    <x v="4"/>
    <n v="5"/>
    <s v="200376"/>
    <s v="CORAL A.E."/>
    <x v="39"/>
    <x v="37"/>
    <s v="Khác"/>
    <s v="Khác"/>
    <x v="8"/>
    <s v="NĐ"/>
    <s v="(blank)"/>
    <x v="0"/>
    <n v="0"/>
    <n v="0"/>
    <n v="0"/>
    <n v="0"/>
    <n v="-1397000"/>
    <n v="1397000"/>
    <m/>
    <m/>
    <m/>
    <m/>
    <m/>
    <m/>
    <m/>
    <m/>
    <m/>
    <m/>
    <m/>
    <n v="54.191717175321081"/>
    <n v="0"/>
    <x v="146"/>
    <x v="39"/>
  </r>
  <r>
    <x v="1"/>
    <x v="4"/>
    <n v="5"/>
    <s v="200377"/>
    <s v="COLLECTIVE POLYMERS"/>
    <x v="39"/>
    <x v="37"/>
    <s v="Khác"/>
    <s v="Khác"/>
    <x v="8"/>
    <s v="NĐ"/>
    <s v="(blank)"/>
    <x v="0"/>
    <n v="0"/>
    <n v="0"/>
    <n v="0"/>
    <n v="0"/>
    <n v="-540000"/>
    <n v="540000"/>
    <m/>
    <m/>
    <m/>
    <m/>
    <m/>
    <m/>
    <m/>
    <m/>
    <m/>
    <m/>
    <m/>
    <n v="20.947406782157039"/>
    <n v="0"/>
    <x v="147"/>
    <x v="39"/>
  </r>
  <r>
    <x v="1"/>
    <x v="4"/>
    <n v="5"/>
    <s v="200380"/>
    <s v="Lion Corp"/>
    <x v="33"/>
    <x v="31"/>
    <s v="rPET"/>
    <s v="rPET"/>
    <x v="3"/>
    <s v="XK"/>
    <s v="Japan"/>
    <x v="0"/>
    <n v="105000"/>
    <n v="3466175999.9999995"/>
    <n v="7753910.0000000009"/>
    <n v="0"/>
    <n v="46643448"/>
    <n v="3411778641.999999"/>
    <m/>
    <m/>
    <m/>
    <m/>
    <m/>
    <m/>
    <m/>
    <m/>
    <m/>
    <m/>
    <m/>
    <n v="132290.75773555637"/>
    <n v="134399.99999999997"/>
    <x v="160"/>
    <x v="33"/>
  </r>
  <r>
    <x v="1"/>
    <x v="4"/>
    <n v="5"/>
    <s v="200380"/>
    <s v="Lion Corp"/>
    <x v="39"/>
    <x v="37"/>
    <s v="Khác"/>
    <s v="Khác"/>
    <x v="8"/>
    <s v="NĐ"/>
    <s v="(blank)"/>
    <x v="0"/>
    <n v="0"/>
    <n v="0"/>
    <n v="0"/>
    <n v="0"/>
    <n v="-1"/>
    <n v="1"/>
    <m/>
    <m/>
    <m/>
    <m/>
    <m/>
    <m/>
    <m/>
    <m/>
    <m/>
    <m/>
    <m/>
    <n v="3.8791494041031556E-5"/>
    <n v="0"/>
    <x v="160"/>
    <x v="39"/>
  </r>
  <r>
    <x v="1"/>
    <x v="4"/>
    <n v="5"/>
    <s v="200382"/>
    <s v="MONTACHEM INTERNATIONAL"/>
    <x v="33"/>
    <x v="31"/>
    <s v="rPET"/>
    <s v="rPET"/>
    <x v="3"/>
    <s v="XK"/>
    <s v="Belgium"/>
    <x v="0"/>
    <n v="22000"/>
    <n v="779845000"/>
    <n v="2066673.5430463573"/>
    <n v="0"/>
    <n v="41445390"/>
    <n v="736332936.45695364"/>
    <m/>
    <m/>
    <m/>
    <m/>
    <m/>
    <m/>
    <m/>
    <m/>
    <m/>
    <m/>
    <m/>
    <n v="28562.177519664609"/>
    <n v="30250"/>
    <x v="168"/>
    <x v="33"/>
  </r>
  <r>
    <x v="1"/>
    <x v="4"/>
    <n v="5"/>
    <s v="200382"/>
    <s v="MONTACHEM INTERNATIONAL"/>
    <x v="39"/>
    <x v="37"/>
    <s v="Khác"/>
    <s v="Khác"/>
    <x v="8"/>
    <s v="NĐ"/>
    <s v="(blank)"/>
    <x v="0"/>
    <n v="0"/>
    <n v="0"/>
    <n v="0"/>
    <n v="0"/>
    <n v="-1519835"/>
    <n v="1519835"/>
    <m/>
    <m/>
    <m/>
    <m/>
    <m/>
    <m/>
    <m/>
    <m/>
    <m/>
    <m/>
    <m/>
    <n v="58.956670345851194"/>
    <n v="0"/>
    <x v="168"/>
    <x v="39"/>
  </r>
  <r>
    <x v="1"/>
    <x v="4"/>
    <n v="5"/>
    <s v="200383"/>
    <s v="Natures Organics - PIA"/>
    <x v="9"/>
    <x v="9"/>
    <s v="rPET"/>
    <s v="rPET"/>
    <x v="3"/>
    <s v="XK"/>
    <s v="Australia"/>
    <x v="0"/>
    <n v="22000"/>
    <n v="737880000"/>
    <n v="1650003.5430463576"/>
    <n v="0"/>
    <n v="30131185"/>
    <n v="706098811.45695364"/>
    <m/>
    <m/>
    <m/>
    <m/>
    <m/>
    <m/>
    <m/>
    <m/>
    <m/>
    <m/>
    <m/>
    <n v="27368.17098670363"/>
    <n v="28600"/>
    <x v="169"/>
    <x v="9"/>
  </r>
  <r>
    <x v="1"/>
    <x v="4"/>
    <n v="5"/>
    <s v="200383"/>
    <s v="Natures Organics - PIA"/>
    <x v="39"/>
    <x v="37"/>
    <s v="Khác"/>
    <s v="Khác"/>
    <x v="8"/>
    <s v="NĐ"/>
    <s v="(blank)"/>
    <x v="0"/>
    <n v="0"/>
    <n v="0"/>
    <n v="0"/>
    <n v="0"/>
    <n v="-3422667"/>
    <n v="3422667"/>
    <m/>
    <m/>
    <m/>
    <m/>
    <m/>
    <m/>
    <m/>
    <m/>
    <m/>
    <m/>
    <m/>
    <n v="132.77036653493533"/>
    <n v="0"/>
    <x v="169"/>
    <x v="39"/>
  </r>
  <r>
    <x v="1"/>
    <x v="4"/>
    <n v="5"/>
    <s v="2421100100"/>
    <s v="Chi phí phân bổ"/>
    <x v="27"/>
    <x v="25"/>
    <s v="Khác"/>
    <s v="Khác"/>
    <x v="2"/>
    <s v="NĐ"/>
    <s v="(blank)"/>
    <x v="0"/>
    <n v="0"/>
    <n v="0"/>
    <n v="0"/>
    <n v="0"/>
    <n v="0"/>
    <n v="0"/>
    <m/>
    <m/>
    <m/>
    <m/>
    <m/>
    <m/>
    <m/>
    <m/>
    <m/>
    <m/>
    <m/>
    <n v="0"/>
    <n v="0"/>
    <x v="64"/>
    <x v="27"/>
  </r>
  <r>
    <x v="1"/>
    <x v="4"/>
    <n v="5"/>
    <s v="2422200100"/>
    <s v="Chi phí trả trước dài hạn cho BP gián tiếp"/>
    <x v="99"/>
    <x v="97"/>
    <s v="Khác"/>
    <s v="Khác"/>
    <x v="2"/>
    <s v="NĐ"/>
    <s v="(blank)"/>
    <x v="0"/>
    <n v="0"/>
    <n v="0"/>
    <n v="0"/>
    <n v="0"/>
    <n v="0"/>
    <n v="0"/>
    <m/>
    <m/>
    <m/>
    <m/>
    <m/>
    <m/>
    <m/>
    <m/>
    <m/>
    <m/>
    <m/>
    <n v="0"/>
    <n v="0"/>
    <x v="112"/>
    <x v="99"/>
  </r>
  <r>
    <x v="1"/>
    <x v="4"/>
    <n v="5"/>
    <s v="300313"/>
    <s v="Công ty TNHH Nhựa Khánh Nga"/>
    <x v="35"/>
    <x v="33"/>
    <s v="Khác"/>
    <s v="Khác"/>
    <x v="2"/>
    <s v="NĐ"/>
    <s v="(blank)"/>
    <x v="0"/>
    <n v="0"/>
    <n v="54000000"/>
    <n v="0"/>
    <n v="0"/>
    <n v="0"/>
    <n v="54000000"/>
    <m/>
    <m/>
    <m/>
    <m/>
    <m/>
    <m/>
    <m/>
    <m/>
    <m/>
    <m/>
    <m/>
    <n v="2094.7406782157041"/>
    <n v="2094.7406782157041"/>
    <x v="18"/>
    <x v="35"/>
  </r>
  <r>
    <x v="1"/>
    <x v="4"/>
    <n v="5"/>
    <s v="300743"/>
    <s v="HQ HCM-Chuyển phát nhanh"/>
    <x v="41"/>
    <x v="39"/>
    <s v="Khác"/>
    <s v="Khác"/>
    <x v="2"/>
    <s v="NĐ"/>
    <s v="(blank)"/>
    <x v="0"/>
    <n v="0"/>
    <n v="0"/>
    <n v="0"/>
    <n v="0"/>
    <n v="0"/>
    <n v="0"/>
    <m/>
    <m/>
    <m/>
    <m/>
    <m/>
    <m/>
    <m/>
    <m/>
    <m/>
    <m/>
    <m/>
    <n v="0"/>
    <n v="0"/>
    <x v="170"/>
    <x v="41"/>
  </r>
  <r>
    <x v="1"/>
    <x v="4"/>
    <n v="5"/>
    <s v="301126"/>
    <s v="Repi Thai Co., Ltd."/>
    <x v="41"/>
    <x v="39"/>
    <s v="Khác"/>
    <s v="Khác"/>
    <x v="2"/>
    <s v="NĐ"/>
    <s v="(blank)"/>
    <x v="0"/>
    <n v="0"/>
    <n v="0"/>
    <n v="0"/>
    <n v="0"/>
    <n v="0"/>
    <n v="0"/>
    <m/>
    <m/>
    <m/>
    <m/>
    <m/>
    <m/>
    <m/>
    <m/>
    <m/>
    <m/>
    <m/>
    <n v="0"/>
    <n v="0"/>
    <x v="115"/>
    <x v="41"/>
  </r>
  <r>
    <x v="1"/>
    <x v="4"/>
    <n v="5"/>
    <s v="3389000100"/>
    <s v="PT khác (GRIR khác)"/>
    <x v="41"/>
    <x v="39"/>
    <s v="Khác"/>
    <s v="Khác"/>
    <x v="2"/>
    <s v="NĐ"/>
    <s v="(blank)"/>
    <x v="0"/>
    <n v="0"/>
    <n v="0"/>
    <n v="0"/>
    <n v="0"/>
    <n v="0"/>
    <n v="0"/>
    <m/>
    <m/>
    <m/>
    <m/>
    <m/>
    <m/>
    <m/>
    <m/>
    <m/>
    <m/>
    <m/>
    <n v="0"/>
    <n v="0"/>
    <x v="116"/>
    <x v="41"/>
  </r>
  <r>
    <x v="1"/>
    <x v="4"/>
    <n v="5"/>
    <s v="3389000200"/>
    <s v="PT CP vận chuyển"/>
    <x v="41"/>
    <x v="39"/>
    <s v="Khác"/>
    <s v="Khác"/>
    <x v="2"/>
    <s v="NĐ"/>
    <s v="(blank)"/>
    <x v="0"/>
    <n v="0"/>
    <n v="0"/>
    <n v="0"/>
    <n v="0"/>
    <n v="0"/>
    <n v="0"/>
    <m/>
    <m/>
    <m/>
    <m/>
    <m/>
    <m/>
    <m/>
    <m/>
    <m/>
    <m/>
    <m/>
    <n v="0"/>
    <n v="0"/>
    <x v="117"/>
    <x v="41"/>
  </r>
  <r>
    <x v="1"/>
    <x v="4"/>
    <n v="5"/>
    <s v="6219000210"/>
    <s v="Chênh lệch CPSX cấp dưới (lower level)"/>
    <x v="41"/>
    <x v="39"/>
    <s v="Khác"/>
    <s v="Khác"/>
    <x v="2"/>
    <s v="NĐ"/>
    <s v="(blank)"/>
    <x v="0"/>
    <n v="0"/>
    <n v="0"/>
    <n v="0"/>
    <n v="0"/>
    <n v="0"/>
    <n v="0"/>
    <m/>
    <m/>
    <m/>
    <m/>
    <m/>
    <m/>
    <m/>
    <m/>
    <m/>
    <m/>
    <m/>
    <n v="0"/>
    <n v="0"/>
    <x v="80"/>
    <x v="41"/>
  </r>
  <r>
    <x v="1"/>
    <x v="4"/>
    <n v="5"/>
    <s v="6219000220"/>
    <s v="Chênh lệch CPSX đơn cấp (single level)"/>
    <x v="41"/>
    <x v="39"/>
    <s v="Khác"/>
    <s v="Khác"/>
    <x v="2"/>
    <s v="NĐ"/>
    <s v="(blank)"/>
    <x v="0"/>
    <n v="0"/>
    <n v="0"/>
    <n v="0"/>
    <n v="0"/>
    <n v="0"/>
    <n v="0"/>
    <m/>
    <m/>
    <m/>
    <m/>
    <m/>
    <m/>
    <m/>
    <m/>
    <m/>
    <m/>
    <m/>
    <n v="0"/>
    <n v="0"/>
    <x v="81"/>
    <x v="41"/>
  </r>
  <r>
    <x v="1"/>
    <x v="4"/>
    <n v="5"/>
    <s v="6219000900"/>
    <s v="Kết chuyển CPSX không phân bổ được"/>
    <x v="37"/>
    <x v="35"/>
    <s v="Khác"/>
    <s v="Khác"/>
    <x v="2"/>
    <s v="NĐ"/>
    <s v="(blank)"/>
    <x v="0"/>
    <n v="0"/>
    <n v="0"/>
    <n v="0"/>
    <n v="0"/>
    <n v="0"/>
    <n v="0"/>
    <m/>
    <m/>
    <m/>
    <m/>
    <m/>
    <m/>
    <m/>
    <m/>
    <m/>
    <m/>
    <m/>
    <n v="0"/>
    <n v="0"/>
    <x v="20"/>
    <x v="37"/>
  </r>
  <r>
    <x v="1"/>
    <x v="4"/>
    <n v="5"/>
    <s v="6428007201"/>
    <s v="Chi phí bằng tiền khác"/>
    <x v="27"/>
    <x v="25"/>
    <s v="Khác"/>
    <s v="Khác"/>
    <x v="2"/>
    <s v="NĐ"/>
    <s v="(blank)"/>
    <x v="0"/>
    <n v="0"/>
    <n v="-30880976"/>
    <n v="0"/>
    <n v="0"/>
    <n v="0"/>
    <n v="-30880976"/>
    <m/>
    <m/>
    <m/>
    <m/>
    <m/>
    <m/>
    <m/>
    <m/>
    <m/>
    <m/>
    <m/>
    <n v="-1197.9191964852382"/>
    <n v="-1197.9191964852382"/>
    <x v="150"/>
    <x v="27"/>
  </r>
  <r>
    <x v="1"/>
    <x v="4"/>
    <n v="5"/>
    <s v="BN"/>
    <s v="Bán Ngoài"/>
    <x v="38"/>
    <x v="36"/>
    <s v="Khác"/>
    <s v="Khác"/>
    <x v="2"/>
    <s v="NĐ"/>
    <s v="(blank)"/>
    <x v="0"/>
    <n v="0"/>
    <n v="0"/>
    <n v="1650003.5734265735"/>
    <n v="0"/>
    <n v="-80017860.940012217"/>
    <n v="78367857.366585642"/>
    <m/>
    <m/>
    <m/>
    <m/>
    <m/>
    <m/>
    <m/>
    <m/>
    <m/>
    <m/>
    <m/>
    <n v="3040.0062720443193"/>
    <n v="0"/>
    <x v="21"/>
    <x v="38"/>
  </r>
  <r>
    <x v="1"/>
    <x v="4"/>
    <n v="5"/>
    <s v="BN"/>
    <s v="Bán Ngoài"/>
    <x v="39"/>
    <x v="37"/>
    <s v="Khác"/>
    <s v="Khác"/>
    <x v="8"/>
    <s v="NĐ"/>
    <s v="(blank)"/>
    <x v="0"/>
    <n v="0"/>
    <n v="0"/>
    <n v="0"/>
    <n v="52781.14999961853"/>
    <n v="-1.1570348739624023"/>
    <n v="-52779.992964744568"/>
    <m/>
    <m/>
    <m/>
    <m/>
    <m/>
    <m/>
    <m/>
    <m/>
    <m/>
    <m/>
    <m/>
    <n v="-2.0474147825775764"/>
    <n v="0"/>
    <x v="21"/>
    <x v="39"/>
  </r>
  <r>
    <x v="1"/>
    <x v="4"/>
    <n v="5"/>
    <s v="BN"/>
    <s v="Bán Ngoài"/>
    <x v="41"/>
    <x v="39"/>
    <s v="Khác"/>
    <s v="Khác"/>
    <x v="2"/>
    <s v="NĐ"/>
    <s v="(blank)"/>
    <x v="0"/>
    <n v="0"/>
    <n v="0"/>
    <n v="0"/>
    <n v="0"/>
    <n v="0"/>
    <n v="0"/>
    <m/>
    <m/>
    <m/>
    <m/>
    <m/>
    <m/>
    <m/>
    <m/>
    <m/>
    <m/>
    <m/>
    <n v="0"/>
    <n v="0"/>
    <x v="21"/>
    <x v="41"/>
  </r>
  <r>
    <x v="1"/>
    <x v="5"/>
    <n v="6"/>
    <s v="1000"/>
    <s v="CPSX Nhựa Duy Tân"/>
    <x v="9"/>
    <x v="9"/>
    <s v="rPET"/>
    <s v="rPET"/>
    <x v="3"/>
    <s v="NĐ"/>
    <s v="(blank)"/>
    <x v="0"/>
    <n v="22000"/>
    <n v="719675000"/>
    <n v="3369964.3412797996"/>
    <n v="0"/>
    <n v="0"/>
    <n v="716305035.65872025"/>
    <m/>
    <m/>
    <m/>
    <m/>
    <m/>
    <m/>
    <m/>
    <m/>
    <m/>
    <m/>
    <m/>
    <n v="27640.650708571808"/>
    <n v="27770.690290342998"/>
    <x v="0"/>
    <x v="9"/>
  </r>
  <r>
    <x v="1"/>
    <x v="5"/>
    <n v="6"/>
    <s v="1000"/>
    <s v="CPSX Nhựa Duy Tân"/>
    <x v="2"/>
    <x v="2"/>
    <s v="rHDPE"/>
    <s v="rHDPE ép"/>
    <x v="1"/>
    <s v="NĐ"/>
    <s v="(blank)"/>
    <x v="0"/>
    <n v="16500"/>
    <n v="330000000"/>
    <n v="0"/>
    <n v="0"/>
    <n v="0"/>
    <n v="330000000"/>
    <m/>
    <m/>
    <m/>
    <m/>
    <m/>
    <m/>
    <m/>
    <m/>
    <m/>
    <m/>
    <m/>
    <n v="12733.98102728758"/>
    <n v="12733.98102728758"/>
    <x v="0"/>
    <x v="2"/>
  </r>
  <r>
    <x v="1"/>
    <x v="5"/>
    <n v="6"/>
    <s v="1000"/>
    <s v="CPSX Nhựa Duy Tân"/>
    <x v="43"/>
    <x v="41"/>
    <s v="rHDPE"/>
    <s v="rHDPE ép"/>
    <x v="1"/>
    <s v="NĐ"/>
    <s v="(blank)"/>
    <x v="0"/>
    <n v="1375"/>
    <n v="27500000"/>
    <n v="0"/>
    <n v="0"/>
    <n v="0"/>
    <n v="27500000"/>
    <m/>
    <m/>
    <m/>
    <m/>
    <m/>
    <m/>
    <m/>
    <m/>
    <m/>
    <m/>
    <m/>
    <n v="1061.1650856072984"/>
    <n v="1061.1650856072984"/>
    <x v="0"/>
    <x v="43"/>
  </r>
  <r>
    <x v="1"/>
    <x v="5"/>
    <n v="6"/>
    <s v="1000"/>
    <s v="CPSX Nhựa Duy Tân"/>
    <x v="6"/>
    <x v="6"/>
    <s v="rHDPE"/>
    <s v="rHDPE thổi"/>
    <x v="0"/>
    <s v="NĐ"/>
    <s v="(blank)"/>
    <x v="0"/>
    <n v="5500"/>
    <n v="183397500"/>
    <n v="0"/>
    <n v="0"/>
    <n v="0"/>
    <n v="183397500"/>
    <m/>
    <m/>
    <m/>
    <m/>
    <m/>
    <m/>
    <m/>
    <m/>
    <m/>
    <m/>
    <m/>
    <n v="7076.9099559150727"/>
    <n v="7076.9099559150727"/>
    <x v="0"/>
    <x v="6"/>
  </r>
  <r>
    <x v="1"/>
    <x v="5"/>
    <n v="6"/>
    <s v="1000"/>
    <s v="CPSX Nhựa Duy Tân"/>
    <x v="113"/>
    <x v="111"/>
    <s v="rHDPE"/>
    <s v="rHDPE thổi"/>
    <x v="0"/>
    <s v="NĐ"/>
    <s v="(blank)"/>
    <x v="0"/>
    <n v="350"/>
    <n v="11985648.999999989"/>
    <n v="0"/>
    <n v="0"/>
    <n v="0"/>
    <n v="11985648.999999989"/>
    <m/>
    <m/>
    <m/>
    <m/>
    <m/>
    <m/>
    <m/>
    <m/>
    <m/>
    <m/>
    <m/>
    <n v="462.50008171432791"/>
    <n v="462.50008171432791"/>
    <x v="0"/>
    <x v="113"/>
  </r>
  <r>
    <x v="1"/>
    <x v="5"/>
    <n v="6"/>
    <s v="100959"/>
    <s v="Công ty Tôn Thép Hoàng Dung"/>
    <x v="41"/>
    <x v="39"/>
    <s v="Khác"/>
    <s v="Khác"/>
    <x v="2"/>
    <s v="NĐ"/>
    <s v="(blank)"/>
    <x v="0"/>
    <n v="0"/>
    <n v="0"/>
    <n v="0"/>
    <n v="0"/>
    <n v="0"/>
    <n v="0"/>
    <m/>
    <m/>
    <m/>
    <m/>
    <m/>
    <m/>
    <m/>
    <m/>
    <m/>
    <m/>
    <m/>
    <n v="0"/>
    <n v="0"/>
    <x v="171"/>
    <x v="41"/>
  </r>
  <r>
    <x v="1"/>
    <x v="5"/>
    <n v="6"/>
    <s v="101290"/>
    <s v="Cty Thạnh Phát"/>
    <x v="7"/>
    <x v="7"/>
    <s v="Khác"/>
    <s v="Khác"/>
    <x v="2"/>
    <s v="NĐ"/>
    <s v="(blank)"/>
    <x v="0"/>
    <n v="0"/>
    <n v="0"/>
    <n v="0"/>
    <n v="0"/>
    <n v="0"/>
    <n v="0"/>
    <m/>
    <m/>
    <m/>
    <m/>
    <m/>
    <m/>
    <m/>
    <m/>
    <m/>
    <m/>
    <m/>
    <n v="0"/>
    <n v="0"/>
    <x v="1"/>
    <x v="7"/>
  </r>
  <r>
    <x v="1"/>
    <x v="5"/>
    <n v="6"/>
    <s v="104894"/>
    <s v="UNILEVER-NGỌC NGHĨA"/>
    <x v="9"/>
    <x v="9"/>
    <s v="rPET"/>
    <s v="rPET"/>
    <x v="3"/>
    <s v="NĐ"/>
    <s v="(blank)"/>
    <x v="0"/>
    <n v="286000"/>
    <n v="9170018000"/>
    <n v="43809536.436637379"/>
    <n v="0"/>
    <n v="40040000"/>
    <n v="9086168463.5633621"/>
    <m/>
    <m/>
    <m/>
    <m/>
    <m/>
    <m/>
    <m/>
    <m/>
    <m/>
    <m/>
    <m/>
    <n v="350615.44492652902"/>
    <n v="353851.01585419878"/>
    <x v="2"/>
    <x v="9"/>
  </r>
  <r>
    <x v="1"/>
    <x v="5"/>
    <n v="6"/>
    <s v="104894"/>
    <s v="UNILEVER-NGỌC NGHĨA"/>
    <x v="39"/>
    <x v="37"/>
    <s v="Khác"/>
    <s v="Khác"/>
    <x v="8"/>
    <s v="NĐ"/>
    <s v="(blank)"/>
    <x v="0"/>
    <n v="0"/>
    <n v="0"/>
    <n v="0"/>
    <n v="0"/>
    <n v="-6160000"/>
    <n v="6160000"/>
    <m/>
    <m/>
    <m/>
    <m/>
    <m/>
    <m/>
    <m/>
    <m/>
    <m/>
    <m/>
    <m/>
    <n v="237.70097917603482"/>
    <n v="0"/>
    <x v="2"/>
    <x v="39"/>
  </r>
  <r>
    <x v="1"/>
    <x v="5"/>
    <n v="6"/>
    <s v="104909"/>
    <s v="Công ty TNHH La Vie"/>
    <x v="38"/>
    <x v="36"/>
    <s v="Khác"/>
    <s v="Khác"/>
    <x v="2"/>
    <s v="NĐ"/>
    <s v="(blank)"/>
    <x v="0"/>
    <n v="0"/>
    <n v="0"/>
    <n v="21293095.496292472"/>
    <n v="0"/>
    <n v="0"/>
    <n v="-21293095.496292472"/>
    <m/>
    <m/>
    <m/>
    <m/>
    <m/>
    <m/>
    <m/>
    <m/>
    <m/>
    <m/>
    <m/>
    <n v="-821.65416382427554"/>
    <n v="0"/>
    <x v="4"/>
    <x v="38"/>
  </r>
  <r>
    <x v="1"/>
    <x v="5"/>
    <n v="6"/>
    <s v="105186"/>
    <s v="CÔNG TY TNHH HON CHUAN VIETNAM"/>
    <x v="8"/>
    <x v="8"/>
    <s v="rPET"/>
    <s v="rPET"/>
    <x v="3"/>
    <s v="NĐ"/>
    <s v="(blank)"/>
    <x v="0"/>
    <n v="2789.2"/>
    <n v="100563818"/>
    <n v="336996.43412797991"/>
    <n v="0"/>
    <n v="0"/>
    <n v="100226821.56587201"/>
    <m/>
    <m/>
    <m/>
    <m/>
    <m/>
    <m/>
    <m/>
    <m/>
    <m/>
    <m/>
    <m/>
    <n v="3867.5346795307632"/>
    <n v="3880.5386377078821"/>
    <x v="7"/>
    <x v="8"/>
  </r>
  <r>
    <x v="1"/>
    <x v="5"/>
    <n v="6"/>
    <s v="105186"/>
    <s v="CÔNG TY TNHH HON CHUAN VIETNAM"/>
    <x v="33"/>
    <x v="31"/>
    <s v="rPET"/>
    <s v="rPET"/>
    <x v="3"/>
    <s v="NĐ"/>
    <s v="(blank)"/>
    <x v="3"/>
    <n v="-589.20000000000005"/>
    <n v="-20719218"/>
    <n v="0"/>
    <n v="0"/>
    <n v="0"/>
    <n v="-20719218"/>
    <m/>
    <m/>
    <m/>
    <m/>
    <m/>
    <m/>
    <m/>
    <m/>
    <m/>
    <m/>
    <m/>
    <n v="-799.50948155222818"/>
    <n v="-799.50948155222818"/>
    <x v="7"/>
    <x v="33"/>
  </r>
  <r>
    <x v="1"/>
    <x v="5"/>
    <n v="6"/>
    <s v="105194"/>
    <s v="Suntory Việt Nam"/>
    <x v="8"/>
    <x v="8"/>
    <s v="rPET"/>
    <s v="rPET"/>
    <x v="3"/>
    <s v="NĐ"/>
    <s v="(blank)"/>
    <x v="1"/>
    <n v="-110000"/>
    <n v="0"/>
    <n v="-7752824.2063492052"/>
    <n v="0"/>
    <n v="63357777"/>
    <n v="-55604952.793650791"/>
    <m/>
    <m/>
    <m/>
    <m/>
    <m/>
    <m/>
    <m/>
    <m/>
    <m/>
    <m/>
    <m/>
    <n v="-2145.6739815077899"/>
    <n v="0"/>
    <x v="7"/>
    <x v="8"/>
  </r>
  <r>
    <x v="1"/>
    <x v="5"/>
    <n v="6"/>
    <s v="105194"/>
    <s v="Suntory Việt Nam"/>
    <x v="8"/>
    <x v="8"/>
    <s v="rPET"/>
    <s v="rPET"/>
    <x v="3"/>
    <s v="NĐ"/>
    <s v="(blank)"/>
    <x v="0"/>
    <n v="411400"/>
    <n v="15132739600"/>
    <n v="29460731.984126974"/>
    <n v="0"/>
    <n v="248240741.18518522"/>
    <n v="14632325667.130127"/>
    <m/>
    <m/>
    <m/>
    <m/>
    <m/>
    <m/>
    <m/>
    <m/>
    <m/>
    <m/>
    <m/>
    <n v="564629.56797069137"/>
    <n v="583939.45138570748"/>
    <x v="7"/>
    <x v="8"/>
  </r>
  <r>
    <x v="1"/>
    <x v="5"/>
    <n v="6"/>
    <s v="105194"/>
    <s v="Suntory Việt Nam"/>
    <x v="8"/>
    <x v="8"/>
    <s v="rPET"/>
    <s v="rPET"/>
    <x v="3"/>
    <s v="NĐ"/>
    <s v="(blank)"/>
    <x v="3"/>
    <n v="-59767"/>
    <n v="-2194881757"/>
    <n v="-6977541.7857142854"/>
    <n v="0"/>
    <n v="46018518"/>
    <n v="-2201620043.8487239"/>
    <m/>
    <m/>
    <m/>
    <m/>
    <m/>
    <m/>
    <m/>
    <m/>
    <m/>
    <m/>
    <m/>
    <n v="-84955.720811108185"/>
    <n v="-84695.705002356452"/>
    <x v="7"/>
    <x v="8"/>
  </r>
  <r>
    <x v="1"/>
    <x v="5"/>
    <n v="6"/>
    <s v="105194"/>
    <s v="Suntory Việt Nam"/>
    <x v="8"/>
    <x v="8"/>
    <s v="rPET"/>
    <s v="rPET"/>
    <x v="3"/>
    <s v="NĐ"/>
    <s v="(blank)"/>
    <x v="2"/>
    <n v="110000"/>
    <n v="0"/>
    <n v="15505648.41269841"/>
    <n v="0"/>
    <n v="142500000"/>
    <n v="-158005648.41269842"/>
    <m/>
    <m/>
    <m/>
    <m/>
    <m/>
    <m/>
    <m/>
    <m/>
    <m/>
    <m/>
    <m/>
    <n v="-6097.0937245199193"/>
    <n v="0"/>
    <x v="7"/>
    <x v="8"/>
  </r>
  <r>
    <x v="1"/>
    <x v="5"/>
    <n v="6"/>
    <s v="105194"/>
    <s v="Suntory Việt Nam"/>
    <x v="39"/>
    <x v="37"/>
    <s v="Khác"/>
    <s v="Khác"/>
    <x v="8"/>
    <s v="NĐ"/>
    <s v="(blank)"/>
    <x v="0"/>
    <n v="0"/>
    <n v="0"/>
    <n v="0"/>
    <n v="0"/>
    <n v="-92685185.185185194"/>
    <n v="92685185.185185194"/>
    <m/>
    <m/>
    <m/>
    <m/>
    <m/>
    <m/>
    <m/>
    <m/>
    <m/>
    <m/>
    <m/>
    <n v="3576.5193626023761"/>
    <n v="0"/>
    <x v="7"/>
    <x v="39"/>
  </r>
  <r>
    <x v="1"/>
    <x v="5"/>
    <n v="6"/>
    <s v="105207"/>
    <s v="Suntory Sri Thái Bình Dương"/>
    <x v="27"/>
    <x v="25"/>
    <s v="Khác"/>
    <s v="Khác"/>
    <x v="2"/>
    <s v="NĐ"/>
    <s v="(blank)"/>
    <x v="0"/>
    <n v="0"/>
    <n v="3938925"/>
    <n v="0"/>
    <n v="0"/>
    <n v="0"/>
    <n v="3938925"/>
    <m/>
    <m/>
    <m/>
    <m/>
    <m/>
    <m/>
    <m/>
    <m/>
    <m/>
    <m/>
    <m/>
    <n v="151.99453399366283"/>
    <n v="151.99453399366283"/>
    <x v="7"/>
    <x v="27"/>
  </r>
  <r>
    <x v="1"/>
    <x v="5"/>
    <n v="6"/>
    <s v="105209"/>
    <s v="Công ty TNHH MTV Đồng Lâm"/>
    <x v="35"/>
    <x v="33"/>
    <s v="Khác"/>
    <s v="Khác"/>
    <x v="2"/>
    <s v="NĐ"/>
    <s v="(blank)"/>
    <x v="0"/>
    <n v="0"/>
    <n v="12000000"/>
    <n v="0"/>
    <n v="0"/>
    <n v="0"/>
    <n v="12000000"/>
    <m/>
    <m/>
    <m/>
    <m/>
    <m/>
    <m/>
    <m/>
    <m/>
    <m/>
    <m/>
    <m/>
    <n v="463.05385553773016"/>
    <n v="463.05385553773016"/>
    <x v="17"/>
    <x v="35"/>
  </r>
  <r>
    <x v="1"/>
    <x v="5"/>
    <n v="6"/>
    <s v="105214"/>
    <s v="Người mua hàng không lấy hóa đơn"/>
    <x v="76"/>
    <x v="74"/>
    <s v="Khác"/>
    <s v="Phó sản"/>
    <x v="5"/>
    <s v="NĐ"/>
    <s v="(blank)"/>
    <x v="5"/>
    <n v="0"/>
    <n v="-1520000.0000000012"/>
    <n v="0"/>
    <n v="0"/>
    <n v="0"/>
    <n v="-1520000.0000000012"/>
    <m/>
    <m/>
    <m/>
    <m/>
    <m/>
    <m/>
    <m/>
    <m/>
    <m/>
    <m/>
    <m/>
    <n v="-58.653488368112534"/>
    <n v="-58.653488368112534"/>
    <x v="9"/>
    <x v="76"/>
  </r>
  <r>
    <x v="1"/>
    <x v="5"/>
    <n v="6"/>
    <s v="105214"/>
    <s v="Người mua hàng không lấy hóa đơn"/>
    <x v="76"/>
    <x v="74"/>
    <s v="Khác"/>
    <s v="Phó sản"/>
    <x v="5"/>
    <s v="NĐ"/>
    <s v="(blank)"/>
    <x v="0"/>
    <n v="5130"/>
    <n v="20520000"/>
    <n v="0"/>
    <n v="0"/>
    <n v="0"/>
    <n v="20520000"/>
    <m/>
    <m/>
    <m/>
    <m/>
    <m/>
    <m/>
    <m/>
    <m/>
    <m/>
    <m/>
    <m/>
    <n v="791.82209296951862"/>
    <n v="791.82209296951862"/>
    <x v="9"/>
    <x v="76"/>
  </r>
  <r>
    <x v="1"/>
    <x v="5"/>
    <n v="6"/>
    <s v="105214"/>
    <s v="Người mua hàng không lấy hóa đơn"/>
    <x v="77"/>
    <x v="75"/>
    <s v="Khác"/>
    <s v="Phó sản"/>
    <x v="5"/>
    <s v="NĐ"/>
    <s v="(blank)"/>
    <x v="5"/>
    <n v="0"/>
    <n v="-1520000.0000000012"/>
    <n v="0"/>
    <n v="0"/>
    <n v="0"/>
    <n v="-1520000.0000000012"/>
    <m/>
    <m/>
    <m/>
    <m/>
    <m/>
    <m/>
    <m/>
    <m/>
    <m/>
    <m/>
    <m/>
    <n v="-58.653488368112534"/>
    <n v="-58.653488368112534"/>
    <x v="9"/>
    <x v="77"/>
  </r>
  <r>
    <x v="1"/>
    <x v="5"/>
    <n v="6"/>
    <s v="105214"/>
    <s v="Người mua hàng không lấy hóa đơn"/>
    <x v="77"/>
    <x v="75"/>
    <s v="Khác"/>
    <s v="Phó sản"/>
    <x v="5"/>
    <s v="NĐ"/>
    <s v="(blank)"/>
    <x v="0"/>
    <n v="5130"/>
    <n v="20520000"/>
    <n v="0"/>
    <n v="0"/>
    <n v="0"/>
    <n v="20520000"/>
    <m/>
    <m/>
    <m/>
    <m/>
    <m/>
    <m/>
    <m/>
    <m/>
    <m/>
    <m/>
    <m/>
    <n v="791.82209296951862"/>
    <n v="791.82209296951862"/>
    <x v="9"/>
    <x v="77"/>
  </r>
  <r>
    <x v="1"/>
    <x v="5"/>
    <n v="6"/>
    <s v="105214"/>
    <s v="Người mua hàng không lấy hóa đơn"/>
    <x v="78"/>
    <x v="76"/>
    <s v="Khác"/>
    <s v="Phó sản"/>
    <x v="5"/>
    <s v="NĐ"/>
    <s v="(blank)"/>
    <x v="5"/>
    <n v="0"/>
    <n v="-11394962.962962972"/>
    <n v="0"/>
    <n v="0"/>
    <n v="0"/>
    <n v="-11394962.962962972"/>
    <m/>
    <m/>
    <m/>
    <m/>
    <m/>
    <m/>
    <m/>
    <m/>
    <m/>
    <m/>
    <m/>
    <n v="-439.70679447580346"/>
    <n v="-439.70679447580346"/>
    <x v="9"/>
    <x v="78"/>
  </r>
  <r>
    <x v="1"/>
    <x v="5"/>
    <n v="6"/>
    <s v="105214"/>
    <s v="Người mua hàng không lấy hóa đơn"/>
    <x v="78"/>
    <x v="76"/>
    <s v="Khác"/>
    <s v="Phó sản"/>
    <x v="5"/>
    <s v="NĐ"/>
    <s v="(blank)"/>
    <x v="0"/>
    <n v="38458"/>
    <n v="153832000"/>
    <n v="0"/>
    <n v="0"/>
    <n v="0"/>
    <n v="153832000"/>
    <m/>
    <m/>
    <m/>
    <m/>
    <m/>
    <m/>
    <m/>
    <m/>
    <m/>
    <m/>
    <m/>
    <n v="5936.0417254233425"/>
    <n v="5936.0417254233425"/>
    <x v="9"/>
    <x v="78"/>
  </r>
  <r>
    <x v="1"/>
    <x v="5"/>
    <n v="6"/>
    <s v="105214"/>
    <s v="Người mua hàng không lấy hóa đơn"/>
    <x v="27"/>
    <x v="25"/>
    <s v="Khác"/>
    <s v="Khác"/>
    <x v="2"/>
    <s v="NĐ"/>
    <s v="(blank)"/>
    <x v="0"/>
    <n v="0"/>
    <n v="36280493"/>
    <n v="0"/>
    <n v="0"/>
    <n v="0"/>
    <n v="36280493"/>
    <m/>
    <m/>
    <m/>
    <m/>
    <m/>
    <m/>
    <m/>
    <m/>
    <m/>
    <m/>
    <m/>
    <n v="1399.985180371636"/>
    <n v="1399.985180371636"/>
    <x v="9"/>
    <x v="27"/>
  </r>
  <r>
    <x v="1"/>
    <x v="5"/>
    <n v="6"/>
    <s v="105223"/>
    <s v="Dynaplast Bắc Ninh"/>
    <x v="1"/>
    <x v="1"/>
    <s v="rHDPE"/>
    <s v="rHDPE thổi"/>
    <x v="0"/>
    <s v="NĐ"/>
    <s v="(blank)"/>
    <x v="0"/>
    <n v="24750"/>
    <n v="877041000"/>
    <n v="0"/>
    <n v="0"/>
    <n v="17685185"/>
    <n v="859355815"/>
    <m/>
    <m/>
    <m/>
    <m/>
    <m/>
    <m/>
    <m/>
    <m/>
    <m/>
    <m/>
    <m/>
    <n v="33160.66861787653"/>
    <n v="33843.101376222199"/>
    <x v="2"/>
    <x v="1"/>
  </r>
  <r>
    <x v="1"/>
    <x v="5"/>
    <n v="6"/>
    <s v="105229"/>
    <s v="GIA TƯỜNG"/>
    <x v="44"/>
    <x v="42"/>
    <s v="GC"/>
    <s v="GC"/>
    <x v="10"/>
    <s v="NĐ"/>
    <s v="(blank)"/>
    <x v="0"/>
    <n v="100000"/>
    <n v="1780000000"/>
    <n v="0"/>
    <n v="128000000"/>
    <n v="0"/>
    <n v="1652000000"/>
    <m/>
    <m/>
    <m/>
    <m/>
    <m/>
    <m/>
    <m/>
    <m/>
    <m/>
    <m/>
    <m/>
    <n v="63747.080779027521"/>
    <n v="68686.321904763303"/>
    <x v="24"/>
    <x v="44"/>
  </r>
  <r>
    <x v="1"/>
    <x v="5"/>
    <n v="6"/>
    <s v="105247"/>
    <s v="MINH THÀNH"/>
    <x v="29"/>
    <x v="27"/>
    <s v="Khác"/>
    <s v="Phó sản"/>
    <x v="5"/>
    <s v="NĐ"/>
    <s v="(blank)"/>
    <x v="0"/>
    <n v="8310"/>
    <n v="162045000"/>
    <n v="0"/>
    <n v="0"/>
    <n v="0"/>
    <n v="162045000"/>
    <m/>
    <m/>
    <m/>
    <m/>
    <m/>
    <m/>
    <m/>
    <m/>
    <m/>
    <m/>
    <m/>
    <n v="6252.9635017176233"/>
    <n v="6252.9635017176233"/>
    <x v="10"/>
    <x v="29"/>
  </r>
  <r>
    <x v="1"/>
    <x v="5"/>
    <n v="6"/>
    <s v="105248"/>
    <s v="ĐẠI NHẤT LONG"/>
    <x v="4"/>
    <x v="4"/>
    <s v="rHDPE"/>
    <s v="rHDPE ép"/>
    <x v="1"/>
    <s v="NĐ"/>
    <s v="(blank)"/>
    <x v="0"/>
    <n v="5500"/>
    <n v="99305556"/>
    <n v="556044.1163111669"/>
    <n v="0"/>
    <n v="0"/>
    <n v="98749511.883688837"/>
    <m/>
    <m/>
    <m/>
    <m/>
    <m/>
    <m/>
    <m/>
    <m/>
    <m/>
    <m/>
    <m/>
    <n v="3810.528517517585"/>
    <n v="3831.9850485098309"/>
    <x v="27"/>
    <x v="4"/>
  </r>
  <r>
    <x v="1"/>
    <x v="5"/>
    <n v="6"/>
    <s v="105248"/>
    <s v="ĐẠI NHẤT LONG"/>
    <x v="51"/>
    <x v="49"/>
    <s v="rHDPE"/>
    <s v="rHDPE ép"/>
    <x v="1"/>
    <s v="NĐ"/>
    <s v="(blank)"/>
    <x v="0"/>
    <n v="4500"/>
    <n v="75000000"/>
    <n v="454945.18607277289"/>
    <n v="0"/>
    <n v="0"/>
    <n v="74545054.813927233"/>
    <m/>
    <m/>
    <m/>
    <m/>
    <m/>
    <m/>
    <m/>
    <m/>
    <m/>
    <m/>
    <m/>
    <n v="2876.531253571703"/>
    <n v="2894.0865971108137"/>
    <x v="27"/>
    <x v="51"/>
  </r>
  <r>
    <x v="1"/>
    <x v="5"/>
    <n v="6"/>
    <s v="105263"/>
    <s v="Unilever Duy Tân"/>
    <x v="1"/>
    <x v="1"/>
    <s v="rHDPE"/>
    <s v="rHDPE thổi"/>
    <x v="0"/>
    <s v="NĐ"/>
    <s v="(blank)"/>
    <x v="0"/>
    <n v="88000"/>
    <n v="3047220000"/>
    <n v="0"/>
    <n v="0"/>
    <n v="0"/>
    <n v="3047220000"/>
    <m/>
    <m/>
    <m/>
    <m/>
    <m/>
    <m/>
    <m/>
    <m/>
    <m/>
    <m/>
    <m/>
    <n v="117585.58080597351"/>
    <n v="117585.58080597351"/>
    <x v="2"/>
    <x v="1"/>
  </r>
  <r>
    <x v="1"/>
    <x v="5"/>
    <n v="6"/>
    <s v="105263"/>
    <s v="Unilever Duy Tân"/>
    <x v="9"/>
    <x v="9"/>
    <s v="rPET"/>
    <s v="rPET"/>
    <x v="3"/>
    <s v="NĐ"/>
    <s v="(blank)"/>
    <x v="0"/>
    <n v="11000"/>
    <n v="352687500"/>
    <n v="1684982.1706398998"/>
    <n v="0"/>
    <n v="0"/>
    <n v="351002517.82936013"/>
    <m/>
    <m/>
    <m/>
    <m/>
    <m/>
    <m/>
    <m/>
    <m/>
    <m/>
    <m/>
    <m/>
    <n v="13544.422432028006"/>
    <n v="13609.4422229136"/>
    <x v="2"/>
    <x v="9"/>
  </r>
  <r>
    <x v="1"/>
    <x v="5"/>
    <n v="6"/>
    <s v="105263"/>
    <s v="Unilever Duy Tân"/>
    <x v="50"/>
    <x v="48"/>
    <s v="rHDPE"/>
    <s v="rHDPE thổi"/>
    <x v="0"/>
    <s v="NĐ"/>
    <s v="(blank)"/>
    <x v="0"/>
    <n v="44000"/>
    <n v="1467180000"/>
    <n v="0"/>
    <n v="0"/>
    <n v="0"/>
    <n v="1467180000"/>
    <m/>
    <m/>
    <m/>
    <m/>
    <m/>
    <m/>
    <m/>
    <m/>
    <m/>
    <m/>
    <m/>
    <n v="56615.279647320574"/>
    <n v="56615.279647320574"/>
    <x v="2"/>
    <x v="50"/>
  </r>
  <r>
    <x v="1"/>
    <x v="5"/>
    <n v="6"/>
    <s v="105263"/>
    <s v="Unilever Duy Tân"/>
    <x v="83"/>
    <x v="81"/>
    <s v="rHDPE"/>
    <s v="rHDPE thổi"/>
    <x v="0"/>
    <s v="NĐ"/>
    <s v="(blank)"/>
    <x v="0"/>
    <n v="33000"/>
    <n v="1142707500"/>
    <n v="0"/>
    <n v="0"/>
    <n v="0"/>
    <n v="1142707500"/>
    <m/>
    <m/>
    <m/>
    <m/>
    <m/>
    <m/>
    <m/>
    <m/>
    <m/>
    <m/>
    <m/>
    <n v="44094.592802240069"/>
    <n v="44094.592802240069"/>
    <x v="2"/>
    <x v="83"/>
  </r>
  <r>
    <x v="1"/>
    <x v="5"/>
    <n v="6"/>
    <s v="105265"/>
    <s v="Muji- DTP"/>
    <x v="9"/>
    <x v="9"/>
    <s v="rPET"/>
    <s v="rPET"/>
    <x v="3"/>
    <s v="NĐ"/>
    <s v="(blank)"/>
    <x v="0"/>
    <n v="3300"/>
    <n v="107951250"/>
    <n v="505494.65119196993"/>
    <n v="0"/>
    <n v="0"/>
    <n v="107445755.34880804"/>
    <m/>
    <m/>
    <m/>
    <m/>
    <m/>
    <m/>
    <m/>
    <m/>
    <m/>
    <m/>
    <m/>
    <n v="4146.0976062857708"/>
    <n v="4165.6035435514495"/>
    <x v="34"/>
    <x v="9"/>
  </r>
  <r>
    <x v="1"/>
    <x v="5"/>
    <n v="6"/>
    <s v="105271"/>
    <s v="Suntory- Ngọc Nghĩa Tây Ninh"/>
    <x v="8"/>
    <x v="8"/>
    <s v="rPET"/>
    <s v="rPET"/>
    <x v="3"/>
    <s v="NĐ"/>
    <s v="(blank)"/>
    <x v="0"/>
    <n v="22000"/>
    <n v="798443800"/>
    <n v="3369964.3412797996"/>
    <n v="0"/>
    <n v="3080000"/>
    <n v="780103341.65872025"/>
    <m/>
    <m/>
    <m/>
    <m/>
    <m/>
    <m/>
    <m/>
    <m/>
    <m/>
    <m/>
    <m/>
    <n v="30102.488339411466"/>
    <n v="30810.206668349692"/>
    <x v="7"/>
    <x v="8"/>
  </r>
  <r>
    <x v="1"/>
    <x v="5"/>
    <n v="6"/>
    <s v="105272"/>
    <s v="LINH CHI"/>
    <x v="104"/>
    <x v="102"/>
    <s v="Xơ sợi"/>
    <s v="Xơ sợi"/>
    <x v="7"/>
    <s v="NĐ"/>
    <s v="(blank)"/>
    <x v="0"/>
    <n v="10500"/>
    <n v="173250000"/>
    <n v="1684982.1706398996"/>
    <n v="0"/>
    <n v="0"/>
    <n v="171565017.8293601"/>
    <m/>
    <m/>
    <m/>
    <m/>
    <m/>
    <m/>
    <m/>
    <m/>
    <m/>
    <m/>
    <m/>
    <n v="6620.3202484403846"/>
    <n v="6685.340039325979"/>
    <x v="42"/>
    <x v="104"/>
  </r>
  <r>
    <x v="1"/>
    <x v="5"/>
    <n v="6"/>
    <s v="105281"/>
    <s v="Plascene- DTP"/>
    <x v="9"/>
    <x v="9"/>
    <s v="rPET"/>
    <s v="rPET"/>
    <x v="3"/>
    <s v="NĐ"/>
    <s v="(blank)"/>
    <x v="0"/>
    <n v="66000"/>
    <n v="2159025000"/>
    <n v="10109893.023839399"/>
    <n v="0"/>
    <n v="0"/>
    <n v="2148915106.9761605"/>
    <m/>
    <m/>
    <m/>
    <m/>
    <m/>
    <m/>
    <m/>
    <m/>
    <m/>
    <m/>
    <m/>
    <n v="82921.952125715427"/>
    <n v="83312.070871028991"/>
    <x v="54"/>
    <x v="9"/>
  </r>
  <r>
    <x v="1"/>
    <x v="5"/>
    <n v="6"/>
    <s v="105284"/>
    <s v="Motul -DTP"/>
    <x v="63"/>
    <x v="61"/>
    <s v="rHDPE"/>
    <s v="rHDPE thổi"/>
    <x v="0"/>
    <s v="NĐ"/>
    <s v="(blank)"/>
    <x v="1"/>
    <n v="-1375"/>
    <n v="0"/>
    <n v="0"/>
    <n v="0"/>
    <n v="0"/>
    <n v="0"/>
    <m/>
    <m/>
    <m/>
    <m/>
    <m/>
    <m/>
    <m/>
    <m/>
    <m/>
    <m/>
    <m/>
    <n v="0"/>
    <n v="0"/>
    <x v="59"/>
    <x v="63"/>
  </r>
  <r>
    <x v="1"/>
    <x v="5"/>
    <n v="6"/>
    <s v="105284"/>
    <s v="Motul -DTP"/>
    <x v="63"/>
    <x v="61"/>
    <s v="rHDPE"/>
    <s v="rHDPE thổi"/>
    <x v="0"/>
    <s v="NĐ"/>
    <s v="(blank)"/>
    <x v="0"/>
    <n v="33000"/>
    <n v="1078687500"/>
    <n v="0"/>
    <n v="0"/>
    <n v="0"/>
    <n v="1078687500"/>
    <m/>
    <m/>
    <m/>
    <m/>
    <m/>
    <m/>
    <m/>
    <m/>
    <m/>
    <m/>
    <m/>
    <n v="41624.200482946275"/>
    <n v="41624.200482946275"/>
    <x v="59"/>
    <x v="63"/>
  </r>
  <r>
    <x v="1"/>
    <x v="5"/>
    <n v="6"/>
    <s v="105284"/>
    <s v="Motul -DTP"/>
    <x v="63"/>
    <x v="61"/>
    <s v="rHDPE"/>
    <s v="rHDPE thổi"/>
    <x v="0"/>
    <s v="NĐ"/>
    <s v="(blank)"/>
    <x v="2"/>
    <n v="1375"/>
    <n v="0"/>
    <n v="0"/>
    <n v="0"/>
    <n v="0"/>
    <n v="0"/>
    <m/>
    <m/>
    <m/>
    <m/>
    <m/>
    <m/>
    <m/>
    <m/>
    <m/>
    <m/>
    <m/>
    <n v="0"/>
    <n v="0"/>
    <x v="59"/>
    <x v="63"/>
  </r>
  <r>
    <x v="1"/>
    <x v="5"/>
    <n v="6"/>
    <s v="105286"/>
    <s v="MONDELEZ-VIỆT THÀNH"/>
    <x v="33"/>
    <x v="31"/>
    <s v="rPET"/>
    <s v="rPET"/>
    <x v="3"/>
    <s v="NĐ"/>
    <s v="(blank)"/>
    <x v="0"/>
    <n v="44000"/>
    <n v="1495146400"/>
    <n v="6739928.6825595992"/>
    <n v="0"/>
    <n v="0"/>
    <n v="1488406471.3174405"/>
    <m/>
    <m/>
    <m/>
    <m/>
    <m/>
    <m/>
    <m/>
    <m/>
    <m/>
    <m/>
    <m/>
    <n v="57434.362929237403"/>
    <n v="57694.442092779776"/>
    <x v="88"/>
    <x v="33"/>
  </r>
  <r>
    <x v="1"/>
    <x v="5"/>
    <n v="6"/>
    <s v="105290"/>
    <s v="HOÀNG TẤN"/>
    <x v="75"/>
    <x v="73"/>
    <s v="Khác"/>
    <s v="Phó sản"/>
    <x v="5"/>
    <s v="NĐ"/>
    <s v="(blank)"/>
    <x v="0"/>
    <n v="3432"/>
    <n v="17160000"/>
    <n v="0"/>
    <n v="0"/>
    <n v="0"/>
    <n v="17160000"/>
    <m/>
    <m/>
    <m/>
    <m/>
    <m/>
    <m/>
    <m/>
    <m/>
    <m/>
    <m/>
    <m/>
    <n v="662.16701341895418"/>
    <n v="662.16701341895418"/>
    <x v="66"/>
    <x v="75"/>
  </r>
  <r>
    <x v="1"/>
    <x v="5"/>
    <n v="6"/>
    <s v="105290"/>
    <s v="HOÀNG TẤN"/>
    <x v="76"/>
    <x v="74"/>
    <s v="Khác"/>
    <s v="Phó sản"/>
    <x v="5"/>
    <s v="NĐ"/>
    <s v="(blank)"/>
    <x v="0"/>
    <n v="15188"/>
    <n v="75940000"/>
    <n v="0"/>
    <n v="0"/>
    <n v="0"/>
    <n v="75940000"/>
    <m/>
    <m/>
    <m/>
    <m/>
    <m/>
    <m/>
    <m/>
    <m/>
    <m/>
    <m/>
    <m/>
    <n v="2930.3591491279358"/>
    <n v="2930.3591491279358"/>
    <x v="66"/>
    <x v="76"/>
  </r>
  <r>
    <x v="1"/>
    <x v="5"/>
    <n v="6"/>
    <s v="105290"/>
    <s v="HOÀNG TẤN"/>
    <x v="77"/>
    <x v="75"/>
    <s v="Khác"/>
    <s v="Phó sản"/>
    <x v="5"/>
    <s v="NĐ"/>
    <s v="(blank)"/>
    <x v="0"/>
    <n v="13978"/>
    <n v="69890000"/>
    <n v="0"/>
    <n v="0"/>
    <n v="0"/>
    <n v="69890000"/>
    <m/>
    <m/>
    <m/>
    <m/>
    <m/>
    <m/>
    <m/>
    <m/>
    <m/>
    <m/>
    <m/>
    <n v="2696.9028302943302"/>
    <n v="2696.9028302943302"/>
    <x v="66"/>
    <x v="77"/>
  </r>
  <r>
    <x v="1"/>
    <x v="5"/>
    <n v="6"/>
    <s v="105290"/>
    <s v="HOÀNG TẤN"/>
    <x v="78"/>
    <x v="76"/>
    <s v="Khác"/>
    <s v="Phó sản"/>
    <x v="5"/>
    <s v="NĐ"/>
    <s v="(blank)"/>
    <x v="0"/>
    <n v="32861"/>
    <n v="164305000"/>
    <n v="0"/>
    <n v="0"/>
    <n v="0"/>
    <n v="164305000"/>
    <m/>
    <m/>
    <m/>
    <m/>
    <m/>
    <m/>
    <m/>
    <m/>
    <m/>
    <m/>
    <m/>
    <n v="6340.1719778438965"/>
    <n v="6340.1719778438965"/>
    <x v="66"/>
    <x v="78"/>
  </r>
  <r>
    <x v="1"/>
    <x v="5"/>
    <n v="6"/>
    <s v="105291"/>
    <s v="AN NHẬT"/>
    <x v="9"/>
    <x v="9"/>
    <s v="rPET"/>
    <s v="rPET"/>
    <x v="3"/>
    <s v="NĐ"/>
    <s v="(blank)"/>
    <x v="0"/>
    <n v="4400"/>
    <n v="146527773"/>
    <n v="673992.86825595982"/>
    <n v="0"/>
    <n v="0"/>
    <n v="145853780.13174403"/>
    <m/>
    <m/>
    <m/>
    <m/>
    <m/>
    <m/>
    <m/>
    <m/>
    <m/>
    <m/>
    <m/>
    <n v="5628.1796028963718"/>
    <n v="5654.1875192506095"/>
    <x v="67"/>
    <x v="9"/>
  </r>
  <r>
    <x v="1"/>
    <x v="5"/>
    <n v="6"/>
    <s v="105306"/>
    <s v="MTV MILKIWAY SOLUTION"/>
    <x v="9"/>
    <x v="9"/>
    <s v="rPET"/>
    <s v="rPET"/>
    <x v="3"/>
    <s v="NĐ"/>
    <s v="(blank)"/>
    <x v="0"/>
    <n v="22000"/>
    <n v="727425600.00000012"/>
    <n v="3369964.3412797996"/>
    <n v="0"/>
    <n v="0"/>
    <n v="724055635.65872037"/>
    <m/>
    <m/>
    <m/>
    <m/>
    <m/>
    <m/>
    <m/>
    <m/>
    <m/>
    <m/>
    <m/>
    <n v="27939.729476299373"/>
    <n v="28069.76905807056"/>
    <x v="84"/>
    <x v="9"/>
  </r>
  <r>
    <x v="1"/>
    <x v="5"/>
    <n v="6"/>
    <s v="105323"/>
    <s v="ĐẠI LỤC"/>
    <x v="62"/>
    <x v="60"/>
    <s v="Xơ sợi"/>
    <s v="Xơ sợi"/>
    <x v="7"/>
    <s v="NĐ"/>
    <s v="(blank)"/>
    <x v="0"/>
    <n v="5500"/>
    <n v="90750000"/>
    <n v="842491.0853199499"/>
    <n v="0"/>
    <n v="0"/>
    <n v="89907508.914680049"/>
    <m/>
    <m/>
    <m/>
    <m/>
    <m/>
    <m/>
    <m/>
    <m/>
    <m/>
    <m/>
    <m/>
    <n v="3469.3348870612867"/>
    <n v="3501.8447825040844"/>
    <x v="120"/>
    <x v="62"/>
  </r>
  <r>
    <x v="1"/>
    <x v="5"/>
    <n v="6"/>
    <s v="105324"/>
    <s v="NHỰA TRƯỜNG AN"/>
    <x v="51"/>
    <x v="49"/>
    <s v="rHDPE"/>
    <s v="rHDPE ép"/>
    <x v="1"/>
    <s v="NĐ"/>
    <s v="(blank)"/>
    <x v="0"/>
    <n v="12000"/>
    <n v="188888888"/>
    <n v="2695971.4730238393"/>
    <n v="0"/>
    <n v="0"/>
    <n v="186192916.52697617"/>
    <m/>
    <m/>
    <m/>
    <m/>
    <m/>
    <m/>
    <m/>
    <m/>
    <m/>
    <m/>
    <m/>
    <n v="7184.7789893025893"/>
    <n v="7288.8106547195412"/>
    <x v="106"/>
    <x v="51"/>
  </r>
  <r>
    <x v="1"/>
    <x v="5"/>
    <n v="6"/>
    <s v="105328"/>
    <s v="CN COCA-COLA VN - LONG AN"/>
    <x v="8"/>
    <x v="8"/>
    <s v="rPET"/>
    <s v="rPET"/>
    <x v="3"/>
    <s v="NĐ"/>
    <s v="(blank)"/>
    <x v="0"/>
    <n v="88000"/>
    <n v="3243416000"/>
    <n v="13479857.365119198"/>
    <n v="0"/>
    <n v="14960000"/>
    <n v="3214976142.634881"/>
    <m/>
    <m/>
    <m/>
    <m/>
    <m/>
    <m/>
    <m/>
    <m/>
    <m/>
    <m/>
    <m/>
    <n v="124058.92485907508"/>
    <n v="125156.35699273022"/>
    <x v="3"/>
    <x v="8"/>
  </r>
  <r>
    <x v="1"/>
    <x v="5"/>
    <n v="6"/>
    <s v="105328"/>
    <s v="CN COCA-COLA VN - LONG AN"/>
    <x v="8"/>
    <x v="8"/>
    <s v="rPET"/>
    <s v="rPET"/>
    <x v="3"/>
    <s v="NĐ"/>
    <s v="(blank)"/>
    <x v="4"/>
    <n v="0"/>
    <n v="-96613440"/>
    <n v="0"/>
    <n v="0"/>
    <n v="0"/>
    <n v="-96613440"/>
    <m/>
    <m/>
    <m/>
    <m/>
    <m/>
    <m/>
    <m/>
    <m/>
    <m/>
    <m/>
    <m/>
    <n v="-3728.1021573969301"/>
    <n v="-3728.1021573969301"/>
    <x v="3"/>
    <x v="8"/>
  </r>
  <r>
    <x v="1"/>
    <x v="5"/>
    <n v="6"/>
    <s v="105333"/>
    <s v="LƯỚI BẢO NÔNG"/>
    <x v="30"/>
    <x v="28"/>
    <s v="rHDPE"/>
    <s v="rHDPE ép"/>
    <x v="1"/>
    <s v="NĐ"/>
    <s v="(blank)"/>
    <x v="0"/>
    <n v="26250"/>
    <n v="406875000"/>
    <n v="5897437.5972396489"/>
    <n v="0"/>
    <n v="0"/>
    <n v="400977562.40276039"/>
    <m/>
    <m/>
    <m/>
    <m/>
    <m/>
    <m/>
    <m/>
    <m/>
    <m/>
    <m/>
    <m/>
    <n v="15472.850521226583"/>
    <n v="15700.419789326163"/>
    <x v="125"/>
    <x v="30"/>
  </r>
  <r>
    <x v="1"/>
    <x v="5"/>
    <n v="6"/>
    <s v="105333"/>
    <s v="LƯỚI BẢO NÔNG"/>
    <x v="52"/>
    <x v="50"/>
    <s v="rHDPE"/>
    <s v="rHDPE ép"/>
    <x v="1"/>
    <s v="NĐ"/>
    <s v="(blank)"/>
    <x v="0"/>
    <n v="5250"/>
    <n v="81375000"/>
    <n v="1179487.5194479297"/>
    <n v="0"/>
    <n v="0"/>
    <n v="80195512.480552077"/>
    <m/>
    <m/>
    <m/>
    <m/>
    <m/>
    <m/>
    <m/>
    <m/>
    <m/>
    <m/>
    <m/>
    <n v="3094.5701042453165"/>
    <n v="3140.0839578652326"/>
    <x v="125"/>
    <x v="52"/>
  </r>
  <r>
    <x v="1"/>
    <x v="5"/>
    <n v="6"/>
    <s v="105339"/>
    <s v="HUY THÀNH"/>
    <x v="5"/>
    <x v="5"/>
    <s v="rHDPE"/>
    <s v="rHDPE ép"/>
    <x v="1"/>
    <s v="NĐ"/>
    <s v="(blank)"/>
    <x v="0"/>
    <n v="33000"/>
    <n v="628833333"/>
    <n v="0"/>
    <n v="33000000"/>
    <n v="0"/>
    <n v="595833333"/>
    <m/>
    <m/>
    <m/>
    <m/>
    <m/>
    <m/>
    <m/>
    <m/>
    <m/>
    <m/>
    <m/>
    <n v="22991.910175295525"/>
    <n v="24265.30827802428"/>
    <x v="138"/>
    <x v="5"/>
  </r>
  <r>
    <x v="1"/>
    <x v="5"/>
    <n v="6"/>
    <s v="105339"/>
    <s v="HUY THÀNH"/>
    <x v="51"/>
    <x v="49"/>
    <s v="rHDPE"/>
    <s v="rHDPE ép"/>
    <x v="1"/>
    <s v="NĐ"/>
    <s v="(blank)"/>
    <x v="0"/>
    <n v="6000"/>
    <n v="102777778"/>
    <n v="1347985.7365119196"/>
    <n v="6000000"/>
    <n v="0"/>
    <n v="95429792.263488084"/>
    <m/>
    <m/>
    <m/>
    <m/>
    <m/>
    <m/>
    <m/>
    <m/>
    <m/>
    <m/>
    <m/>
    <n v="3682.4277700644011"/>
    <n v="3965.9705305417419"/>
    <x v="138"/>
    <x v="51"/>
  </r>
  <r>
    <x v="1"/>
    <x v="5"/>
    <n v="6"/>
    <s v="105339"/>
    <s v="HUY THÀNH"/>
    <x v="114"/>
    <x v="112"/>
    <s v="rHDPE"/>
    <s v="rHDPE ép"/>
    <x v="1"/>
    <s v="NĐ"/>
    <s v="(blank)"/>
    <x v="0"/>
    <n v="28000"/>
    <n v="362962961"/>
    <n v="6402932.2484316183"/>
    <n v="0"/>
    <n v="0"/>
    <n v="356560028.75156838"/>
    <m/>
    <m/>
    <m/>
    <m/>
    <m/>
    <m/>
    <m/>
    <m/>
    <m/>
    <m/>
    <m/>
    <n v="13758.874670338137"/>
    <n v="14005.949875703398"/>
    <x v="138"/>
    <x v="114"/>
  </r>
  <r>
    <x v="1"/>
    <x v="5"/>
    <n v="6"/>
    <s v="105349"/>
    <s v="MTVN Plastic"/>
    <x v="87"/>
    <x v="85"/>
    <s v="rHDPE"/>
    <s v="rHDPE thổi"/>
    <x v="0"/>
    <s v="NĐ"/>
    <s v="(blank)"/>
    <x v="1"/>
    <n v="-6875"/>
    <n v="0"/>
    <n v="0"/>
    <n v="0"/>
    <n v="0"/>
    <n v="0"/>
    <m/>
    <m/>
    <m/>
    <m/>
    <m/>
    <m/>
    <m/>
    <m/>
    <m/>
    <m/>
    <m/>
    <n v="0"/>
    <n v="0"/>
    <x v="158"/>
    <x v="87"/>
  </r>
  <r>
    <x v="1"/>
    <x v="5"/>
    <n v="6"/>
    <s v="105349"/>
    <s v="MTVN Plastic"/>
    <x v="87"/>
    <x v="85"/>
    <s v="rHDPE"/>
    <s v="rHDPE thổi"/>
    <x v="0"/>
    <s v="NĐ"/>
    <s v="(blank)"/>
    <x v="0"/>
    <n v="28125"/>
    <n v="447932292"/>
    <n v="0"/>
    <n v="0"/>
    <n v="2700000"/>
    <n v="445232292"/>
    <m/>
    <m/>
    <m/>
    <m/>
    <m/>
    <m/>
    <m/>
    <m/>
    <m/>
    <m/>
    <m/>
    <n v="17180.544118375041"/>
    <n v="17284.73123587103"/>
    <x v="158"/>
    <x v="87"/>
  </r>
  <r>
    <x v="1"/>
    <x v="5"/>
    <n v="6"/>
    <s v="105349"/>
    <s v="MTVN Plastic"/>
    <x v="87"/>
    <x v="85"/>
    <s v="rHDPE"/>
    <s v="rHDPE thổi"/>
    <x v="0"/>
    <s v="NĐ"/>
    <s v="(blank)"/>
    <x v="2"/>
    <n v="6875"/>
    <n v="0"/>
    <n v="0"/>
    <n v="0"/>
    <n v="0"/>
    <n v="0"/>
    <m/>
    <m/>
    <m/>
    <m/>
    <m/>
    <m/>
    <m/>
    <m/>
    <m/>
    <m/>
    <m/>
    <n v="0"/>
    <n v="0"/>
    <x v="158"/>
    <x v="87"/>
  </r>
  <r>
    <x v="1"/>
    <x v="5"/>
    <n v="6"/>
    <s v="105350"/>
    <s v="Suntory - Ngọc Nghĩa Hưng Yên"/>
    <x v="39"/>
    <x v="37"/>
    <s v="Khác"/>
    <s v="Khác"/>
    <x v="8"/>
    <s v="NĐ"/>
    <s v="(blank)"/>
    <x v="0"/>
    <n v="0"/>
    <n v="0"/>
    <n v="0"/>
    <n v="0"/>
    <n v="3080000"/>
    <n v="-3080000"/>
    <m/>
    <m/>
    <m/>
    <m/>
    <m/>
    <m/>
    <m/>
    <m/>
    <m/>
    <m/>
    <m/>
    <n v="-118.85048958801741"/>
    <n v="0"/>
    <x v="7"/>
    <x v="39"/>
  </r>
  <r>
    <x v="1"/>
    <x v="5"/>
    <n v="6"/>
    <s v="105354"/>
    <s v="UNILEVER - NNG-TN"/>
    <x v="9"/>
    <x v="9"/>
    <s v="rPET"/>
    <s v="rPET"/>
    <x v="3"/>
    <s v="NĐ"/>
    <s v="(blank)"/>
    <x v="0"/>
    <n v="44000"/>
    <n v="1410772000"/>
    <n v="6739928.6825595992"/>
    <n v="0"/>
    <n v="6160000"/>
    <n v="1397872071.3174405"/>
    <m/>
    <m/>
    <m/>
    <m/>
    <m/>
    <m/>
    <m/>
    <m/>
    <m/>
    <m/>
    <m/>
    <n v="53940.837681004479"/>
    <n v="54438.617823722889"/>
    <x v="2"/>
    <x v="9"/>
  </r>
  <r>
    <x v="1"/>
    <x v="5"/>
    <n v="6"/>
    <s v="105355"/>
    <s v="Nhựa Âu Lạc"/>
    <x v="9"/>
    <x v="9"/>
    <s v="rPET"/>
    <s v="rPET"/>
    <x v="3"/>
    <s v="NĐ"/>
    <s v="(blank)"/>
    <x v="0"/>
    <n v="25"/>
    <n v="835500"/>
    <n v="0"/>
    <n v="0"/>
    <n v="0"/>
    <n v="835500"/>
    <m/>
    <m/>
    <m/>
    <m/>
    <m/>
    <m/>
    <m/>
    <m/>
    <m/>
    <m/>
    <m/>
    <n v="32.240124691814465"/>
    <n v="32.240124691814465"/>
    <x v="172"/>
    <x v="9"/>
  </r>
  <r>
    <x v="1"/>
    <x v="5"/>
    <n v="6"/>
    <s v="105355"/>
    <s v="Nhựa Âu Lạc"/>
    <x v="33"/>
    <x v="31"/>
    <s v="rPET"/>
    <s v="rPET"/>
    <x v="3"/>
    <s v="NĐ"/>
    <s v="(blank)"/>
    <x v="0"/>
    <n v="25"/>
    <n v="855000"/>
    <n v="0"/>
    <n v="0"/>
    <n v="0"/>
    <n v="855000"/>
    <m/>
    <m/>
    <m/>
    <m/>
    <m/>
    <m/>
    <m/>
    <m/>
    <m/>
    <m/>
    <m/>
    <n v="32.992587207063274"/>
    <n v="32.992587207063274"/>
    <x v="172"/>
    <x v="33"/>
  </r>
  <r>
    <x v="1"/>
    <x v="5"/>
    <n v="6"/>
    <s v="105356"/>
    <s v="Quang Chí Bảo"/>
    <x v="62"/>
    <x v="60"/>
    <s v="Xơ sợi"/>
    <s v="Xơ sợi"/>
    <x v="7"/>
    <s v="NĐ"/>
    <s v="(blank)"/>
    <x v="0"/>
    <n v="46900"/>
    <n v="820750000"/>
    <n v="7245423.3337515686"/>
    <n v="0"/>
    <n v="0"/>
    <n v="813504576.66624844"/>
    <m/>
    <m/>
    <m/>
    <m/>
    <m/>
    <m/>
    <m/>
    <m/>
    <m/>
    <m/>
    <m/>
    <n v="31391.369226907947"/>
    <n v="31670.954327715997"/>
    <x v="151"/>
    <x v="62"/>
  </r>
  <r>
    <x v="1"/>
    <x v="5"/>
    <n v="6"/>
    <s v="105357"/>
    <s v="Minh Thông"/>
    <x v="120"/>
    <x v="118"/>
    <s v="rPET"/>
    <s v="rPET"/>
    <x v="3"/>
    <s v="NĐ"/>
    <s v="(blank)"/>
    <x v="0"/>
    <n v="500"/>
    <n v="16375000"/>
    <n v="0"/>
    <n v="0"/>
    <n v="0"/>
    <n v="16375000"/>
    <m/>
    <m/>
    <m/>
    <m/>
    <m/>
    <m/>
    <m/>
    <m/>
    <m/>
    <m/>
    <m/>
    <n v="631.87557370252762"/>
    <n v="631.87557370252762"/>
    <x v="173"/>
    <x v="120"/>
  </r>
  <r>
    <x v="1"/>
    <x v="5"/>
    <n v="6"/>
    <s v="1388190100"/>
    <s v="Phải thu khác-T/gian"/>
    <x v="99"/>
    <x v="97"/>
    <s v="Khác"/>
    <s v="Khác"/>
    <x v="2"/>
    <s v="NĐ"/>
    <s v="(blank)"/>
    <x v="0"/>
    <n v="0"/>
    <n v="0"/>
    <n v="0"/>
    <n v="0"/>
    <n v="0"/>
    <n v="0"/>
    <m/>
    <m/>
    <m/>
    <m/>
    <m/>
    <m/>
    <m/>
    <m/>
    <m/>
    <m/>
    <m/>
    <n v="0"/>
    <n v="0"/>
    <x v="98"/>
    <x v="99"/>
  </r>
  <r>
    <x v="1"/>
    <x v="5"/>
    <n v="6"/>
    <s v="1551300100"/>
    <s v="Bán thành phẩm nhựa"/>
    <x v="60"/>
    <x v="58"/>
    <s v="Khác"/>
    <s v="Khác"/>
    <x v="2"/>
    <s v="NĐ"/>
    <s v="(blank)"/>
    <x v="0"/>
    <n v="0"/>
    <n v="0"/>
    <n v="0"/>
    <n v="0"/>
    <n v="0"/>
    <n v="0"/>
    <m/>
    <m/>
    <m/>
    <m/>
    <m/>
    <m/>
    <m/>
    <m/>
    <m/>
    <m/>
    <m/>
    <n v="0"/>
    <n v="0"/>
    <x v="159"/>
    <x v="60"/>
  </r>
  <r>
    <x v="1"/>
    <x v="5"/>
    <n v="6"/>
    <s v="1551300100"/>
    <s v="Bán thành phẩm nhựa"/>
    <x v="41"/>
    <x v="39"/>
    <s v="Khác"/>
    <s v="Khác"/>
    <x v="2"/>
    <s v="NĐ"/>
    <s v="(blank)"/>
    <x v="0"/>
    <n v="0"/>
    <n v="0"/>
    <n v="0"/>
    <n v="0"/>
    <n v="0"/>
    <n v="0"/>
    <m/>
    <m/>
    <m/>
    <m/>
    <m/>
    <m/>
    <m/>
    <m/>
    <m/>
    <m/>
    <m/>
    <n v="0"/>
    <n v="0"/>
    <x v="159"/>
    <x v="41"/>
  </r>
  <r>
    <x v="1"/>
    <x v="5"/>
    <n v="6"/>
    <s v="1551400100"/>
    <s v="Thành phẩm nhựa"/>
    <x v="60"/>
    <x v="58"/>
    <s v="Khác"/>
    <s v="Khác"/>
    <x v="2"/>
    <s v="NĐ"/>
    <s v="(blank)"/>
    <x v="0"/>
    <n v="0"/>
    <n v="0"/>
    <n v="0"/>
    <n v="0"/>
    <n v="0"/>
    <n v="0"/>
    <m/>
    <m/>
    <m/>
    <m/>
    <m/>
    <m/>
    <m/>
    <m/>
    <m/>
    <m/>
    <m/>
    <n v="0"/>
    <n v="0"/>
    <x v="107"/>
    <x v="60"/>
  </r>
  <r>
    <x v="1"/>
    <x v="5"/>
    <n v="6"/>
    <s v="1551400100"/>
    <s v="Thành phẩm nhựa"/>
    <x v="41"/>
    <x v="39"/>
    <s v="Khác"/>
    <s v="Khác"/>
    <x v="2"/>
    <s v="NĐ"/>
    <s v="(blank)"/>
    <x v="0"/>
    <n v="0"/>
    <n v="0"/>
    <n v="0"/>
    <n v="0"/>
    <n v="0"/>
    <n v="0"/>
    <m/>
    <m/>
    <m/>
    <m/>
    <m/>
    <m/>
    <m/>
    <m/>
    <m/>
    <m/>
    <m/>
    <n v="0"/>
    <n v="0"/>
    <x v="107"/>
    <x v="41"/>
  </r>
  <r>
    <x v="1"/>
    <x v="5"/>
    <n v="6"/>
    <s v="1551490100"/>
    <s v="TP-ĐC K/C số dư"/>
    <x v="110"/>
    <x v="108"/>
    <s v="Khác"/>
    <s v="Khác"/>
    <x v="2"/>
    <s v="NĐ"/>
    <s v="(blank)"/>
    <x v="0"/>
    <n v="0"/>
    <n v="0"/>
    <n v="0"/>
    <n v="0"/>
    <n v="0"/>
    <n v="0"/>
    <m/>
    <m/>
    <m/>
    <m/>
    <m/>
    <m/>
    <m/>
    <m/>
    <m/>
    <m/>
    <m/>
    <n v="0"/>
    <n v="0"/>
    <x v="127"/>
    <x v="110"/>
  </r>
  <r>
    <x v="1"/>
    <x v="5"/>
    <n v="6"/>
    <s v="200274"/>
    <s v="STARLINGER &amp; CO.Gesellschaft m.b.H"/>
    <x v="41"/>
    <x v="39"/>
    <s v="Khác"/>
    <s v="Khác"/>
    <x v="2"/>
    <s v="NĐ"/>
    <s v="(blank)"/>
    <x v="0"/>
    <n v="0"/>
    <n v="0"/>
    <n v="0"/>
    <n v="0"/>
    <n v="0"/>
    <n v="0"/>
    <m/>
    <m/>
    <m/>
    <m/>
    <m/>
    <m/>
    <m/>
    <m/>
    <m/>
    <m/>
    <m/>
    <n v="0"/>
    <n v="0"/>
    <x v="108"/>
    <x v="41"/>
  </r>
  <r>
    <x v="1"/>
    <x v="5"/>
    <n v="6"/>
    <s v="200282"/>
    <s v="LIVEFRESH LLC."/>
    <x v="41"/>
    <x v="39"/>
    <s v="Khác"/>
    <s v="Khác"/>
    <x v="2"/>
    <s v="NĐ"/>
    <s v="(blank)"/>
    <x v="0"/>
    <n v="0"/>
    <n v="0"/>
    <n v="0"/>
    <n v="0"/>
    <n v="0"/>
    <n v="0"/>
    <m/>
    <m/>
    <m/>
    <m/>
    <m/>
    <m/>
    <m/>
    <m/>
    <m/>
    <m/>
    <m/>
    <n v="0"/>
    <n v="0"/>
    <x v="174"/>
    <x v="41"/>
  </r>
  <r>
    <x v="1"/>
    <x v="5"/>
    <n v="6"/>
    <s v="200285"/>
    <s v="VIVA PLAST GMBH."/>
    <x v="41"/>
    <x v="39"/>
    <s v="Khác"/>
    <s v="Khác"/>
    <x v="2"/>
    <s v="NĐ"/>
    <s v="(blank)"/>
    <x v="0"/>
    <n v="0"/>
    <n v="0"/>
    <n v="0"/>
    <n v="0"/>
    <n v="0"/>
    <n v="0"/>
    <m/>
    <m/>
    <m/>
    <m/>
    <m/>
    <m/>
    <m/>
    <m/>
    <m/>
    <m/>
    <m/>
    <n v="0"/>
    <n v="0"/>
    <x v="175"/>
    <x v="41"/>
  </r>
  <r>
    <x v="1"/>
    <x v="5"/>
    <n v="6"/>
    <s v="200311"/>
    <s v="Plascene, Inc."/>
    <x v="9"/>
    <x v="9"/>
    <s v="rPET"/>
    <s v="rPET"/>
    <x v="3"/>
    <s v="XK"/>
    <s v="United States of America (the)"/>
    <x v="0"/>
    <n v="44000"/>
    <n v="1427250000"/>
    <n v="3300003.5328753679"/>
    <n v="0"/>
    <n v="20906194"/>
    <n v="1403043802.4671247"/>
    <m/>
    <m/>
    <m/>
    <m/>
    <m/>
    <m/>
    <m/>
    <m/>
    <m/>
    <m/>
    <m/>
    <n v="54067.198553646427"/>
    <n v="55000"/>
    <x v="13"/>
    <x v="9"/>
  </r>
  <r>
    <x v="1"/>
    <x v="5"/>
    <n v="6"/>
    <s v="200311"/>
    <s v="Plascene, Inc."/>
    <x v="39"/>
    <x v="37"/>
    <s v="Khác"/>
    <s v="Khác"/>
    <x v="8"/>
    <s v="NĐ"/>
    <s v="(blank)"/>
    <x v="0"/>
    <n v="0"/>
    <n v="0"/>
    <n v="0"/>
    <n v="0"/>
    <n v="-2068940"/>
    <n v="2068940"/>
    <m/>
    <m/>
    <m/>
    <m/>
    <m/>
    <m/>
    <m/>
    <m/>
    <m/>
    <m/>
    <m/>
    <n v="79.83588698968596"/>
    <n v="0"/>
    <x v="13"/>
    <x v="39"/>
  </r>
  <r>
    <x v="1"/>
    <x v="5"/>
    <n v="6"/>
    <s v="200319"/>
    <s v="Niagara Bottling, LLC"/>
    <x v="9"/>
    <x v="9"/>
    <s v="rPET"/>
    <s v="rPET"/>
    <x v="3"/>
    <s v="XK"/>
    <s v="United Kingdom of Great Britain and Northern Ireland (the)"/>
    <x v="0"/>
    <n v="110000"/>
    <n v="3499293600"/>
    <n v="8250008.83218842"/>
    <n v="52489403.999999993"/>
    <n v="46367931"/>
    <n v="3392186256.1678119"/>
    <m/>
    <m/>
    <m/>
    <m/>
    <m/>
    <m/>
    <m/>
    <m/>
    <m/>
    <m/>
    <m/>
    <n v="130518.90173789195"/>
    <n v="134640"/>
    <x v="14"/>
    <x v="9"/>
  </r>
  <r>
    <x v="1"/>
    <x v="5"/>
    <n v="6"/>
    <s v="200319"/>
    <s v="Niagara Bottling, LLC"/>
    <x v="9"/>
    <x v="9"/>
    <s v="rPET"/>
    <s v="rPET"/>
    <x v="3"/>
    <s v="XK"/>
    <s v="United States of America (the)"/>
    <x v="0"/>
    <n v="638000"/>
    <n v="20231006400"/>
    <n v="47850051.226692848"/>
    <n v="303465096"/>
    <n v="267642056.99999991"/>
    <n v="19612049195.773312"/>
    <m/>
    <m/>
    <m/>
    <m/>
    <m/>
    <m/>
    <m/>
    <m/>
    <m/>
    <m/>
    <m/>
    <n v="757020.46800296754"/>
    <n v="780912"/>
    <x v="14"/>
    <x v="9"/>
  </r>
  <r>
    <x v="1"/>
    <x v="5"/>
    <n v="6"/>
    <s v="200319"/>
    <s v="Niagara Bottling, LLC"/>
    <x v="39"/>
    <x v="37"/>
    <s v="Khác"/>
    <s v="Khác"/>
    <x v="8"/>
    <s v="NĐ"/>
    <s v="(blank)"/>
    <x v="0"/>
    <n v="0"/>
    <n v="0"/>
    <n v="0"/>
    <n v="0"/>
    <n v="-31670879.999999996"/>
    <n v="31670879.999999996"/>
    <m/>
    <m/>
    <m/>
    <m/>
    <m/>
    <m/>
    <m/>
    <m/>
    <m/>
    <m/>
    <m/>
    <n v="1222.1102576893991"/>
    <n v="0"/>
    <x v="14"/>
    <x v="39"/>
  </r>
  <r>
    <x v="1"/>
    <x v="5"/>
    <n v="6"/>
    <s v="200319"/>
    <s v="Niagara Bottling, LLC"/>
    <x v="27"/>
    <x v="25"/>
    <s v="Khác"/>
    <s v="Khác"/>
    <x v="2"/>
    <s v="NĐ"/>
    <s v="(blank)"/>
    <x v="0"/>
    <n v="0"/>
    <n v="0"/>
    <n v="0"/>
    <n v="-68520.000000059605"/>
    <n v="0"/>
    <n v="68520.000000059605"/>
    <m/>
    <m/>
    <m/>
    <m/>
    <m/>
    <m/>
    <m/>
    <m/>
    <m/>
    <m/>
    <m/>
    <n v="2.6440375151227391"/>
    <n v="0"/>
    <x v="14"/>
    <x v="27"/>
  </r>
  <r>
    <x v="1"/>
    <x v="5"/>
    <n v="6"/>
    <s v="200332"/>
    <s v="OUTEIRINHO TURISMO E INDUSTRIA SA"/>
    <x v="33"/>
    <x v="31"/>
    <s v="rPET"/>
    <s v="rPET"/>
    <x v="3"/>
    <s v="XK"/>
    <s v="Portugal"/>
    <x v="0"/>
    <n v="880000"/>
    <n v="28484500000"/>
    <n v="66000070.657507405"/>
    <n v="0"/>
    <n v="371733517.00000042"/>
    <n v="28046766412.342525"/>
    <m/>
    <m/>
    <m/>
    <m/>
    <m/>
    <m/>
    <m/>
    <m/>
    <m/>
    <m/>
    <m/>
    <n v="1083095.7465340008"/>
    <n v="1100000"/>
    <x v="44"/>
    <x v="33"/>
  </r>
  <r>
    <x v="1"/>
    <x v="5"/>
    <n v="6"/>
    <s v="200332"/>
    <s v="OUTEIRINHO TURISMO E INDUSTRIA SA"/>
    <x v="39"/>
    <x v="37"/>
    <s v="Khác"/>
    <s v="Khác"/>
    <x v="8"/>
    <s v="NĐ"/>
    <s v="(blank)"/>
    <x v="0"/>
    <n v="0"/>
    <n v="0"/>
    <n v="0"/>
    <n v="0"/>
    <n v="2134452.0000000019"/>
    <n v="-2134452.0000000019"/>
    <m/>
    <m/>
    <m/>
    <m/>
    <m/>
    <m/>
    <m/>
    <m/>
    <m/>
    <m/>
    <m/>
    <n v="-82.363852338351549"/>
    <n v="0"/>
    <x v="44"/>
    <x v="39"/>
  </r>
  <r>
    <x v="1"/>
    <x v="5"/>
    <n v="6"/>
    <s v="200355"/>
    <s v="International Gate SA"/>
    <x v="39"/>
    <x v="37"/>
    <s v="Khác"/>
    <s v="Khác"/>
    <x v="8"/>
    <s v="NĐ"/>
    <s v="(blank)"/>
    <x v="0"/>
    <n v="0"/>
    <n v="0"/>
    <n v="0"/>
    <n v="0"/>
    <n v="1329167"/>
    <n v="-1329167"/>
    <m/>
    <m/>
    <m/>
    <m/>
    <m/>
    <m/>
    <m/>
    <m/>
    <m/>
    <m/>
    <m/>
    <n v="-51.289658666959852"/>
    <n v="0"/>
    <x v="51"/>
    <x v="39"/>
  </r>
  <r>
    <x v="1"/>
    <x v="5"/>
    <n v="6"/>
    <s v="200357"/>
    <s v="Genesis Polymers International"/>
    <x v="39"/>
    <x v="37"/>
    <s v="Khác"/>
    <s v="Khác"/>
    <x v="8"/>
    <s v="NĐ"/>
    <s v="(blank)"/>
    <x v="0"/>
    <n v="0"/>
    <n v="0"/>
    <n v="0"/>
    <n v="0"/>
    <n v="1180252.0000000002"/>
    <n v="-1180252.0000000002"/>
    <m/>
    <m/>
    <m/>
    <m/>
    <m/>
    <m/>
    <m/>
    <m/>
    <m/>
    <m/>
    <m/>
    <n v="-45.543353258843098"/>
    <n v="0"/>
    <x v="57"/>
    <x v="39"/>
  </r>
  <r>
    <x v="1"/>
    <x v="5"/>
    <n v="6"/>
    <s v="200358"/>
    <s v="REYNERA"/>
    <x v="85"/>
    <x v="83"/>
    <s v="rPP"/>
    <s v="rPP"/>
    <x v="6"/>
    <s v="XK"/>
    <s v="Mexico"/>
    <x v="0"/>
    <n v="20000"/>
    <n v="558360000.00000012"/>
    <n v="0"/>
    <n v="0"/>
    <n v="12559713.333333334"/>
    <n v="545800286.66666675"/>
    <m/>
    <m/>
    <m/>
    <m/>
    <m/>
    <m/>
    <m/>
    <m/>
    <m/>
    <m/>
    <m/>
    <n v="21114.131012250164"/>
    <n v="21600.000000000004"/>
    <x v="58"/>
    <x v="85"/>
  </r>
  <r>
    <x v="1"/>
    <x v="5"/>
    <n v="6"/>
    <s v="200358"/>
    <s v="REYNERA"/>
    <x v="86"/>
    <x v="84"/>
    <s v="rPP"/>
    <s v="rPP"/>
    <x v="6"/>
    <s v="XK"/>
    <s v="Mexico"/>
    <x v="0"/>
    <n v="4000"/>
    <n v="111672000.00000001"/>
    <n v="0"/>
    <n v="0"/>
    <n v="2511942.6666666665"/>
    <n v="109160057.33333334"/>
    <m/>
    <m/>
    <m/>
    <m/>
    <m/>
    <m/>
    <m/>
    <m/>
    <m/>
    <m/>
    <m/>
    <n v="4222.8262024500327"/>
    <n v="4320.0000000000009"/>
    <x v="58"/>
    <x v="86"/>
  </r>
  <r>
    <x v="1"/>
    <x v="5"/>
    <n v="6"/>
    <s v="200359"/>
    <s v="PREMIUM WATER"/>
    <x v="58"/>
    <x v="56"/>
    <s v="rPET"/>
    <s v="rPET"/>
    <x v="3"/>
    <s v="XK"/>
    <s v="United States of America (the)"/>
    <x v="0"/>
    <n v="220000"/>
    <n v="6051540000"/>
    <n v="16500017.664376836"/>
    <n v="0"/>
    <n v="90017315"/>
    <n v="5945022667.3356237"/>
    <m/>
    <m/>
    <m/>
    <m/>
    <m/>
    <m/>
    <m/>
    <m/>
    <m/>
    <m/>
    <m/>
    <n v="229095.28583181588"/>
    <n v="233200"/>
    <x v="63"/>
    <x v="58"/>
  </r>
  <r>
    <x v="1"/>
    <x v="5"/>
    <n v="6"/>
    <s v="200364"/>
    <s v="POLYRESIN EOOD"/>
    <x v="58"/>
    <x v="56"/>
    <s v="rPET"/>
    <s v="rPET"/>
    <x v="3"/>
    <s v="XK"/>
    <s v="Greece"/>
    <x v="0"/>
    <n v="22000"/>
    <n v="656281999.99999988"/>
    <n v="1650001.766437684"/>
    <n v="0"/>
    <n v="10711550"/>
    <n v="643920448.23356223"/>
    <m/>
    <m/>
    <m/>
    <m/>
    <m/>
    <m/>
    <m/>
    <m/>
    <m/>
    <m/>
    <m/>
    <n v="24823.45598433162"/>
    <n v="25299.999999999996"/>
    <x v="87"/>
    <x v="58"/>
  </r>
  <r>
    <x v="1"/>
    <x v="5"/>
    <n v="6"/>
    <s v="200364"/>
    <s v="POLYRESIN EOOD"/>
    <x v="39"/>
    <x v="37"/>
    <s v="Khác"/>
    <s v="Khác"/>
    <x v="8"/>
    <s v="NĐ"/>
    <s v="(blank)"/>
    <x v="0"/>
    <n v="0"/>
    <n v="0"/>
    <n v="0"/>
    <n v="0"/>
    <n v="1329167"/>
    <n v="-1329167"/>
    <m/>
    <m/>
    <m/>
    <m/>
    <m/>
    <m/>
    <m/>
    <m/>
    <m/>
    <m/>
    <m/>
    <n v="-51.289658666959852"/>
    <n v="0"/>
    <x v="87"/>
    <x v="39"/>
  </r>
  <r>
    <x v="1"/>
    <x v="5"/>
    <n v="6"/>
    <s v="200365"/>
    <s v="Vinmar International"/>
    <x v="33"/>
    <x v="31"/>
    <s v="rPET"/>
    <s v="rPET"/>
    <x v="3"/>
    <s v="XK"/>
    <s v="Italy"/>
    <x v="0"/>
    <n v="154000"/>
    <n v="5123256600"/>
    <n v="14466702.365063787"/>
    <n v="0"/>
    <n v="63849035"/>
    <n v="5044940862.6349363"/>
    <m/>
    <m/>
    <m/>
    <m/>
    <m/>
    <m/>
    <m/>
    <m/>
    <m/>
    <m/>
    <m/>
    <n v="194410.05251001683"/>
    <n v="197428"/>
    <x v="93"/>
    <x v="33"/>
  </r>
  <r>
    <x v="1"/>
    <x v="5"/>
    <n v="6"/>
    <s v="200365"/>
    <s v="Vinmar International"/>
    <x v="39"/>
    <x v="37"/>
    <s v="Khác"/>
    <s v="Khác"/>
    <x v="8"/>
    <s v="NĐ"/>
    <s v="(blank)"/>
    <x v="0"/>
    <n v="0"/>
    <n v="0"/>
    <n v="0"/>
    <n v="0"/>
    <n v="-964738.99999999988"/>
    <n v="964738.99999999988"/>
    <m/>
    <m/>
    <m/>
    <m/>
    <m/>
    <m/>
    <m/>
    <m/>
    <m/>
    <m/>
    <m/>
    <n v="37.227176128134531"/>
    <n v="0"/>
    <x v="93"/>
    <x v="39"/>
  </r>
  <r>
    <x v="1"/>
    <x v="5"/>
    <n v="6"/>
    <s v="200367"/>
    <s v="MAS CO.LTD"/>
    <x v="39"/>
    <x v="37"/>
    <s v="Khác"/>
    <s v="Khác"/>
    <x v="8"/>
    <s v="NĐ"/>
    <s v="(blank)"/>
    <x v="0"/>
    <n v="0"/>
    <n v="0"/>
    <n v="0"/>
    <n v="0"/>
    <n v="1546666"/>
    <n v="-1546666"/>
    <m/>
    <m/>
    <m/>
    <m/>
    <m/>
    <m/>
    <m/>
    <m/>
    <m/>
    <m/>
    <m/>
    <n v="-59.682471210759914"/>
    <n v="0"/>
    <x v="94"/>
    <x v="39"/>
  </r>
  <r>
    <x v="1"/>
    <x v="5"/>
    <n v="6"/>
    <s v="200370"/>
    <s v="KORYFES SA"/>
    <x v="59"/>
    <x v="57"/>
    <s v="Khác"/>
    <s v="Khác"/>
    <x v="13"/>
    <s v="NĐ"/>
    <s v="(blank)"/>
    <x v="0"/>
    <n v="0"/>
    <n v="0"/>
    <n v="0"/>
    <n v="0"/>
    <n v="759524"/>
    <n v="-759524"/>
    <m/>
    <m/>
    <m/>
    <m/>
    <m/>
    <m/>
    <m/>
    <m/>
    <m/>
    <m/>
    <m/>
    <n v="-29.308376381119913"/>
    <n v="0"/>
    <x v="131"/>
    <x v="59"/>
  </r>
  <r>
    <x v="1"/>
    <x v="5"/>
    <n v="6"/>
    <s v="200370"/>
    <s v="KORYFES SA"/>
    <x v="39"/>
    <x v="37"/>
    <s v="Khác"/>
    <s v="Khác"/>
    <x v="8"/>
    <s v="NĐ"/>
    <s v="(blank)"/>
    <x v="0"/>
    <n v="0"/>
    <n v="0"/>
    <n v="0"/>
    <n v="0"/>
    <n v="26458574.000000007"/>
    <n v="-26458574.000000007"/>
    <m/>
    <m/>
    <m/>
    <m/>
    <m/>
    <m/>
    <m/>
    <m/>
    <m/>
    <m/>
    <m/>
    <n v="-1020.9787252275283"/>
    <n v="0"/>
    <x v="131"/>
    <x v="39"/>
  </r>
  <r>
    <x v="1"/>
    <x v="5"/>
    <n v="6"/>
    <s v="200376"/>
    <s v="CORAL A.E."/>
    <x v="59"/>
    <x v="57"/>
    <s v="Khác"/>
    <s v="Khác"/>
    <x v="13"/>
    <s v="NĐ"/>
    <s v="(blank)"/>
    <x v="0"/>
    <n v="0"/>
    <n v="0"/>
    <n v="0"/>
    <n v="0"/>
    <n v="6306843"/>
    <n v="-6306843"/>
    <m/>
    <m/>
    <m/>
    <m/>
    <m/>
    <m/>
    <m/>
    <m/>
    <m/>
    <m/>
    <m/>
    <n v="-243.36733061842872"/>
    <n v="0"/>
    <x v="146"/>
    <x v="59"/>
  </r>
  <r>
    <x v="1"/>
    <x v="5"/>
    <n v="6"/>
    <s v="200376"/>
    <s v="CORAL A.E."/>
    <x v="39"/>
    <x v="37"/>
    <s v="Khác"/>
    <s v="Khác"/>
    <x v="8"/>
    <s v="NĐ"/>
    <s v="(blank)"/>
    <x v="0"/>
    <n v="0"/>
    <n v="0"/>
    <n v="0"/>
    <n v="0"/>
    <n v="34276786.00000003"/>
    <n v="-34276786.00000003"/>
    <m/>
    <m/>
    <m/>
    <m/>
    <m/>
    <m/>
    <m/>
    <m/>
    <m/>
    <m/>
    <m/>
    <n v="-1322.6664927284753"/>
    <n v="0"/>
    <x v="146"/>
    <x v="39"/>
  </r>
  <r>
    <x v="1"/>
    <x v="5"/>
    <n v="6"/>
    <s v="200376"/>
    <s v="CORAL A.E."/>
    <x v="48"/>
    <x v="46"/>
    <s v="Khác"/>
    <s v="Khác"/>
    <x v="12"/>
    <s v="NĐ"/>
    <s v="(blank)"/>
    <x v="0"/>
    <n v="0"/>
    <n v="0"/>
    <n v="0"/>
    <n v="0"/>
    <n v="1133333"/>
    <n v="-1133333"/>
    <m/>
    <m/>
    <m/>
    <m/>
    <m/>
    <m/>
    <m/>
    <m/>
    <m/>
    <m/>
    <m/>
    <n v="-43.732851271511862"/>
    <n v="0"/>
    <x v="146"/>
    <x v="48"/>
  </r>
  <r>
    <x v="1"/>
    <x v="5"/>
    <n v="6"/>
    <s v="200380"/>
    <s v="Lion Corp"/>
    <x v="39"/>
    <x v="37"/>
    <s v="Khác"/>
    <s v="Khác"/>
    <x v="8"/>
    <s v="NĐ"/>
    <s v="(blank)"/>
    <x v="0"/>
    <n v="0"/>
    <n v="0"/>
    <n v="0"/>
    <n v="0"/>
    <n v="1046001"/>
    <n v="-1046001"/>
    <m/>
    <m/>
    <m/>
    <m/>
    <m/>
    <m/>
    <m/>
    <m/>
    <m/>
    <m/>
    <m/>
    <n v="-40.362899662193435"/>
    <n v="0"/>
    <x v="160"/>
    <x v="39"/>
  </r>
  <r>
    <x v="1"/>
    <x v="5"/>
    <n v="6"/>
    <s v="200381"/>
    <s v="ITD Polyresin"/>
    <x v="39"/>
    <x v="37"/>
    <s v="Khác"/>
    <s v="Khác"/>
    <x v="8"/>
    <s v="NĐ"/>
    <s v="(blank)"/>
    <x v="0"/>
    <n v="0"/>
    <n v="0"/>
    <n v="0"/>
    <n v="0"/>
    <n v="1329167"/>
    <n v="-1329167"/>
    <m/>
    <m/>
    <m/>
    <m/>
    <m/>
    <m/>
    <m/>
    <m/>
    <m/>
    <m/>
    <m/>
    <n v="-51.289658666959852"/>
    <n v="0"/>
    <x v="161"/>
    <x v="39"/>
  </r>
  <r>
    <x v="1"/>
    <x v="5"/>
    <n v="6"/>
    <s v="200382"/>
    <s v="MONTACHEM INTERNATIONAL"/>
    <x v="39"/>
    <x v="37"/>
    <s v="Khác"/>
    <s v="Khác"/>
    <x v="8"/>
    <s v="NĐ"/>
    <s v="(blank)"/>
    <x v="0"/>
    <n v="0"/>
    <n v="0"/>
    <n v="0"/>
    <n v="0"/>
    <n v="807298"/>
    <n v="-807298"/>
    <m/>
    <m/>
    <m/>
    <m/>
    <m/>
    <m/>
    <m/>
    <m/>
    <m/>
    <m/>
    <m/>
    <n v="-31.151870955658207"/>
    <n v="0"/>
    <x v="168"/>
    <x v="39"/>
  </r>
  <r>
    <x v="1"/>
    <x v="5"/>
    <n v="6"/>
    <s v="200383"/>
    <s v="Natures Organics - PIA"/>
    <x v="39"/>
    <x v="37"/>
    <s v="Khác"/>
    <s v="Khác"/>
    <x v="8"/>
    <s v="NĐ"/>
    <s v="(blank)"/>
    <x v="0"/>
    <n v="0"/>
    <n v="0"/>
    <n v="0"/>
    <n v="0"/>
    <n v="3422667"/>
    <n v="-3422667"/>
    <m/>
    <m/>
    <m/>
    <m/>
    <m/>
    <m/>
    <m/>
    <m/>
    <m/>
    <m/>
    <m/>
    <n v="-132.07326254764635"/>
    <n v="0"/>
    <x v="169"/>
    <x v="39"/>
  </r>
  <r>
    <x v="1"/>
    <x v="5"/>
    <n v="6"/>
    <s v="200384"/>
    <s v="TRICON"/>
    <x v="9"/>
    <x v="9"/>
    <s v="rPET"/>
    <s v="rPET"/>
    <x v="3"/>
    <s v="XK"/>
    <s v="Mexico"/>
    <x v="0"/>
    <n v="22000"/>
    <n v="711700000"/>
    <n v="1650001.766437684"/>
    <n v="0"/>
    <n v="9165185"/>
    <n v="700884813.23356235"/>
    <m/>
    <m/>
    <m/>
    <m/>
    <m/>
    <m/>
    <m/>
    <m/>
    <m/>
    <m/>
    <m/>
    <n v="27082.102520616783"/>
    <n v="27500"/>
    <x v="176"/>
    <x v="9"/>
  </r>
  <r>
    <x v="1"/>
    <x v="5"/>
    <n v="6"/>
    <s v="200385"/>
    <s v="VINMAR POLYMERS AMERICA LLC"/>
    <x v="98"/>
    <x v="96"/>
    <s v="rHDPE"/>
    <s v="rHDPE thổi"/>
    <x v="0"/>
    <s v="XK"/>
    <s v="United States of America (the)"/>
    <x v="0"/>
    <n v="4125"/>
    <n v="174771850"/>
    <n v="0"/>
    <n v="0"/>
    <n v="25326490"/>
    <n v="149445360"/>
    <m/>
    <m/>
    <m/>
    <m/>
    <m/>
    <m/>
    <m/>
    <m/>
    <m/>
    <m/>
    <m/>
    <n v="5781.251837524178"/>
    <n v="6761"/>
    <x v="177"/>
    <x v="98"/>
  </r>
  <r>
    <x v="1"/>
    <x v="5"/>
    <n v="6"/>
    <s v="200386"/>
    <s v="GENESIS DISTRIBUCIÓN DE COLOMBIA SA"/>
    <x v="8"/>
    <x v="8"/>
    <s v="rPET"/>
    <s v="rPET"/>
    <x v="3"/>
    <s v="XK"/>
    <s v="Colombia"/>
    <x v="0"/>
    <n v="22000"/>
    <n v="847946880"/>
    <n v="1650001.766437684"/>
    <n v="0"/>
    <n v="92728655"/>
    <n v="753568223.23356235"/>
    <m/>
    <m/>
    <m/>
    <m/>
    <m/>
    <m/>
    <m/>
    <m/>
    <m/>
    <m/>
    <m/>
    <n v="29072.848118578793"/>
    <n v="32714"/>
    <x v="178"/>
    <x v="8"/>
  </r>
  <r>
    <x v="1"/>
    <x v="5"/>
    <n v="6"/>
    <s v="200387"/>
    <s v="ANTEX"/>
    <x v="62"/>
    <x v="60"/>
    <s v="Xơ sợi"/>
    <s v="Xơ sợi"/>
    <x v="7"/>
    <s v="XK"/>
    <s v="Spain"/>
    <x v="0"/>
    <n v="21000"/>
    <n v="441544110"/>
    <n v="1650001.7664376842"/>
    <n v="0"/>
    <n v="74075000"/>
    <n v="365819108.23356229"/>
    <m/>
    <m/>
    <m/>
    <m/>
    <m/>
    <m/>
    <m/>
    <m/>
    <m/>
    <m/>
    <m/>
    <n v="14075.379308717287"/>
    <n v="16989"/>
    <x v="179"/>
    <x v="62"/>
  </r>
  <r>
    <x v="1"/>
    <x v="5"/>
    <n v="6"/>
    <s v="200389"/>
    <s v="TAE BAEK"/>
    <x v="104"/>
    <x v="102"/>
    <s v="Xơ sợi"/>
    <s v="Xơ sợi"/>
    <x v="7"/>
    <s v="XK"/>
    <s v="Korea (the Republic of)"/>
    <x v="0"/>
    <n v="63000"/>
    <n v="1013607000"/>
    <n v="4950005.2993130526"/>
    <n v="0"/>
    <n v="28584888"/>
    <n v="980072106.70068693"/>
    <m/>
    <m/>
    <m/>
    <m/>
    <m/>
    <m/>
    <m/>
    <m/>
    <m/>
    <m/>
    <m/>
    <n v="37767.711240874254"/>
    <n v="39060"/>
    <x v="180"/>
    <x v="104"/>
  </r>
  <r>
    <x v="1"/>
    <x v="5"/>
    <n v="6"/>
    <s v="200390"/>
    <s v="AGRIFREDA"/>
    <x v="58"/>
    <x v="56"/>
    <s v="rPET"/>
    <s v="rPET"/>
    <x v="3"/>
    <s v="XK"/>
    <s v="Greece"/>
    <x v="0"/>
    <n v="22000"/>
    <n v="656281999.99999988"/>
    <n v="1650001.766437684"/>
    <n v="0"/>
    <n v="10711550"/>
    <n v="643920448.23356223"/>
    <m/>
    <m/>
    <m/>
    <m/>
    <m/>
    <m/>
    <m/>
    <m/>
    <m/>
    <m/>
    <m/>
    <n v="24823.45598433162"/>
    <n v="25299.999999999996"/>
    <x v="30"/>
    <x v="58"/>
  </r>
  <r>
    <x v="1"/>
    <x v="5"/>
    <n v="6"/>
    <s v="200391"/>
    <s v="SHARPAK AYLESHAM LTD"/>
    <x v="121"/>
    <x v="119"/>
    <s v="rPET"/>
    <s v="rPET"/>
    <x v="3"/>
    <s v="XK"/>
    <s v="United Kingdom of Great Britain and Northern Ireland (the)"/>
    <x v="0"/>
    <n v="2000"/>
    <n v="65400060"/>
    <n v="825000.88321884209"/>
    <n v="5188000"/>
    <n v="6907450"/>
    <n v="52479609.11678116"/>
    <m/>
    <m/>
    <m/>
    <m/>
    <m/>
    <m/>
    <m/>
    <m/>
    <m/>
    <m/>
    <m/>
    <n v="2024.6762776535941"/>
    <n v="2523.150462962963"/>
    <x v="181"/>
    <x v="121"/>
  </r>
  <r>
    <x v="1"/>
    <x v="5"/>
    <n v="6"/>
    <s v="200391"/>
    <s v="SHARPAK AYLESHAM LTD"/>
    <x v="39"/>
    <x v="37"/>
    <s v="Khác"/>
    <s v="Khác"/>
    <x v="8"/>
    <s v="XK"/>
    <s v="(blank)"/>
    <x v="0"/>
    <n v="0"/>
    <n v="0"/>
    <n v="0"/>
    <n v="-5188000"/>
    <n v="0"/>
    <n v="5188000"/>
    <m/>
    <m/>
    <m/>
    <m/>
    <m/>
    <m/>
    <m/>
    <m/>
    <m/>
    <m/>
    <m/>
    <n v="171.90192180251822"/>
    <n v="0"/>
    <x v="181"/>
    <x v="39"/>
  </r>
  <r>
    <x v="1"/>
    <x v="5"/>
    <n v="6"/>
    <s v="2421100100"/>
    <s v="Chi phí phân bổ"/>
    <x v="27"/>
    <x v="25"/>
    <s v="Khác"/>
    <s v="Khác"/>
    <x v="2"/>
    <s v="NĐ"/>
    <s v="(blank)"/>
    <x v="0"/>
    <n v="0"/>
    <n v="0"/>
    <n v="0"/>
    <n v="0"/>
    <n v="0"/>
    <n v="0"/>
    <m/>
    <m/>
    <m/>
    <m/>
    <m/>
    <m/>
    <m/>
    <m/>
    <m/>
    <m/>
    <m/>
    <n v="0"/>
    <n v="0"/>
    <x v="64"/>
    <x v="27"/>
  </r>
  <r>
    <x v="1"/>
    <x v="5"/>
    <n v="6"/>
    <s v="2421100100"/>
    <s v="Chi phí phân bổ"/>
    <x v="36"/>
    <x v="34"/>
    <s v="Khác"/>
    <s v="Khác"/>
    <x v="2"/>
    <s v="NĐ"/>
    <s v="(blank)"/>
    <x v="0"/>
    <n v="0"/>
    <n v="0"/>
    <n v="0"/>
    <n v="0"/>
    <n v="0"/>
    <n v="0"/>
    <m/>
    <m/>
    <m/>
    <m/>
    <m/>
    <m/>
    <m/>
    <m/>
    <m/>
    <m/>
    <m/>
    <n v="0"/>
    <n v="0"/>
    <x v="64"/>
    <x v="36"/>
  </r>
  <r>
    <x v="1"/>
    <x v="5"/>
    <n v="6"/>
    <s v="2422200100"/>
    <s v="Chi phí trả trước dài hạn cho BP gián tiếp"/>
    <x v="99"/>
    <x v="97"/>
    <s v="Khác"/>
    <s v="Khác"/>
    <x v="2"/>
    <s v="NĐ"/>
    <s v="(blank)"/>
    <x v="0"/>
    <n v="0"/>
    <n v="0"/>
    <n v="0"/>
    <n v="0"/>
    <n v="0"/>
    <n v="0"/>
    <m/>
    <m/>
    <m/>
    <m/>
    <m/>
    <m/>
    <m/>
    <m/>
    <m/>
    <m/>
    <m/>
    <n v="0"/>
    <n v="0"/>
    <x v="112"/>
    <x v="99"/>
  </r>
  <r>
    <x v="1"/>
    <x v="5"/>
    <n v="6"/>
    <s v="300313"/>
    <s v="Công ty TNHH Nhựa Khánh Nga"/>
    <x v="35"/>
    <x v="33"/>
    <s v="Khác"/>
    <s v="Khác"/>
    <x v="2"/>
    <s v="NĐ"/>
    <s v="(blank)"/>
    <x v="0"/>
    <n v="0"/>
    <n v="57000000"/>
    <n v="0"/>
    <n v="0"/>
    <n v="0"/>
    <n v="57000000"/>
    <m/>
    <m/>
    <m/>
    <m/>
    <m/>
    <m/>
    <m/>
    <m/>
    <m/>
    <m/>
    <m/>
    <n v="2199.5058138042182"/>
    <n v="2199.5058138042182"/>
    <x v="18"/>
    <x v="35"/>
  </r>
  <r>
    <x v="1"/>
    <x v="5"/>
    <n v="6"/>
    <s v="3358000400"/>
    <s v="Chí phí phải trả khác- Open item"/>
    <x v="36"/>
    <x v="34"/>
    <s v="Khác"/>
    <s v="Khác"/>
    <x v="2"/>
    <s v="NĐ"/>
    <s v="(blank)"/>
    <x v="0"/>
    <n v="0"/>
    <n v="0"/>
    <n v="0"/>
    <n v="0"/>
    <n v="0"/>
    <n v="0"/>
    <m/>
    <m/>
    <m/>
    <m/>
    <m/>
    <m/>
    <m/>
    <m/>
    <m/>
    <m/>
    <m/>
    <n v="0"/>
    <n v="0"/>
    <x v="19"/>
    <x v="36"/>
  </r>
  <r>
    <x v="1"/>
    <x v="5"/>
    <n v="6"/>
    <s v="3381000100"/>
    <s v="TS thừa chờ g/quyết"/>
    <x v="60"/>
    <x v="58"/>
    <s v="Khác"/>
    <s v="Khác"/>
    <x v="2"/>
    <s v="NĐ"/>
    <s v="(blank)"/>
    <x v="0"/>
    <n v="0"/>
    <n v="0"/>
    <n v="0"/>
    <n v="0"/>
    <n v="0"/>
    <n v="0"/>
    <m/>
    <m/>
    <m/>
    <m/>
    <m/>
    <m/>
    <m/>
    <m/>
    <m/>
    <m/>
    <m/>
    <n v="0"/>
    <n v="0"/>
    <x v="162"/>
    <x v="60"/>
  </r>
  <r>
    <x v="1"/>
    <x v="5"/>
    <n v="6"/>
    <s v="3389000100"/>
    <s v="PT khác (GRIR khác)"/>
    <x v="41"/>
    <x v="39"/>
    <s v="Khác"/>
    <s v="Khác"/>
    <x v="2"/>
    <s v="NĐ"/>
    <s v="(blank)"/>
    <x v="0"/>
    <n v="0"/>
    <n v="0"/>
    <n v="0"/>
    <n v="0"/>
    <n v="0"/>
    <n v="0"/>
    <m/>
    <m/>
    <m/>
    <m/>
    <m/>
    <m/>
    <m/>
    <m/>
    <m/>
    <m/>
    <m/>
    <n v="0"/>
    <n v="0"/>
    <x v="116"/>
    <x v="41"/>
  </r>
  <r>
    <x v="1"/>
    <x v="5"/>
    <n v="6"/>
    <s v="6219000210"/>
    <s v="Chênh lệch CPSX cấp dưới (lower level)"/>
    <x v="60"/>
    <x v="58"/>
    <s v="Khác"/>
    <s v="Khác"/>
    <x v="2"/>
    <s v="NĐ"/>
    <s v="(blank)"/>
    <x v="0"/>
    <n v="0"/>
    <n v="0"/>
    <n v="0"/>
    <n v="0"/>
    <n v="0"/>
    <n v="0"/>
    <m/>
    <m/>
    <m/>
    <m/>
    <m/>
    <m/>
    <m/>
    <m/>
    <m/>
    <m/>
    <m/>
    <n v="0"/>
    <n v="0"/>
    <x v="80"/>
    <x v="60"/>
  </r>
  <r>
    <x v="1"/>
    <x v="5"/>
    <n v="6"/>
    <s v="6219000210"/>
    <s v="Chênh lệch CPSX cấp dưới (lower level)"/>
    <x v="41"/>
    <x v="39"/>
    <s v="Khác"/>
    <s v="Khác"/>
    <x v="2"/>
    <s v="NĐ"/>
    <s v="(blank)"/>
    <x v="0"/>
    <n v="0"/>
    <n v="0"/>
    <n v="0"/>
    <n v="0"/>
    <n v="0"/>
    <n v="0"/>
    <m/>
    <m/>
    <m/>
    <m/>
    <m/>
    <m/>
    <m/>
    <m/>
    <m/>
    <m/>
    <m/>
    <n v="0"/>
    <n v="0"/>
    <x v="80"/>
    <x v="41"/>
  </r>
  <r>
    <x v="1"/>
    <x v="5"/>
    <n v="6"/>
    <s v="6219000220"/>
    <s v="Chênh lệch CPSX đơn cấp (single level)"/>
    <x v="60"/>
    <x v="58"/>
    <s v="Khác"/>
    <s v="Khác"/>
    <x v="2"/>
    <s v="NĐ"/>
    <s v="(blank)"/>
    <x v="0"/>
    <n v="0"/>
    <n v="0"/>
    <n v="0"/>
    <n v="0"/>
    <n v="0"/>
    <n v="0"/>
    <m/>
    <m/>
    <m/>
    <m/>
    <m/>
    <m/>
    <m/>
    <m/>
    <m/>
    <m/>
    <m/>
    <n v="0"/>
    <n v="0"/>
    <x v="81"/>
    <x v="60"/>
  </r>
  <r>
    <x v="1"/>
    <x v="5"/>
    <n v="6"/>
    <s v="6219000220"/>
    <s v="Chênh lệch CPSX đơn cấp (single level)"/>
    <x v="41"/>
    <x v="39"/>
    <s v="Khác"/>
    <s v="Khác"/>
    <x v="2"/>
    <s v="NĐ"/>
    <s v="(blank)"/>
    <x v="0"/>
    <n v="0"/>
    <n v="0"/>
    <n v="0"/>
    <n v="0"/>
    <n v="0"/>
    <n v="0"/>
    <m/>
    <m/>
    <m/>
    <m/>
    <m/>
    <m/>
    <m/>
    <m/>
    <m/>
    <m/>
    <m/>
    <n v="0"/>
    <n v="0"/>
    <x v="81"/>
    <x v="41"/>
  </r>
  <r>
    <x v="1"/>
    <x v="5"/>
    <n v="6"/>
    <s v="6219000900"/>
    <s v="Kết chuyển CPSX không phân bổ được"/>
    <x v="37"/>
    <x v="35"/>
    <s v="Khác"/>
    <s v="Khác"/>
    <x v="2"/>
    <s v="NĐ"/>
    <s v="(blank)"/>
    <x v="0"/>
    <n v="0"/>
    <n v="0"/>
    <n v="0"/>
    <n v="0"/>
    <n v="0"/>
    <n v="0"/>
    <m/>
    <m/>
    <m/>
    <m/>
    <m/>
    <m/>
    <m/>
    <m/>
    <m/>
    <m/>
    <m/>
    <n v="0"/>
    <n v="0"/>
    <x v="20"/>
    <x v="37"/>
  </r>
  <r>
    <x v="1"/>
    <x v="5"/>
    <n v="6"/>
    <s v="6428007201"/>
    <s v="Chi phí bằng tiền khác"/>
    <x v="27"/>
    <x v="25"/>
    <s v="Khác"/>
    <s v="Khác"/>
    <x v="2"/>
    <s v="NĐ"/>
    <s v="(blank)"/>
    <x v="0"/>
    <n v="0"/>
    <n v="-11410123"/>
    <n v="0"/>
    <n v="0"/>
    <n v="0"/>
    <n v="-11410123"/>
    <m/>
    <m/>
    <m/>
    <m/>
    <m/>
    <m/>
    <m/>
    <m/>
    <m/>
    <m/>
    <m/>
    <n v="-440.29178727581103"/>
    <n v="-440.29178727581103"/>
    <x v="150"/>
    <x v="27"/>
  </r>
  <r>
    <x v="1"/>
    <x v="5"/>
    <n v="6"/>
    <s v="BN"/>
    <s v="Bán Ngoài"/>
    <x v="38"/>
    <x v="36"/>
    <s v="Khác"/>
    <s v="Khác"/>
    <x v="2"/>
    <s v="NĐ"/>
    <s v="(blank)"/>
    <x v="0"/>
    <n v="0"/>
    <n v="0"/>
    <n v="0"/>
    <n v="0"/>
    <n v="4200000"/>
    <n v="-4200000"/>
    <m/>
    <m/>
    <m/>
    <m/>
    <m/>
    <m/>
    <m/>
    <m/>
    <m/>
    <m/>
    <m/>
    <n v="-162.06884943820558"/>
    <n v="0"/>
    <x v="21"/>
    <x v="38"/>
  </r>
  <r>
    <x v="1"/>
    <x v="5"/>
    <n v="6"/>
    <s v="BN"/>
    <s v="Bán Ngoài"/>
    <x v="68"/>
    <x v="66"/>
    <s v="Khác"/>
    <s v="Khác"/>
    <x v="2"/>
    <s v="NĐ"/>
    <s v="(blank)"/>
    <x v="0"/>
    <n v="0"/>
    <n v="1618011181.96297"/>
    <n v="0"/>
    <n v="0"/>
    <n v="0"/>
    <n v="-0.70202994346618652"/>
    <m/>
    <m/>
    <m/>
    <m/>
    <m/>
    <m/>
    <m/>
    <m/>
    <m/>
    <m/>
    <m/>
    <n v="-2.7089806002079367E-5"/>
    <n v="62435.526342592762"/>
    <x v="21"/>
    <x v="68"/>
  </r>
  <r>
    <x v="1"/>
    <x v="5"/>
    <n v="6"/>
    <s v="BN"/>
    <s v="Bán Ngoài"/>
    <x v="60"/>
    <x v="58"/>
    <s v="Khác"/>
    <s v="Khác"/>
    <x v="2"/>
    <s v="NĐ"/>
    <s v="(blank)"/>
    <x v="0"/>
    <n v="0"/>
    <n v="0"/>
    <n v="0"/>
    <n v="0"/>
    <n v="0"/>
    <n v="0"/>
    <m/>
    <m/>
    <m/>
    <m/>
    <m/>
    <m/>
    <m/>
    <m/>
    <m/>
    <m/>
    <m/>
    <n v="0"/>
    <n v="0"/>
    <x v="21"/>
    <x v="60"/>
  </r>
  <r>
    <x v="1"/>
    <x v="5"/>
    <n v="6"/>
    <s v="BN"/>
    <s v="Bán Ngoài"/>
    <x v="41"/>
    <x v="39"/>
    <s v="Khác"/>
    <s v="Khác"/>
    <x v="2"/>
    <s v="NĐ"/>
    <s v="(blank)"/>
    <x v="0"/>
    <n v="0"/>
    <n v="0"/>
    <n v="0"/>
    <n v="0"/>
    <n v="0"/>
    <n v="0"/>
    <m/>
    <m/>
    <m/>
    <m/>
    <m/>
    <m/>
    <m/>
    <m/>
    <m/>
    <m/>
    <m/>
    <n v="0"/>
    <n v="0"/>
    <x v="21"/>
    <x v="41"/>
  </r>
  <r>
    <x v="1"/>
    <x v="6"/>
    <n v="7"/>
    <s v="1000"/>
    <s v="CPSX Nhựa Duy Tân"/>
    <x v="2"/>
    <x v="2"/>
    <s v="rHDPE"/>
    <s v="rHDPE ép"/>
    <x v="1"/>
    <s v="NĐ"/>
    <s v="(blank)"/>
    <x v="0"/>
    <n v="11000"/>
    <n v="220000000"/>
    <n v="0"/>
    <n v="0"/>
    <n v="0"/>
    <n v="220000000"/>
    <m/>
    <m/>
    <m/>
    <m/>
    <m/>
    <m/>
    <m/>
    <m/>
    <m/>
    <m/>
    <m/>
    <n v="8465.4268505139426"/>
    <n v="8465.4268505139426"/>
    <x v="0"/>
    <x v="2"/>
  </r>
  <r>
    <x v="1"/>
    <x v="6"/>
    <n v="7"/>
    <s v="1000"/>
    <s v="CPSX Nhựa Duy Tân"/>
    <x v="3"/>
    <x v="3"/>
    <s v="rHDPE"/>
    <s v="rHDPE ép"/>
    <x v="1"/>
    <s v="NĐ"/>
    <s v="(blank)"/>
    <x v="0"/>
    <n v="11000"/>
    <n v="220000000"/>
    <n v="0"/>
    <n v="0"/>
    <n v="0"/>
    <n v="220000000"/>
    <m/>
    <m/>
    <m/>
    <m/>
    <m/>
    <m/>
    <m/>
    <m/>
    <m/>
    <m/>
    <m/>
    <n v="8465.4268505139426"/>
    <n v="8465.4268505139426"/>
    <x v="0"/>
    <x v="3"/>
  </r>
  <r>
    <x v="1"/>
    <x v="6"/>
    <n v="7"/>
    <s v="1000"/>
    <s v="CPSX Nhựa Duy Tân"/>
    <x v="43"/>
    <x v="41"/>
    <s v="rHDPE"/>
    <s v="rHDPE ép"/>
    <x v="1"/>
    <s v="NĐ"/>
    <s v="(blank)"/>
    <x v="0"/>
    <n v="1375"/>
    <n v="27500000"/>
    <n v="0"/>
    <n v="0"/>
    <n v="0"/>
    <n v="27500000"/>
    <m/>
    <m/>
    <m/>
    <m/>
    <m/>
    <m/>
    <m/>
    <m/>
    <m/>
    <m/>
    <m/>
    <n v="1058.1783563142428"/>
    <n v="1058.1783563142428"/>
    <x v="0"/>
    <x v="43"/>
  </r>
  <r>
    <x v="1"/>
    <x v="6"/>
    <n v="7"/>
    <s v="1000"/>
    <s v="CPSX Nhựa Duy Tân"/>
    <x v="4"/>
    <x v="4"/>
    <s v="rHDPE"/>
    <s v="rHDPE ép"/>
    <x v="1"/>
    <s v="NĐ"/>
    <s v="(blank)"/>
    <x v="0"/>
    <n v="5500"/>
    <n v="110000000"/>
    <n v="0"/>
    <n v="0"/>
    <n v="0"/>
    <n v="110000000"/>
    <m/>
    <m/>
    <m/>
    <m/>
    <m/>
    <m/>
    <m/>
    <m/>
    <m/>
    <m/>
    <m/>
    <n v="4232.7134252569713"/>
    <n v="4232.7134252569713"/>
    <x v="0"/>
    <x v="4"/>
  </r>
  <r>
    <x v="1"/>
    <x v="6"/>
    <n v="7"/>
    <s v="1000"/>
    <s v="CPSX Nhựa Duy Tân"/>
    <x v="5"/>
    <x v="5"/>
    <s v="rHDPE"/>
    <s v="rHDPE ép"/>
    <x v="1"/>
    <s v="NĐ"/>
    <s v="(blank)"/>
    <x v="0"/>
    <n v="2750"/>
    <n v="55000000"/>
    <n v="0"/>
    <n v="0"/>
    <n v="0"/>
    <n v="55000000"/>
    <m/>
    <m/>
    <m/>
    <m/>
    <m/>
    <m/>
    <m/>
    <m/>
    <m/>
    <m/>
    <m/>
    <n v="2116.3567126284856"/>
    <n v="2116.3567126284856"/>
    <x v="0"/>
    <x v="5"/>
  </r>
  <r>
    <x v="1"/>
    <x v="6"/>
    <n v="7"/>
    <s v="1000"/>
    <s v="CPSX Nhựa Duy Tân"/>
    <x v="113"/>
    <x v="111"/>
    <s v="rHDPE"/>
    <s v="rHDPE thổi"/>
    <x v="0"/>
    <s v="NĐ"/>
    <s v="(blank)"/>
    <x v="1"/>
    <n v="-350"/>
    <n v="0"/>
    <n v="0"/>
    <n v="0"/>
    <n v="0"/>
    <n v="0"/>
    <m/>
    <m/>
    <m/>
    <m/>
    <m/>
    <m/>
    <m/>
    <m/>
    <m/>
    <m/>
    <m/>
    <n v="0"/>
    <n v="0"/>
    <x v="0"/>
    <x v="113"/>
  </r>
  <r>
    <x v="1"/>
    <x v="6"/>
    <n v="7"/>
    <s v="1000"/>
    <s v="CPSX Nhựa Duy Tân"/>
    <x v="113"/>
    <x v="111"/>
    <s v="rHDPE"/>
    <s v="rHDPE thổi"/>
    <x v="0"/>
    <s v="NĐ"/>
    <s v="(blank)"/>
    <x v="2"/>
    <n v="350"/>
    <n v="0"/>
    <n v="0"/>
    <n v="0"/>
    <n v="0"/>
    <n v="0"/>
    <m/>
    <m/>
    <m/>
    <m/>
    <m/>
    <m/>
    <m/>
    <m/>
    <m/>
    <m/>
    <m/>
    <n v="0"/>
    <n v="0"/>
    <x v="0"/>
    <x v="113"/>
  </r>
  <r>
    <x v="1"/>
    <x v="6"/>
    <n v="7"/>
    <s v="101290"/>
    <s v="Cty Thạnh Phát"/>
    <x v="7"/>
    <x v="7"/>
    <s v="Khác"/>
    <s v="Khác"/>
    <x v="2"/>
    <s v="NĐ"/>
    <s v="(blank)"/>
    <x v="0"/>
    <n v="0"/>
    <n v="0"/>
    <n v="0"/>
    <n v="0"/>
    <n v="0"/>
    <n v="0"/>
    <m/>
    <m/>
    <m/>
    <m/>
    <m/>
    <m/>
    <m/>
    <m/>
    <m/>
    <m/>
    <m/>
    <n v="0"/>
    <n v="0"/>
    <x v="1"/>
    <x v="7"/>
  </r>
  <r>
    <x v="1"/>
    <x v="6"/>
    <n v="7"/>
    <s v="104877"/>
    <s v="Công ty trách nhiệm hữu hạn Uy Kiệt"/>
    <x v="58"/>
    <x v="56"/>
    <s v="rPET"/>
    <s v="rPET"/>
    <x v="3"/>
    <s v="NĐ"/>
    <s v="(blank)"/>
    <x v="0"/>
    <n v="330850"/>
    <n v="9415329300"/>
    <n v="50508474.815361887"/>
    <n v="0"/>
    <n v="72600000"/>
    <n v="9292220825.1846371"/>
    <m/>
    <m/>
    <m/>
    <m/>
    <m/>
    <m/>
    <m/>
    <m/>
    <m/>
    <m/>
    <m/>
    <n v="357557.3439746495"/>
    <n v="362294.46119386668"/>
    <x v="52"/>
    <x v="58"/>
  </r>
  <r>
    <x v="1"/>
    <x v="6"/>
    <n v="7"/>
    <s v="104877"/>
    <s v="Công ty trách nhiệm hữu hạn Uy Kiệt"/>
    <x v="39"/>
    <x v="37"/>
    <s v="Khác"/>
    <s v="Khác"/>
    <x v="8"/>
    <s v="NĐ"/>
    <s v="(blank)"/>
    <x v="0"/>
    <n v="0"/>
    <n v="0"/>
    <n v="0"/>
    <n v="0"/>
    <n v="-33880000"/>
    <n v="33880000"/>
    <m/>
    <m/>
    <m/>
    <m/>
    <m/>
    <m/>
    <m/>
    <m/>
    <m/>
    <m/>
    <m/>
    <n v="1303.6757349791471"/>
    <n v="0"/>
    <x v="52"/>
    <x v="39"/>
  </r>
  <r>
    <x v="1"/>
    <x v="6"/>
    <n v="7"/>
    <s v="104894"/>
    <s v="UNILEVER-NGỌC NGHĨA"/>
    <x v="9"/>
    <x v="9"/>
    <s v="rPET"/>
    <s v="rPET"/>
    <x v="3"/>
    <s v="NĐ"/>
    <s v="(blank)"/>
    <x v="0"/>
    <n v="176000"/>
    <n v="5695096000"/>
    <n v="26937853.234859675"/>
    <n v="0"/>
    <n v="24640000"/>
    <n v="5643518146.7651405"/>
    <m/>
    <m/>
    <m/>
    <m/>
    <m/>
    <m/>
    <m/>
    <m/>
    <m/>
    <m/>
    <m/>
    <n v="217158.13659540145"/>
    <n v="219142.81179388432"/>
    <x v="2"/>
    <x v="9"/>
  </r>
  <r>
    <x v="1"/>
    <x v="6"/>
    <n v="7"/>
    <s v="104894"/>
    <s v="UNILEVER-NGỌC NGHĨA"/>
    <x v="33"/>
    <x v="31"/>
    <s v="rPET"/>
    <s v="rPET"/>
    <x v="3"/>
    <s v="NĐ"/>
    <s v="(blank)"/>
    <x v="0"/>
    <n v="0"/>
    <n v="0"/>
    <n v="0"/>
    <n v="0"/>
    <n v="0"/>
    <n v="0"/>
    <m/>
    <m/>
    <m/>
    <m/>
    <m/>
    <m/>
    <m/>
    <m/>
    <m/>
    <m/>
    <m/>
    <n v="0"/>
    <n v="0"/>
    <x v="2"/>
    <x v="33"/>
  </r>
  <r>
    <x v="1"/>
    <x v="6"/>
    <n v="7"/>
    <s v="104894"/>
    <s v="UNILEVER-NGỌC NGHĨA"/>
    <x v="39"/>
    <x v="37"/>
    <s v="Khác"/>
    <s v="Khác"/>
    <x v="8"/>
    <s v="NĐ"/>
    <s v="(blank)"/>
    <x v="0"/>
    <n v="0"/>
    <n v="0"/>
    <n v="0"/>
    <n v="0"/>
    <n v="9240000"/>
    <n v="-9240000"/>
    <m/>
    <m/>
    <m/>
    <m/>
    <m/>
    <m/>
    <m/>
    <m/>
    <m/>
    <m/>
    <m/>
    <n v="-355.54792772158567"/>
    <n v="0"/>
    <x v="2"/>
    <x v="39"/>
  </r>
  <r>
    <x v="1"/>
    <x v="6"/>
    <n v="7"/>
    <s v="104909"/>
    <s v="Công ty TNHH La Vie"/>
    <x v="10"/>
    <x v="10"/>
    <s v="rPET"/>
    <s v="rPET"/>
    <x v="3"/>
    <s v="NĐ"/>
    <s v="(blank)"/>
    <x v="1"/>
    <n v="-25300"/>
    <n v="0"/>
    <n v="-3586147.0171875004"/>
    <n v="0"/>
    <n v="0"/>
    <n v="3586147.0171875004"/>
    <m/>
    <m/>
    <m/>
    <m/>
    <m/>
    <m/>
    <m/>
    <m/>
    <m/>
    <m/>
    <m/>
    <n v="137.99211476904344"/>
    <n v="0"/>
    <x v="4"/>
    <x v="10"/>
  </r>
  <r>
    <x v="1"/>
    <x v="6"/>
    <n v="7"/>
    <s v="104909"/>
    <s v="Công ty TNHH La Vie"/>
    <x v="10"/>
    <x v="10"/>
    <s v="rPET"/>
    <s v="rPET"/>
    <x v="3"/>
    <s v="NĐ"/>
    <s v="(blank)"/>
    <x v="2"/>
    <n v="25300"/>
    <n v="0"/>
    <n v="2035600.8505208336"/>
    <n v="0"/>
    <n v="0"/>
    <n v="-2035600.8505208336"/>
    <m/>
    <m/>
    <m/>
    <m/>
    <m/>
    <m/>
    <m/>
    <m/>
    <m/>
    <m/>
    <m/>
    <n v="-78.328318622400388"/>
    <n v="0"/>
    <x v="4"/>
    <x v="10"/>
  </r>
  <r>
    <x v="1"/>
    <x v="6"/>
    <n v="7"/>
    <s v="105194"/>
    <s v="Suntory Việt Nam"/>
    <x v="8"/>
    <x v="8"/>
    <s v="rPET"/>
    <s v="rPET"/>
    <x v="3"/>
    <s v="NĐ"/>
    <s v="(blank)"/>
    <x v="0"/>
    <n v="132000"/>
    <n v="4868556000"/>
    <n v="9502185.3385416679"/>
    <n v="0"/>
    <n v="79444444.444444448"/>
    <n v="4707957645.2170134"/>
    <m/>
    <m/>
    <m/>
    <m/>
    <m/>
    <m/>
    <m/>
    <m/>
    <m/>
    <m/>
    <m/>
    <n v="181158.5048222841"/>
    <n v="187338.20311650346"/>
    <x v="7"/>
    <x v="8"/>
  </r>
  <r>
    <x v="1"/>
    <x v="6"/>
    <n v="7"/>
    <s v="105194"/>
    <s v="Suntory Việt Nam"/>
    <x v="39"/>
    <x v="37"/>
    <s v="Khác"/>
    <s v="Khác"/>
    <x v="8"/>
    <s v="NĐ"/>
    <s v="(blank)"/>
    <x v="0"/>
    <n v="0"/>
    <n v="0"/>
    <n v="0"/>
    <n v="0"/>
    <n v="92685185.185185194"/>
    <n v="-92685185.185185194"/>
    <m/>
    <m/>
    <m/>
    <m/>
    <m/>
    <m/>
    <m/>
    <m/>
    <m/>
    <m/>
    <m/>
    <n v="-3566.4529786887442"/>
    <n v="0"/>
    <x v="7"/>
    <x v="39"/>
  </r>
  <r>
    <x v="1"/>
    <x v="6"/>
    <n v="7"/>
    <s v="105207"/>
    <s v="Suntory Sri Thái Bình Dương"/>
    <x v="8"/>
    <x v="8"/>
    <s v="rPET"/>
    <s v="rPET"/>
    <x v="3"/>
    <s v="NĐ"/>
    <s v="(blank)"/>
    <x v="0"/>
    <n v="51700"/>
    <n v="1884463449"/>
    <n v="7912994.387740029"/>
    <n v="0"/>
    <n v="7040000"/>
    <n v="1841446862.6122601"/>
    <m/>
    <m/>
    <m/>
    <m/>
    <m/>
    <m/>
    <m/>
    <m/>
    <m/>
    <m/>
    <m/>
    <n v="70857.42597523857"/>
    <n v="72512.670363530517"/>
    <x v="7"/>
    <x v="8"/>
  </r>
  <r>
    <x v="1"/>
    <x v="6"/>
    <n v="7"/>
    <s v="105207"/>
    <s v="Suntory Sri Thái Bình Dương"/>
    <x v="8"/>
    <x v="8"/>
    <s v="rPET"/>
    <s v="rPET"/>
    <x v="3"/>
    <s v="NĐ"/>
    <s v="(blank)"/>
    <x v="3"/>
    <n v="-730.9"/>
    <n v="-26026143"/>
    <n v="0"/>
    <n v="0"/>
    <n v="0"/>
    <n v="-25638570"/>
    <m/>
    <m/>
    <m/>
    <m/>
    <m/>
    <m/>
    <m/>
    <m/>
    <m/>
    <m/>
    <m/>
    <n v="-986.55199493991483"/>
    <n v="-1001.4654989432523"/>
    <x v="7"/>
    <x v="8"/>
  </r>
  <r>
    <x v="1"/>
    <x v="6"/>
    <n v="7"/>
    <s v="105207"/>
    <s v="Suntory Sri Thái Bình Dương"/>
    <x v="27"/>
    <x v="25"/>
    <s v="Khác"/>
    <s v="Khác"/>
    <x v="2"/>
    <s v="NĐ"/>
    <s v="(blank)"/>
    <x v="0"/>
    <n v="0"/>
    <n v="1974750"/>
    <n v="0"/>
    <n v="0"/>
    <n v="0"/>
    <n v="1974750"/>
    <m/>
    <m/>
    <m/>
    <m/>
    <m/>
    <m/>
    <m/>
    <m/>
    <m/>
    <m/>
    <m/>
    <n v="75.986825786601855"/>
    <n v="75.986825786601855"/>
    <x v="7"/>
    <x v="27"/>
  </r>
  <r>
    <x v="1"/>
    <x v="6"/>
    <n v="7"/>
    <s v="105209"/>
    <s v="Công ty TNHH MTV Đồng Lâm"/>
    <x v="35"/>
    <x v="33"/>
    <s v="Khác"/>
    <s v="Khác"/>
    <x v="2"/>
    <s v="NĐ"/>
    <s v="(blank)"/>
    <x v="0"/>
    <n v="0"/>
    <n v="4000000"/>
    <n v="0"/>
    <n v="0"/>
    <n v="0"/>
    <n v="4000000"/>
    <m/>
    <m/>
    <m/>
    <m/>
    <m/>
    <m/>
    <m/>
    <m/>
    <m/>
    <m/>
    <m/>
    <n v="153.91685182752624"/>
    <n v="153.91685182752624"/>
    <x v="17"/>
    <x v="35"/>
  </r>
  <r>
    <x v="1"/>
    <x v="6"/>
    <n v="7"/>
    <s v="105214"/>
    <s v="Người mua hàng không lấy hóa đơn"/>
    <x v="96"/>
    <x v="94"/>
    <s v="Khác"/>
    <s v="Phó sản"/>
    <x v="5"/>
    <s v="NĐ"/>
    <s v="(blank)"/>
    <x v="0"/>
    <n v="41387"/>
    <n v="80474722"/>
    <n v="0"/>
    <n v="0"/>
    <n v="0"/>
    <n v="80474722"/>
    <m/>
    <m/>
    <m/>
    <m/>
    <m/>
    <m/>
    <m/>
    <m/>
    <m/>
    <m/>
    <m/>
    <n v="3096.6039654838419"/>
    <n v="3096.6039654838419"/>
    <x v="9"/>
    <x v="96"/>
  </r>
  <r>
    <x v="1"/>
    <x v="6"/>
    <n v="7"/>
    <s v="105214"/>
    <s v="Người mua hàng không lấy hóa đơn"/>
    <x v="27"/>
    <x v="25"/>
    <s v="Khác"/>
    <s v="Khác"/>
    <x v="2"/>
    <s v="NĐ"/>
    <s v="(blank)"/>
    <x v="0"/>
    <n v="0"/>
    <n v="158472643"/>
    <n v="0"/>
    <n v="0"/>
    <n v="0"/>
    <n v="158472643"/>
    <m/>
    <m/>
    <m/>
    <m/>
    <m/>
    <m/>
    <m/>
    <m/>
    <m/>
    <m/>
    <m/>
    <n v="6097.9025778368659"/>
    <n v="6097.9025778368659"/>
    <x v="9"/>
    <x v="27"/>
  </r>
  <r>
    <x v="1"/>
    <x v="6"/>
    <n v="7"/>
    <s v="105217"/>
    <s v="Nestle Việt Nam"/>
    <x v="27"/>
    <x v="25"/>
    <s v="Khác"/>
    <s v="Khác"/>
    <x v="2"/>
    <s v="NĐ"/>
    <s v="(blank)"/>
    <x v="0"/>
    <n v="0"/>
    <n v="10000000"/>
    <n v="0"/>
    <n v="0"/>
    <n v="0"/>
    <n v="10000000"/>
    <m/>
    <m/>
    <m/>
    <m/>
    <m/>
    <m/>
    <m/>
    <m/>
    <m/>
    <m/>
    <m/>
    <n v="384.7921295688156"/>
    <n v="384.7921295688156"/>
    <x v="82"/>
    <x v="27"/>
  </r>
  <r>
    <x v="1"/>
    <x v="6"/>
    <n v="7"/>
    <s v="105223"/>
    <s v="Dynaplast Bắc Ninh"/>
    <x v="1"/>
    <x v="1"/>
    <s v="rHDPE"/>
    <s v="rHDPE thổi"/>
    <x v="0"/>
    <s v="NĐ"/>
    <s v="(blank)"/>
    <x v="0"/>
    <n v="35750"/>
    <n v="1315883250"/>
    <n v="0"/>
    <n v="0"/>
    <n v="30925925.925925925"/>
    <n v="1284957324.074074"/>
    <m/>
    <m/>
    <m/>
    <m/>
    <m/>
    <m/>
    <m/>
    <m/>
    <m/>
    <m/>
    <m/>
    <n v="49444.146513550972"/>
    <n v="50634.151803143424"/>
    <x v="2"/>
    <x v="1"/>
  </r>
  <r>
    <x v="1"/>
    <x v="6"/>
    <n v="7"/>
    <s v="105229"/>
    <s v="GIA TƯỜNG"/>
    <x v="44"/>
    <x v="42"/>
    <s v="GC"/>
    <s v="GC"/>
    <x v="10"/>
    <s v="NĐ"/>
    <s v="(blank)"/>
    <x v="0"/>
    <n v="20000"/>
    <n v="340000000"/>
    <n v="0"/>
    <n v="24000000"/>
    <n v="0"/>
    <n v="316000000"/>
    <m/>
    <m/>
    <m/>
    <m/>
    <m/>
    <m/>
    <m/>
    <m/>
    <m/>
    <m/>
    <m/>
    <n v="12159.431294374574"/>
    <n v="13082.93240533973"/>
    <x v="24"/>
    <x v="44"/>
  </r>
  <r>
    <x v="1"/>
    <x v="6"/>
    <n v="7"/>
    <s v="105247"/>
    <s v="MINH THÀNH"/>
    <x v="29"/>
    <x v="27"/>
    <s v="Khác"/>
    <s v="Phó sản"/>
    <x v="5"/>
    <s v="NĐ"/>
    <s v="(blank)"/>
    <x v="0"/>
    <n v="15788"/>
    <n v="307866000"/>
    <n v="0"/>
    <n v="0"/>
    <n v="0"/>
    <n v="307866000"/>
    <m/>
    <m/>
    <m/>
    <m/>
    <m/>
    <m/>
    <m/>
    <m/>
    <m/>
    <m/>
    <m/>
    <n v="11846.441376183298"/>
    <n v="11846.441376183298"/>
    <x v="10"/>
    <x v="29"/>
  </r>
  <r>
    <x v="1"/>
    <x v="6"/>
    <n v="7"/>
    <s v="105248"/>
    <s v="ĐẠI NHẤT LONG"/>
    <x v="109"/>
    <x v="107"/>
    <s v="rPP"/>
    <s v="rPP"/>
    <x v="6"/>
    <s v="NĐ"/>
    <s v="(blank)"/>
    <x v="0"/>
    <n v="11000"/>
    <n v="208796296"/>
    <n v="0"/>
    <n v="0"/>
    <n v="0"/>
    <n v="208796296"/>
    <m/>
    <m/>
    <m/>
    <m/>
    <m/>
    <m/>
    <m/>
    <m/>
    <m/>
    <m/>
    <m/>
    <n v="8034.317138392078"/>
    <n v="8034.317138392078"/>
    <x v="27"/>
    <x v="109"/>
  </r>
  <r>
    <x v="1"/>
    <x v="6"/>
    <n v="7"/>
    <s v="105248"/>
    <s v="ĐẠI NHẤT LONG"/>
    <x v="31"/>
    <x v="29"/>
    <s v="rPP"/>
    <s v="rPP"/>
    <x v="6"/>
    <s v="NĐ"/>
    <s v="(blank)"/>
    <x v="0"/>
    <n v="9750"/>
    <n v="176041667"/>
    <n v="2188700.5753323487"/>
    <n v="0"/>
    <n v="0"/>
    <n v="173852966.42466766"/>
    <m/>
    <m/>
    <m/>
    <m/>
    <m/>
    <m/>
    <m/>
    <m/>
    <m/>
    <m/>
    <m/>
    <n v="6689.7253182403665"/>
    <n v="6773.9447937774294"/>
    <x v="27"/>
    <x v="31"/>
  </r>
  <r>
    <x v="1"/>
    <x v="6"/>
    <n v="7"/>
    <s v="105263"/>
    <s v="Unilever Duy Tân"/>
    <x v="1"/>
    <x v="1"/>
    <s v="rHDPE"/>
    <s v="rHDPE thổi"/>
    <x v="0"/>
    <s v="NĐ"/>
    <s v="(blank)"/>
    <x v="0"/>
    <n v="99000"/>
    <n v="3481593060"/>
    <n v="0"/>
    <n v="0"/>
    <n v="0"/>
    <n v="3481593060"/>
    <m/>
    <m/>
    <m/>
    <m/>
    <m/>
    <m/>
    <m/>
    <m/>
    <m/>
    <m/>
    <m/>
    <n v="133968.96078494092"/>
    <n v="133968.96078494092"/>
    <x v="2"/>
    <x v="1"/>
  </r>
  <r>
    <x v="1"/>
    <x v="6"/>
    <n v="7"/>
    <s v="105263"/>
    <s v="Unilever Duy Tân"/>
    <x v="6"/>
    <x v="6"/>
    <s v="rHDPE"/>
    <s v="rHDPE thổi"/>
    <x v="0"/>
    <s v="NĐ"/>
    <s v="(blank)"/>
    <x v="0"/>
    <n v="9625"/>
    <n v="323749099"/>
    <n v="0"/>
    <n v="0"/>
    <n v="0"/>
    <n v="323749099"/>
    <m/>
    <m/>
    <m/>
    <m/>
    <m/>
    <m/>
    <m/>
    <m/>
    <m/>
    <m/>
    <m/>
    <n v="12457.610525019531"/>
    <n v="12457.610525019531"/>
    <x v="2"/>
    <x v="6"/>
  </r>
  <r>
    <x v="1"/>
    <x v="6"/>
    <n v="7"/>
    <s v="105263"/>
    <s v="Unilever Duy Tân"/>
    <x v="50"/>
    <x v="48"/>
    <s v="rHDPE"/>
    <s v="rHDPE thổi"/>
    <x v="0"/>
    <s v="NĐ"/>
    <s v="(blank)"/>
    <x v="0"/>
    <n v="11000"/>
    <n v="374270930"/>
    <n v="0"/>
    <n v="0"/>
    <n v="0"/>
    <n v="374270930"/>
    <m/>
    <m/>
    <m/>
    <m/>
    <m/>
    <m/>
    <m/>
    <m/>
    <m/>
    <m/>
    <m/>
    <n v="14401.650819040111"/>
    <n v="14401.650819040111"/>
    <x v="2"/>
    <x v="50"/>
  </r>
  <r>
    <x v="1"/>
    <x v="6"/>
    <n v="7"/>
    <s v="105271"/>
    <s v="Suntory- Ngọc Nghĩa Tây Ninh"/>
    <x v="8"/>
    <x v="8"/>
    <s v="rPET"/>
    <s v="rPET"/>
    <x v="3"/>
    <s v="NĐ"/>
    <s v="(blank)"/>
    <x v="1"/>
    <n v="-2200"/>
    <n v="0"/>
    <n v="-336723.1654357459"/>
    <n v="0"/>
    <n v="0"/>
    <n v="336723.1654357459"/>
    <m/>
    <m/>
    <m/>
    <m/>
    <m/>
    <m/>
    <m/>
    <m/>
    <m/>
    <m/>
    <m/>
    <n v="12.956842390317327"/>
    <n v="0"/>
    <x v="7"/>
    <x v="8"/>
  </r>
  <r>
    <x v="1"/>
    <x v="6"/>
    <n v="7"/>
    <s v="105271"/>
    <s v="Suntory- Ngọc Nghĩa Tây Ninh"/>
    <x v="8"/>
    <x v="8"/>
    <s v="rPET"/>
    <s v="rPET"/>
    <x v="3"/>
    <s v="NĐ"/>
    <s v="(blank)"/>
    <x v="0"/>
    <n v="66000"/>
    <n v="2405040000"/>
    <n v="10101694.963072378"/>
    <n v="0"/>
    <n v="9240000"/>
    <n v="2349872442.0369277"/>
    <m/>
    <m/>
    <m/>
    <m/>
    <m/>
    <m/>
    <m/>
    <m/>
    <m/>
    <m/>
    <m/>
    <n v="90421.24211864626"/>
    <n v="92544.046329818433"/>
    <x v="7"/>
    <x v="8"/>
  </r>
  <r>
    <x v="1"/>
    <x v="6"/>
    <n v="7"/>
    <s v="105271"/>
    <s v="Suntory- Ngọc Nghĩa Tây Ninh"/>
    <x v="8"/>
    <x v="8"/>
    <s v="rPET"/>
    <s v="rPET"/>
    <x v="3"/>
    <s v="NĐ"/>
    <s v="(blank)"/>
    <x v="2"/>
    <n v="2200"/>
    <n v="0"/>
    <n v="336723.1654357459"/>
    <n v="0"/>
    <n v="0"/>
    <n v="-336723.1654357459"/>
    <m/>
    <m/>
    <m/>
    <m/>
    <m/>
    <m/>
    <m/>
    <m/>
    <m/>
    <m/>
    <m/>
    <n v="-12.956842390317327"/>
    <n v="0"/>
    <x v="7"/>
    <x v="8"/>
  </r>
  <r>
    <x v="1"/>
    <x v="6"/>
    <n v="7"/>
    <s v="105272"/>
    <s v="LINH CHI"/>
    <x v="104"/>
    <x v="102"/>
    <s v="Xơ sợi"/>
    <s v="Xơ sợi"/>
    <x v="7"/>
    <s v="NĐ"/>
    <s v="(blank)"/>
    <x v="0"/>
    <n v="31600"/>
    <n v="521400000"/>
    <n v="5050847.4815361891"/>
    <n v="0"/>
    <n v="0"/>
    <n v="516349152.51846385"/>
    <m/>
    <m/>
    <m/>
    <m/>
    <m/>
    <m/>
    <m/>
    <m/>
    <m/>
    <m/>
    <m/>
    <n v="19868.708999863284"/>
    <n v="20063.061635718048"/>
    <x v="42"/>
    <x v="104"/>
  </r>
  <r>
    <x v="1"/>
    <x v="6"/>
    <n v="7"/>
    <s v="105281"/>
    <s v="Plascene- DTP"/>
    <x v="9"/>
    <x v="9"/>
    <s v="rPET"/>
    <s v="rPET"/>
    <x v="3"/>
    <s v="NĐ"/>
    <s v="(blank)"/>
    <x v="0"/>
    <n v="99000"/>
    <n v="3234825000"/>
    <n v="15152542.444608569"/>
    <n v="0"/>
    <n v="0"/>
    <n v="3219672457.5553913"/>
    <m/>
    <m/>
    <m/>
    <m/>
    <m/>
    <m/>
    <m/>
    <m/>
    <m/>
    <m/>
    <m/>
    <n v="123890.46214568015"/>
    <n v="124473.52005324441"/>
    <x v="54"/>
    <x v="9"/>
  </r>
  <r>
    <x v="1"/>
    <x v="6"/>
    <n v="7"/>
    <s v="105284"/>
    <s v="Motul -DTP"/>
    <x v="63"/>
    <x v="61"/>
    <s v="rHDPE"/>
    <s v="rHDPE thổi"/>
    <x v="0"/>
    <s v="NĐ"/>
    <s v="(blank)"/>
    <x v="0"/>
    <n v="33000"/>
    <n v="1083637500"/>
    <n v="0"/>
    <n v="0"/>
    <n v="0"/>
    <n v="1083637500"/>
    <m/>
    <m/>
    <m/>
    <m/>
    <m/>
    <m/>
    <m/>
    <m/>
    <m/>
    <m/>
    <m/>
    <n v="41697.518130562748"/>
    <n v="41697.518130562748"/>
    <x v="59"/>
    <x v="63"/>
  </r>
  <r>
    <x v="1"/>
    <x v="6"/>
    <n v="7"/>
    <s v="105286"/>
    <s v="MONDELEZ-VIỆT THÀNH"/>
    <x v="33"/>
    <x v="31"/>
    <s v="rPET"/>
    <s v="rPET"/>
    <x v="3"/>
    <s v="NĐ"/>
    <s v="(blank)"/>
    <x v="0"/>
    <n v="33000"/>
    <n v="1122999350"/>
    <n v="5050847.4815361891"/>
    <n v="0"/>
    <n v="6400000.0000000009"/>
    <n v="1111548502.5184639"/>
    <m/>
    <m/>
    <m/>
    <m/>
    <m/>
    <m/>
    <m/>
    <m/>
    <m/>
    <m/>
    <m/>
    <n v="42771.51154031077"/>
    <n v="43212.131139089572"/>
    <x v="88"/>
    <x v="33"/>
  </r>
  <r>
    <x v="1"/>
    <x v="6"/>
    <n v="7"/>
    <s v="105286"/>
    <s v="MONDELEZ-VIỆT THÀNH"/>
    <x v="39"/>
    <x v="37"/>
    <s v="Khác"/>
    <s v="Khác"/>
    <x v="8"/>
    <s v="NĐ"/>
    <s v="(blank)"/>
    <x v="0"/>
    <n v="0"/>
    <n v="0"/>
    <n v="0"/>
    <n v="0"/>
    <n v="-3200000"/>
    <n v="3200000"/>
    <m/>
    <m/>
    <m/>
    <m/>
    <m/>
    <m/>
    <m/>
    <m/>
    <m/>
    <m/>
    <m/>
    <n v="123.133481462021"/>
    <n v="0"/>
    <x v="88"/>
    <x v="39"/>
  </r>
  <r>
    <x v="1"/>
    <x v="6"/>
    <n v="7"/>
    <s v="105287"/>
    <s v="CÔNG TY TNHH HƯNG DỤ"/>
    <x v="104"/>
    <x v="102"/>
    <s v="Xơ sợi"/>
    <s v="Xơ sợi"/>
    <x v="7"/>
    <s v="NĐ"/>
    <s v="(blank)"/>
    <x v="1"/>
    <n v="-10850"/>
    <n v="0"/>
    <n v="-1683615.8271787297"/>
    <n v="0"/>
    <n v="0"/>
    <n v="1683615.8271787297"/>
    <m/>
    <m/>
    <m/>
    <m/>
    <m/>
    <m/>
    <m/>
    <m/>
    <m/>
    <m/>
    <m/>
    <n v="64.784211951586641"/>
    <n v="0"/>
    <x v="65"/>
    <x v="104"/>
  </r>
  <r>
    <x v="1"/>
    <x v="6"/>
    <n v="7"/>
    <s v="105287"/>
    <s v="CÔNG TY TNHH HƯNG DỤ"/>
    <x v="104"/>
    <x v="102"/>
    <s v="Xơ sợi"/>
    <s v="Xơ sợi"/>
    <x v="7"/>
    <s v="NĐ"/>
    <s v="(blank)"/>
    <x v="0"/>
    <n v="286650"/>
    <n v="5019105000"/>
    <n v="45962712.081979327"/>
    <n v="0"/>
    <n v="0"/>
    <n v="4973142287.9180212"/>
    <m/>
    <m/>
    <m/>
    <m/>
    <m/>
    <m/>
    <m/>
    <m/>
    <m/>
    <m/>
    <m/>
    <n v="191362.60116167073"/>
    <n v="193131.21014794902"/>
    <x v="65"/>
    <x v="104"/>
  </r>
  <r>
    <x v="1"/>
    <x v="6"/>
    <n v="7"/>
    <s v="105287"/>
    <s v="CÔNG TY TNHH HƯNG DỤ"/>
    <x v="104"/>
    <x v="102"/>
    <s v="Xơ sợi"/>
    <s v="Xơ sợi"/>
    <x v="7"/>
    <s v="NĐ"/>
    <s v="(blank)"/>
    <x v="2"/>
    <n v="10850"/>
    <n v="0"/>
    <n v="1683615.8271787297"/>
    <n v="0"/>
    <n v="0"/>
    <n v="-1683615.8271787297"/>
    <m/>
    <m/>
    <m/>
    <m/>
    <m/>
    <m/>
    <m/>
    <m/>
    <m/>
    <m/>
    <m/>
    <n v="-64.784211951586641"/>
    <n v="0"/>
    <x v="65"/>
    <x v="104"/>
  </r>
  <r>
    <x v="1"/>
    <x v="6"/>
    <n v="7"/>
    <s v="105290"/>
    <s v="HOÀNG TẤN"/>
    <x v="78"/>
    <x v="76"/>
    <s v="Khác"/>
    <s v="Phó sản"/>
    <x v="5"/>
    <s v="NĐ"/>
    <s v="(blank)"/>
    <x v="0"/>
    <n v="7774"/>
    <n v="38870000"/>
    <n v="0"/>
    <n v="0"/>
    <n v="0"/>
    <n v="38870000"/>
    <m/>
    <m/>
    <m/>
    <m/>
    <m/>
    <m/>
    <m/>
    <m/>
    <m/>
    <m/>
    <m/>
    <n v="1495.6870076339862"/>
    <n v="1495.6870076339862"/>
    <x v="66"/>
    <x v="78"/>
  </r>
  <r>
    <x v="1"/>
    <x v="6"/>
    <n v="7"/>
    <s v="105306"/>
    <s v="MTV MILKIWAY SOLUTION"/>
    <x v="9"/>
    <x v="9"/>
    <s v="rPET"/>
    <s v="rPET"/>
    <x v="3"/>
    <s v="NĐ"/>
    <s v="(blank)"/>
    <x v="0"/>
    <n v="11000"/>
    <n v="367419800.00000006"/>
    <n v="1683615.8271787297"/>
    <n v="0"/>
    <n v="0"/>
    <n v="365736184.17282134"/>
    <m/>
    <m/>
    <m/>
    <m/>
    <m/>
    <m/>
    <m/>
    <m/>
    <m/>
    <m/>
    <m/>
    <n v="14073.240516823247"/>
    <n v="14138.024728774833"/>
    <x v="84"/>
    <x v="9"/>
  </r>
  <r>
    <x v="1"/>
    <x v="6"/>
    <n v="7"/>
    <s v="105322"/>
    <s v="PHÚC LONG TÂY NINH"/>
    <x v="79"/>
    <x v="77"/>
    <s v="Khác"/>
    <s v="Phó sản"/>
    <x v="5"/>
    <s v="NĐ"/>
    <s v="(blank)"/>
    <x v="5"/>
    <n v="0"/>
    <n v="-927600"/>
    <n v="0"/>
    <n v="0"/>
    <n v="0"/>
    <n v="-927600"/>
    <m/>
    <m/>
    <m/>
    <m/>
    <m/>
    <m/>
    <m/>
    <m/>
    <m/>
    <m/>
    <m/>
    <n v="-35.693317938803332"/>
    <n v="-35.693317938803332"/>
    <x v="105"/>
    <x v="79"/>
  </r>
  <r>
    <x v="1"/>
    <x v="6"/>
    <n v="7"/>
    <s v="105322"/>
    <s v="PHÚC LONG TÂY NINH"/>
    <x v="79"/>
    <x v="77"/>
    <s v="Khác"/>
    <s v="Phó sản"/>
    <x v="5"/>
    <s v="NĐ"/>
    <s v="(blank)"/>
    <x v="0"/>
    <n v="3116"/>
    <n v="61689600"/>
    <n v="0"/>
    <n v="0"/>
    <n v="0"/>
    <n v="61689600"/>
    <m/>
    <m/>
    <m/>
    <m/>
    <m/>
    <m/>
    <m/>
    <m/>
    <m/>
    <m/>
    <m/>
    <n v="2373.7672556248408"/>
    <n v="2373.7672556248408"/>
    <x v="105"/>
    <x v="79"/>
  </r>
  <r>
    <x v="1"/>
    <x v="6"/>
    <n v="7"/>
    <s v="105322"/>
    <s v="PHÚC LONG TÂY NINH"/>
    <x v="106"/>
    <x v="104"/>
    <s v="Khác"/>
    <s v="Phó sản"/>
    <x v="5"/>
    <s v="NĐ"/>
    <s v="(blank)"/>
    <x v="0"/>
    <n v="996"/>
    <n v="18924000"/>
    <n v="0"/>
    <n v="0"/>
    <n v="0"/>
    <n v="18924000"/>
    <m/>
    <m/>
    <m/>
    <m/>
    <m/>
    <m/>
    <m/>
    <m/>
    <m/>
    <m/>
    <m/>
    <n v="728.18062599602661"/>
    <n v="728.18062599602661"/>
    <x v="105"/>
    <x v="106"/>
  </r>
  <r>
    <x v="1"/>
    <x v="6"/>
    <n v="7"/>
    <s v="105322"/>
    <s v="PHÚC LONG TÂY NINH"/>
    <x v="122"/>
    <x v="120"/>
    <s v="Khác"/>
    <s v="Phó sản"/>
    <x v="5"/>
    <s v="NĐ"/>
    <s v="(blank)"/>
    <x v="0"/>
    <n v="2934"/>
    <n v="49066000"/>
    <n v="0"/>
    <n v="0"/>
    <n v="0"/>
    <n v="49066000"/>
    <m/>
    <m/>
    <m/>
    <m/>
    <m/>
    <m/>
    <m/>
    <m/>
    <m/>
    <m/>
    <m/>
    <n v="1888.0210629423505"/>
    <n v="1888.0210629423505"/>
    <x v="105"/>
    <x v="122"/>
  </r>
  <r>
    <x v="1"/>
    <x v="6"/>
    <n v="7"/>
    <s v="105324"/>
    <s v="NHỰA TRƯỜNG AN"/>
    <x v="51"/>
    <x v="49"/>
    <s v="rHDPE"/>
    <s v="rHDPE ép"/>
    <x v="1"/>
    <s v="NĐ"/>
    <s v="(blank)"/>
    <x v="0"/>
    <n v="9000"/>
    <n v="141544444"/>
    <n v="2020338.9926144758"/>
    <n v="0"/>
    <n v="0"/>
    <n v="139524105.00738552"/>
    <m/>
    <m/>
    <m/>
    <m/>
    <m/>
    <m/>
    <m/>
    <m/>
    <m/>
    <m/>
    <m/>
    <n v="5368.7777491974921"/>
    <n v="5446.5188035393967"/>
    <x v="106"/>
    <x v="51"/>
  </r>
  <r>
    <x v="1"/>
    <x v="6"/>
    <n v="7"/>
    <s v="105324"/>
    <s v="NHỰA TRƯỜNG AN"/>
    <x v="107"/>
    <x v="105"/>
    <s v="rHDPE"/>
    <s v="rHDPE ép"/>
    <x v="1"/>
    <s v="NĐ"/>
    <s v="(blank)"/>
    <x v="0"/>
    <n v="750"/>
    <n v="11458333"/>
    <n v="168361.58271787298"/>
    <n v="0"/>
    <n v="0"/>
    <n v="11289971.417282127"/>
    <m/>
    <m/>
    <m/>
    <m/>
    <m/>
    <m/>
    <m/>
    <m/>
    <m/>
    <m/>
    <m/>
    <n v="434.4292144427049"/>
    <n v="440.90763563786356"/>
    <x v="106"/>
    <x v="107"/>
  </r>
  <r>
    <x v="1"/>
    <x v="6"/>
    <n v="7"/>
    <s v="105333"/>
    <s v="LƯỚI BẢO NÔNG"/>
    <x v="30"/>
    <x v="28"/>
    <s v="rHDPE"/>
    <s v="rHDPE ép"/>
    <x v="1"/>
    <s v="NĐ"/>
    <s v="(blank)"/>
    <x v="0"/>
    <n v="10500"/>
    <n v="168000000"/>
    <n v="2357062.1580502219"/>
    <n v="0"/>
    <n v="0"/>
    <n v="165642937.84194979"/>
    <m/>
    <m/>
    <m/>
    <m/>
    <m/>
    <m/>
    <m/>
    <m/>
    <m/>
    <m/>
    <m/>
    <n v="6373.8098800238813"/>
    <n v="6464.5077767561024"/>
    <x v="125"/>
    <x v="30"/>
  </r>
  <r>
    <x v="1"/>
    <x v="6"/>
    <n v="7"/>
    <s v="105336"/>
    <s v="Hailide Việt Nam"/>
    <x v="39"/>
    <x v="37"/>
    <s v="Khác"/>
    <s v="Khác"/>
    <x v="8"/>
    <s v="NĐ"/>
    <s v="(blank)"/>
    <x v="0"/>
    <n v="0"/>
    <n v="0"/>
    <n v="0"/>
    <n v="0"/>
    <n v="2200000"/>
    <n v="-2200000"/>
    <m/>
    <m/>
    <m/>
    <m/>
    <m/>
    <m/>
    <m/>
    <m/>
    <m/>
    <m/>
    <m/>
    <n v="-84.654268505139427"/>
    <n v="0"/>
    <x v="153"/>
    <x v="39"/>
  </r>
  <r>
    <x v="1"/>
    <x v="6"/>
    <n v="7"/>
    <s v="105339"/>
    <s v="HUY THÀNH"/>
    <x v="43"/>
    <x v="41"/>
    <s v="rHDPE"/>
    <s v="rHDPE ép"/>
    <x v="1"/>
    <s v="NĐ"/>
    <s v="(blank)"/>
    <x v="0"/>
    <n v="300"/>
    <n v="4583334"/>
    <n v="64754.4548914896"/>
    <n v="0"/>
    <n v="0"/>
    <n v="4518579.5451085102"/>
    <m/>
    <m/>
    <m/>
    <m/>
    <m/>
    <m/>
    <m/>
    <m/>
    <m/>
    <m/>
    <m/>
    <n v="173.87138457883938"/>
    <n v="176.36308503851578"/>
    <x v="138"/>
    <x v="43"/>
  </r>
  <r>
    <x v="1"/>
    <x v="6"/>
    <n v="7"/>
    <s v="105339"/>
    <s v="HUY THÀNH"/>
    <x v="51"/>
    <x v="49"/>
    <s v="rHDPE"/>
    <s v="rHDPE ép"/>
    <x v="1"/>
    <s v="NĐ"/>
    <s v="(blank)"/>
    <x v="0"/>
    <n v="7500"/>
    <n v="129027777.99999999"/>
    <n v="1618861.3722872401"/>
    <n v="0"/>
    <n v="0"/>
    <n v="127408916.62771274"/>
    <m/>
    <m/>
    <m/>
    <m/>
    <m/>
    <m/>
    <m/>
    <m/>
    <m/>
    <m/>
    <m/>
    <n v="4902.5948355233268"/>
    <n v="4964.8873470152366"/>
    <x v="138"/>
    <x v="51"/>
  </r>
  <r>
    <x v="1"/>
    <x v="6"/>
    <n v="7"/>
    <s v="105339"/>
    <s v="HUY THÀNH"/>
    <x v="112"/>
    <x v="110"/>
    <s v="Khác"/>
    <s v="Khác"/>
    <x v="16"/>
    <s v="NĐ"/>
    <s v="(blank)"/>
    <x v="0"/>
    <n v="0"/>
    <n v="0"/>
    <n v="0"/>
    <n v="-300000"/>
    <n v="0"/>
    <n v="300000"/>
    <m/>
    <m/>
    <m/>
    <m/>
    <m/>
    <m/>
    <m/>
    <m/>
    <m/>
    <m/>
    <m/>
    <n v="11.543763887064468"/>
    <n v="0"/>
    <x v="138"/>
    <x v="112"/>
  </r>
  <r>
    <x v="1"/>
    <x v="6"/>
    <n v="7"/>
    <s v="105349"/>
    <s v="MTVN Plastic"/>
    <x v="87"/>
    <x v="85"/>
    <s v="rHDPE"/>
    <s v="rHDPE thổi"/>
    <x v="0"/>
    <s v="NĐ"/>
    <s v="(blank)"/>
    <x v="0"/>
    <n v="22000"/>
    <n v="346296300"/>
    <n v="0"/>
    <n v="0"/>
    <n v="4000000"/>
    <n v="342296300"/>
    <m/>
    <m/>
    <m/>
    <m/>
    <m/>
    <m/>
    <m/>
    <m/>
    <m/>
    <m/>
    <m/>
    <n v="13171.292222052616"/>
    <n v="13325.209073880143"/>
    <x v="158"/>
    <x v="87"/>
  </r>
  <r>
    <x v="1"/>
    <x v="6"/>
    <n v="7"/>
    <s v="105354"/>
    <s v="UNILEVER - NNG-TN"/>
    <x v="9"/>
    <x v="9"/>
    <s v="rPET"/>
    <s v="rPET"/>
    <x v="3"/>
    <s v="NĐ"/>
    <s v="(blank)"/>
    <x v="0"/>
    <n v="44000"/>
    <n v="1410772000"/>
    <n v="6734463.3087149188"/>
    <n v="0"/>
    <n v="6160000"/>
    <n v="1397877536.6912851"/>
    <m/>
    <m/>
    <m/>
    <m/>
    <m/>
    <m/>
    <m/>
    <m/>
    <m/>
    <m/>
    <m/>
    <n v="53789.227421984979"/>
    <n v="54285.396221605712"/>
    <x v="2"/>
    <x v="9"/>
  </r>
  <r>
    <x v="1"/>
    <x v="6"/>
    <n v="7"/>
    <s v="105355"/>
    <s v="Nhựa Âu Lạc"/>
    <x v="9"/>
    <x v="9"/>
    <s v="rPET"/>
    <s v="rPET"/>
    <x v="3"/>
    <s v="NĐ"/>
    <s v="(blank)"/>
    <x v="0"/>
    <n v="1100"/>
    <n v="36762000"/>
    <n v="168361.58271787295"/>
    <n v="0"/>
    <n v="0"/>
    <n v="36593638.417282127"/>
    <m/>
    <m/>
    <m/>
    <m/>
    <m/>
    <m/>
    <m/>
    <m/>
    <m/>
    <m/>
    <m/>
    <n v="1408.0944055257212"/>
    <n v="1414.5728267208799"/>
    <x v="172"/>
    <x v="9"/>
  </r>
  <r>
    <x v="1"/>
    <x v="6"/>
    <n v="7"/>
    <s v="105356"/>
    <s v="Quang Chí Bảo"/>
    <x v="62"/>
    <x v="60"/>
    <s v="Xơ sợi"/>
    <s v="Xơ sợi"/>
    <x v="7"/>
    <s v="NĐ"/>
    <s v="(blank)"/>
    <x v="0"/>
    <n v="249550"/>
    <n v="4341925000"/>
    <n v="39564971.938700147"/>
    <n v="0"/>
    <n v="0"/>
    <n v="4302360028.0613003"/>
    <m/>
    <m/>
    <m/>
    <m/>
    <m/>
    <m/>
    <m/>
    <m/>
    <m/>
    <m/>
    <m/>
    <n v="165551.42773694568"/>
    <n v="167073.85671780797"/>
    <x v="151"/>
    <x v="62"/>
  </r>
  <r>
    <x v="1"/>
    <x v="6"/>
    <n v="7"/>
    <s v="105358"/>
    <s v="NGŨ KIM TẤN PHÁT"/>
    <x v="90"/>
    <x v="88"/>
    <s v="rPP"/>
    <s v="rPP"/>
    <x v="6"/>
    <s v="NĐ"/>
    <s v="(blank)"/>
    <x v="0"/>
    <n v="100"/>
    <n v="2100000"/>
    <n v="0"/>
    <n v="0"/>
    <n v="0"/>
    <n v="2100000"/>
    <m/>
    <m/>
    <m/>
    <m/>
    <m/>
    <m/>
    <m/>
    <m/>
    <m/>
    <m/>
    <m/>
    <n v="80.806347209451275"/>
    <n v="80.806347209451275"/>
    <x v="182"/>
    <x v="90"/>
  </r>
  <r>
    <x v="1"/>
    <x v="6"/>
    <n v="7"/>
    <s v="105359"/>
    <s v="THẠC HƯƠNG"/>
    <x v="87"/>
    <x v="85"/>
    <s v="rHDPE"/>
    <s v="rHDPE thổi"/>
    <x v="0"/>
    <s v="NĐ"/>
    <s v="(blank)"/>
    <x v="0"/>
    <n v="1375"/>
    <n v="24750000"/>
    <n v="0"/>
    <n v="0"/>
    <n v="0"/>
    <n v="24750000"/>
    <m/>
    <m/>
    <m/>
    <m/>
    <m/>
    <m/>
    <m/>
    <m/>
    <m/>
    <m/>
    <m/>
    <n v="952.36052068281867"/>
    <n v="952.36052068281867"/>
    <x v="183"/>
    <x v="87"/>
  </r>
  <r>
    <x v="1"/>
    <x v="6"/>
    <n v="7"/>
    <s v="105360"/>
    <s v="LỢI TƯỜNG"/>
    <x v="31"/>
    <x v="29"/>
    <s v="rPP"/>
    <s v="rPP"/>
    <x v="6"/>
    <s v="NĐ"/>
    <s v="(blank)"/>
    <x v="0"/>
    <n v="6000"/>
    <n v="97222222"/>
    <n v="1346892.6617429839"/>
    <n v="0"/>
    <n v="0"/>
    <n v="95875329.338257015"/>
    <m/>
    <m/>
    <m/>
    <m/>
    <m/>
    <m/>
    <m/>
    <m/>
    <m/>
    <m/>
    <m/>
    <n v="3689.2072149179462"/>
    <n v="3741.0345844792155"/>
    <x v="184"/>
    <x v="31"/>
  </r>
  <r>
    <x v="1"/>
    <x v="6"/>
    <n v="7"/>
    <s v="105361"/>
    <s v="THÀNH NGHĨA P.E.T"/>
    <x v="120"/>
    <x v="118"/>
    <s v="rPET"/>
    <s v="rPET"/>
    <x v="3"/>
    <s v="NĐ"/>
    <s v="(blank)"/>
    <x v="0"/>
    <n v="30"/>
    <n v="1020000"/>
    <n v="0"/>
    <n v="0"/>
    <n v="0"/>
    <n v="1020000"/>
    <m/>
    <m/>
    <m/>
    <m/>
    <m/>
    <m/>
    <m/>
    <m/>
    <m/>
    <m/>
    <m/>
    <n v="39.248797216019192"/>
    <n v="39.248797216019192"/>
    <x v="185"/>
    <x v="120"/>
  </r>
  <r>
    <x v="1"/>
    <x v="6"/>
    <n v="7"/>
    <s v="1388190100"/>
    <s v="Phải thu khác-T/gian"/>
    <x v="27"/>
    <x v="25"/>
    <s v="Khác"/>
    <s v="Khác"/>
    <x v="2"/>
    <s v="NĐ"/>
    <s v="(blank)"/>
    <x v="0"/>
    <n v="0"/>
    <n v="0"/>
    <n v="0"/>
    <n v="0"/>
    <n v="0"/>
    <n v="0"/>
    <m/>
    <m/>
    <m/>
    <m/>
    <m/>
    <m/>
    <m/>
    <m/>
    <m/>
    <m/>
    <m/>
    <n v="0"/>
    <n v="0"/>
    <x v="98"/>
    <x v="27"/>
  </r>
  <r>
    <x v="1"/>
    <x v="6"/>
    <n v="7"/>
    <s v="200311"/>
    <s v="Plascene, Inc."/>
    <x v="9"/>
    <x v="9"/>
    <s v="rPET"/>
    <s v="rPET"/>
    <x v="3"/>
    <s v="XK"/>
    <s v="United States of America (the)"/>
    <x v="0"/>
    <n v="64900"/>
    <n v="2107930534"/>
    <n v="5150000.671875"/>
    <n v="0"/>
    <n v="31623666"/>
    <n v="2071156867.328125"/>
    <m/>
    <m/>
    <m/>
    <m/>
    <m/>
    <m/>
    <m/>
    <m/>
    <m/>
    <m/>
    <m/>
    <n v="79710.25227817311"/>
    <n v="81125.550019252987"/>
    <x v="13"/>
    <x v="9"/>
  </r>
  <r>
    <x v="1"/>
    <x v="6"/>
    <n v="7"/>
    <s v="200311"/>
    <s v="Plascene, Inc."/>
    <x v="39"/>
    <x v="37"/>
    <s v="Khác"/>
    <s v="Khác"/>
    <x v="8"/>
    <s v="NĐ"/>
    <s v="(blank)"/>
    <x v="0"/>
    <n v="0"/>
    <n v="0"/>
    <n v="0"/>
    <n v="0"/>
    <n v="330000"/>
    <n v="-330000"/>
    <m/>
    <m/>
    <m/>
    <m/>
    <m/>
    <m/>
    <m/>
    <m/>
    <m/>
    <m/>
    <m/>
    <n v="-12.698140275770914"/>
    <n v="0"/>
    <x v="13"/>
    <x v="39"/>
  </r>
  <r>
    <x v="1"/>
    <x v="6"/>
    <n v="7"/>
    <s v="200319"/>
    <s v="Niagara Bottling, LLC"/>
    <x v="9"/>
    <x v="9"/>
    <s v="rPET"/>
    <s v="rPET"/>
    <x v="3"/>
    <s v="XK"/>
    <s v="United Kingdom of Great Britain and Northern Ireland (the)"/>
    <x v="0"/>
    <n v="110000"/>
    <n v="3495254400"/>
    <n v="8250001.6796875"/>
    <n v="52428816"/>
    <n v="44688516"/>
    <n v="3389887066.320312"/>
    <m/>
    <m/>
    <m/>
    <m/>
    <m/>
    <m/>
    <m/>
    <m/>
    <m/>
    <m/>
    <m/>
    <n v="130581.1658829088"/>
    <n v="134640"/>
    <x v="14"/>
    <x v="9"/>
  </r>
  <r>
    <x v="1"/>
    <x v="6"/>
    <n v="7"/>
    <s v="200319"/>
    <s v="Niagara Bottling, LLC"/>
    <x v="9"/>
    <x v="9"/>
    <s v="rPET"/>
    <s v="rPET"/>
    <x v="3"/>
    <s v="XK"/>
    <s v="United States of America (the)"/>
    <x v="0"/>
    <n v="1562000"/>
    <n v="49712588640"/>
    <n v="117150023.8515625"/>
    <n v="745688829.60000002"/>
    <n v="632264903.99999928"/>
    <n v="48217484882.548439"/>
    <m/>
    <m/>
    <m/>
    <m/>
    <m/>
    <m/>
    <m/>
    <m/>
    <m/>
    <m/>
    <m/>
    <n v="1854387.8565820488"/>
    <n v="1911888"/>
    <x v="14"/>
    <x v="9"/>
  </r>
  <r>
    <x v="1"/>
    <x v="6"/>
    <n v="7"/>
    <s v="200319"/>
    <s v="Niagara Bottling, LLC"/>
    <x v="39"/>
    <x v="37"/>
    <s v="Khác"/>
    <s v="Khác"/>
    <x v="8"/>
    <s v="NĐ"/>
    <s v="(blank)"/>
    <x v="0"/>
    <n v="0"/>
    <n v="0"/>
    <n v="0"/>
    <n v="0"/>
    <n v="-33998234.000000007"/>
    <n v="33998234.000000007"/>
    <m/>
    <m/>
    <m/>
    <m/>
    <m/>
    <m/>
    <m/>
    <m/>
    <m/>
    <m/>
    <m/>
    <n v="1308.2252862438918"/>
    <n v="0"/>
    <x v="14"/>
    <x v="39"/>
  </r>
  <r>
    <x v="1"/>
    <x v="6"/>
    <n v="7"/>
    <s v="200319"/>
    <s v="Niagara Bottling, LLC"/>
    <x v="27"/>
    <x v="25"/>
    <s v="Khác"/>
    <s v="Khác"/>
    <x v="2"/>
    <s v="NĐ"/>
    <s v="(blank)"/>
    <x v="0"/>
    <n v="0"/>
    <n v="0"/>
    <n v="0"/>
    <n v="2094.3999996185303"/>
    <n v="0"/>
    <n v="-2094.3999996185303"/>
    <m/>
    <m/>
    <m/>
    <m/>
    <m/>
    <m/>
    <m/>
    <m/>
    <m/>
    <m/>
    <m/>
    <n v="-8.0590863602214083E-2"/>
    <n v="0"/>
    <x v="14"/>
    <x v="27"/>
  </r>
  <r>
    <x v="1"/>
    <x v="6"/>
    <n v="7"/>
    <s v="200330"/>
    <s v="Fega"/>
    <x v="58"/>
    <x v="56"/>
    <s v="rPET"/>
    <s v="rPET"/>
    <x v="3"/>
    <s v="XK"/>
    <s v="Greece"/>
    <x v="0"/>
    <n v="44000"/>
    <n v="1313575999.9999998"/>
    <n v="3300000.671875"/>
    <n v="0"/>
    <n v="22636712"/>
    <n v="1287639287.3281248"/>
    <m/>
    <m/>
    <m/>
    <m/>
    <m/>
    <m/>
    <m/>
    <m/>
    <m/>
    <m/>
    <m/>
    <n v="49600.897046537932"/>
    <n v="50599.999999999993"/>
    <x v="30"/>
    <x v="58"/>
  </r>
  <r>
    <x v="1"/>
    <x v="6"/>
    <n v="7"/>
    <s v="200330"/>
    <s v="Fega"/>
    <x v="39"/>
    <x v="37"/>
    <s v="Khác"/>
    <s v="Khác"/>
    <x v="8"/>
    <s v="NĐ"/>
    <s v="(blank)"/>
    <x v="0"/>
    <n v="0"/>
    <n v="0"/>
    <n v="0"/>
    <n v="0"/>
    <n v="152500"/>
    <n v="-152500"/>
    <m/>
    <m/>
    <m/>
    <m/>
    <m/>
    <m/>
    <m/>
    <m/>
    <m/>
    <m/>
    <m/>
    <n v="-5.868079975924438"/>
    <n v="0"/>
    <x v="30"/>
    <x v="39"/>
  </r>
  <r>
    <x v="1"/>
    <x v="6"/>
    <n v="7"/>
    <s v="200332"/>
    <s v="OUTEIRINHO TURISMO E INDUSTRIA SA"/>
    <x v="33"/>
    <x v="31"/>
    <s v="rPET"/>
    <s v="rPET"/>
    <x v="3"/>
    <s v="XK"/>
    <s v="Portugal"/>
    <x v="0"/>
    <n v="880000"/>
    <n v="28567000000"/>
    <n v="66000013.4375"/>
    <n v="0"/>
    <n v="369747962.9999997"/>
    <n v="28131252023.562485"/>
    <m/>
    <m/>
    <m/>
    <m/>
    <m/>
    <m/>
    <m/>
    <m/>
    <m/>
    <m/>
    <m/>
    <n v="1083221.1077489799"/>
    <n v="1100000"/>
    <x v="44"/>
    <x v="33"/>
  </r>
  <r>
    <x v="1"/>
    <x v="6"/>
    <n v="7"/>
    <s v="200332"/>
    <s v="OUTEIRINHO TURISMO E INDUSTRIA SA"/>
    <x v="39"/>
    <x v="37"/>
    <s v="Khác"/>
    <s v="Khác"/>
    <x v="8"/>
    <s v="NĐ"/>
    <s v="(blank)"/>
    <x v="0"/>
    <n v="0"/>
    <n v="0"/>
    <n v="0"/>
    <n v="0"/>
    <n v="3238010.9999999981"/>
    <n v="-3238010.9999999981"/>
    <m/>
    <m/>
    <m/>
    <m/>
    <m/>
    <m/>
    <m/>
    <m/>
    <m/>
    <m/>
    <m/>
    <n v="-124.59611482572507"/>
    <n v="0"/>
    <x v="44"/>
    <x v="39"/>
  </r>
  <r>
    <x v="1"/>
    <x v="6"/>
    <n v="7"/>
    <s v="200355"/>
    <s v="International Gate SA"/>
    <x v="33"/>
    <x v="31"/>
    <s v="rPET"/>
    <s v="rPET"/>
    <x v="3"/>
    <s v="XK"/>
    <s v="Poland"/>
    <x v="0"/>
    <n v="44000"/>
    <n v="1577505599.9999998"/>
    <n v="4133340.671875"/>
    <n v="0"/>
    <n v="138180622"/>
    <n v="1435191637.3281248"/>
    <m/>
    <m/>
    <m/>
    <m/>
    <m/>
    <m/>
    <m/>
    <m/>
    <m/>
    <m/>
    <m/>
    <n v="55242.172337495176"/>
    <n v="60719.999999999993"/>
    <x v="51"/>
    <x v="33"/>
  </r>
  <r>
    <x v="1"/>
    <x v="6"/>
    <n v="7"/>
    <s v="200355"/>
    <s v="International Gate SA"/>
    <x v="39"/>
    <x v="37"/>
    <s v="Khác"/>
    <s v="Khác"/>
    <x v="8"/>
    <s v="NĐ"/>
    <s v="(blank)"/>
    <x v="0"/>
    <n v="0"/>
    <n v="0"/>
    <n v="0"/>
    <n v="0"/>
    <n v="60085200"/>
    <n v="-60085200"/>
    <m/>
    <m/>
    <m/>
    <m/>
    <m/>
    <m/>
    <m/>
    <m/>
    <m/>
    <m/>
    <m/>
    <n v="-2312.0312063568199"/>
    <n v="0"/>
    <x v="51"/>
    <x v="39"/>
  </r>
  <r>
    <x v="1"/>
    <x v="6"/>
    <n v="7"/>
    <s v="200358"/>
    <s v="REYNERA"/>
    <x v="85"/>
    <x v="83"/>
    <s v="rPP"/>
    <s v="rPP"/>
    <x v="6"/>
    <s v="XK"/>
    <s v="Mexico"/>
    <x v="0"/>
    <n v="12000"/>
    <n v="336700800"/>
    <n v="0"/>
    <n v="0"/>
    <n v="8714437.5"/>
    <n v="327986362.5"/>
    <m/>
    <m/>
    <m/>
    <m/>
    <m/>
    <m/>
    <m/>
    <m/>
    <m/>
    <m/>
    <m/>
    <n v="12624.571304849884"/>
    <n v="12960"/>
    <x v="58"/>
    <x v="85"/>
  </r>
  <r>
    <x v="1"/>
    <x v="6"/>
    <n v="7"/>
    <s v="200358"/>
    <s v="REYNERA"/>
    <x v="86"/>
    <x v="84"/>
    <s v="rPP"/>
    <s v="rPP"/>
    <x v="6"/>
    <s v="XK"/>
    <s v="Mexico"/>
    <x v="0"/>
    <n v="12000"/>
    <n v="336700800"/>
    <n v="0"/>
    <n v="0"/>
    <n v="8714437.5"/>
    <n v="327986362.5"/>
    <m/>
    <m/>
    <m/>
    <m/>
    <m/>
    <m/>
    <m/>
    <m/>
    <m/>
    <m/>
    <m/>
    <n v="12624.571304849884"/>
    <n v="12960"/>
    <x v="58"/>
    <x v="86"/>
  </r>
  <r>
    <x v="1"/>
    <x v="6"/>
    <n v="7"/>
    <s v="200358"/>
    <s v="REYNERA"/>
    <x v="48"/>
    <x v="46"/>
    <s v="Khác"/>
    <s v="Khác"/>
    <x v="12"/>
    <s v="NĐ"/>
    <s v="(blank)"/>
    <x v="0"/>
    <n v="0"/>
    <n v="0"/>
    <n v="0"/>
    <n v="0"/>
    <n v="1250000"/>
    <n v="-1250000"/>
    <m/>
    <m/>
    <m/>
    <m/>
    <m/>
    <m/>
    <m/>
    <m/>
    <m/>
    <m/>
    <m/>
    <n v="-48.09901619610195"/>
    <n v="0"/>
    <x v="58"/>
    <x v="48"/>
  </r>
  <r>
    <x v="1"/>
    <x v="6"/>
    <n v="7"/>
    <s v="200370"/>
    <s v="KORYFES SA"/>
    <x v="39"/>
    <x v="37"/>
    <s v="Khác"/>
    <s v="Khác"/>
    <x v="8"/>
    <s v="NĐ"/>
    <s v="(blank)"/>
    <x v="0"/>
    <n v="0"/>
    <n v="0"/>
    <n v="0"/>
    <n v="0"/>
    <n v="2677686.0000000005"/>
    <n v="-2677686.0000000005"/>
    <m/>
    <m/>
    <m/>
    <m/>
    <m/>
    <m/>
    <m/>
    <m/>
    <m/>
    <m/>
    <m/>
    <n v="-103.03524982566036"/>
    <n v="0"/>
    <x v="131"/>
    <x v="39"/>
  </r>
  <r>
    <x v="1"/>
    <x v="6"/>
    <n v="7"/>
    <s v="200377"/>
    <s v="COLLECTIVE POLYMERS"/>
    <x v="123"/>
    <x v="121"/>
    <s v="rPET"/>
    <s v="rPET"/>
    <x v="3"/>
    <s v="XK"/>
    <s v="Canada"/>
    <x v="0"/>
    <n v="21500"/>
    <n v="675869700"/>
    <n v="1650000.3359375"/>
    <n v="0"/>
    <n v="11910911"/>
    <n v="662308788.6640625"/>
    <m/>
    <m/>
    <m/>
    <m/>
    <m/>
    <m/>
    <m/>
    <m/>
    <m/>
    <m/>
    <m/>
    <n v="25493.024967823807"/>
    <n v="26015"/>
    <x v="147"/>
    <x v="123"/>
  </r>
  <r>
    <x v="1"/>
    <x v="6"/>
    <n v="7"/>
    <s v="200377"/>
    <s v="COLLECTIVE POLYMERS"/>
    <x v="39"/>
    <x v="37"/>
    <s v="Khác"/>
    <s v="Khác"/>
    <x v="8"/>
    <s v="NĐ"/>
    <s v="(blank)"/>
    <x v="0"/>
    <n v="0"/>
    <n v="0"/>
    <n v="0"/>
    <n v="0"/>
    <n v="1030000"/>
    <n v="-1030000"/>
    <m/>
    <m/>
    <m/>
    <m/>
    <m/>
    <m/>
    <m/>
    <m/>
    <m/>
    <m/>
    <m/>
    <n v="-39.633589345588007"/>
    <n v="0"/>
    <x v="147"/>
    <x v="39"/>
  </r>
  <r>
    <x v="1"/>
    <x v="6"/>
    <n v="7"/>
    <s v="200391"/>
    <s v="SHARPAK AYLESHAM LTD"/>
    <x v="39"/>
    <x v="37"/>
    <s v="Khác"/>
    <s v="Khác"/>
    <x v="8"/>
    <s v="NĐ"/>
    <s v="(blank)"/>
    <x v="0"/>
    <n v="0"/>
    <n v="0"/>
    <n v="0"/>
    <n v="5188000"/>
    <n v="0"/>
    <n v="-5188000"/>
    <m/>
    <m/>
    <m/>
    <m/>
    <m/>
    <m/>
    <m/>
    <m/>
    <m/>
    <m/>
    <m/>
    <n v="-199.63015682030152"/>
    <n v="0"/>
    <x v="181"/>
    <x v="39"/>
  </r>
  <r>
    <x v="1"/>
    <x v="6"/>
    <n v="7"/>
    <s v="2421100100"/>
    <s v="Chi phí phân bổ"/>
    <x v="36"/>
    <x v="34"/>
    <s v="Khác"/>
    <s v="Khác"/>
    <x v="2"/>
    <s v="NĐ"/>
    <s v="(blank)"/>
    <x v="0"/>
    <n v="0"/>
    <n v="0"/>
    <n v="0"/>
    <n v="0"/>
    <n v="0"/>
    <n v="0"/>
    <m/>
    <m/>
    <m/>
    <m/>
    <m/>
    <m/>
    <m/>
    <m/>
    <m/>
    <m/>
    <m/>
    <n v="0"/>
    <n v="0"/>
    <x v="64"/>
    <x v="36"/>
  </r>
  <r>
    <x v="1"/>
    <x v="6"/>
    <n v="7"/>
    <s v="2422200100"/>
    <s v="Chi phí trả trước dài hạn cho BP gián tiếp"/>
    <x v="27"/>
    <x v="25"/>
    <s v="Khác"/>
    <s v="Khác"/>
    <x v="2"/>
    <s v="NĐ"/>
    <s v="(blank)"/>
    <x v="0"/>
    <n v="0"/>
    <n v="0"/>
    <n v="0"/>
    <n v="0"/>
    <n v="0"/>
    <n v="0"/>
    <m/>
    <m/>
    <m/>
    <m/>
    <m/>
    <m/>
    <m/>
    <m/>
    <m/>
    <m/>
    <m/>
    <n v="0"/>
    <n v="0"/>
    <x v="112"/>
    <x v="27"/>
  </r>
  <r>
    <x v="1"/>
    <x v="6"/>
    <n v="7"/>
    <s v="300313"/>
    <s v="Công ty TNHH Nhựa Khánh Nga"/>
    <x v="35"/>
    <x v="33"/>
    <s v="Khác"/>
    <s v="Khác"/>
    <x v="2"/>
    <s v="NĐ"/>
    <s v="(blank)"/>
    <x v="0"/>
    <n v="0"/>
    <n v="100500000"/>
    <n v="0"/>
    <n v="0"/>
    <n v="0"/>
    <n v="100500000"/>
    <m/>
    <m/>
    <m/>
    <m/>
    <m/>
    <m/>
    <m/>
    <m/>
    <m/>
    <m/>
    <m/>
    <n v="3867.1609021665968"/>
    <n v="3867.1609021665968"/>
    <x v="18"/>
    <x v="35"/>
  </r>
  <r>
    <x v="1"/>
    <x v="6"/>
    <n v="7"/>
    <s v="3358000400"/>
    <s v="Chí phí phải trả khác- Open item"/>
    <x v="36"/>
    <x v="34"/>
    <s v="Khác"/>
    <s v="Khác"/>
    <x v="2"/>
    <s v="NĐ"/>
    <s v="(blank)"/>
    <x v="0"/>
    <n v="0"/>
    <n v="0"/>
    <n v="0"/>
    <n v="0"/>
    <n v="0"/>
    <n v="0"/>
    <m/>
    <m/>
    <m/>
    <m/>
    <m/>
    <m/>
    <m/>
    <m/>
    <m/>
    <m/>
    <m/>
    <n v="0"/>
    <n v="0"/>
    <x v="19"/>
    <x v="36"/>
  </r>
  <r>
    <x v="1"/>
    <x v="6"/>
    <n v="7"/>
    <s v="3381000100"/>
    <s v="TS thừa chờ g/quyết"/>
    <x v="60"/>
    <x v="58"/>
    <s v="Khác"/>
    <s v="Khác"/>
    <x v="2"/>
    <s v="NĐ"/>
    <s v="(blank)"/>
    <x v="0"/>
    <n v="0"/>
    <n v="0"/>
    <n v="0"/>
    <n v="0"/>
    <n v="0"/>
    <n v="0"/>
    <m/>
    <m/>
    <m/>
    <m/>
    <m/>
    <m/>
    <m/>
    <m/>
    <m/>
    <m/>
    <m/>
    <n v="0"/>
    <n v="0"/>
    <x v="162"/>
    <x v="60"/>
  </r>
  <r>
    <x v="1"/>
    <x v="6"/>
    <n v="7"/>
    <s v="6219000900"/>
    <s v="Kết chuyển CPSX không phân bổ được"/>
    <x v="27"/>
    <x v="25"/>
    <s v="Khác"/>
    <s v="Khác"/>
    <x v="2"/>
    <s v="NĐ"/>
    <s v="(blank)"/>
    <x v="0"/>
    <n v="0"/>
    <n v="0"/>
    <n v="0"/>
    <n v="0"/>
    <n v="0"/>
    <n v="0"/>
    <m/>
    <m/>
    <m/>
    <m/>
    <m/>
    <m/>
    <m/>
    <m/>
    <m/>
    <m/>
    <m/>
    <n v="0"/>
    <n v="0"/>
    <x v="20"/>
    <x v="27"/>
  </r>
  <r>
    <x v="1"/>
    <x v="6"/>
    <n v="7"/>
    <s v="6428007201"/>
    <s v="Chi phí bằng tiền khác"/>
    <x v="27"/>
    <x v="25"/>
    <s v="Khác"/>
    <s v="Khác"/>
    <x v="2"/>
    <s v="NĐ"/>
    <s v="(blank)"/>
    <x v="0"/>
    <n v="0"/>
    <n v="-122770660"/>
    <n v="0"/>
    <n v="0"/>
    <n v="0"/>
    <n v="-122770660"/>
    <m/>
    <m/>
    <m/>
    <m/>
    <m/>
    <m/>
    <m/>
    <m/>
    <m/>
    <m/>
    <m/>
    <n v="-4724.1183709969009"/>
    <n v="-4724.1183709969009"/>
    <x v="150"/>
    <x v="27"/>
  </r>
  <r>
    <x v="1"/>
    <x v="6"/>
    <n v="7"/>
    <s v="BN"/>
    <s v="Bán Ngoài"/>
    <x v="38"/>
    <x v="36"/>
    <s v="Khác"/>
    <s v="Khác"/>
    <x v="2"/>
    <s v="NĐ"/>
    <s v="(blank)"/>
    <x v="0"/>
    <n v="0"/>
    <n v="0"/>
    <n v="12968871.162169933"/>
    <n v="0"/>
    <n v="49438151.444444388"/>
    <n v="-62407022.606614321"/>
    <m/>
    <m/>
    <m/>
    <m/>
    <m/>
    <m/>
    <m/>
    <m/>
    <m/>
    <m/>
    <m/>
    <n v="-2401.373112884834"/>
    <n v="0"/>
    <x v="21"/>
    <x v="38"/>
  </r>
  <r>
    <x v="1"/>
    <x v="6"/>
    <n v="7"/>
    <s v="BN"/>
    <s v="Bán Ngoài"/>
    <x v="39"/>
    <x v="37"/>
    <s v="Khác"/>
    <s v="Khác"/>
    <x v="8"/>
    <s v="NĐ"/>
    <s v="(blank)"/>
    <x v="0"/>
    <n v="0"/>
    <n v="0"/>
    <n v="0"/>
    <n v="0"/>
    <n v="2650000"/>
    <n v="-2650000"/>
    <m/>
    <m/>
    <m/>
    <m/>
    <m/>
    <m/>
    <m/>
    <m/>
    <m/>
    <m/>
    <m/>
    <n v="-101.96991433573614"/>
    <n v="0"/>
    <x v="21"/>
    <x v="39"/>
  </r>
  <r>
    <x v="1"/>
    <x v="6"/>
    <n v="7"/>
    <s v="BN"/>
    <s v="Bán Ngoài"/>
    <x v="60"/>
    <x v="58"/>
    <s v="Khác"/>
    <s v="Khác"/>
    <x v="2"/>
    <s v="NĐ"/>
    <s v="(blank)"/>
    <x v="0"/>
    <n v="0"/>
    <n v="0"/>
    <n v="0"/>
    <n v="0"/>
    <n v="0"/>
    <n v="0"/>
    <m/>
    <m/>
    <m/>
    <m/>
    <m/>
    <m/>
    <m/>
    <m/>
    <m/>
    <m/>
    <m/>
    <n v="0"/>
    <n v="0"/>
    <x v="21"/>
    <x v="60"/>
  </r>
  <r>
    <x v="1"/>
    <x v="6"/>
    <n v="7"/>
    <s v="BN"/>
    <s v="Bán Ngoài"/>
    <x v="41"/>
    <x v="39"/>
    <s v="Khác"/>
    <s v="Khác"/>
    <x v="2"/>
    <s v="NĐ"/>
    <s v="(blank)"/>
    <x v="0"/>
    <n v="0"/>
    <n v="0"/>
    <n v="0"/>
    <n v="0"/>
    <n v="0"/>
    <n v="0"/>
    <m/>
    <m/>
    <m/>
    <m/>
    <m/>
    <m/>
    <m/>
    <m/>
    <m/>
    <m/>
    <m/>
    <n v="0"/>
    <n v="0"/>
    <x v="21"/>
    <x v="41"/>
  </r>
  <r>
    <x v="1"/>
    <x v="7"/>
    <n v="8"/>
    <s v="1000"/>
    <s v="CPSX Nhựa Duy Tân"/>
    <x v="9"/>
    <x v="9"/>
    <s v="rPET"/>
    <s v="rPET"/>
    <x v="3"/>
    <s v="NĐ"/>
    <s v="(blank)"/>
    <x v="0"/>
    <n v="5500"/>
    <n v="179712500"/>
    <n v="828780.29757785471"/>
    <n v="0"/>
    <n v="0"/>
    <n v="178883719.70242214"/>
    <m/>
    <m/>
    <m/>
    <m/>
    <m/>
    <m/>
    <m/>
    <m/>
    <m/>
    <m/>
    <m/>
    <n v="6845.1365395521116"/>
    <n v="6876.8505172558871"/>
    <x v="0"/>
    <x v="9"/>
  </r>
  <r>
    <x v="1"/>
    <x v="7"/>
    <n v="8"/>
    <s v="1000"/>
    <s v="CPSX Nhựa Duy Tân"/>
    <x v="2"/>
    <x v="2"/>
    <s v="rHDPE"/>
    <s v="rHDPE ép"/>
    <x v="1"/>
    <s v="NĐ"/>
    <s v="(blank)"/>
    <x v="0"/>
    <n v="16500"/>
    <n v="330000000"/>
    <n v="0"/>
    <n v="0"/>
    <n v="0"/>
    <n v="330000000"/>
    <m/>
    <m/>
    <m/>
    <m/>
    <m/>
    <m/>
    <m/>
    <m/>
    <m/>
    <m/>
    <m/>
    <n v="12627.728570324507"/>
    <n v="12627.728570324507"/>
    <x v="0"/>
    <x v="2"/>
  </r>
  <r>
    <x v="1"/>
    <x v="7"/>
    <n v="8"/>
    <s v="1000"/>
    <s v="CPSX Nhựa Duy Tân"/>
    <x v="3"/>
    <x v="3"/>
    <s v="rHDPE"/>
    <s v="rHDPE ép"/>
    <x v="1"/>
    <s v="NĐ"/>
    <s v="(blank)"/>
    <x v="0"/>
    <n v="5500"/>
    <n v="110000000"/>
    <n v="0"/>
    <n v="0"/>
    <n v="0"/>
    <n v="110000000"/>
    <m/>
    <m/>
    <m/>
    <m/>
    <m/>
    <m/>
    <m/>
    <m/>
    <m/>
    <m/>
    <m/>
    <n v="4209.2428567748357"/>
    <n v="4209.2428567748357"/>
    <x v="0"/>
    <x v="3"/>
  </r>
  <r>
    <x v="1"/>
    <x v="7"/>
    <n v="8"/>
    <s v="1003"/>
    <s v="KHUÔN CHÍNH XÁC MINH ĐẠT"/>
    <x v="27"/>
    <x v="25"/>
    <s v="Khác"/>
    <s v="Khác"/>
    <x v="2"/>
    <s v="NĐ"/>
    <s v="(blank)"/>
    <x v="0"/>
    <n v="0"/>
    <n v="0"/>
    <n v="0"/>
    <n v="0"/>
    <n v="0"/>
    <n v="0"/>
    <m/>
    <m/>
    <m/>
    <m/>
    <m/>
    <m/>
    <m/>
    <m/>
    <m/>
    <m/>
    <m/>
    <n v="0"/>
    <n v="0"/>
    <x v="186"/>
    <x v="27"/>
  </r>
  <r>
    <x v="1"/>
    <x v="7"/>
    <n v="8"/>
    <s v="101290"/>
    <s v="Cty Thạnh Phát"/>
    <x v="7"/>
    <x v="7"/>
    <s v="Khác"/>
    <s v="Khác"/>
    <x v="2"/>
    <s v="NĐ"/>
    <s v="(blank)"/>
    <x v="0"/>
    <n v="0"/>
    <n v="0"/>
    <n v="0"/>
    <n v="0"/>
    <n v="0"/>
    <n v="0"/>
    <m/>
    <m/>
    <m/>
    <m/>
    <m/>
    <m/>
    <m/>
    <m/>
    <m/>
    <m/>
    <m/>
    <n v="0"/>
    <n v="0"/>
    <x v="1"/>
    <x v="7"/>
  </r>
  <r>
    <x v="1"/>
    <x v="7"/>
    <n v="8"/>
    <s v="104877"/>
    <s v="Công ty trách nhiệm hữu hạn Uy Kiệt"/>
    <x v="39"/>
    <x v="37"/>
    <s v="Khác"/>
    <s v="Khác"/>
    <x v="8"/>
    <s v="NĐ"/>
    <s v="(blank)"/>
    <x v="0"/>
    <n v="0"/>
    <n v="0"/>
    <n v="0"/>
    <n v="0"/>
    <n v="33880000"/>
    <n v="-33880000"/>
    <m/>
    <m/>
    <m/>
    <m/>
    <m/>
    <m/>
    <m/>
    <m/>
    <m/>
    <m/>
    <m/>
    <n v="-1296.4467998866492"/>
    <n v="0"/>
    <x v="52"/>
    <x v="39"/>
  </r>
  <r>
    <x v="1"/>
    <x v="7"/>
    <n v="8"/>
    <s v="104894"/>
    <s v="UNILEVER-NGỌC NGHĨA"/>
    <x v="9"/>
    <x v="9"/>
    <s v="rPET"/>
    <s v="rPET"/>
    <x v="3"/>
    <s v="NĐ"/>
    <s v="(blank)"/>
    <x v="0"/>
    <n v="330000"/>
    <n v="10970850000"/>
    <n v="49726817.85467127"/>
    <n v="0"/>
    <n v="46200000"/>
    <n v="10874923182.145329"/>
    <m/>
    <m/>
    <m/>
    <m/>
    <m/>
    <m/>
    <m/>
    <m/>
    <m/>
    <m/>
    <m/>
    <n v="416138.11565836635"/>
    <n v="419808.83632043807"/>
    <x v="2"/>
    <x v="9"/>
  </r>
  <r>
    <x v="1"/>
    <x v="7"/>
    <n v="8"/>
    <s v="104894"/>
    <s v="UNILEVER-NGỌC NGHĨA"/>
    <x v="39"/>
    <x v="37"/>
    <s v="Khác"/>
    <s v="Khác"/>
    <x v="8"/>
    <s v="NĐ"/>
    <s v="(blank)"/>
    <x v="0"/>
    <n v="0"/>
    <n v="0"/>
    <n v="0"/>
    <n v="0"/>
    <n v="-9240000"/>
    <n v="9240000"/>
    <m/>
    <m/>
    <m/>
    <m/>
    <m/>
    <m/>
    <m/>
    <m/>
    <m/>
    <m/>
    <m/>
    <n v="353.57639996908614"/>
    <n v="0"/>
    <x v="2"/>
    <x v="39"/>
  </r>
  <r>
    <x v="1"/>
    <x v="7"/>
    <n v="8"/>
    <s v="104909"/>
    <s v="Công ty TNHH La Vie"/>
    <x v="10"/>
    <x v="10"/>
    <s v="rPET"/>
    <s v="rPET"/>
    <x v="3"/>
    <s v="NĐ"/>
    <s v="(blank)"/>
    <x v="1"/>
    <n v="-37400"/>
    <n v="0"/>
    <n v="-2635426.3266787659"/>
    <n v="0"/>
    <n v="30648148"/>
    <n v="-28012721.673321232"/>
    <m/>
    <m/>
    <m/>
    <m/>
    <m/>
    <m/>
    <m/>
    <m/>
    <m/>
    <m/>
    <m/>
    <n v="-1071.9304418386273"/>
    <n v="0"/>
    <x v="4"/>
    <x v="10"/>
  </r>
  <r>
    <x v="1"/>
    <x v="7"/>
    <n v="8"/>
    <s v="104909"/>
    <s v="Công ty TNHH La Vie"/>
    <x v="10"/>
    <x v="10"/>
    <s v="rPET"/>
    <s v="rPET"/>
    <x v="3"/>
    <s v="NĐ"/>
    <s v="(blank)"/>
    <x v="2"/>
    <n v="37400"/>
    <n v="0"/>
    <n v="3200250.8670817013"/>
    <n v="0"/>
    <n v="25555556"/>
    <n v="-28755806.867081702"/>
    <m/>
    <m/>
    <m/>
    <m/>
    <m/>
    <m/>
    <m/>
    <m/>
    <m/>
    <m/>
    <m/>
    <n v="-1100.3652240550946"/>
    <n v="0"/>
    <x v="4"/>
    <x v="10"/>
  </r>
  <r>
    <x v="1"/>
    <x v="7"/>
    <n v="8"/>
    <s v="104909"/>
    <s v="Công ty TNHH La Vie"/>
    <x v="124"/>
    <x v="122"/>
    <s v="rPET"/>
    <s v="rPET"/>
    <x v="3"/>
    <s v="NĐ"/>
    <s v="(blank)"/>
    <x v="1"/>
    <n v="-9900"/>
    <n v="0"/>
    <n v="-1491804.5356401384"/>
    <n v="0"/>
    <n v="0"/>
    <n v="1491804.5356401384"/>
    <m/>
    <m/>
    <m/>
    <m/>
    <m/>
    <m/>
    <m/>
    <m/>
    <m/>
    <m/>
    <m/>
    <n v="57.085159866795934"/>
    <n v="0"/>
    <x v="4"/>
    <x v="124"/>
  </r>
  <r>
    <x v="1"/>
    <x v="7"/>
    <n v="8"/>
    <s v="104909"/>
    <s v="Công ty TNHH La Vie"/>
    <x v="124"/>
    <x v="122"/>
    <s v="rPET"/>
    <s v="rPET"/>
    <x v="3"/>
    <s v="NĐ"/>
    <s v="(blank)"/>
    <x v="0"/>
    <n v="206800"/>
    <n v="7594992635.999999"/>
    <n v="23826533.722791836"/>
    <n v="0"/>
    <n v="0"/>
    <n v="7571166102.2772074"/>
    <m/>
    <m/>
    <m/>
    <m/>
    <m/>
    <m/>
    <m/>
    <m/>
    <m/>
    <m/>
    <m/>
    <n v="289717.06212241913"/>
    <n v="290628.80454854976"/>
    <x v="4"/>
    <x v="124"/>
  </r>
  <r>
    <x v="1"/>
    <x v="7"/>
    <n v="8"/>
    <s v="104909"/>
    <s v="Công ty TNHH La Vie"/>
    <x v="124"/>
    <x v="122"/>
    <s v="rPET"/>
    <s v="rPET"/>
    <x v="3"/>
    <s v="NĐ"/>
    <s v="(blank)"/>
    <x v="3"/>
    <n v="-22000"/>
    <n v="-807977939.99999988"/>
    <n v="-3315121.1903114188"/>
    <n v="0"/>
    <n v="0"/>
    <n v="-804662818.80968845"/>
    <m/>
    <m/>
    <m/>
    <m/>
    <m/>
    <m/>
    <m/>
    <m/>
    <m/>
    <m/>
    <m/>
    <n v="-30791.10201988168"/>
    <n v="-30917.957930696783"/>
    <x v="4"/>
    <x v="124"/>
  </r>
  <r>
    <x v="1"/>
    <x v="7"/>
    <n v="8"/>
    <s v="104909"/>
    <s v="Công ty TNHH La Vie"/>
    <x v="124"/>
    <x v="122"/>
    <s v="rPET"/>
    <s v="rPET"/>
    <x v="3"/>
    <s v="NĐ"/>
    <s v="(blank)"/>
    <x v="2"/>
    <n v="9900"/>
    <n v="0"/>
    <n v="1491804.5356401384"/>
    <n v="0"/>
    <n v="0"/>
    <n v="-1491804.5356401384"/>
    <m/>
    <m/>
    <m/>
    <m/>
    <m/>
    <m/>
    <m/>
    <m/>
    <m/>
    <m/>
    <m/>
    <n v="-57.085159866795934"/>
    <n v="0"/>
    <x v="4"/>
    <x v="124"/>
  </r>
  <r>
    <x v="1"/>
    <x v="7"/>
    <n v="8"/>
    <s v="105194"/>
    <s v="Suntory Việt Nam"/>
    <x v="8"/>
    <x v="8"/>
    <s v="rPET"/>
    <s v="rPET"/>
    <x v="3"/>
    <s v="NĐ"/>
    <s v="(blank)"/>
    <x v="0"/>
    <n v="616000"/>
    <n v="22795080000"/>
    <n v="86503993.54627949"/>
    <n v="0"/>
    <n v="786000000"/>
    <n v="21587091934.453716"/>
    <m/>
    <m/>
    <m/>
    <m/>
    <m/>
    <m/>
    <m/>
    <m/>
    <m/>
    <m/>
    <m/>
    <n v="826048.29566946335"/>
    <n v="872272.9787237359"/>
    <x v="7"/>
    <x v="8"/>
  </r>
  <r>
    <x v="1"/>
    <x v="7"/>
    <n v="8"/>
    <s v="105194"/>
    <s v="Suntory Việt Nam"/>
    <x v="27"/>
    <x v="25"/>
    <s v="Khác"/>
    <s v="Khác"/>
    <x v="2"/>
    <s v="NĐ"/>
    <s v="(blank)"/>
    <x v="0"/>
    <n v="0"/>
    <n v="0"/>
    <n v="0"/>
    <n v="0"/>
    <n v="0"/>
    <n v="9651396"/>
    <m/>
    <m/>
    <m/>
    <m/>
    <m/>
    <m/>
    <m/>
    <m/>
    <m/>
    <m/>
    <m/>
    <n v="369.31881519004742"/>
    <n v="0"/>
    <x v="7"/>
    <x v="27"/>
  </r>
  <r>
    <x v="1"/>
    <x v="7"/>
    <n v="8"/>
    <s v="105207"/>
    <s v="Suntory Sri Thái Bình Dương"/>
    <x v="8"/>
    <x v="8"/>
    <s v="rPET"/>
    <s v="rPET"/>
    <x v="3"/>
    <s v="NĐ"/>
    <s v="(blank)"/>
    <x v="1"/>
    <n v="-56597"/>
    <n v="0"/>
    <n v="-8453559.0352941174"/>
    <n v="0"/>
    <n v="7315680"/>
    <n v="1137879.0352941176"/>
    <m/>
    <m/>
    <m/>
    <m/>
    <m/>
    <m/>
    <m/>
    <m/>
    <m/>
    <m/>
    <m/>
    <n v="43.54190182896005"/>
    <n v="0"/>
    <x v="7"/>
    <x v="8"/>
  </r>
  <r>
    <x v="1"/>
    <x v="7"/>
    <n v="8"/>
    <s v="105207"/>
    <s v="Suntory Sri Thái Bình Dương"/>
    <x v="8"/>
    <x v="8"/>
    <s v="rPET"/>
    <s v="rPET"/>
    <x v="3"/>
    <s v="NĐ"/>
    <s v="(blank)"/>
    <x v="0"/>
    <n v="43293"/>
    <n v="1583263973"/>
    <n v="6630242.3806228377"/>
    <n v="0"/>
    <n v="9152000"/>
    <n v="1543903626.6193771"/>
    <m/>
    <m/>
    <m/>
    <m/>
    <m/>
    <m/>
    <m/>
    <m/>
    <m/>
    <m/>
    <m/>
    <n v="59078.775562694325"/>
    <n v="60584.932443083599"/>
    <x v="7"/>
    <x v="8"/>
  </r>
  <r>
    <x v="1"/>
    <x v="7"/>
    <n v="8"/>
    <s v="105207"/>
    <s v="Suntory Sri Thái Bình Dương"/>
    <x v="8"/>
    <x v="8"/>
    <s v="rPET"/>
    <s v="rPET"/>
    <x v="3"/>
    <s v="NĐ"/>
    <s v="(blank)"/>
    <x v="2"/>
    <n v="56597"/>
    <n v="0"/>
    <n v="8453559.0352941174"/>
    <n v="0"/>
    <n v="8942400"/>
    <n v="-17395959.035294116"/>
    <m/>
    <m/>
    <m/>
    <m/>
    <m/>
    <m/>
    <m/>
    <m/>
    <m/>
    <m/>
    <m/>
    <n v="-665.67105732781283"/>
    <n v="0"/>
    <x v="7"/>
    <x v="8"/>
  </r>
  <r>
    <x v="1"/>
    <x v="7"/>
    <n v="8"/>
    <s v="105207"/>
    <s v="Suntory Sri Thái Bình Dương"/>
    <x v="27"/>
    <x v="25"/>
    <s v="Khác"/>
    <s v="Khác"/>
    <x v="2"/>
    <s v="NĐ"/>
    <s v="(blank)"/>
    <x v="0"/>
    <n v="0"/>
    <n v="3976875"/>
    <n v="0"/>
    <n v="0"/>
    <n v="0"/>
    <n v="3976875"/>
    <m/>
    <m/>
    <m/>
    <m/>
    <m/>
    <m/>
    <m/>
    <m/>
    <m/>
    <m/>
    <m/>
    <n v="152.17847896396748"/>
    <n v="152.17847896396748"/>
    <x v="7"/>
    <x v="27"/>
  </r>
  <r>
    <x v="1"/>
    <x v="7"/>
    <n v="8"/>
    <s v="105214"/>
    <s v="Người mua hàng không lấy hóa đơn"/>
    <x v="27"/>
    <x v="25"/>
    <s v="Khác"/>
    <s v="Khác"/>
    <x v="2"/>
    <s v="NĐ"/>
    <s v="(blank)"/>
    <x v="0"/>
    <n v="0"/>
    <n v="161244809"/>
    <n v="0"/>
    <n v="0"/>
    <n v="0"/>
    <n v="161244809"/>
    <m/>
    <m/>
    <m/>
    <m/>
    <m/>
    <m/>
    <m/>
    <m/>
    <m/>
    <m/>
    <m/>
    <n v="6170.1687315933877"/>
    <n v="6170.1687315933877"/>
    <x v="9"/>
    <x v="27"/>
  </r>
  <r>
    <x v="1"/>
    <x v="7"/>
    <n v="8"/>
    <s v="105223"/>
    <s v="Dynaplast Bắc Ninh"/>
    <x v="1"/>
    <x v="1"/>
    <s v="rHDPE"/>
    <s v="rHDPE thổi"/>
    <x v="0"/>
    <s v="NĐ"/>
    <s v="(blank)"/>
    <x v="0"/>
    <n v="35750"/>
    <n v="1315883250"/>
    <n v="0"/>
    <n v="0"/>
    <n v="31203704"/>
    <n v="1284679546"/>
    <m/>
    <m/>
    <m/>
    <m/>
    <m/>
    <m/>
    <m/>
    <m/>
    <m/>
    <m/>
    <m/>
    <n v="49159.347293138533"/>
    <n v="50353.383367383227"/>
    <x v="2"/>
    <x v="1"/>
  </r>
  <r>
    <x v="1"/>
    <x v="7"/>
    <n v="8"/>
    <s v="105223"/>
    <s v="Dynaplast Bắc Ninh"/>
    <x v="1"/>
    <x v="1"/>
    <s v="rHDPE"/>
    <s v="rHDPE thổi"/>
    <x v="0"/>
    <s v="NĐ"/>
    <s v="(blank)"/>
    <x v="3"/>
    <n v="-25"/>
    <n v="-916275"/>
    <n v="0"/>
    <n v="0"/>
    <n v="0"/>
    <n v="-916275"/>
    <m/>
    <m/>
    <m/>
    <m/>
    <m/>
    <m/>
    <m/>
    <m/>
    <m/>
    <m/>
    <m/>
    <n v="-35.062036350830567"/>
    <n v="-35.062036350830567"/>
    <x v="2"/>
    <x v="1"/>
  </r>
  <r>
    <x v="1"/>
    <x v="7"/>
    <n v="8"/>
    <s v="105223"/>
    <s v="Dynaplast Bắc Ninh"/>
    <x v="59"/>
    <x v="57"/>
    <s v="Khác"/>
    <s v="Khác"/>
    <x v="13"/>
    <s v="NĐ"/>
    <s v="(blank)"/>
    <x v="0"/>
    <n v="0"/>
    <n v="0"/>
    <n v="0"/>
    <n v="0"/>
    <n v="-17685185"/>
    <n v="17685185"/>
    <m/>
    <m/>
    <m/>
    <m/>
    <m/>
    <m/>
    <m/>
    <m/>
    <m/>
    <m/>
    <m/>
    <n v="676.73853301810425"/>
    <n v="0"/>
    <x v="2"/>
    <x v="59"/>
  </r>
  <r>
    <x v="1"/>
    <x v="7"/>
    <n v="8"/>
    <s v="105229"/>
    <s v="GIA TƯỜNG"/>
    <x v="44"/>
    <x v="42"/>
    <s v="GC"/>
    <s v="GC"/>
    <x v="10"/>
    <s v="NĐ"/>
    <s v="(blank)"/>
    <x v="0"/>
    <n v="80000"/>
    <n v="1456000000"/>
    <n v="0"/>
    <n v="105600000"/>
    <n v="0"/>
    <n v="1350400000"/>
    <m/>
    <m/>
    <m/>
    <m/>
    <m/>
    <m/>
    <m/>
    <m/>
    <m/>
    <m/>
    <m/>
    <n v="51674.195943533981"/>
    <n v="55715.069086037824"/>
    <x v="24"/>
    <x v="44"/>
  </r>
  <r>
    <x v="1"/>
    <x v="7"/>
    <n v="8"/>
    <s v="105247"/>
    <s v="MINH THÀNH"/>
    <x v="29"/>
    <x v="27"/>
    <s v="Khác"/>
    <s v="Phó sản"/>
    <x v="5"/>
    <s v="NĐ"/>
    <s v="(blank)"/>
    <x v="0"/>
    <n v="11006"/>
    <n v="214617000"/>
    <n v="0"/>
    <n v="0"/>
    <n v="0"/>
    <n v="214617000"/>
    <m/>
    <m/>
    <m/>
    <m/>
    <m/>
    <m/>
    <m/>
    <m/>
    <m/>
    <m/>
    <m/>
    <n v="8212.5006744767707"/>
    <n v="8212.5006744767707"/>
    <x v="10"/>
    <x v="29"/>
  </r>
  <r>
    <x v="1"/>
    <x v="7"/>
    <n v="8"/>
    <s v="105247"/>
    <s v="MINH THÀNH"/>
    <x v="106"/>
    <x v="104"/>
    <s v="Khác"/>
    <s v="Phó sản"/>
    <x v="5"/>
    <s v="NĐ"/>
    <s v="(blank)"/>
    <x v="0"/>
    <n v="1772"/>
    <n v="33668000"/>
    <n v="0"/>
    <n v="0"/>
    <n v="0"/>
    <n v="33668000"/>
    <m/>
    <m/>
    <m/>
    <m/>
    <m/>
    <m/>
    <m/>
    <m/>
    <m/>
    <m/>
    <m/>
    <n v="1288.3344409263195"/>
    <n v="1288.3344409263195"/>
    <x v="10"/>
    <x v="106"/>
  </r>
  <r>
    <x v="1"/>
    <x v="7"/>
    <n v="8"/>
    <s v="105248"/>
    <s v="ĐẠI NHẤT LONG"/>
    <x v="109"/>
    <x v="107"/>
    <s v="rPP"/>
    <s v="rPP"/>
    <x v="6"/>
    <s v="NĐ"/>
    <s v="(blank)"/>
    <x v="0"/>
    <n v="16500"/>
    <n v="320833332"/>
    <n v="0"/>
    <n v="0"/>
    <n v="0"/>
    <n v="320833332"/>
    <m/>
    <m/>
    <m/>
    <m/>
    <m/>
    <m/>
    <m/>
    <m/>
    <m/>
    <m/>
    <m/>
    <n v="12276.958281238811"/>
    <n v="12276.958281238811"/>
    <x v="27"/>
    <x v="109"/>
  </r>
  <r>
    <x v="1"/>
    <x v="7"/>
    <n v="8"/>
    <s v="105263"/>
    <s v="Unilever Duy Tân"/>
    <x v="1"/>
    <x v="1"/>
    <s v="rHDPE"/>
    <s v="rHDPE thổi"/>
    <x v="0"/>
    <s v="NĐ"/>
    <s v="(blank)"/>
    <x v="0"/>
    <n v="77000"/>
    <n v="2759890980"/>
    <n v="0"/>
    <n v="0"/>
    <n v="0"/>
    <n v="2759890980"/>
    <m/>
    <m/>
    <m/>
    <m/>
    <m/>
    <m/>
    <m/>
    <m/>
    <m/>
    <m/>
    <m/>
    <n v="105609.55811856636"/>
    <n v="105609.55811856636"/>
    <x v="2"/>
    <x v="1"/>
  </r>
  <r>
    <x v="1"/>
    <x v="7"/>
    <n v="8"/>
    <s v="105263"/>
    <s v="Unilever Duy Tân"/>
    <x v="9"/>
    <x v="9"/>
    <s v="rPET"/>
    <s v="rPET"/>
    <x v="3"/>
    <s v="NĐ"/>
    <s v="(blank)"/>
    <x v="0"/>
    <n v="16500"/>
    <n v="535537420"/>
    <n v="2486340.8927335641"/>
    <n v="0"/>
    <n v="0"/>
    <n v="533051079.10726643"/>
    <m/>
    <m/>
    <m/>
    <m/>
    <m/>
    <m/>
    <m/>
    <m/>
    <m/>
    <m/>
    <m/>
    <n v="20397.649518439808"/>
    <n v="20492.791451551137"/>
    <x v="2"/>
    <x v="9"/>
  </r>
  <r>
    <x v="1"/>
    <x v="7"/>
    <n v="8"/>
    <s v="105263"/>
    <s v="Unilever Duy Tân"/>
    <x v="50"/>
    <x v="48"/>
    <s v="rHDPE"/>
    <s v="rHDPE thổi"/>
    <x v="0"/>
    <s v="NĐ"/>
    <s v="(blank)"/>
    <x v="0"/>
    <n v="44000"/>
    <n v="1497083719"/>
    <n v="0"/>
    <n v="0"/>
    <n v="0"/>
    <n v="1497083719"/>
    <m/>
    <m/>
    <m/>
    <m/>
    <m/>
    <m/>
    <m/>
    <m/>
    <m/>
    <m/>
    <m/>
    <n v="57287.172274496857"/>
    <n v="57287.172274496857"/>
    <x v="2"/>
    <x v="50"/>
  </r>
  <r>
    <x v="1"/>
    <x v="7"/>
    <n v="8"/>
    <s v="105263"/>
    <s v="Unilever Duy Tân"/>
    <x v="83"/>
    <x v="81"/>
    <s v="rHDPE"/>
    <s v="rHDPE thổi"/>
    <x v="0"/>
    <s v="NĐ"/>
    <s v="(blank)"/>
    <x v="0"/>
    <n v="22000"/>
    <n v="788540280"/>
    <n v="0"/>
    <n v="0"/>
    <n v="0"/>
    <n v="788540280"/>
    <m/>
    <m/>
    <m/>
    <m/>
    <m/>
    <m/>
    <m/>
    <m/>
    <m/>
    <m/>
    <m/>
    <n v="30174.159462447533"/>
    <n v="30174.159462447533"/>
    <x v="2"/>
    <x v="83"/>
  </r>
  <r>
    <x v="1"/>
    <x v="7"/>
    <n v="8"/>
    <s v="105271"/>
    <s v="Suntory- Ngọc Nghĩa Tây Ninh"/>
    <x v="8"/>
    <x v="8"/>
    <s v="rPET"/>
    <s v="rPET"/>
    <x v="3"/>
    <s v="NĐ"/>
    <s v="(blank)"/>
    <x v="1"/>
    <n v="-20900"/>
    <n v="0"/>
    <n v="-3149365.1307958481"/>
    <n v="0"/>
    <n v="1463000.0000000002"/>
    <n v="1686365.1307958479"/>
    <m/>
    <m/>
    <m/>
    <m/>
    <m/>
    <m/>
    <m/>
    <m/>
    <m/>
    <m/>
    <m/>
    <n v="64.530185279241664"/>
    <n v="0"/>
    <x v="7"/>
    <x v="8"/>
  </r>
  <r>
    <x v="1"/>
    <x v="7"/>
    <n v="8"/>
    <s v="105271"/>
    <s v="Suntory- Ngọc Nghĩa Tây Ninh"/>
    <x v="8"/>
    <x v="8"/>
    <s v="rPET"/>
    <s v="rPET"/>
    <x v="3"/>
    <s v="NĐ"/>
    <s v="(blank)"/>
    <x v="0"/>
    <n v="44000"/>
    <n v="1609080000"/>
    <n v="6630242.3806228377"/>
    <n v="0"/>
    <n v="6160000"/>
    <n v="1572326609.6193771"/>
    <m/>
    <m/>
    <m/>
    <m/>
    <m/>
    <m/>
    <m/>
    <m/>
    <m/>
    <m/>
    <m/>
    <n v="60166.405000521438"/>
    <n v="61572.804508902293"/>
    <x v="7"/>
    <x v="8"/>
  </r>
  <r>
    <x v="1"/>
    <x v="7"/>
    <n v="8"/>
    <s v="105271"/>
    <s v="Suntory- Ngọc Nghĩa Tây Ninh"/>
    <x v="8"/>
    <x v="8"/>
    <s v="rPET"/>
    <s v="rPET"/>
    <x v="3"/>
    <s v="NĐ"/>
    <s v="(blank)"/>
    <x v="2"/>
    <n v="20900"/>
    <n v="0"/>
    <n v="3149365.1307958476"/>
    <n v="0"/>
    <n v="6160000"/>
    <n v="-9309365.1307958476"/>
    <m/>
    <m/>
    <m/>
    <m/>
    <m/>
    <m/>
    <m/>
    <m/>
    <m/>
    <m/>
    <m/>
    <n v="-356.23071525373774"/>
    <n v="0"/>
    <x v="7"/>
    <x v="8"/>
  </r>
  <r>
    <x v="1"/>
    <x v="7"/>
    <n v="8"/>
    <s v="105284"/>
    <s v="Motul -DTP"/>
    <x v="63"/>
    <x v="61"/>
    <s v="rHDPE"/>
    <s v="rHDPE thổi"/>
    <x v="0"/>
    <s v="NĐ"/>
    <s v="(blank)"/>
    <x v="0"/>
    <n v="33000"/>
    <n v="1083637500"/>
    <n v="0"/>
    <n v="0"/>
    <n v="0"/>
    <n v="1083637500"/>
    <m/>
    <m/>
    <m/>
    <m/>
    <m/>
    <m/>
    <m/>
    <m/>
    <m/>
    <m/>
    <m/>
    <n v="41466.3036928031"/>
    <n v="41466.3036928031"/>
    <x v="59"/>
    <x v="63"/>
  </r>
  <r>
    <x v="1"/>
    <x v="7"/>
    <n v="8"/>
    <s v="105286"/>
    <s v="MONDELEZ-VIỆT THÀNH"/>
    <x v="33"/>
    <x v="31"/>
    <s v="rPET"/>
    <s v="rPET"/>
    <x v="3"/>
    <s v="NĐ"/>
    <s v="(blank)"/>
    <x v="0"/>
    <n v="11000"/>
    <n v="375426150"/>
    <n v="1657560.5951557094"/>
    <n v="0"/>
    <n v="3200000.0000000005"/>
    <n v="370568589.40484428"/>
    <m/>
    <m/>
    <m/>
    <m/>
    <m/>
    <m/>
    <m/>
    <m/>
    <m/>
    <m/>
    <m/>
    <n v="14180.119889976979"/>
    <n v="14365.998546672527"/>
    <x v="88"/>
    <x v="33"/>
  </r>
  <r>
    <x v="1"/>
    <x v="7"/>
    <n v="8"/>
    <s v="105286"/>
    <s v="MONDELEZ-VIỆT THÀNH"/>
    <x v="39"/>
    <x v="37"/>
    <s v="Khác"/>
    <s v="Khác"/>
    <x v="8"/>
    <s v="NĐ"/>
    <s v="(blank)"/>
    <x v="0"/>
    <n v="0"/>
    <n v="0"/>
    <n v="0"/>
    <n v="0"/>
    <n v="3200000"/>
    <n v="-3200000"/>
    <m/>
    <m/>
    <m/>
    <m/>
    <m/>
    <m/>
    <m/>
    <m/>
    <m/>
    <m/>
    <m/>
    <n v="-122.45070128799522"/>
    <n v="0"/>
    <x v="88"/>
    <x v="39"/>
  </r>
  <r>
    <x v="1"/>
    <x v="7"/>
    <n v="8"/>
    <s v="105287"/>
    <s v="CÔNG TY TNHH HƯNG DỤ"/>
    <x v="62"/>
    <x v="60"/>
    <s v="Xơ sợi"/>
    <s v="Xơ sợi"/>
    <x v="7"/>
    <s v="NĐ"/>
    <s v="(blank)"/>
    <x v="1"/>
    <n v="-1050"/>
    <n v="0"/>
    <n v="-165756.05951557093"/>
    <n v="0"/>
    <n v="0"/>
    <n v="165756.05951557093"/>
    <m/>
    <m/>
    <m/>
    <m/>
    <m/>
    <m/>
    <m/>
    <m/>
    <m/>
    <m/>
    <m/>
    <n v="6.3427955407551035"/>
    <n v="0"/>
    <x v="65"/>
    <x v="62"/>
  </r>
  <r>
    <x v="1"/>
    <x v="7"/>
    <n v="8"/>
    <s v="105287"/>
    <s v="CÔNG TY TNHH HƯNG DỤ"/>
    <x v="62"/>
    <x v="60"/>
    <s v="Xơ sợi"/>
    <s v="Xơ sợi"/>
    <x v="7"/>
    <s v="NĐ"/>
    <s v="(blank)"/>
    <x v="0"/>
    <n v="259350"/>
    <n v="4616430000"/>
    <n v="40941746.700346"/>
    <n v="0"/>
    <n v="0"/>
    <n v="4575488253.2996521"/>
    <m/>
    <m/>
    <m/>
    <m/>
    <m/>
    <m/>
    <m/>
    <m/>
    <m/>
    <m/>
    <m/>
    <n v="175084.92042235212"/>
    <n v="176651.59092091868"/>
    <x v="65"/>
    <x v="62"/>
  </r>
  <r>
    <x v="1"/>
    <x v="7"/>
    <n v="8"/>
    <s v="105287"/>
    <s v="CÔNG TY TNHH HƯNG DỤ"/>
    <x v="62"/>
    <x v="60"/>
    <s v="Xơ sợi"/>
    <s v="Xơ sợi"/>
    <x v="7"/>
    <s v="NĐ"/>
    <s v="(blank)"/>
    <x v="2"/>
    <n v="1050"/>
    <n v="0"/>
    <n v="331512.11903114186"/>
    <n v="0"/>
    <n v="0"/>
    <n v="-331512.11903114186"/>
    <m/>
    <m/>
    <m/>
    <m/>
    <m/>
    <m/>
    <m/>
    <m/>
    <m/>
    <m/>
    <m/>
    <n v="-12.685591081510207"/>
    <n v="0"/>
    <x v="65"/>
    <x v="62"/>
  </r>
  <r>
    <x v="1"/>
    <x v="7"/>
    <n v="8"/>
    <s v="105290"/>
    <s v="HOÀNG TẤN"/>
    <x v="75"/>
    <x v="73"/>
    <s v="Khác"/>
    <s v="Phó sản"/>
    <x v="5"/>
    <s v="NĐ"/>
    <s v="(blank)"/>
    <x v="0"/>
    <n v="33809"/>
    <n v="153392686"/>
    <n v="0"/>
    <n v="0"/>
    <n v="0"/>
    <n v="153392686"/>
    <m/>
    <m/>
    <m/>
    <m/>
    <m/>
    <m/>
    <m/>
    <m/>
    <m/>
    <m/>
    <m/>
    <n v="5869.7006166091396"/>
    <n v="5869.7006166091396"/>
    <x v="66"/>
    <x v="75"/>
  </r>
  <r>
    <x v="1"/>
    <x v="7"/>
    <n v="8"/>
    <s v="105290"/>
    <s v="HOÀNG TẤN"/>
    <x v="76"/>
    <x v="74"/>
    <s v="Khác"/>
    <s v="Phó sản"/>
    <x v="5"/>
    <s v="NĐ"/>
    <s v="(blank)"/>
    <x v="0"/>
    <n v="45329"/>
    <n v="205659352"/>
    <n v="0"/>
    <n v="0"/>
    <n v="0"/>
    <n v="205659352"/>
    <m/>
    <m/>
    <m/>
    <m/>
    <m/>
    <m/>
    <m/>
    <m/>
    <m/>
    <m/>
    <m/>
    <n v="7869.7287121358304"/>
    <n v="7869.7287121358304"/>
    <x v="66"/>
    <x v="76"/>
  </r>
  <r>
    <x v="1"/>
    <x v="7"/>
    <n v="8"/>
    <s v="105290"/>
    <s v="HOÀNG TẤN"/>
    <x v="77"/>
    <x v="75"/>
    <s v="Khác"/>
    <s v="Phó sản"/>
    <x v="5"/>
    <s v="NĐ"/>
    <s v="(blank)"/>
    <x v="0"/>
    <n v="25657"/>
    <n v="116406759"/>
    <n v="0"/>
    <n v="0"/>
    <n v="0"/>
    <n v="116406759"/>
    <m/>
    <m/>
    <m/>
    <m/>
    <m/>
    <m/>
    <m/>
    <m/>
    <m/>
    <m/>
    <m/>
    <n v="4454.4028981914535"/>
    <n v="4454.4028981914535"/>
    <x v="66"/>
    <x v="77"/>
  </r>
  <r>
    <x v="1"/>
    <x v="7"/>
    <n v="8"/>
    <s v="105290"/>
    <s v="HOÀNG TẤN"/>
    <x v="78"/>
    <x v="76"/>
    <s v="Khác"/>
    <s v="Phó sản"/>
    <x v="5"/>
    <s v="NĐ"/>
    <s v="(blank)"/>
    <x v="0"/>
    <n v="47732"/>
    <n v="216561852"/>
    <n v="0"/>
    <n v="0"/>
    <n v="0"/>
    <n v="216561852"/>
    <m/>
    <m/>
    <m/>
    <m/>
    <m/>
    <m/>
    <m/>
    <m/>
    <m/>
    <m/>
    <m/>
    <n v="8286.922078008447"/>
    <n v="8286.922078008447"/>
    <x v="66"/>
    <x v="78"/>
  </r>
  <r>
    <x v="1"/>
    <x v="7"/>
    <n v="8"/>
    <s v="105306"/>
    <s v="MTV MILKIWAY SOLUTION"/>
    <x v="9"/>
    <x v="9"/>
    <s v="rPET"/>
    <s v="rPET"/>
    <x v="3"/>
    <s v="NĐ"/>
    <s v="(blank)"/>
    <x v="0"/>
    <n v="11000"/>
    <n v="367419800.00000006"/>
    <n v="1657560.5951557094"/>
    <n v="0"/>
    <n v="0"/>
    <n v="365762239.40484434"/>
    <m/>
    <m/>
    <m/>
    <m/>
    <m/>
    <m/>
    <m/>
    <m/>
    <m/>
    <m/>
    <m/>
    <n v="13996.200849934621"/>
    <n v="14059.628805342172"/>
    <x v="84"/>
    <x v="9"/>
  </r>
  <r>
    <x v="1"/>
    <x v="7"/>
    <n v="8"/>
    <s v="105312"/>
    <s v="COCA COLA ĐÀ NẴNG"/>
    <x v="8"/>
    <x v="8"/>
    <s v="rPET"/>
    <s v="rPET"/>
    <x v="3"/>
    <s v="NĐ"/>
    <s v="(blank)"/>
    <x v="0"/>
    <n v="88000"/>
    <n v="3268232000"/>
    <n v="13260484.761245675"/>
    <n v="0"/>
    <n v="14960000"/>
    <n v="3240011515.2387543"/>
    <m/>
    <m/>
    <m/>
    <m/>
    <m/>
    <m/>
    <m/>
    <m/>
    <m/>
    <m/>
    <m/>
    <n v="123981.7756944267"/>
    <n v="125061.65636620848"/>
    <x v="3"/>
    <x v="8"/>
  </r>
  <r>
    <x v="1"/>
    <x v="7"/>
    <n v="8"/>
    <s v="105312"/>
    <s v="COCA COLA ĐÀ NẴNG"/>
    <x v="8"/>
    <x v="8"/>
    <s v="rPET"/>
    <s v="rPET"/>
    <x v="3"/>
    <s v="NĐ"/>
    <s v="(blank)"/>
    <x v="4"/>
    <n v="0"/>
    <n v="-97352640"/>
    <n v="0"/>
    <n v="0"/>
    <n v="0"/>
    <n v="-97352640"/>
    <m/>
    <m/>
    <m/>
    <m/>
    <m/>
    <m/>
    <m/>
    <m/>
    <m/>
    <m/>
    <m/>
    <n v="-3725.2809500742919"/>
    <n v="-3725.2809500742919"/>
    <x v="3"/>
    <x v="8"/>
  </r>
  <r>
    <x v="1"/>
    <x v="7"/>
    <n v="8"/>
    <s v="105312"/>
    <s v="COCA COLA ĐÀ NẴNG"/>
    <x v="39"/>
    <x v="37"/>
    <s v="Khác"/>
    <s v="Khác"/>
    <x v="8"/>
    <s v="NĐ"/>
    <s v="(blank)"/>
    <x v="0"/>
    <n v="0"/>
    <n v="0"/>
    <n v="0"/>
    <n v="0"/>
    <n v="-14960000"/>
    <n v="14960000"/>
    <m/>
    <m/>
    <m/>
    <m/>
    <m/>
    <m/>
    <m/>
    <m/>
    <m/>
    <m/>
    <m/>
    <n v="572.45702852137765"/>
    <n v="0"/>
    <x v="3"/>
    <x v="39"/>
  </r>
  <r>
    <x v="1"/>
    <x v="7"/>
    <n v="8"/>
    <s v="105319"/>
    <s v="PHƯƠNG VI"/>
    <x v="80"/>
    <x v="78"/>
    <s v="rHDPE"/>
    <s v="rHDPE ép"/>
    <x v="1"/>
    <s v="NĐ"/>
    <s v="(blank)"/>
    <x v="0"/>
    <n v="3000"/>
    <n v="83160000"/>
    <n v="0"/>
    <n v="0"/>
    <n v="0"/>
    <n v="83160000"/>
    <m/>
    <m/>
    <m/>
    <m/>
    <m/>
    <m/>
    <m/>
    <m/>
    <m/>
    <m/>
    <m/>
    <n v="3182.1875997217753"/>
    <n v="3182.1875997217753"/>
    <x v="3"/>
    <x v="80"/>
  </r>
  <r>
    <x v="1"/>
    <x v="7"/>
    <n v="8"/>
    <s v="105324"/>
    <s v="NHỰA TRƯỜNG AN"/>
    <x v="51"/>
    <x v="49"/>
    <s v="rHDPE"/>
    <s v="rHDPE ép"/>
    <x v="1"/>
    <s v="NĐ"/>
    <s v="(blank)"/>
    <x v="0"/>
    <n v="23250"/>
    <n v="360675000"/>
    <n v="5138437.8449826986"/>
    <n v="0"/>
    <n v="0"/>
    <n v="355536562.15501738"/>
    <m/>
    <m/>
    <m/>
    <m/>
    <m/>
    <m/>
    <m/>
    <m/>
    <m/>
    <m/>
    <m/>
    <n v="13604.906677938987"/>
    <n v="13801.533339702397"/>
    <x v="106"/>
    <x v="51"/>
  </r>
  <r>
    <x v="1"/>
    <x v="7"/>
    <n v="8"/>
    <s v="105324"/>
    <s v="NHỰA TRƯỜNG AN"/>
    <x v="107"/>
    <x v="105"/>
    <s v="rHDPE"/>
    <s v="rHDPE ép"/>
    <x v="1"/>
    <s v="NĐ"/>
    <s v="(blank)"/>
    <x v="0"/>
    <n v="3775"/>
    <n v="56625000"/>
    <n v="828780.29757785471"/>
    <n v="0"/>
    <n v="0"/>
    <n v="55796219.702422149"/>
    <m/>
    <m/>
    <m/>
    <m/>
    <m/>
    <m/>
    <m/>
    <m/>
    <m/>
    <m/>
    <m/>
    <n v="2135.0894474314523"/>
    <n v="2166.8034251352278"/>
    <x v="106"/>
    <x v="107"/>
  </r>
  <r>
    <x v="1"/>
    <x v="7"/>
    <n v="8"/>
    <s v="105324"/>
    <s v="NHỰA TRƯỜNG AN"/>
    <x v="46"/>
    <x v="44"/>
    <s v="rHDPE"/>
    <s v="rHDPE ép"/>
    <x v="1"/>
    <s v="NĐ"/>
    <s v="(blank)"/>
    <x v="0"/>
    <n v="7500"/>
    <n v="116250000"/>
    <n v="1752278.3434503211"/>
    <n v="0"/>
    <n v="0"/>
    <n v="114497721.65654966"/>
    <m/>
    <m/>
    <m/>
    <m/>
    <m/>
    <m/>
    <m/>
    <m/>
    <m/>
    <m/>
    <m/>
    <n v="4381.3519727256817"/>
    <n v="4448.4043827279502"/>
    <x v="106"/>
    <x v="46"/>
  </r>
  <r>
    <x v="1"/>
    <x v="7"/>
    <n v="8"/>
    <s v="105324"/>
    <s v="NHỰA TRƯỜNG AN"/>
    <x v="125"/>
    <x v="123"/>
    <s v="Khác"/>
    <s v="Phó sản"/>
    <x v="5"/>
    <s v="NĐ"/>
    <s v="(blank)"/>
    <x v="0"/>
    <n v="1000"/>
    <n v="12000000"/>
    <n v="284153.2448838359"/>
    <n v="0"/>
    <n v="0"/>
    <n v="11715846.755116165"/>
    <m/>
    <m/>
    <m/>
    <m/>
    <m/>
    <m/>
    <m/>
    <m/>
    <m/>
    <m/>
    <m/>
    <n v="448.31676604583043"/>
    <n v="459.19012982998203"/>
    <x v="106"/>
    <x v="125"/>
  </r>
  <r>
    <x v="1"/>
    <x v="7"/>
    <n v="8"/>
    <s v="105324"/>
    <s v="NHỰA TRƯỜNG AN"/>
    <x v="126"/>
    <x v="124"/>
    <s v="Khác"/>
    <s v="Phó sản"/>
    <x v="5"/>
    <s v="NĐ"/>
    <s v="(blank)"/>
    <x v="0"/>
    <n v="11158"/>
    <n v="113361111"/>
    <n v="3599274.4351952551"/>
    <n v="0"/>
    <n v="0"/>
    <n v="109761836.56480473"/>
    <m/>
    <m/>
    <m/>
    <m/>
    <m/>
    <m/>
    <m/>
    <m/>
    <m/>
    <m/>
    <m/>
    <n v="4200.1293318808293"/>
    <n v="4337.8586064800838"/>
    <x v="106"/>
    <x v="126"/>
  </r>
  <r>
    <x v="1"/>
    <x v="7"/>
    <n v="8"/>
    <s v="105328"/>
    <s v="CN COCA-COLA VN - LONG AN"/>
    <x v="8"/>
    <x v="8"/>
    <s v="rPET"/>
    <s v="rPET"/>
    <x v="3"/>
    <s v="NĐ"/>
    <s v="(blank)"/>
    <x v="1"/>
    <n v="-41800"/>
    <n v="0"/>
    <n v="-6298730.2615916952"/>
    <n v="0"/>
    <n v="4681600"/>
    <n v="1617130.2615916955"/>
    <m/>
    <m/>
    <m/>
    <m/>
    <m/>
    <m/>
    <m/>
    <m/>
    <m/>
    <m/>
    <m/>
    <n v="61.880854564356959"/>
    <n v="0"/>
    <x v="3"/>
    <x v="8"/>
  </r>
  <r>
    <x v="1"/>
    <x v="7"/>
    <n v="8"/>
    <s v="105328"/>
    <s v="CN COCA-COLA VN - LONG AN"/>
    <x v="8"/>
    <x v="8"/>
    <s v="rPET"/>
    <s v="rPET"/>
    <x v="3"/>
    <s v="NĐ"/>
    <s v="(blank)"/>
    <x v="0"/>
    <n v="44000"/>
    <n v="1634116000"/>
    <n v="6630242.3806228377"/>
    <n v="0"/>
    <n v="7040000"/>
    <n v="1620445757.6193771"/>
    <m/>
    <m/>
    <m/>
    <m/>
    <m/>
    <m/>
    <m/>
    <m/>
    <m/>
    <m/>
    <m/>
    <n v="62007.724818640447"/>
    <n v="62530.82818310424"/>
    <x v="3"/>
    <x v="8"/>
  </r>
  <r>
    <x v="1"/>
    <x v="7"/>
    <n v="8"/>
    <s v="105328"/>
    <s v="CN COCA-COLA VN - LONG AN"/>
    <x v="8"/>
    <x v="8"/>
    <s v="rPET"/>
    <s v="rPET"/>
    <x v="3"/>
    <s v="NĐ"/>
    <s v="(blank)"/>
    <x v="4"/>
    <n v="0"/>
    <n v="-48676320"/>
    <n v="0"/>
    <n v="0"/>
    <n v="0"/>
    <n v="-48676320"/>
    <m/>
    <m/>
    <m/>
    <m/>
    <m/>
    <m/>
    <m/>
    <m/>
    <m/>
    <m/>
    <m/>
    <n v="-1862.640475037146"/>
    <n v="-1862.640475037146"/>
    <x v="3"/>
    <x v="8"/>
  </r>
  <r>
    <x v="1"/>
    <x v="7"/>
    <n v="8"/>
    <s v="105328"/>
    <s v="CN COCA-COLA VN - LONG AN"/>
    <x v="8"/>
    <x v="8"/>
    <s v="rPET"/>
    <s v="rPET"/>
    <x v="3"/>
    <s v="NĐ"/>
    <s v="(blank)"/>
    <x v="2"/>
    <n v="41800"/>
    <n v="0"/>
    <n v="6298730.2615916962"/>
    <n v="0"/>
    <n v="7780000"/>
    <n v="-14078730.261591695"/>
    <m/>
    <m/>
    <m/>
    <m/>
    <m/>
    <m/>
    <m/>
    <m/>
    <m/>
    <m/>
    <m/>
    <n v="-538.73449805513235"/>
    <n v="0"/>
    <x v="3"/>
    <x v="8"/>
  </r>
  <r>
    <x v="1"/>
    <x v="7"/>
    <n v="8"/>
    <s v="105333"/>
    <s v="LƯỚI BẢO NÔNG"/>
    <x v="30"/>
    <x v="28"/>
    <s v="rHDPE"/>
    <s v="rHDPE ép"/>
    <x v="1"/>
    <s v="NĐ"/>
    <s v="(blank)"/>
    <x v="0"/>
    <n v="2250"/>
    <n v="35416667"/>
    <n v="614272.45585182158"/>
    <n v="0"/>
    <n v="0"/>
    <n v="34802394.544148177"/>
    <m/>
    <m/>
    <m/>
    <m/>
    <m/>
    <m/>
    <m/>
    <m/>
    <m/>
    <m/>
    <m/>
    <n v="1331.7430057601384"/>
    <n v="1355.2486598229366"/>
    <x v="125"/>
    <x v="30"/>
  </r>
  <r>
    <x v="1"/>
    <x v="7"/>
    <n v="8"/>
    <s v="105333"/>
    <s v="LƯỚI BẢO NÔNG"/>
    <x v="52"/>
    <x v="50"/>
    <s v="rHDPE"/>
    <s v="rHDPE ép"/>
    <x v="1"/>
    <s v="NĐ"/>
    <s v="(blank)"/>
    <x v="0"/>
    <n v="5250"/>
    <n v="82638889"/>
    <n v="1160292.4166089965"/>
    <n v="0"/>
    <n v="0"/>
    <n v="81478596.583391011"/>
    <m/>
    <m/>
    <m/>
    <m/>
    <m/>
    <m/>
    <m/>
    <m/>
    <m/>
    <m/>
    <m/>
    <n v="3117.8472786243374"/>
    <n v="3162.2468474096227"/>
    <x v="125"/>
    <x v="52"/>
  </r>
  <r>
    <x v="1"/>
    <x v="7"/>
    <n v="8"/>
    <s v="105333"/>
    <s v="LƯỚI BẢO NÔNG"/>
    <x v="125"/>
    <x v="123"/>
    <s v="Khác"/>
    <s v="Phó sản"/>
    <x v="5"/>
    <s v="NĐ"/>
    <s v="(blank)"/>
    <x v="0"/>
    <n v="146611"/>
    <n v="1630862963"/>
    <n v="1823257.5212407489"/>
    <n v="0"/>
    <n v="0"/>
    <n v="1629039705.4787593"/>
    <m/>
    <m/>
    <m/>
    <m/>
    <m/>
    <m/>
    <m/>
    <m/>
    <m/>
    <m/>
    <m/>
    <n v="62336.579488082258"/>
    <n v="62406.347976239944"/>
    <x v="125"/>
    <x v="125"/>
  </r>
  <r>
    <x v="1"/>
    <x v="7"/>
    <n v="8"/>
    <s v="105333"/>
    <s v="LƯỚI BẢO NÔNG"/>
    <x v="126"/>
    <x v="124"/>
    <s v="Khác"/>
    <s v="Phó sản"/>
    <x v="5"/>
    <s v="NĐ"/>
    <s v="(blank)"/>
    <x v="0"/>
    <n v="61828"/>
    <n v="686977778"/>
    <n v="546079.09418770636"/>
    <n v="0"/>
    <n v="0"/>
    <n v="686431698.90581226"/>
    <m/>
    <m/>
    <m/>
    <m/>
    <m/>
    <m/>
    <m/>
    <m/>
    <m/>
    <m/>
    <m/>
    <n v="26266.88841166459"/>
    <n v="26287.784589177718"/>
    <x v="125"/>
    <x v="126"/>
  </r>
  <r>
    <x v="1"/>
    <x v="7"/>
    <n v="8"/>
    <s v="105339"/>
    <s v="HUY THÀNH"/>
    <x v="3"/>
    <x v="3"/>
    <s v="rHDPE"/>
    <s v="rHDPE ép"/>
    <x v="1"/>
    <s v="NĐ"/>
    <s v="(blank)"/>
    <x v="0"/>
    <n v="9625"/>
    <n v="183409722"/>
    <n v="0"/>
    <n v="9625000"/>
    <n v="0"/>
    <n v="173784722"/>
    <m/>
    <m/>
    <m/>
    <m/>
    <m/>
    <m/>
    <m/>
    <m/>
    <m/>
    <m/>
    <m/>
    <n v="6650.0190881372782"/>
    <n v="7018.3278381050759"/>
    <x v="138"/>
    <x v="3"/>
  </r>
  <r>
    <x v="1"/>
    <x v="7"/>
    <n v="8"/>
    <s v="105339"/>
    <s v="HUY THÀNH"/>
    <x v="4"/>
    <x v="4"/>
    <s v="rHDPE"/>
    <s v="rHDPE ép"/>
    <x v="1"/>
    <s v="NĐ"/>
    <s v="(blank)"/>
    <x v="0"/>
    <n v="37125"/>
    <n v="715993056"/>
    <n v="0"/>
    <n v="28325000"/>
    <n v="0"/>
    <n v="687668056"/>
    <m/>
    <m/>
    <m/>
    <m/>
    <m/>
    <m/>
    <m/>
    <m/>
    <m/>
    <m/>
    <m/>
    <n v="26314.198659547616"/>
    <n v="27398.078695167133"/>
    <x v="138"/>
    <x v="4"/>
  </r>
  <r>
    <x v="1"/>
    <x v="7"/>
    <n v="8"/>
    <s v="105339"/>
    <s v="HUY THÀNH"/>
    <x v="5"/>
    <x v="5"/>
    <s v="rHDPE"/>
    <s v="rHDPE ép"/>
    <x v="1"/>
    <s v="NĐ"/>
    <s v="(blank)"/>
    <x v="0"/>
    <n v="22000"/>
    <n v="419222224"/>
    <n v="0"/>
    <n v="22000000"/>
    <n v="0"/>
    <n v="397222224"/>
    <m/>
    <m/>
    <m/>
    <m/>
    <m/>
    <m/>
    <m/>
    <m/>
    <m/>
    <m/>
    <m/>
    <n v="15200.04371749285"/>
    <n v="16041.892288847817"/>
    <x v="138"/>
    <x v="5"/>
  </r>
  <r>
    <x v="1"/>
    <x v="7"/>
    <n v="8"/>
    <s v="105339"/>
    <s v="HUY THÀNH"/>
    <x v="51"/>
    <x v="49"/>
    <s v="rHDPE"/>
    <s v="rHDPE ép"/>
    <x v="1"/>
    <s v="NĐ"/>
    <s v="(blank)"/>
    <x v="0"/>
    <n v="5250"/>
    <n v="89930556"/>
    <n v="1160292.4166089965"/>
    <n v="5250000"/>
    <n v="0"/>
    <n v="83520263.583391011"/>
    <m/>
    <m/>
    <m/>
    <m/>
    <m/>
    <m/>
    <m/>
    <m/>
    <m/>
    <m/>
    <m/>
    <n v="3195.9733898576364"/>
    <n v="3441.268640443539"/>
    <x v="138"/>
    <x v="51"/>
  </r>
  <r>
    <x v="1"/>
    <x v="7"/>
    <n v="8"/>
    <s v="105339"/>
    <s v="HUY THÀNH"/>
    <x v="46"/>
    <x v="44"/>
    <s v="rHDPE"/>
    <s v="rHDPE ép"/>
    <x v="1"/>
    <s v="NĐ"/>
    <s v="(blank)"/>
    <x v="0"/>
    <n v="5250"/>
    <n v="89930556"/>
    <n v="1160292.4166089965"/>
    <n v="5250000"/>
    <n v="0"/>
    <n v="83520263.583391011"/>
    <m/>
    <m/>
    <m/>
    <m/>
    <m/>
    <m/>
    <m/>
    <m/>
    <m/>
    <m/>
    <m/>
    <n v="3195.9733898576364"/>
    <n v="3441.268640443539"/>
    <x v="138"/>
    <x v="46"/>
  </r>
  <r>
    <x v="1"/>
    <x v="7"/>
    <n v="8"/>
    <s v="105339"/>
    <s v="HUY THÀNH"/>
    <x v="114"/>
    <x v="112"/>
    <s v="rHDPE"/>
    <s v="rHDPE ép"/>
    <x v="1"/>
    <s v="NĐ"/>
    <s v="(blank)"/>
    <x v="3"/>
    <n v="-3500"/>
    <n v="-45370370"/>
    <n v="-828780.29757785471"/>
    <n v="0"/>
    <n v="0"/>
    <n v="-44541589.702422142"/>
    <m/>
    <m/>
    <m/>
    <m/>
    <m/>
    <m/>
    <m/>
    <m/>
    <m/>
    <m/>
    <m/>
    <n v="-1704.4215298574179"/>
    <n v="-1736.1355075611934"/>
    <x v="138"/>
    <x v="114"/>
  </r>
  <r>
    <x v="1"/>
    <x v="7"/>
    <n v="8"/>
    <s v="105349"/>
    <s v="MTVN Plastic"/>
    <x v="87"/>
    <x v="85"/>
    <s v="rHDPE"/>
    <s v="rHDPE thổi"/>
    <x v="0"/>
    <s v="NĐ"/>
    <s v="(blank)"/>
    <x v="0"/>
    <n v="23375"/>
    <n v="367939819"/>
    <n v="0"/>
    <n v="0"/>
    <n v="0"/>
    <n v="367939819"/>
    <m/>
    <m/>
    <m/>
    <m/>
    <m/>
    <m/>
    <m/>
    <m/>
    <m/>
    <m/>
    <m/>
    <n v="14079.527771352507"/>
    <n v="14079.527771352507"/>
    <x v="158"/>
    <x v="87"/>
  </r>
  <r>
    <x v="1"/>
    <x v="7"/>
    <n v="8"/>
    <s v="105354"/>
    <s v="UNILEVER - NNG-TN"/>
    <x v="9"/>
    <x v="9"/>
    <s v="rPET"/>
    <s v="rPET"/>
    <x v="3"/>
    <s v="NĐ"/>
    <s v="(blank)"/>
    <x v="1"/>
    <n v="-44000"/>
    <n v="0"/>
    <n v="-4972681.7854671283"/>
    <n v="0"/>
    <n v="3080000"/>
    <n v="1892681.7854671283"/>
    <m/>
    <m/>
    <m/>
    <m/>
    <m/>
    <m/>
    <m/>
    <m/>
    <m/>
    <m/>
    <m/>
    <n v="72.425066232957732"/>
    <n v="0"/>
    <x v="2"/>
    <x v="9"/>
  </r>
  <r>
    <x v="1"/>
    <x v="7"/>
    <n v="8"/>
    <s v="105354"/>
    <s v="UNILEVER - NNG-TN"/>
    <x v="9"/>
    <x v="9"/>
    <s v="rPET"/>
    <s v="rPET"/>
    <x v="3"/>
    <s v="NĐ"/>
    <s v="(blank)"/>
    <x v="0"/>
    <n v="88000"/>
    <n v="2925560000"/>
    <n v="13260484.761245675"/>
    <n v="0"/>
    <n v="12320000"/>
    <n v="2899979515.2387543"/>
    <m/>
    <m/>
    <m/>
    <m/>
    <m/>
    <m/>
    <m/>
    <m/>
    <m/>
    <m/>
    <m/>
    <n v="110970.16417556434"/>
    <n v="111949.02301878353"/>
    <x v="2"/>
    <x v="9"/>
  </r>
  <r>
    <x v="1"/>
    <x v="7"/>
    <n v="8"/>
    <s v="105354"/>
    <s v="UNILEVER - NNG-TN"/>
    <x v="9"/>
    <x v="9"/>
    <s v="rPET"/>
    <s v="rPET"/>
    <x v="3"/>
    <s v="NĐ"/>
    <s v="(blank)"/>
    <x v="2"/>
    <n v="44000"/>
    <n v="0"/>
    <n v="4972681.7854671283"/>
    <n v="0"/>
    <n v="6160000"/>
    <n v="-11132681.785467129"/>
    <m/>
    <m/>
    <m/>
    <m/>
    <m/>
    <m/>
    <m/>
    <m/>
    <m/>
    <m/>
    <m/>
    <n v="-426.00146620204396"/>
    <n v="0"/>
    <x v="2"/>
    <x v="9"/>
  </r>
  <r>
    <x v="1"/>
    <x v="7"/>
    <n v="8"/>
    <s v="105356"/>
    <s v="Quang Chí Bảo"/>
    <x v="62"/>
    <x v="60"/>
    <s v="Xơ sợi"/>
    <s v="Xơ sợi"/>
    <x v="7"/>
    <s v="NĐ"/>
    <s v="(blank)"/>
    <x v="0"/>
    <n v="51500"/>
    <n v="875500000"/>
    <n v="8122046.9162629768"/>
    <n v="0"/>
    <n v="0"/>
    <n v="867377953.08373702"/>
    <m/>
    <m/>
    <m/>
    <m/>
    <m/>
    <m/>
    <m/>
    <m/>
    <m/>
    <m/>
    <m/>
    <n v="33190.949574015438"/>
    <n v="33501.746555512436"/>
    <x v="151"/>
    <x v="62"/>
  </r>
  <r>
    <x v="1"/>
    <x v="7"/>
    <n v="8"/>
    <s v="105357"/>
    <s v="Minh Thông"/>
    <x v="120"/>
    <x v="118"/>
    <s v="rPET"/>
    <s v="rPET"/>
    <x v="3"/>
    <s v="NĐ"/>
    <s v="(blank)"/>
    <x v="0"/>
    <n v="2200"/>
    <n v="73700000"/>
    <n v="331512.11903114186"/>
    <n v="0"/>
    <n v="0"/>
    <n v="73368487.880968854"/>
    <m/>
    <m/>
    <m/>
    <m/>
    <m/>
    <m/>
    <m/>
    <m/>
    <m/>
    <m/>
    <m/>
    <n v="2807.5071229576292"/>
    <n v="2820.1927140391399"/>
    <x v="173"/>
    <x v="120"/>
  </r>
  <r>
    <x v="1"/>
    <x v="7"/>
    <n v="8"/>
    <s v="105360"/>
    <s v="LỢI TƯỜNG"/>
    <x v="107"/>
    <x v="105"/>
    <s v="rHDPE"/>
    <s v="rHDPE ép"/>
    <x v="1"/>
    <s v="NĐ"/>
    <s v="(blank)"/>
    <x v="0"/>
    <n v="3000"/>
    <n v="45000000"/>
    <n v="663024.23806228372"/>
    <n v="0"/>
    <n v="0"/>
    <n v="44336975.761937715"/>
    <m/>
    <m/>
    <m/>
    <m/>
    <m/>
    <m/>
    <m/>
    <m/>
    <m/>
    <m/>
    <m/>
    <n v="1696.5918046994123"/>
    <n v="1721.9629868624327"/>
    <x v="184"/>
    <x v="107"/>
  </r>
  <r>
    <x v="1"/>
    <x v="7"/>
    <n v="8"/>
    <s v="105364"/>
    <s v="NHỰA LỘC PHÁT"/>
    <x v="62"/>
    <x v="60"/>
    <s v="Xơ sợi"/>
    <s v="Xơ sợi"/>
    <x v="7"/>
    <s v="NĐ"/>
    <s v="(blank)"/>
    <x v="0"/>
    <n v="10500"/>
    <n v="186900000"/>
    <n v="1657560.5951557094"/>
    <n v="0"/>
    <n v="0"/>
    <n v="185242439.40484428"/>
    <m/>
    <m/>
    <m/>
    <m/>
    <m/>
    <m/>
    <m/>
    <m/>
    <m/>
    <m/>
    <m/>
    <n v="7088.4583166944185"/>
    <n v="7151.8862721019705"/>
    <x v="187"/>
    <x v="62"/>
  </r>
  <r>
    <x v="1"/>
    <x v="7"/>
    <n v="8"/>
    <s v="105366"/>
    <s v="PLENMA"/>
    <x v="27"/>
    <x v="25"/>
    <s v="Khác"/>
    <s v="Khác"/>
    <x v="2"/>
    <s v="NĐ"/>
    <s v="(blank)"/>
    <x v="0"/>
    <n v="0"/>
    <n v="12623893"/>
    <n v="0"/>
    <n v="0"/>
    <n v="0"/>
    <n v="12623893"/>
    <m/>
    <m/>
    <m/>
    <m/>
    <m/>
    <m/>
    <m/>
    <m/>
    <m/>
    <m/>
    <m/>
    <n v="483.06392213581677"/>
    <n v="483.06392213581677"/>
    <x v="188"/>
    <x v="27"/>
  </r>
  <r>
    <x v="1"/>
    <x v="7"/>
    <n v="8"/>
    <s v="105367"/>
    <s v="NHỰA TC 2050"/>
    <x v="90"/>
    <x v="88"/>
    <s v="rPP"/>
    <s v="rPP"/>
    <x v="6"/>
    <s v="NĐ"/>
    <s v="(blank)"/>
    <x v="0"/>
    <n v="50"/>
    <n v="1772000"/>
    <n v="0"/>
    <n v="0"/>
    <n v="0"/>
    <n v="1772000"/>
    <m/>
    <m/>
    <m/>
    <m/>
    <m/>
    <m/>
    <m/>
    <m/>
    <m/>
    <m/>
    <m/>
    <n v="67.807075838227348"/>
    <n v="67.807075838227348"/>
    <x v="189"/>
    <x v="90"/>
  </r>
  <r>
    <x v="1"/>
    <x v="7"/>
    <n v="8"/>
    <s v="1388190100"/>
    <s v="Phải thu khác-T/gian"/>
    <x v="27"/>
    <x v="25"/>
    <s v="Khác"/>
    <s v="Khác"/>
    <x v="2"/>
    <s v="NĐ"/>
    <s v="(blank)"/>
    <x v="0"/>
    <n v="0"/>
    <n v="0"/>
    <n v="0"/>
    <n v="0"/>
    <n v="0"/>
    <n v="0"/>
    <m/>
    <m/>
    <m/>
    <m/>
    <m/>
    <m/>
    <m/>
    <m/>
    <m/>
    <m/>
    <m/>
    <n v="0"/>
    <n v="0"/>
    <x v="98"/>
    <x v="27"/>
  </r>
  <r>
    <x v="1"/>
    <x v="7"/>
    <n v="8"/>
    <s v="1551490100"/>
    <s v="TP-ĐC K/C số dư"/>
    <x v="110"/>
    <x v="108"/>
    <s v="Khác"/>
    <s v="Khác"/>
    <x v="2"/>
    <s v="NĐ"/>
    <s v="(blank)"/>
    <x v="0"/>
    <n v="0"/>
    <n v="0"/>
    <n v="0"/>
    <n v="0"/>
    <n v="0"/>
    <n v="0"/>
    <m/>
    <m/>
    <m/>
    <m/>
    <m/>
    <m/>
    <m/>
    <m/>
    <m/>
    <m/>
    <m/>
    <n v="0"/>
    <n v="0"/>
    <x v="127"/>
    <x v="110"/>
  </r>
  <r>
    <x v="1"/>
    <x v="7"/>
    <n v="8"/>
    <s v="200265"/>
    <s v="SESOTEC (THAILAND) LTD."/>
    <x v="27"/>
    <x v="25"/>
    <s v="Khác"/>
    <s v="Khác"/>
    <x v="2"/>
    <s v="NĐ"/>
    <s v="(blank)"/>
    <x v="0"/>
    <n v="0"/>
    <n v="0"/>
    <n v="0"/>
    <n v="0"/>
    <n v="0"/>
    <n v="0"/>
    <m/>
    <m/>
    <m/>
    <m/>
    <m/>
    <m/>
    <m/>
    <m/>
    <m/>
    <m/>
    <m/>
    <n v="0"/>
    <n v="0"/>
    <x v="190"/>
    <x v="27"/>
  </r>
  <r>
    <x v="1"/>
    <x v="7"/>
    <n v="8"/>
    <s v="200276"/>
    <s v="ZHejiang Boretech Environmental"/>
    <x v="27"/>
    <x v="25"/>
    <s v="Khác"/>
    <s v="Khác"/>
    <x v="2"/>
    <s v="NĐ"/>
    <s v="(blank)"/>
    <x v="0"/>
    <n v="0"/>
    <n v="0"/>
    <n v="0"/>
    <n v="0"/>
    <n v="0"/>
    <n v="0"/>
    <m/>
    <m/>
    <m/>
    <m/>
    <m/>
    <m/>
    <m/>
    <m/>
    <m/>
    <m/>
    <m/>
    <n v="0"/>
    <n v="0"/>
    <x v="144"/>
    <x v="27"/>
  </r>
  <r>
    <x v="1"/>
    <x v="7"/>
    <n v="8"/>
    <s v="200311"/>
    <s v="Plascene, Inc."/>
    <x v="9"/>
    <x v="9"/>
    <s v="rPET"/>
    <s v="rPET"/>
    <x v="3"/>
    <s v="XK"/>
    <s v="United States of America (the)"/>
    <x v="0"/>
    <n v="66000"/>
    <n v="2134746900"/>
    <n v="4950000.2600472812"/>
    <n v="0"/>
    <n v="29232546.999999996"/>
    <n v="2100564352.7399526"/>
    <m/>
    <m/>
    <m/>
    <m/>
    <m/>
    <m/>
    <m/>
    <m/>
    <m/>
    <m/>
    <m/>
    <n v="80204.824465061189"/>
    <n v="81510"/>
    <x v="13"/>
    <x v="9"/>
  </r>
  <r>
    <x v="1"/>
    <x v="7"/>
    <n v="8"/>
    <s v="200311"/>
    <s v="Plascene, Inc."/>
    <x v="39"/>
    <x v="37"/>
    <s v="Khác"/>
    <s v="Khác"/>
    <x v="8"/>
    <s v="NĐ"/>
    <s v="(blank)"/>
    <x v="0"/>
    <n v="0"/>
    <n v="0"/>
    <n v="0"/>
    <n v="0"/>
    <n v="-330000"/>
    <n v="330000"/>
    <m/>
    <m/>
    <m/>
    <m/>
    <m/>
    <m/>
    <m/>
    <m/>
    <m/>
    <m/>
    <m/>
    <n v="12.627728570324505"/>
    <n v="0"/>
    <x v="13"/>
    <x v="39"/>
  </r>
  <r>
    <x v="1"/>
    <x v="7"/>
    <n v="8"/>
    <s v="200314"/>
    <s v="TOYOTA TSUSHO ASIA PACIFIC"/>
    <x v="27"/>
    <x v="25"/>
    <s v="Khác"/>
    <s v="Khác"/>
    <x v="2"/>
    <s v="NĐ"/>
    <s v="(blank)"/>
    <x v="0"/>
    <n v="0"/>
    <n v="0"/>
    <n v="0"/>
    <n v="0"/>
    <n v="0"/>
    <n v="0"/>
    <m/>
    <m/>
    <m/>
    <m/>
    <m/>
    <m/>
    <m/>
    <m/>
    <m/>
    <m/>
    <m/>
    <n v="0"/>
    <n v="0"/>
    <x v="191"/>
    <x v="27"/>
  </r>
  <r>
    <x v="1"/>
    <x v="7"/>
    <n v="8"/>
    <s v="200319"/>
    <s v="Niagara Bottling, LLC"/>
    <x v="9"/>
    <x v="9"/>
    <s v="rPET"/>
    <s v="rPET"/>
    <x v="3"/>
    <s v="XK"/>
    <s v="United Kingdom of Great Britain and Northern Ireland (the)"/>
    <x v="0"/>
    <n v="440000"/>
    <n v="13916374560"/>
    <n v="33000001.73364855"/>
    <n v="208745618.39999998"/>
    <n v="171989194"/>
    <n v="13502639745.866352"/>
    <m/>
    <m/>
    <m/>
    <m/>
    <m/>
    <m/>
    <m/>
    <m/>
    <m/>
    <m/>
    <m/>
    <n v="517937.92881559161"/>
    <n v="533808.00000000023"/>
    <x v="14"/>
    <x v="9"/>
  </r>
  <r>
    <x v="1"/>
    <x v="7"/>
    <n v="8"/>
    <s v="200319"/>
    <s v="Niagara Bottling, LLC"/>
    <x v="9"/>
    <x v="9"/>
    <s v="rPET"/>
    <s v="rPET"/>
    <x v="3"/>
    <s v="XK"/>
    <s v="United States of America (the)"/>
    <x v="0"/>
    <n v="770000"/>
    <n v="22950545024.000004"/>
    <n v="57750003.033884913"/>
    <n v="344258175.35999995"/>
    <n v="324303221.00000006"/>
    <n v="22224233624.606125"/>
    <m/>
    <m/>
    <m/>
    <m/>
    <m/>
    <m/>
    <m/>
    <m/>
    <m/>
    <m/>
    <m/>
    <n v="849133.52203176799"/>
    <n v="876884.8000000004"/>
    <x v="14"/>
    <x v="9"/>
  </r>
  <r>
    <x v="1"/>
    <x v="7"/>
    <n v="8"/>
    <s v="200319"/>
    <s v="Niagara Bottling, LLC"/>
    <x v="39"/>
    <x v="37"/>
    <s v="Khác"/>
    <s v="Khác"/>
    <x v="8"/>
    <s v="NĐ"/>
    <s v="(blank)"/>
    <x v="0"/>
    <n v="0"/>
    <n v="0"/>
    <n v="0"/>
    <n v="0"/>
    <n v="-1389561.0000000144"/>
    <n v="1389561.0000000144"/>
    <m/>
    <m/>
    <m/>
    <m/>
    <m/>
    <m/>
    <m/>
    <m/>
    <m/>
    <m/>
    <m/>
    <n v="53.172724666390415"/>
    <n v="0"/>
    <x v="14"/>
    <x v="39"/>
  </r>
  <r>
    <x v="1"/>
    <x v="7"/>
    <n v="8"/>
    <s v="200319"/>
    <s v="Niagara Bottling, LLC"/>
    <x v="27"/>
    <x v="25"/>
    <s v="Khác"/>
    <s v="Khác"/>
    <x v="2"/>
    <s v="NĐ"/>
    <s v="(blank)"/>
    <x v="0"/>
    <n v="0"/>
    <n v="0"/>
    <n v="0"/>
    <n v="41996.240000128746"/>
    <n v="0"/>
    <n v="-41996.240000128746"/>
    <m/>
    <m/>
    <m/>
    <m/>
    <m/>
    <m/>
    <m/>
    <m/>
    <m/>
    <m/>
    <m/>
    <n v="-1.6070215748358503"/>
    <n v="0"/>
    <x v="14"/>
    <x v="27"/>
  </r>
  <r>
    <x v="1"/>
    <x v="7"/>
    <n v="8"/>
    <s v="200330"/>
    <s v="Fega"/>
    <x v="33"/>
    <x v="31"/>
    <s v="rPET"/>
    <s v="rPET"/>
    <x v="3"/>
    <s v="XK"/>
    <s v="Greece"/>
    <x v="0"/>
    <n v="22000"/>
    <n v="728703360"/>
    <n v="1650000.0866824272"/>
    <n v="0"/>
    <n v="14216512"/>
    <n v="712836847.91331756"/>
    <m/>
    <m/>
    <m/>
    <m/>
    <m/>
    <m/>
    <m/>
    <m/>
    <m/>
    <m/>
    <m/>
    <n v="27374.686939835545"/>
    <n v="27984"/>
    <x v="30"/>
    <x v="33"/>
  </r>
  <r>
    <x v="1"/>
    <x v="7"/>
    <n v="8"/>
    <s v="200330"/>
    <s v="Fega"/>
    <x v="39"/>
    <x v="37"/>
    <s v="Khác"/>
    <s v="Khác"/>
    <x v="8"/>
    <s v="NĐ"/>
    <s v="(blank)"/>
    <x v="0"/>
    <n v="0"/>
    <n v="0"/>
    <n v="0"/>
    <n v="0"/>
    <n v="-152500"/>
    <n v="152500"/>
    <m/>
    <m/>
    <m/>
    <m/>
    <m/>
    <m/>
    <m/>
    <m/>
    <m/>
    <m/>
    <m/>
    <n v="5.8355412332560217"/>
    <n v="0"/>
    <x v="30"/>
    <x v="39"/>
  </r>
  <r>
    <x v="1"/>
    <x v="7"/>
    <n v="8"/>
    <s v="200332"/>
    <s v="OUTEIRINHO TURISMO E INDUSTRIA SA"/>
    <x v="33"/>
    <x v="31"/>
    <s v="rPET"/>
    <s v="rPET"/>
    <x v="3"/>
    <s v="XK"/>
    <s v="Portugal"/>
    <x v="0"/>
    <n v="880000"/>
    <n v="28811750000"/>
    <n v="66000003.467297032"/>
    <n v="0"/>
    <n v="369443518.00000018"/>
    <n v="28376306478.532722"/>
    <m/>
    <m/>
    <m/>
    <m/>
    <m/>
    <m/>
    <m/>
    <m/>
    <m/>
    <m/>
    <m/>
    <n v="1083375.2524579151"/>
    <n v="1100000"/>
    <x v="44"/>
    <x v="33"/>
  </r>
  <r>
    <x v="1"/>
    <x v="7"/>
    <n v="8"/>
    <s v="200332"/>
    <s v="OUTEIRINHO TURISMO E INDUSTRIA SA"/>
    <x v="39"/>
    <x v="37"/>
    <s v="Khác"/>
    <s v="Khác"/>
    <x v="8"/>
    <s v="NĐ"/>
    <s v="(blank)"/>
    <x v="0"/>
    <n v="0"/>
    <n v="0"/>
    <n v="0"/>
    <n v="0"/>
    <n v="-462954.99999999959"/>
    <n v="462954.99999999959"/>
    <m/>
    <m/>
    <m/>
    <m/>
    <m/>
    <m/>
    <m/>
    <m/>
    <m/>
    <m/>
    <m/>
    <n v="17.715363879619932"/>
    <n v="0"/>
    <x v="44"/>
    <x v="39"/>
  </r>
  <r>
    <x v="1"/>
    <x v="7"/>
    <n v="8"/>
    <s v="200355"/>
    <s v="International Gate SA"/>
    <x v="39"/>
    <x v="37"/>
    <s v="Khác"/>
    <s v="Khác"/>
    <x v="8"/>
    <s v="NĐ"/>
    <s v="(blank)"/>
    <x v="0"/>
    <n v="0"/>
    <n v="0"/>
    <n v="0"/>
    <n v="0"/>
    <n v="-60085200"/>
    <n v="60085200"/>
    <m/>
    <m/>
    <m/>
    <m/>
    <m/>
    <m/>
    <m/>
    <m/>
    <m/>
    <m/>
    <m/>
    <n v="2299.2108990717029"/>
    <n v="0"/>
    <x v="51"/>
    <x v="39"/>
  </r>
  <r>
    <x v="1"/>
    <x v="7"/>
    <n v="8"/>
    <s v="200357"/>
    <s v="Genesis Polymers International"/>
    <x v="33"/>
    <x v="31"/>
    <s v="rPET"/>
    <s v="rPET"/>
    <x v="3"/>
    <s v="XK"/>
    <s v="Mexico"/>
    <x v="0"/>
    <n v="44000"/>
    <n v="1548558000"/>
    <n v="3300000.1733648544"/>
    <n v="0"/>
    <n v="121542222"/>
    <n v="1423715777.8266351"/>
    <m/>
    <m/>
    <m/>
    <m/>
    <m/>
    <m/>
    <m/>
    <m/>
    <m/>
    <m/>
    <m/>
    <n v="54611.2688080796"/>
    <n v="59400"/>
    <x v="57"/>
    <x v="33"/>
  </r>
  <r>
    <x v="1"/>
    <x v="7"/>
    <n v="8"/>
    <s v="200358"/>
    <s v="REYNERA"/>
    <x v="48"/>
    <x v="46"/>
    <s v="Khác"/>
    <s v="Khác"/>
    <x v="12"/>
    <s v="NĐ"/>
    <s v="(blank)"/>
    <x v="0"/>
    <n v="0"/>
    <n v="0"/>
    <n v="0"/>
    <n v="0"/>
    <n v="-1250000"/>
    <n v="1250000"/>
    <m/>
    <m/>
    <m/>
    <m/>
    <m/>
    <m/>
    <m/>
    <m/>
    <m/>
    <m/>
    <m/>
    <n v="47.832305190623131"/>
    <n v="0"/>
    <x v="58"/>
    <x v="48"/>
  </r>
  <r>
    <x v="1"/>
    <x v="7"/>
    <n v="8"/>
    <s v="200359"/>
    <s v="PREMIUM WATER"/>
    <x v="58"/>
    <x v="56"/>
    <s v="rPET"/>
    <s v="rPET"/>
    <x v="3"/>
    <s v="XK"/>
    <s v="United States of America (the)"/>
    <x v="0"/>
    <n v="220000"/>
    <n v="5847864000"/>
    <n v="16500000.866824275"/>
    <n v="0"/>
    <n v="89138722.000000015"/>
    <n v="5742225277.1331758"/>
    <m/>
    <m/>
    <m/>
    <m/>
    <m/>
    <m/>
    <m/>
    <m/>
    <m/>
    <m/>
    <m/>
    <n v="220346.32682782714"/>
    <n v="224400"/>
    <x v="63"/>
    <x v="58"/>
  </r>
  <r>
    <x v="1"/>
    <x v="7"/>
    <n v="8"/>
    <s v="200370"/>
    <s v="KORYFES SA"/>
    <x v="98"/>
    <x v="96"/>
    <s v="rHDPE"/>
    <s v="rHDPE thổi"/>
    <x v="0"/>
    <s v="XK"/>
    <s v="United Kingdom of Great Britain and Northern Ireland (the)"/>
    <x v="0"/>
    <n v="99000"/>
    <n v="3786649020.0000005"/>
    <n v="0"/>
    <n v="0"/>
    <n v="318453341.00000006"/>
    <n v="3468195679.0000005"/>
    <m/>
    <m/>
    <m/>
    <m/>
    <m/>
    <m/>
    <m/>
    <m/>
    <m/>
    <m/>
    <m/>
    <n v="132475.00683728038"/>
    <n v="144639.00000000003"/>
    <x v="131"/>
    <x v="98"/>
  </r>
  <r>
    <x v="1"/>
    <x v="7"/>
    <n v="8"/>
    <s v="200377"/>
    <s v="COLLECTIVE POLYMERS"/>
    <x v="39"/>
    <x v="37"/>
    <s v="Khác"/>
    <s v="Khác"/>
    <x v="8"/>
    <s v="NĐ"/>
    <s v="(blank)"/>
    <x v="0"/>
    <n v="0"/>
    <n v="0"/>
    <n v="0"/>
    <n v="0"/>
    <n v="-1030000"/>
    <n v="1030000"/>
    <m/>
    <m/>
    <m/>
    <m/>
    <m/>
    <m/>
    <m/>
    <m/>
    <m/>
    <m/>
    <m/>
    <n v="39.41381947707346"/>
    <n v="0"/>
    <x v="147"/>
    <x v="39"/>
  </r>
  <r>
    <x v="1"/>
    <x v="7"/>
    <n v="8"/>
    <s v="200382"/>
    <s v="MONTACHEM INTERNATIONAL"/>
    <x v="39"/>
    <x v="37"/>
    <s v="Khác"/>
    <s v="Khác"/>
    <x v="8"/>
    <s v="NĐ"/>
    <s v="(blank)"/>
    <x v="0"/>
    <n v="0"/>
    <n v="0"/>
    <n v="0"/>
    <n v="0"/>
    <n v="712537"/>
    <n v="-712537"/>
    <m/>
    <m/>
    <m/>
    <m/>
    <m/>
    <m/>
    <m/>
    <m/>
    <m/>
    <m/>
    <m/>
    <n v="-27.265829794888827"/>
    <n v="0"/>
    <x v="168"/>
    <x v="39"/>
  </r>
  <r>
    <x v="1"/>
    <x v="7"/>
    <n v="8"/>
    <s v="200383"/>
    <s v="Natures Organics - PIA"/>
    <x v="9"/>
    <x v="9"/>
    <s v="rPET"/>
    <s v="rPET"/>
    <x v="3"/>
    <s v="XK"/>
    <s v="Australia"/>
    <x v="0"/>
    <n v="44000"/>
    <n v="1466572799.9999998"/>
    <n v="3300000.1733648544"/>
    <n v="0"/>
    <n v="66849544"/>
    <n v="1396423255.8266349"/>
    <m/>
    <m/>
    <m/>
    <m/>
    <m/>
    <m/>
    <m/>
    <m/>
    <m/>
    <m/>
    <m/>
    <n v="53626.085093188747"/>
    <n v="56319.999999999993"/>
    <x v="169"/>
    <x v="9"/>
  </r>
  <r>
    <x v="1"/>
    <x v="7"/>
    <n v="8"/>
    <s v="200388"/>
    <s v="Svepol Americas Inc."/>
    <x v="33"/>
    <x v="31"/>
    <s v="rPET"/>
    <s v="rPET"/>
    <x v="3"/>
    <s v="XK"/>
    <s v="United States of America (the)"/>
    <x v="0"/>
    <n v="330000"/>
    <n v="11059540800"/>
    <n v="56007782.85467127"/>
    <n v="0"/>
    <n v="61299999.999999978"/>
    <n v="10942233017.145329"/>
    <m/>
    <m/>
    <m/>
    <m/>
    <m/>
    <m/>
    <m/>
    <m/>
    <m/>
    <m/>
    <m/>
    <n v="420531.63017468614"/>
    <n v="425040.00000000012"/>
    <x v="192"/>
    <x v="33"/>
  </r>
  <r>
    <x v="1"/>
    <x v="7"/>
    <n v="8"/>
    <s v="200390"/>
    <s v="AGRIFREDA"/>
    <x v="58"/>
    <x v="56"/>
    <s v="rPET"/>
    <s v="rPET"/>
    <x v="3"/>
    <s v="XK"/>
    <s v="Greece"/>
    <x v="0"/>
    <n v="44000"/>
    <n v="1237420800"/>
    <n v="3300000.1733648544"/>
    <n v="0"/>
    <n v="23116462"/>
    <n v="1211004337.8266351"/>
    <m/>
    <m/>
    <m/>
    <m/>
    <m/>
    <m/>
    <m/>
    <m/>
    <m/>
    <m/>
    <m/>
    <n v="46505.542927290138"/>
    <n v="47520"/>
    <x v="30"/>
    <x v="58"/>
  </r>
  <r>
    <x v="1"/>
    <x v="7"/>
    <n v="8"/>
    <s v="200392"/>
    <s v="RTCO"/>
    <x v="9"/>
    <x v="9"/>
    <s v="rPET"/>
    <s v="rPET"/>
    <x v="3"/>
    <s v="XK"/>
    <s v="China"/>
    <x v="0"/>
    <n v="300"/>
    <n v="10194600"/>
    <n v="165000.00866824272"/>
    <n v="0"/>
    <n v="4358372"/>
    <n v="5671227.991331757"/>
    <m/>
    <m/>
    <m/>
    <m/>
    <m/>
    <m/>
    <m/>
    <m/>
    <m/>
    <m/>
    <m/>
    <n v="216.95592927818504"/>
    <n v="390"/>
    <x v="193"/>
    <x v="9"/>
  </r>
  <r>
    <x v="1"/>
    <x v="7"/>
    <n v="8"/>
    <s v="200394"/>
    <s v="MHE ENTERPRISE"/>
    <x v="87"/>
    <x v="85"/>
    <s v="rHDPE"/>
    <s v="rHDPE thổi"/>
    <x v="0"/>
    <s v="XK"/>
    <s v="Ghana"/>
    <x v="0"/>
    <n v="27000"/>
    <n v="570109050"/>
    <n v="0"/>
    <n v="0"/>
    <n v="113299301"/>
    <n v="456809749"/>
    <m/>
    <m/>
    <m/>
    <m/>
    <m/>
    <m/>
    <m/>
    <m/>
    <m/>
    <m/>
    <m/>
    <n v="17415.545139153641"/>
    <n v="21735"/>
    <x v="194"/>
    <x v="87"/>
  </r>
  <r>
    <x v="1"/>
    <x v="7"/>
    <n v="8"/>
    <s v="2421100100"/>
    <s v="Chi phí phân bổ"/>
    <x v="36"/>
    <x v="34"/>
    <s v="Khác"/>
    <s v="Khác"/>
    <x v="2"/>
    <s v="NĐ"/>
    <s v="(blank)"/>
    <x v="0"/>
    <n v="0"/>
    <n v="0"/>
    <n v="0"/>
    <n v="0"/>
    <n v="0"/>
    <n v="0"/>
    <m/>
    <m/>
    <m/>
    <m/>
    <m/>
    <m/>
    <m/>
    <m/>
    <m/>
    <m/>
    <m/>
    <n v="0"/>
    <n v="0"/>
    <x v="64"/>
    <x v="36"/>
  </r>
  <r>
    <x v="1"/>
    <x v="7"/>
    <n v="8"/>
    <s v="2422200100"/>
    <s v="Chi phí trả trước dài hạn cho BP gián tiếp"/>
    <x v="27"/>
    <x v="25"/>
    <s v="Khác"/>
    <s v="Khác"/>
    <x v="2"/>
    <s v="NĐ"/>
    <s v="(blank)"/>
    <x v="0"/>
    <n v="0"/>
    <n v="0"/>
    <n v="0"/>
    <n v="0"/>
    <n v="0"/>
    <n v="0"/>
    <m/>
    <m/>
    <m/>
    <m/>
    <m/>
    <m/>
    <m/>
    <m/>
    <m/>
    <m/>
    <m/>
    <n v="0"/>
    <n v="0"/>
    <x v="112"/>
    <x v="27"/>
  </r>
  <r>
    <x v="1"/>
    <x v="7"/>
    <n v="8"/>
    <s v="300313"/>
    <s v="Công ty TNHH Nhựa Khánh Nga"/>
    <x v="35"/>
    <x v="33"/>
    <s v="Khác"/>
    <s v="Khác"/>
    <x v="2"/>
    <s v="NĐ"/>
    <s v="(blank)"/>
    <x v="0"/>
    <n v="0"/>
    <n v="19500000"/>
    <n v="0"/>
    <n v="0"/>
    <n v="0"/>
    <n v="19500000"/>
    <m/>
    <m/>
    <m/>
    <m/>
    <m/>
    <m/>
    <m/>
    <m/>
    <m/>
    <m/>
    <m/>
    <n v="746.18396097372079"/>
    <n v="746.18396097372079"/>
    <x v="18"/>
    <x v="35"/>
  </r>
  <r>
    <x v="1"/>
    <x v="7"/>
    <n v="8"/>
    <s v="300392"/>
    <s v="MARICO"/>
    <x v="26"/>
    <x v="24"/>
    <s v="Khác"/>
    <s v="Khác"/>
    <x v="2"/>
    <s v="NĐ"/>
    <s v="(blank)"/>
    <x v="0"/>
    <n v="0"/>
    <n v="182193647"/>
    <n v="0"/>
    <n v="0"/>
    <n v="0"/>
    <n v="182193647"/>
    <m/>
    <m/>
    <m/>
    <m/>
    <m/>
    <m/>
    <m/>
    <m/>
    <m/>
    <m/>
    <m/>
    <n v="6971.7937016773267"/>
    <n v="6971.7937016773267"/>
    <x v="195"/>
    <x v="26"/>
  </r>
  <r>
    <x v="1"/>
    <x v="7"/>
    <n v="8"/>
    <s v="300979"/>
    <s v="YEI MACHINERY FACTORY CO."/>
    <x v="27"/>
    <x v="25"/>
    <s v="Khác"/>
    <s v="Khác"/>
    <x v="2"/>
    <s v="NĐ"/>
    <s v="(blank)"/>
    <x v="0"/>
    <n v="0"/>
    <n v="0"/>
    <n v="0"/>
    <n v="0"/>
    <n v="0"/>
    <n v="0"/>
    <m/>
    <m/>
    <m/>
    <m/>
    <m/>
    <m/>
    <m/>
    <m/>
    <m/>
    <m/>
    <m/>
    <n v="0"/>
    <n v="0"/>
    <x v="196"/>
    <x v="27"/>
  </r>
  <r>
    <x v="1"/>
    <x v="7"/>
    <n v="8"/>
    <s v="3358000400"/>
    <s v="Chí phí phải trả khác- Open item"/>
    <x v="36"/>
    <x v="34"/>
    <s v="Khác"/>
    <s v="Khác"/>
    <x v="2"/>
    <s v="NĐ"/>
    <s v="(blank)"/>
    <x v="0"/>
    <n v="0"/>
    <n v="0"/>
    <n v="0"/>
    <n v="0"/>
    <n v="0"/>
    <n v="0"/>
    <m/>
    <m/>
    <m/>
    <m/>
    <m/>
    <m/>
    <m/>
    <m/>
    <m/>
    <m/>
    <m/>
    <n v="0"/>
    <n v="0"/>
    <x v="19"/>
    <x v="36"/>
  </r>
  <r>
    <x v="1"/>
    <x v="7"/>
    <n v="8"/>
    <s v="3381000100"/>
    <s v="TS thừa chờ g/quyết"/>
    <x v="60"/>
    <x v="58"/>
    <s v="Khác"/>
    <s v="Khác"/>
    <x v="2"/>
    <s v="NĐ"/>
    <s v="(blank)"/>
    <x v="0"/>
    <n v="0"/>
    <n v="0"/>
    <n v="0"/>
    <n v="0"/>
    <n v="0"/>
    <n v="0"/>
    <m/>
    <m/>
    <m/>
    <m/>
    <m/>
    <m/>
    <m/>
    <m/>
    <m/>
    <m/>
    <m/>
    <n v="0"/>
    <n v="0"/>
    <x v="162"/>
    <x v="60"/>
  </r>
  <r>
    <x v="1"/>
    <x v="7"/>
    <n v="8"/>
    <s v="6219000900"/>
    <s v="Kết chuyển CPSX không phân bổ được"/>
    <x v="37"/>
    <x v="35"/>
    <s v="Khác"/>
    <s v="Khác"/>
    <x v="2"/>
    <s v="NĐ"/>
    <s v="(blank)"/>
    <x v="0"/>
    <n v="0"/>
    <n v="0"/>
    <n v="0"/>
    <n v="0"/>
    <n v="0"/>
    <n v="0"/>
    <m/>
    <m/>
    <m/>
    <m/>
    <m/>
    <m/>
    <m/>
    <m/>
    <m/>
    <m/>
    <m/>
    <n v="0"/>
    <n v="0"/>
    <x v="20"/>
    <x v="37"/>
  </r>
  <r>
    <x v="1"/>
    <x v="7"/>
    <n v="8"/>
    <s v="6427004702"/>
    <s v="Tài trợ thương hiệu Duy Tân"/>
    <x v="27"/>
    <x v="25"/>
    <s v="Khác"/>
    <s v="Khác"/>
    <x v="2"/>
    <s v="NĐ"/>
    <s v="(blank)"/>
    <x v="0"/>
    <n v="0"/>
    <n v="-7000000"/>
    <n v="0"/>
    <n v="0"/>
    <n v="0"/>
    <n v="-7000000"/>
    <m/>
    <m/>
    <m/>
    <m/>
    <m/>
    <m/>
    <m/>
    <m/>
    <m/>
    <m/>
    <m/>
    <n v="-267.8609090674895"/>
    <n v="-267.8609090674895"/>
    <x v="197"/>
    <x v="27"/>
  </r>
  <r>
    <x v="1"/>
    <x v="7"/>
    <n v="8"/>
    <s v="6427005601"/>
    <s v="Chi phí tiếp khách"/>
    <x v="27"/>
    <x v="25"/>
    <s v="Khác"/>
    <s v="Khác"/>
    <x v="2"/>
    <s v="NĐ"/>
    <s v="(blank)"/>
    <x v="0"/>
    <n v="0"/>
    <n v="-60360000"/>
    <n v="0"/>
    <n v="0"/>
    <n v="0"/>
    <n v="-60360000"/>
    <m/>
    <m/>
    <m/>
    <m/>
    <m/>
    <m/>
    <m/>
    <m/>
    <m/>
    <m/>
    <m/>
    <n v="-2309.7263530448099"/>
    <n v="-2309.7263530448099"/>
    <x v="118"/>
    <x v="27"/>
  </r>
  <r>
    <x v="1"/>
    <x v="7"/>
    <n v="8"/>
    <s v="6427005602"/>
    <s v="CP tiệc, phúc lợi"/>
    <x v="27"/>
    <x v="25"/>
    <s v="Khác"/>
    <s v="Khác"/>
    <x v="2"/>
    <s v="NĐ"/>
    <s v="(blank)"/>
    <x v="0"/>
    <n v="0"/>
    <n v="-3409091"/>
    <n v="0"/>
    <n v="0"/>
    <n v="0"/>
    <n v="-3409091"/>
    <m/>
    <m/>
    <m/>
    <m/>
    <m/>
    <m/>
    <m/>
    <m/>
    <m/>
    <m/>
    <m/>
    <n v="-130.45174490768528"/>
    <n v="-130.45174490768528"/>
    <x v="198"/>
    <x v="27"/>
  </r>
  <r>
    <x v="1"/>
    <x v="7"/>
    <n v="8"/>
    <s v="6428007201"/>
    <s v="Chi phí bằng tiền khác"/>
    <x v="27"/>
    <x v="25"/>
    <s v="Khác"/>
    <s v="Khác"/>
    <x v="2"/>
    <s v="NĐ"/>
    <s v="(blank)"/>
    <x v="0"/>
    <n v="0"/>
    <n v="-219992649"/>
    <n v="0"/>
    <n v="0"/>
    <n v="0"/>
    <n v="-219992649"/>
    <m/>
    <m/>
    <m/>
    <m/>
    <m/>
    <m/>
    <m/>
    <m/>
    <m/>
    <m/>
    <m/>
    <n v="-8418.2044213293066"/>
    <n v="-8418.2044213293066"/>
    <x v="150"/>
    <x v="27"/>
  </r>
  <r>
    <x v="1"/>
    <x v="7"/>
    <n v="8"/>
    <s v="BN"/>
    <s v="Bán Ngoài"/>
    <x v="38"/>
    <x v="36"/>
    <s v="Khác"/>
    <s v="Khác"/>
    <x v="2"/>
    <s v="NĐ"/>
    <s v="(blank)"/>
    <x v="0"/>
    <n v="0"/>
    <n v="0"/>
    <n v="15210242.83137146"/>
    <n v="0"/>
    <n v="6300000"/>
    <n v="-21510242.83137146"/>
    <m/>
    <m/>
    <m/>
    <m/>
    <m/>
    <m/>
    <m/>
    <m/>
    <m/>
    <m/>
    <m/>
    <n v="-823.10759986765834"/>
    <n v="0"/>
    <x v="21"/>
    <x v="38"/>
  </r>
  <r>
    <x v="1"/>
    <x v="7"/>
    <n v="8"/>
    <s v="BN"/>
    <s v="Bán Ngoài"/>
    <x v="59"/>
    <x v="57"/>
    <s v="Khác"/>
    <s v="Khác"/>
    <x v="13"/>
    <s v="NĐ"/>
    <s v="(blank)"/>
    <x v="0"/>
    <n v="0"/>
    <n v="0"/>
    <n v="0"/>
    <n v="0"/>
    <n v="-19398756.000000052"/>
    <n v="19398756.000000052"/>
    <m/>
    <m/>
    <m/>
    <m/>
    <m/>
    <m/>
    <m/>
    <m/>
    <m/>
    <m/>
    <m/>
    <n v="742.30977384834728"/>
    <n v="0"/>
    <x v="21"/>
    <x v="59"/>
  </r>
  <r>
    <x v="1"/>
    <x v="7"/>
    <n v="8"/>
    <s v="BN"/>
    <s v="Bán Ngoài"/>
    <x v="39"/>
    <x v="37"/>
    <s v="Khác"/>
    <s v="Khác"/>
    <x v="8"/>
    <s v="NĐ"/>
    <s v="(blank)"/>
    <x v="0"/>
    <n v="0"/>
    <n v="0"/>
    <n v="0"/>
    <n v="0"/>
    <n v="12295604.999999968"/>
    <n v="-12295604.999999968"/>
    <m/>
    <m/>
    <m/>
    <m/>
    <m/>
    <m/>
    <m/>
    <m/>
    <m/>
    <m/>
    <m/>
    <n v="-470.50170469068098"/>
    <n v="0"/>
    <x v="21"/>
    <x v="39"/>
  </r>
  <r>
    <x v="1"/>
    <x v="7"/>
    <n v="8"/>
    <s v="BN"/>
    <s v="Bán Ngoài"/>
    <x v="27"/>
    <x v="25"/>
    <s v="Khác"/>
    <s v="Khác"/>
    <x v="2"/>
    <s v="NĐ"/>
    <s v="(blank)"/>
    <x v="0"/>
    <n v="0"/>
    <n v="0"/>
    <n v="0"/>
    <n v="0"/>
    <n v="3080000"/>
    <n v="-3080000"/>
    <m/>
    <m/>
    <m/>
    <m/>
    <m/>
    <m/>
    <m/>
    <m/>
    <m/>
    <m/>
    <m/>
    <n v="-117.85879998969538"/>
    <n v="0"/>
    <x v="21"/>
    <x v="27"/>
  </r>
  <r>
    <x v="1"/>
    <x v="7"/>
    <n v="8"/>
    <s v="BN"/>
    <s v="Bán Ngoài"/>
    <x v="41"/>
    <x v="39"/>
    <s v="Khác"/>
    <s v="Khác"/>
    <x v="2"/>
    <s v="NĐ"/>
    <s v="(blank)"/>
    <x v="0"/>
    <n v="0"/>
    <n v="0"/>
    <n v="0"/>
    <n v="0"/>
    <n v="0"/>
    <n v="0"/>
    <m/>
    <m/>
    <m/>
    <m/>
    <m/>
    <m/>
    <m/>
    <m/>
    <m/>
    <m/>
    <m/>
    <n v="0"/>
    <n v="0"/>
    <x v="21"/>
    <x v="41"/>
  </r>
  <r>
    <x v="1"/>
    <x v="8"/>
    <n v="9"/>
    <s v="1000"/>
    <s v="CPSX Nhựa Duy Tân"/>
    <x v="9"/>
    <x v="9"/>
    <s v="rPET"/>
    <s v="rPET"/>
    <x v="3"/>
    <s v="NĐ"/>
    <s v="(blank)"/>
    <x v="0"/>
    <n v="16500"/>
    <n v="535449860"/>
    <n v="2469556.7138810195"/>
    <n v="0"/>
    <n v="0"/>
    <n v="532980303.28611898"/>
    <m/>
    <m/>
    <m/>
    <m/>
    <m/>
    <m/>
    <m/>
    <m/>
    <m/>
    <m/>
    <m/>
    <n v="20334.61760555561"/>
    <n v="20428.837769269699"/>
    <x v="0"/>
    <x v="9"/>
  </r>
  <r>
    <x v="1"/>
    <x v="8"/>
    <n v="9"/>
    <s v="1000"/>
    <s v="CPSX Nhựa Duy Tân"/>
    <x v="2"/>
    <x v="2"/>
    <s v="rHDPE"/>
    <s v="rHDPE ép"/>
    <x v="1"/>
    <s v="NĐ"/>
    <s v="(blank)"/>
    <x v="0"/>
    <n v="11000"/>
    <n v="220000000"/>
    <n v="0"/>
    <n v="0"/>
    <n v="0"/>
    <n v="220000000"/>
    <m/>
    <m/>
    <m/>
    <m/>
    <m/>
    <m/>
    <m/>
    <m/>
    <m/>
    <m/>
    <m/>
    <n v="8393.5857397354321"/>
    <n v="8393.5857397354321"/>
    <x v="0"/>
    <x v="2"/>
  </r>
  <r>
    <x v="1"/>
    <x v="8"/>
    <n v="9"/>
    <s v="1000"/>
    <s v="CPSX Nhựa Duy Tân"/>
    <x v="3"/>
    <x v="3"/>
    <s v="rHDPE"/>
    <s v="rHDPE ép"/>
    <x v="1"/>
    <s v="NĐ"/>
    <s v="(blank)"/>
    <x v="0"/>
    <n v="5500"/>
    <n v="110000000"/>
    <n v="0"/>
    <n v="0"/>
    <n v="0"/>
    <n v="110000000"/>
    <m/>
    <m/>
    <m/>
    <m/>
    <m/>
    <m/>
    <m/>
    <m/>
    <m/>
    <m/>
    <m/>
    <n v="4196.792869867716"/>
    <n v="4196.792869867716"/>
    <x v="0"/>
    <x v="3"/>
  </r>
  <r>
    <x v="1"/>
    <x v="8"/>
    <n v="9"/>
    <s v="1000"/>
    <s v="CPSX Nhựa Duy Tân"/>
    <x v="4"/>
    <x v="4"/>
    <s v="rHDPE"/>
    <s v="rHDPE ép"/>
    <x v="1"/>
    <s v="NĐ"/>
    <s v="(blank)"/>
    <x v="0"/>
    <n v="2750"/>
    <n v="55000000"/>
    <n v="0"/>
    <n v="0"/>
    <n v="0"/>
    <n v="55000000"/>
    <m/>
    <m/>
    <m/>
    <m/>
    <m/>
    <m/>
    <m/>
    <m/>
    <m/>
    <m/>
    <m/>
    <n v="2098.396434933858"/>
    <n v="2098.396434933858"/>
    <x v="0"/>
    <x v="4"/>
  </r>
  <r>
    <x v="1"/>
    <x v="8"/>
    <n v="9"/>
    <s v="1000"/>
    <s v="CPSX Nhựa Duy Tân"/>
    <x v="86"/>
    <x v="84"/>
    <s v="rPP"/>
    <s v="rPP"/>
    <x v="6"/>
    <s v="NĐ"/>
    <s v="(blank)"/>
    <x v="0"/>
    <n v="25"/>
    <n v="715716"/>
    <n v="0"/>
    <n v="0"/>
    <n v="0"/>
    <n v="715716"/>
    <m/>
    <m/>
    <m/>
    <m/>
    <m/>
    <m/>
    <m/>
    <m/>
    <m/>
    <m/>
    <m/>
    <n v="27.30647096045675"/>
    <n v="27.30647096045675"/>
    <x v="0"/>
    <x v="86"/>
  </r>
  <r>
    <x v="1"/>
    <x v="8"/>
    <n v="9"/>
    <s v="101290"/>
    <s v="Cty Thạnh Phát"/>
    <x v="7"/>
    <x v="7"/>
    <s v="Khác"/>
    <s v="Khác"/>
    <x v="2"/>
    <s v="NĐ"/>
    <s v="(blank)"/>
    <x v="0"/>
    <n v="0"/>
    <n v="0"/>
    <n v="0"/>
    <n v="0"/>
    <n v="0"/>
    <n v="0"/>
    <m/>
    <m/>
    <m/>
    <m/>
    <m/>
    <m/>
    <m/>
    <m/>
    <m/>
    <m/>
    <m/>
    <n v="0"/>
    <n v="0"/>
    <x v="1"/>
    <x v="7"/>
  </r>
  <r>
    <x v="1"/>
    <x v="8"/>
    <n v="9"/>
    <s v="104894"/>
    <s v="UNILEVER-NGỌC NGHĨA"/>
    <x v="9"/>
    <x v="9"/>
    <s v="rPET"/>
    <s v="rPET"/>
    <x v="3"/>
    <s v="NĐ"/>
    <s v="(blank)"/>
    <x v="0"/>
    <n v="330000"/>
    <n v="10970850000"/>
    <n v="49391134.277620383"/>
    <n v="0"/>
    <n v="46200000"/>
    <n v="10875258865.72238"/>
    <m/>
    <m/>
    <m/>
    <m/>
    <m/>
    <m/>
    <m/>
    <m/>
    <m/>
    <m/>
    <m/>
    <n v="414920.08059663052"/>
    <n v="418567.13687625679"/>
    <x v="2"/>
    <x v="9"/>
  </r>
  <r>
    <x v="1"/>
    <x v="8"/>
    <n v="9"/>
    <s v="104894"/>
    <s v="UNILEVER-NGỌC NGHĨA"/>
    <x v="39"/>
    <x v="37"/>
    <s v="Khác"/>
    <s v="Khác"/>
    <x v="8"/>
    <s v="NĐ"/>
    <s v="(blank)"/>
    <x v="0"/>
    <n v="0"/>
    <n v="0"/>
    <n v="0"/>
    <n v="0"/>
    <n v="0"/>
    <n v="0"/>
    <m/>
    <m/>
    <m/>
    <m/>
    <m/>
    <m/>
    <m/>
    <m/>
    <m/>
    <m/>
    <m/>
    <n v="2.8421709430404007E-14"/>
    <n v="0"/>
    <x v="2"/>
    <x v="39"/>
  </r>
  <r>
    <x v="1"/>
    <x v="8"/>
    <n v="9"/>
    <s v="104909"/>
    <s v="Công ty TNHH La Vie"/>
    <x v="124"/>
    <x v="122"/>
    <s v="rPET"/>
    <s v="rPET"/>
    <x v="3"/>
    <s v="NĐ"/>
    <s v="(blank)"/>
    <x v="0"/>
    <n v="237600"/>
    <n v="8726161752"/>
    <n v="27337802.862708867"/>
    <n v="0"/>
    <n v="2948000"/>
    <n v="8695875949.1372871"/>
    <m/>
    <m/>
    <m/>
    <m/>
    <m/>
    <m/>
    <m/>
    <m/>
    <m/>
    <m/>
    <m/>
    <n v="331770.81982357765"/>
    <n v="332926.30383732705"/>
    <x v="4"/>
    <x v="124"/>
  </r>
  <r>
    <x v="1"/>
    <x v="8"/>
    <n v="9"/>
    <s v="104909"/>
    <s v="Công ty TNHH La Vie"/>
    <x v="124"/>
    <x v="122"/>
    <s v="rPET"/>
    <s v="rPET"/>
    <x v="3"/>
    <s v="(blank)"/>
    <s v="(blank)"/>
    <x v="1"/>
    <n v="-2685"/>
    <n v="-99358425"/>
    <n v="-493911.34277620399"/>
    <n v="0"/>
    <n v="0"/>
    <n v="-98864513.657223791"/>
    <m/>
    <m/>
    <m/>
    <m/>
    <m/>
    <m/>
    <m/>
    <m/>
    <m/>
    <m/>
    <m/>
    <n v="-3771.9444181779659"/>
    <n v="-3790.7884509207838"/>
    <x v="4"/>
    <x v="124"/>
  </r>
  <r>
    <x v="1"/>
    <x v="8"/>
    <n v="9"/>
    <s v="104909"/>
    <s v="Công ty TNHH La Vie"/>
    <x v="124"/>
    <x v="122"/>
    <s v="rPET"/>
    <s v="rPET"/>
    <x v="3"/>
    <s v="(blank)"/>
    <s v="(blank)"/>
    <x v="2"/>
    <n v="2685"/>
    <n v="99358425"/>
    <n v="493911.34277620399"/>
    <n v="0"/>
    <n v="0"/>
    <n v="98864513.657223791"/>
    <m/>
    <m/>
    <m/>
    <m/>
    <m/>
    <m/>
    <m/>
    <m/>
    <m/>
    <m/>
    <m/>
    <n v="3771.9444181779659"/>
    <n v="3790.7884509207838"/>
    <x v="4"/>
    <x v="124"/>
  </r>
  <r>
    <x v="1"/>
    <x v="8"/>
    <n v="9"/>
    <s v="105186"/>
    <s v="CÔNG TY TNHH HON CHUAN VIETNAM"/>
    <x v="9"/>
    <x v="9"/>
    <s v="rPET"/>
    <s v="rPET"/>
    <x v="3"/>
    <s v="NĐ"/>
    <s v="(blank)"/>
    <x v="0"/>
    <n v="500"/>
    <n v="17822500"/>
    <n v="164637.11425873465"/>
    <n v="0"/>
    <n v="1200000"/>
    <n v="16457862.885741265"/>
    <m/>
    <m/>
    <m/>
    <m/>
    <m/>
    <m/>
    <m/>
    <m/>
    <m/>
    <m/>
    <m/>
    <n v="627.91128738308601"/>
    <n v="679.97582657470343"/>
    <x v="7"/>
    <x v="9"/>
  </r>
  <r>
    <x v="1"/>
    <x v="8"/>
    <n v="9"/>
    <s v="105186"/>
    <s v="CÔNG TY TNHH HON CHUAN VIETNAM"/>
    <x v="39"/>
    <x v="37"/>
    <s v="Khác"/>
    <s v="Khác"/>
    <x v="8"/>
    <s v="NĐ"/>
    <s v="(blank)"/>
    <x v="0"/>
    <n v="0"/>
    <n v="0"/>
    <n v="0"/>
    <n v="0"/>
    <n v="-1200000"/>
    <n v="1200000"/>
    <m/>
    <m/>
    <m/>
    <m/>
    <m/>
    <m/>
    <m/>
    <m/>
    <m/>
    <m/>
    <m/>
    <n v="45.783194944011449"/>
    <n v="0"/>
    <x v="7"/>
    <x v="39"/>
  </r>
  <r>
    <x v="1"/>
    <x v="8"/>
    <n v="9"/>
    <s v="105194"/>
    <s v="Suntory Việt Nam"/>
    <x v="8"/>
    <x v="8"/>
    <s v="rPET"/>
    <s v="rPET"/>
    <x v="3"/>
    <s v="NĐ"/>
    <s v="(blank)"/>
    <x v="0"/>
    <n v="308000"/>
    <n v="10969420000"/>
    <n v="33842865.591397859"/>
    <n v="0"/>
    <n v="382648148"/>
    <n v="10391626306.408604"/>
    <m/>
    <m/>
    <m/>
    <m/>
    <m/>
    <m/>
    <m/>
    <m/>
    <m/>
    <m/>
    <m/>
    <n v="396468.2108096857"/>
    <n v="418512.57856894849"/>
    <x v="7"/>
    <x v="8"/>
  </r>
  <r>
    <x v="1"/>
    <x v="8"/>
    <n v="9"/>
    <s v="105194"/>
    <s v="Suntory Việt Nam"/>
    <x v="8"/>
    <x v="8"/>
    <s v="rPET"/>
    <s v="rPET"/>
    <x v="3"/>
    <s v="NĐ"/>
    <s v="(blank)"/>
    <x v="6"/>
    <n v="0"/>
    <n v="-268400"/>
    <n v="0"/>
    <n v="0"/>
    <n v="0"/>
    <n v="-268400"/>
    <m/>
    <m/>
    <m/>
    <m/>
    <m/>
    <m/>
    <m/>
    <m/>
    <m/>
    <m/>
    <m/>
    <n v="-10.240174602477227"/>
    <n v="-10.240174602477227"/>
    <x v="7"/>
    <x v="8"/>
  </r>
  <r>
    <x v="1"/>
    <x v="8"/>
    <n v="9"/>
    <s v="105194"/>
    <s v="Suntory Việt Nam"/>
    <x v="8"/>
    <x v="8"/>
    <s v="rPET"/>
    <s v="rPET"/>
    <x v="3"/>
    <s v="NĐ"/>
    <s v="(blank)"/>
    <x v="3"/>
    <n v="-181500"/>
    <n v="-6716139100"/>
    <n v="-21253319.591397852"/>
    <n v="0"/>
    <n v="145185184"/>
    <n v="-6741226940.4086018"/>
    <m/>
    <m/>
    <m/>
    <m/>
    <m/>
    <m/>
    <m/>
    <m/>
    <m/>
    <m/>
    <m/>
    <n v="-257195.75597879075"/>
    <n v="-256238.58807199806"/>
    <x v="7"/>
    <x v="8"/>
  </r>
  <r>
    <x v="1"/>
    <x v="8"/>
    <n v="9"/>
    <s v="105194"/>
    <s v="Suntory Việt Nam"/>
    <x v="39"/>
    <x v="37"/>
    <s v="Khác"/>
    <s v="Khác"/>
    <x v="8"/>
    <s v="NĐ"/>
    <s v="(blank)"/>
    <x v="0"/>
    <n v="0"/>
    <n v="0"/>
    <n v="0"/>
    <n v="0"/>
    <n v="-84000000"/>
    <n v="84000000"/>
    <m/>
    <m/>
    <m/>
    <m/>
    <m/>
    <m/>
    <m/>
    <m/>
    <m/>
    <m/>
    <m/>
    <n v="3204.8236460808016"/>
    <n v="0"/>
    <x v="7"/>
    <x v="39"/>
  </r>
  <r>
    <x v="1"/>
    <x v="8"/>
    <n v="9"/>
    <s v="105194"/>
    <s v="Suntory Việt Nam"/>
    <x v="27"/>
    <x v="25"/>
    <s v="Khác"/>
    <s v="Khác"/>
    <x v="2"/>
    <s v="NĐ"/>
    <s v="(blank)"/>
    <x v="0"/>
    <n v="0"/>
    <n v="5950200"/>
    <n v="0"/>
    <n v="0"/>
    <n v="0"/>
    <n v="5950200"/>
    <m/>
    <m/>
    <m/>
    <m/>
    <m/>
    <m/>
    <m/>
    <m/>
    <m/>
    <m/>
    <m/>
    <n v="227.01597212988077"/>
    <n v="227.01597212988077"/>
    <x v="7"/>
    <x v="27"/>
  </r>
  <r>
    <x v="1"/>
    <x v="8"/>
    <n v="9"/>
    <s v="105204"/>
    <s v="CTY NGỌC NGHĨA-TÂY NINH"/>
    <x v="9"/>
    <x v="9"/>
    <s v="rPET"/>
    <s v="rPET"/>
    <x v="3"/>
    <s v="NĐ"/>
    <s v="(blank)"/>
    <x v="0"/>
    <n v="66000"/>
    <n v="2125728000"/>
    <n v="9878226.8555240799"/>
    <n v="0"/>
    <n v="9240000"/>
    <n v="2106609773.1444757"/>
    <m/>
    <m/>
    <m/>
    <m/>
    <m/>
    <m/>
    <m/>
    <m/>
    <m/>
    <m/>
    <m/>
    <n v="80372.771595694387"/>
    <n v="81102.18285161964"/>
    <x v="5"/>
    <x v="9"/>
  </r>
  <r>
    <x v="1"/>
    <x v="8"/>
    <n v="9"/>
    <s v="105214"/>
    <s v="Người mua hàng không lấy hóa đơn"/>
    <x v="119"/>
    <x v="117"/>
    <s v="rLDPE"/>
    <s v="rLDPE"/>
    <x v="14"/>
    <s v="NĐ"/>
    <s v="(blank)"/>
    <x v="0"/>
    <n v="7718"/>
    <n v="114340741"/>
    <n v="0"/>
    <n v="0"/>
    <n v="0"/>
    <n v="114340741"/>
    <m/>
    <m/>
    <m/>
    <m/>
    <m/>
    <m/>
    <m/>
    <m/>
    <m/>
    <m/>
    <m/>
    <n v="4362.4036960381018"/>
    <n v="4362.4036960381018"/>
    <x v="9"/>
    <x v="119"/>
  </r>
  <r>
    <x v="1"/>
    <x v="8"/>
    <n v="9"/>
    <s v="105214"/>
    <s v="Người mua hàng không lấy hóa đơn"/>
    <x v="127"/>
    <x v="125"/>
    <s v="Khác"/>
    <s v="Phó sản"/>
    <x v="5"/>
    <s v="NĐ"/>
    <s v="(blank)"/>
    <x v="0"/>
    <n v="14422"/>
    <n v="1335370"/>
    <n v="0"/>
    <n v="0"/>
    <n v="0"/>
    <n v="1335370"/>
    <m/>
    <m/>
    <m/>
    <m/>
    <m/>
    <m/>
    <m/>
    <m/>
    <m/>
    <m/>
    <m/>
    <n v="50.947920860320473"/>
    <n v="50.947920860320473"/>
    <x v="9"/>
    <x v="127"/>
  </r>
  <r>
    <x v="1"/>
    <x v="8"/>
    <n v="9"/>
    <s v="105214"/>
    <s v="Người mua hàng không lấy hóa đơn"/>
    <x v="108"/>
    <x v="106"/>
    <s v="Khác"/>
    <s v="Phó sản"/>
    <x v="5"/>
    <s v="NĐ"/>
    <s v="(blank)"/>
    <x v="0"/>
    <n v="24501"/>
    <n v="2268611"/>
    <n v="0"/>
    <n v="0"/>
    <n v="0"/>
    <n v="2268611"/>
    <m/>
    <m/>
    <m/>
    <m/>
    <m/>
    <m/>
    <m/>
    <m/>
    <m/>
    <m/>
    <m/>
    <n v="86.553549720940623"/>
    <n v="86.553549720940623"/>
    <x v="9"/>
    <x v="108"/>
  </r>
  <r>
    <x v="1"/>
    <x v="8"/>
    <n v="9"/>
    <s v="105214"/>
    <s v="Người mua hàng không lấy hóa đơn"/>
    <x v="27"/>
    <x v="25"/>
    <s v="Khác"/>
    <s v="Khác"/>
    <x v="2"/>
    <s v="NĐ"/>
    <s v="(blank)"/>
    <x v="0"/>
    <n v="0"/>
    <n v="52731480"/>
    <n v="0"/>
    <n v="0"/>
    <n v="0"/>
    <n v="52731480"/>
    <m/>
    <m/>
    <m/>
    <m/>
    <m/>
    <m/>
    <m/>
    <m/>
    <m/>
    <m/>
    <m/>
    <n v="2011.8463571052007"/>
    <n v="2011.8463571052007"/>
    <x v="9"/>
    <x v="27"/>
  </r>
  <r>
    <x v="1"/>
    <x v="8"/>
    <n v="9"/>
    <s v="105223"/>
    <s v="Dynaplast Bắc Ninh"/>
    <x v="1"/>
    <x v="1"/>
    <s v="rHDPE"/>
    <s v="rHDPE thổi"/>
    <x v="0"/>
    <s v="NĐ"/>
    <s v="(blank)"/>
    <x v="0"/>
    <n v="35750"/>
    <n v="1315883250"/>
    <n v="0"/>
    <n v="0"/>
    <n v="31111111"/>
    <n v="1284772139"/>
    <m/>
    <m/>
    <m/>
    <m/>
    <m/>
    <m/>
    <m/>
    <m/>
    <m/>
    <m/>
    <m/>
    <n v="49017.477748726313"/>
    <n v="50204.4494652578"/>
    <x v="2"/>
    <x v="1"/>
  </r>
  <r>
    <x v="1"/>
    <x v="8"/>
    <n v="9"/>
    <s v="105223"/>
    <s v="Dynaplast Bắc Ninh"/>
    <x v="59"/>
    <x v="57"/>
    <s v="Khác"/>
    <s v="Khác"/>
    <x v="13"/>
    <s v="NĐ"/>
    <s v="(blank)"/>
    <x v="0"/>
    <n v="0"/>
    <n v="0"/>
    <n v="0"/>
    <n v="0"/>
    <n v="17685185"/>
    <n v="-17685185"/>
    <m/>
    <m/>
    <m/>
    <m/>
    <m/>
    <m/>
    <m/>
    <m/>
    <m/>
    <m/>
    <m/>
    <n v="-674.7368937299226"/>
    <n v="0"/>
    <x v="2"/>
    <x v="59"/>
  </r>
  <r>
    <x v="1"/>
    <x v="8"/>
    <n v="9"/>
    <s v="105229"/>
    <s v="GIA TƯỜNG"/>
    <x v="44"/>
    <x v="42"/>
    <s v="GC"/>
    <s v="GC"/>
    <x v="10"/>
    <s v="NĐ"/>
    <s v="(blank)"/>
    <x v="0"/>
    <n v="220000"/>
    <n v="4056500000"/>
    <n v="0"/>
    <n v="295650000"/>
    <n v="0"/>
    <n v="3760850000"/>
    <m/>
    <m/>
    <m/>
    <m/>
    <m/>
    <m/>
    <m/>
    <m/>
    <m/>
    <m/>
    <m/>
    <n v="143486.44058765456"/>
    <n v="154766.27524198536"/>
    <x v="24"/>
    <x v="44"/>
  </r>
  <r>
    <x v="1"/>
    <x v="8"/>
    <n v="9"/>
    <s v="105247"/>
    <s v="MINH THÀNH"/>
    <x v="29"/>
    <x v="27"/>
    <s v="Khác"/>
    <s v="Phó sản"/>
    <x v="5"/>
    <s v="NĐ"/>
    <s v="(blank)"/>
    <x v="0"/>
    <n v="34534"/>
    <n v="679475000"/>
    <n v="0"/>
    <n v="0"/>
    <n v="0"/>
    <n v="679475000"/>
    <m/>
    <m/>
    <m/>
    <m/>
    <m/>
    <m/>
    <m/>
    <m/>
    <m/>
    <m/>
    <m/>
    <n v="25923.780320485148"/>
    <n v="25923.780320485148"/>
    <x v="10"/>
    <x v="29"/>
  </r>
  <r>
    <x v="1"/>
    <x v="8"/>
    <n v="9"/>
    <s v="105247"/>
    <s v="MINH THÀNH"/>
    <x v="79"/>
    <x v="77"/>
    <s v="Khác"/>
    <s v="Phó sản"/>
    <x v="5"/>
    <s v="NĐ"/>
    <s v="(blank)"/>
    <x v="0"/>
    <n v="2032"/>
    <n v="39624000"/>
    <n v="0"/>
    <n v="0"/>
    <n v="0"/>
    <n v="39624000"/>
    <m/>
    <m/>
    <m/>
    <m/>
    <m/>
    <m/>
    <m/>
    <m/>
    <m/>
    <m/>
    <m/>
    <n v="1511.761097051258"/>
    <n v="1511.761097051258"/>
    <x v="10"/>
    <x v="79"/>
  </r>
  <r>
    <x v="1"/>
    <x v="8"/>
    <n v="9"/>
    <s v="105247"/>
    <s v="MINH THÀNH"/>
    <x v="106"/>
    <x v="104"/>
    <s v="Khác"/>
    <s v="Phó sản"/>
    <x v="5"/>
    <s v="NĐ"/>
    <s v="(blank)"/>
    <x v="0"/>
    <n v="2082"/>
    <n v="39558000"/>
    <n v="0"/>
    <n v="0"/>
    <n v="0"/>
    <n v="39558000"/>
    <m/>
    <m/>
    <m/>
    <m/>
    <m/>
    <m/>
    <m/>
    <m/>
    <m/>
    <m/>
    <m/>
    <n v="1509.2430213293374"/>
    <n v="1509.2430213293374"/>
    <x v="10"/>
    <x v="106"/>
  </r>
  <r>
    <x v="1"/>
    <x v="8"/>
    <n v="9"/>
    <s v="105248"/>
    <s v="ĐẠI NHẤT LONG"/>
    <x v="109"/>
    <x v="107"/>
    <s v="rPP"/>
    <s v="rPP"/>
    <x v="6"/>
    <s v="NĐ"/>
    <s v="(blank)"/>
    <x v="0"/>
    <n v="16500"/>
    <n v="320833333"/>
    <n v="0"/>
    <n v="0"/>
    <n v="0"/>
    <n v="320833333"/>
    <m/>
    <m/>
    <m/>
    <m/>
    <m/>
    <m/>
    <m/>
    <m/>
    <m/>
    <m/>
    <m/>
    <n v="12240.645857729953"/>
    <n v="12240.645857729953"/>
    <x v="27"/>
    <x v="109"/>
  </r>
  <r>
    <x v="1"/>
    <x v="8"/>
    <n v="9"/>
    <s v="105248"/>
    <s v="ĐẠI NHẤT LONG"/>
    <x v="51"/>
    <x v="49"/>
    <s v="rHDPE"/>
    <s v="rHDPE ép"/>
    <x v="1"/>
    <s v="NĐ"/>
    <s v="(blank)"/>
    <x v="0"/>
    <n v="10500"/>
    <n v="170138889"/>
    <n v="2304919.5996222855"/>
    <n v="0"/>
    <n v="0"/>
    <n v="167833969.40037772"/>
    <m/>
    <m/>
    <m/>
    <m/>
    <m/>
    <m/>
    <m/>
    <m/>
    <m/>
    <m/>
    <m/>
    <n v="6403.3127827372882"/>
    <n v="6491.2516022037707"/>
    <x v="27"/>
    <x v="51"/>
  </r>
  <r>
    <x v="1"/>
    <x v="8"/>
    <n v="9"/>
    <s v="105248"/>
    <s v="ĐẠI NHẤT LONG"/>
    <x v="30"/>
    <x v="28"/>
    <s v="rHDPE"/>
    <s v="rHDPE ép"/>
    <x v="1"/>
    <s v="NĐ"/>
    <s v="(blank)"/>
    <x v="0"/>
    <n v="5250"/>
    <n v="85069445"/>
    <n v="1152459.7998111427"/>
    <n v="0"/>
    <n v="0"/>
    <n v="83916985.20018886"/>
    <m/>
    <m/>
    <m/>
    <m/>
    <m/>
    <m/>
    <m/>
    <m/>
    <m/>
    <m/>
    <m/>
    <n v="3201.6564104449753"/>
    <n v="3245.6258201782166"/>
    <x v="27"/>
    <x v="30"/>
  </r>
  <r>
    <x v="1"/>
    <x v="8"/>
    <n v="9"/>
    <s v="105249"/>
    <s v="RỒNG VIỆT"/>
    <x v="29"/>
    <x v="27"/>
    <s v="Khác"/>
    <s v="Phó sản"/>
    <x v="5"/>
    <s v="NĐ"/>
    <s v="(blank)"/>
    <x v="0"/>
    <n v="2844"/>
    <n v="55458000"/>
    <n v="0"/>
    <n v="0"/>
    <n v="0"/>
    <n v="55458000"/>
    <m/>
    <m/>
    <m/>
    <m/>
    <m/>
    <m/>
    <m/>
    <m/>
    <m/>
    <m/>
    <m/>
    <n v="2115.8703543374891"/>
    <n v="2115.8703543374891"/>
    <x v="28"/>
    <x v="29"/>
  </r>
  <r>
    <x v="1"/>
    <x v="8"/>
    <n v="9"/>
    <s v="105249"/>
    <s v="RỒNG VIỆT"/>
    <x v="106"/>
    <x v="104"/>
    <s v="Khác"/>
    <s v="Phó sản"/>
    <x v="5"/>
    <s v="NĐ"/>
    <s v="(blank)"/>
    <x v="0"/>
    <n v="4750"/>
    <n v="90250000"/>
    <n v="0"/>
    <n v="0"/>
    <n v="0"/>
    <n v="90250000"/>
    <m/>
    <m/>
    <m/>
    <m/>
    <m/>
    <m/>
    <m/>
    <m/>
    <m/>
    <m/>
    <m/>
    <n v="3443.2777864141945"/>
    <n v="3443.2777864141945"/>
    <x v="28"/>
    <x v="106"/>
  </r>
  <r>
    <x v="1"/>
    <x v="8"/>
    <n v="9"/>
    <s v="105263"/>
    <s v="Unilever Duy Tân"/>
    <x v="1"/>
    <x v="1"/>
    <s v="rHDPE"/>
    <s v="rHDPE thổi"/>
    <x v="0"/>
    <s v="NĐ"/>
    <s v="(blank)"/>
    <x v="0"/>
    <n v="77000"/>
    <n v="2759890980"/>
    <n v="0"/>
    <n v="0"/>
    <n v="0"/>
    <n v="2759890980"/>
    <m/>
    <m/>
    <m/>
    <m/>
    <m/>
    <m/>
    <m/>
    <m/>
    <m/>
    <m/>
    <m/>
    <n v="105297.18896796567"/>
    <n v="105297.18896796567"/>
    <x v="2"/>
    <x v="1"/>
  </r>
  <r>
    <x v="1"/>
    <x v="8"/>
    <n v="9"/>
    <s v="105263"/>
    <s v="Unilever Duy Tân"/>
    <x v="6"/>
    <x v="6"/>
    <s v="rHDPE"/>
    <s v="rHDPE thổi"/>
    <x v="0"/>
    <s v="NĐ"/>
    <s v="(blank)"/>
    <x v="0"/>
    <n v="5500"/>
    <n v="187135465"/>
    <n v="0"/>
    <n v="0"/>
    <n v="0"/>
    <n v="187135465"/>
    <m/>
    <m/>
    <m/>
    <m/>
    <m/>
    <m/>
    <m/>
    <m/>
    <m/>
    <m/>
    <m/>
    <n v="7139.7162291943596"/>
    <n v="7139.7162291943596"/>
    <x v="2"/>
    <x v="6"/>
  </r>
  <r>
    <x v="1"/>
    <x v="8"/>
    <n v="9"/>
    <s v="105263"/>
    <s v="Unilever Duy Tân"/>
    <x v="50"/>
    <x v="48"/>
    <s v="rHDPE"/>
    <s v="rHDPE thổi"/>
    <x v="0"/>
    <s v="NĐ"/>
    <s v="(blank)"/>
    <x v="0"/>
    <n v="33000"/>
    <n v="1122812791"/>
    <n v="0"/>
    <n v="0"/>
    <n v="0"/>
    <n v="1122812791"/>
    <m/>
    <m/>
    <m/>
    <m/>
    <m/>
    <m/>
    <m/>
    <m/>
    <m/>
    <m/>
    <m/>
    <n v="42838.297413318818"/>
    <n v="42838.297413318818"/>
    <x v="2"/>
    <x v="50"/>
  </r>
  <r>
    <x v="1"/>
    <x v="8"/>
    <n v="9"/>
    <s v="105263"/>
    <s v="Unilever Duy Tân"/>
    <x v="83"/>
    <x v="81"/>
    <s v="rHDPE"/>
    <s v="rHDPE thổi"/>
    <x v="0"/>
    <s v="NĐ"/>
    <s v="(blank)"/>
    <x v="0"/>
    <n v="22000"/>
    <n v="788540284"/>
    <n v="0"/>
    <n v="0"/>
    <n v="0"/>
    <n v="788540284"/>
    <m/>
    <m/>
    <m/>
    <m/>
    <m/>
    <m/>
    <m/>
    <m/>
    <m/>
    <m/>
    <m/>
    <n v="30084.911286315128"/>
    <n v="30084.911286315128"/>
    <x v="2"/>
    <x v="83"/>
  </r>
  <r>
    <x v="1"/>
    <x v="8"/>
    <n v="9"/>
    <s v="105266"/>
    <s v="MIDA"/>
    <x v="53"/>
    <x v="51"/>
    <s v="rPET"/>
    <s v="rPET"/>
    <x v="3"/>
    <s v="NĐ"/>
    <s v="(blank)"/>
    <x v="0"/>
    <n v="100"/>
    <n v="3362500"/>
    <n v="0"/>
    <n v="0"/>
    <n v="0"/>
    <n v="3362500"/>
    <m/>
    <m/>
    <m/>
    <m/>
    <m/>
    <m/>
    <m/>
    <m/>
    <m/>
    <m/>
    <m/>
    <n v="128.28832749936541"/>
    <n v="128.28832749936541"/>
    <x v="35"/>
    <x v="53"/>
  </r>
  <r>
    <x v="1"/>
    <x v="8"/>
    <n v="9"/>
    <s v="105267"/>
    <s v="Hồng Kim Long An"/>
    <x v="128"/>
    <x v="126"/>
    <s v="rPP"/>
    <s v="rPP"/>
    <x v="6"/>
    <s v="NĐ"/>
    <s v="(blank)"/>
    <x v="0"/>
    <n v="5000"/>
    <n v="100000000"/>
    <n v="0"/>
    <n v="0"/>
    <n v="0"/>
    <n v="100000000"/>
    <m/>
    <m/>
    <m/>
    <m/>
    <m/>
    <m/>
    <m/>
    <m/>
    <m/>
    <m/>
    <m/>
    <n v="3815.2662453342873"/>
    <n v="3815.2662453342873"/>
    <x v="36"/>
    <x v="128"/>
  </r>
  <r>
    <x v="1"/>
    <x v="8"/>
    <n v="9"/>
    <s v="105271"/>
    <s v="Suntory- Ngọc Nghĩa Tây Ninh"/>
    <x v="8"/>
    <x v="8"/>
    <s v="rPET"/>
    <s v="rPET"/>
    <x v="3"/>
    <s v="NĐ"/>
    <s v="(blank)"/>
    <x v="0"/>
    <n v="110000"/>
    <n v="3869635000"/>
    <n v="16463711.425873468"/>
    <n v="0"/>
    <n v="15400000"/>
    <n v="3780163188.5741262"/>
    <m/>
    <m/>
    <m/>
    <m/>
    <m/>
    <m/>
    <m/>
    <m/>
    <m/>
    <m/>
    <m/>
    <n v="144223.29015222093"/>
    <n v="147636.87797264144"/>
    <x v="7"/>
    <x v="8"/>
  </r>
  <r>
    <x v="1"/>
    <x v="8"/>
    <n v="9"/>
    <s v="105284"/>
    <s v="Motul -DTP"/>
    <x v="63"/>
    <x v="61"/>
    <s v="rHDPE"/>
    <s v="rHDPE thổi"/>
    <x v="0"/>
    <s v="NĐ"/>
    <s v="(blank)"/>
    <x v="0"/>
    <n v="33000"/>
    <n v="1070358300"/>
    <n v="0"/>
    <n v="0"/>
    <n v="0"/>
    <n v="1070358300"/>
    <m/>
    <m/>
    <m/>
    <m/>
    <m/>
    <m/>
    <m/>
    <m/>
    <m/>
    <m/>
    <m/>
    <n v="40837.018924033902"/>
    <n v="40837.018924033902"/>
    <x v="59"/>
    <x v="63"/>
  </r>
  <r>
    <x v="1"/>
    <x v="8"/>
    <n v="9"/>
    <s v="105286"/>
    <s v="MONDELEZ-VIỆT THÀNH"/>
    <x v="33"/>
    <x v="31"/>
    <s v="rPET"/>
    <s v="rPET"/>
    <x v="3"/>
    <s v="NĐ"/>
    <s v="(blank)"/>
    <x v="0"/>
    <n v="3300"/>
    <n v="110632821"/>
    <n v="493911.34277620399"/>
    <n v="0"/>
    <n v="0"/>
    <n v="110138909.65722379"/>
    <m/>
    <m/>
    <m/>
    <m/>
    <m/>
    <m/>
    <m/>
    <m/>
    <m/>
    <m/>
    <m/>
    <n v="4202.0926431312855"/>
    <n v="4220.9366758741035"/>
    <x v="88"/>
    <x v="33"/>
  </r>
  <r>
    <x v="1"/>
    <x v="8"/>
    <n v="9"/>
    <s v="105287"/>
    <s v="CÔNG TY TNHH HƯNG DỤ"/>
    <x v="62"/>
    <x v="60"/>
    <s v="Xơ sợi"/>
    <s v="Xơ sợi"/>
    <x v="7"/>
    <s v="NĐ"/>
    <s v="(blank)"/>
    <x v="0"/>
    <n v="177450"/>
    <n v="3158610000"/>
    <n v="27823672.309726156"/>
    <n v="0"/>
    <n v="0"/>
    <n v="3130786327.6902742"/>
    <m/>
    <m/>
    <m/>
    <m/>
    <m/>
    <m/>
    <m/>
    <m/>
    <m/>
    <m/>
    <m/>
    <n v="119447.83397390794"/>
    <n v="120509.38115175333"/>
    <x v="65"/>
    <x v="62"/>
  </r>
  <r>
    <x v="1"/>
    <x v="8"/>
    <n v="9"/>
    <s v="105287"/>
    <s v="CÔNG TY TNHH HƯNG DỤ"/>
    <x v="62"/>
    <x v="60"/>
    <s v="Xơ sợi"/>
    <s v="Xơ sợi"/>
    <x v="7"/>
    <s v="(blank)"/>
    <s v="(blank)"/>
    <x v="1"/>
    <n v="-1050"/>
    <n v="-38855250"/>
    <n v="-164637.11425873465"/>
    <n v="0"/>
    <n v="0"/>
    <n v="-38690612.885741264"/>
    <m/>
    <m/>
    <m/>
    <m/>
    <m/>
    <m/>
    <m/>
    <m/>
    <m/>
    <m/>
    <m/>
    <n v="-1476.1498935426448"/>
    <n v="-1482.4312377902506"/>
    <x v="65"/>
    <x v="62"/>
  </r>
  <r>
    <x v="1"/>
    <x v="8"/>
    <n v="9"/>
    <s v="105287"/>
    <s v="CÔNG TY TNHH HƯNG DỤ"/>
    <x v="62"/>
    <x v="60"/>
    <s v="Xơ sợi"/>
    <s v="Xơ sợi"/>
    <x v="7"/>
    <s v="(blank)"/>
    <s v="(blank)"/>
    <x v="2"/>
    <n v="1050"/>
    <n v="38855250"/>
    <n v="329274.22851746931"/>
    <n v="0"/>
    <n v="0"/>
    <n v="38525975.771482527"/>
    <m/>
    <m/>
    <m/>
    <m/>
    <m/>
    <m/>
    <m/>
    <m/>
    <m/>
    <m/>
    <m/>
    <n v="1469.8685492950387"/>
    <n v="1482.4312377902506"/>
    <x v="65"/>
    <x v="62"/>
  </r>
  <r>
    <x v="1"/>
    <x v="8"/>
    <n v="9"/>
    <s v="105290"/>
    <s v="HOÀNG TẤN"/>
    <x v="75"/>
    <x v="73"/>
    <s v="Khác"/>
    <s v="Phó sản"/>
    <x v="5"/>
    <s v="NĐ"/>
    <s v="(blank)"/>
    <x v="0"/>
    <n v="20801"/>
    <n v="94374908"/>
    <n v="0"/>
    <n v="0"/>
    <n v="0"/>
    <n v="94374908"/>
    <m/>
    <m/>
    <m/>
    <m/>
    <m/>
    <m/>
    <m/>
    <m/>
    <m/>
    <m/>
    <m/>
    <n v="3600.6540089892878"/>
    <n v="3600.6540089892878"/>
    <x v="66"/>
    <x v="75"/>
  </r>
  <r>
    <x v="1"/>
    <x v="8"/>
    <n v="9"/>
    <s v="105290"/>
    <s v="HOÀNG TẤN"/>
    <x v="76"/>
    <x v="74"/>
    <s v="Khác"/>
    <s v="Phó sản"/>
    <x v="5"/>
    <s v="NĐ"/>
    <s v="(blank)"/>
    <x v="0"/>
    <n v="17893"/>
    <n v="81181203"/>
    <n v="0"/>
    <n v="0"/>
    <n v="0"/>
    <n v="81181203"/>
    <m/>
    <m/>
    <m/>
    <m/>
    <m/>
    <m/>
    <m/>
    <m/>
    <m/>
    <m/>
    <m/>
    <n v="3097.2790356153055"/>
    <n v="3097.2790356153055"/>
    <x v="66"/>
    <x v="76"/>
  </r>
  <r>
    <x v="1"/>
    <x v="8"/>
    <n v="9"/>
    <s v="105290"/>
    <s v="HOÀNG TẤN"/>
    <x v="77"/>
    <x v="75"/>
    <s v="Khác"/>
    <s v="Phó sản"/>
    <x v="5"/>
    <s v="NĐ"/>
    <s v="(blank)"/>
    <x v="0"/>
    <n v="7166"/>
    <n v="32512407"/>
    <n v="0"/>
    <n v="0"/>
    <n v="0"/>
    <n v="32512407"/>
    <m/>
    <m/>
    <m/>
    <m/>
    <m/>
    <m/>
    <m/>
    <m/>
    <m/>
    <m/>
    <m/>
    <n v="1240.434889816702"/>
    <n v="1240.434889816702"/>
    <x v="66"/>
    <x v="77"/>
  </r>
  <r>
    <x v="1"/>
    <x v="8"/>
    <n v="9"/>
    <s v="105290"/>
    <s v="HOÀNG TẤN"/>
    <x v="78"/>
    <x v="76"/>
    <s v="Khác"/>
    <s v="Phó sản"/>
    <x v="5"/>
    <s v="NĐ"/>
    <s v="(blank)"/>
    <x v="0"/>
    <n v="22234"/>
    <n v="100876481"/>
    <n v="0"/>
    <n v="0"/>
    <n v="0"/>
    <n v="100876481"/>
    <m/>
    <m/>
    <m/>
    <m/>
    <m/>
    <m/>
    <m/>
    <m/>
    <m/>
    <m/>
    <m/>
    <n v="3848.7063290740562"/>
    <n v="3848.7063290740562"/>
    <x v="66"/>
    <x v="78"/>
  </r>
  <r>
    <x v="1"/>
    <x v="8"/>
    <n v="9"/>
    <s v="105291"/>
    <s v="AN NHẬT"/>
    <x v="81"/>
    <x v="79"/>
    <s v="rPET"/>
    <s v="rPET"/>
    <x v="3"/>
    <s v="NĐ"/>
    <s v="(blank)"/>
    <x v="0"/>
    <n v="3300"/>
    <n v="101242944"/>
    <n v="493911.34277620399"/>
    <n v="0"/>
    <n v="0"/>
    <n v="100749032.65722379"/>
    <m/>
    <m/>
    <m/>
    <m/>
    <m/>
    <m/>
    <m/>
    <m/>
    <m/>
    <m/>
    <m/>
    <n v="3843.8438354718774"/>
    <n v="3862.6878682146953"/>
    <x v="67"/>
    <x v="81"/>
  </r>
  <r>
    <x v="1"/>
    <x v="8"/>
    <n v="9"/>
    <s v="105312"/>
    <s v="COCA COLA ĐÀ NẴNG"/>
    <x v="39"/>
    <x v="37"/>
    <s v="Khác"/>
    <s v="Khác"/>
    <x v="8"/>
    <s v="NĐ"/>
    <s v="(blank)"/>
    <x v="0"/>
    <n v="0"/>
    <n v="0"/>
    <n v="0"/>
    <n v="0"/>
    <n v="14960000"/>
    <n v="-14960000"/>
    <m/>
    <m/>
    <m/>
    <m/>
    <m/>
    <m/>
    <m/>
    <m/>
    <m/>
    <m/>
    <m/>
    <n v="-570.76383030200941"/>
    <n v="0"/>
    <x v="3"/>
    <x v="39"/>
  </r>
  <r>
    <x v="1"/>
    <x v="8"/>
    <n v="9"/>
    <s v="105313"/>
    <s v="CTY NGỌC NGHĨA - CỦ CHI"/>
    <x v="9"/>
    <x v="9"/>
    <s v="rPET"/>
    <s v="rPET"/>
    <x v="3"/>
    <s v="NĐ"/>
    <s v="(blank)"/>
    <x v="0"/>
    <n v="13200"/>
    <n v="425145600"/>
    <n v="1975645.3711048155"/>
    <n v="0"/>
    <n v="1078000.0000000002"/>
    <n v="422091954.62889516"/>
    <m/>
    <m/>
    <m/>
    <m/>
    <m/>
    <m/>
    <m/>
    <m/>
    <m/>
    <m/>
    <m/>
    <n v="16103.931869227952"/>
    <n v="16220.436570323929"/>
    <x v="199"/>
    <x v="9"/>
  </r>
  <r>
    <x v="1"/>
    <x v="8"/>
    <n v="9"/>
    <s v="105322"/>
    <s v="PHÚC LONG TÂY NINH"/>
    <x v="105"/>
    <x v="103"/>
    <s v="Khác"/>
    <s v="Phó sản"/>
    <x v="5"/>
    <s v="NĐ"/>
    <s v="(blank)"/>
    <x v="0"/>
    <n v="2022"/>
    <n v="38418000"/>
    <n v="0"/>
    <n v="0"/>
    <n v="0"/>
    <n v="38418000"/>
    <m/>
    <m/>
    <m/>
    <m/>
    <m/>
    <m/>
    <m/>
    <m/>
    <m/>
    <m/>
    <m/>
    <n v="1465.7489861325266"/>
    <n v="1465.7489861325266"/>
    <x v="105"/>
    <x v="105"/>
  </r>
  <r>
    <x v="1"/>
    <x v="8"/>
    <n v="9"/>
    <s v="105322"/>
    <s v="PHÚC LONG TÂY NINH"/>
    <x v="29"/>
    <x v="27"/>
    <s v="Khác"/>
    <s v="Phó sản"/>
    <x v="5"/>
    <s v="NĐ"/>
    <s v="(blank)"/>
    <x v="7"/>
    <n v="-974"/>
    <n v="-18993000"/>
    <n v="0"/>
    <n v="0"/>
    <n v="0"/>
    <n v="-18993000"/>
    <m/>
    <m/>
    <m/>
    <m/>
    <m/>
    <m/>
    <m/>
    <m/>
    <m/>
    <m/>
    <m/>
    <n v="-724.63351797634118"/>
    <n v="-724.63351797634118"/>
    <x v="105"/>
    <x v="29"/>
  </r>
  <r>
    <x v="1"/>
    <x v="8"/>
    <n v="9"/>
    <s v="105322"/>
    <s v="PHÚC LONG TÂY NINH"/>
    <x v="29"/>
    <x v="27"/>
    <s v="Khác"/>
    <s v="Phó sản"/>
    <x v="5"/>
    <s v="NĐ"/>
    <s v="(blank)"/>
    <x v="0"/>
    <n v="1262"/>
    <n v="24609000"/>
    <n v="0"/>
    <n v="0"/>
    <n v="0"/>
    <n v="24609000"/>
    <m/>
    <m/>
    <m/>
    <m/>
    <m/>
    <m/>
    <m/>
    <m/>
    <m/>
    <m/>
    <m/>
    <n v="938.89887031431476"/>
    <n v="938.89887031431476"/>
    <x v="105"/>
    <x v="29"/>
  </r>
  <r>
    <x v="1"/>
    <x v="8"/>
    <n v="9"/>
    <s v="105322"/>
    <s v="PHÚC LONG TÂY NINH"/>
    <x v="79"/>
    <x v="77"/>
    <s v="Khác"/>
    <s v="Phó sản"/>
    <x v="5"/>
    <s v="NĐ"/>
    <s v="(blank)"/>
    <x v="0"/>
    <n v="2150"/>
    <n v="41925000"/>
    <n v="0"/>
    <n v="0"/>
    <n v="0"/>
    <n v="41925000"/>
    <m/>
    <m/>
    <m/>
    <m/>
    <m/>
    <m/>
    <m/>
    <m/>
    <m/>
    <m/>
    <m/>
    <n v="1599.5503733564001"/>
    <n v="1599.5503733564001"/>
    <x v="105"/>
    <x v="79"/>
  </r>
  <r>
    <x v="1"/>
    <x v="8"/>
    <n v="9"/>
    <s v="105322"/>
    <s v="PHÚC LONG TÂY NINH"/>
    <x v="129"/>
    <x v="127"/>
    <s v="Khác"/>
    <s v="Phó sản"/>
    <x v="5"/>
    <s v="NĐ"/>
    <s v="(blank)"/>
    <x v="0"/>
    <n v="974"/>
    <n v="18993000"/>
    <n v="0"/>
    <n v="0"/>
    <n v="0"/>
    <n v="18993000"/>
    <m/>
    <m/>
    <m/>
    <m/>
    <m/>
    <m/>
    <m/>
    <m/>
    <m/>
    <m/>
    <m/>
    <n v="724.63351797634118"/>
    <n v="724.63351797634118"/>
    <x v="105"/>
    <x v="129"/>
  </r>
  <r>
    <x v="1"/>
    <x v="8"/>
    <n v="9"/>
    <s v="105322"/>
    <s v="PHÚC LONG TÂY NINH"/>
    <x v="106"/>
    <x v="104"/>
    <s v="Khác"/>
    <s v="Phó sản"/>
    <x v="5"/>
    <s v="NĐ"/>
    <s v="(blank)"/>
    <x v="7"/>
    <n v="-2022"/>
    <n v="-38418000"/>
    <n v="0"/>
    <n v="0"/>
    <n v="0"/>
    <n v="-38418000"/>
    <m/>
    <m/>
    <m/>
    <m/>
    <m/>
    <m/>
    <m/>
    <m/>
    <m/>
    <m/>
    <m/>
    <n v="-1465.7489861325266"/>
    <n v="-1465.7489861325266"/>
    <x v="105"/>
    <x v="106"/>
  </r>
  <r>
    <x v="1"/>
    <x v="8"/>
    <n v="9"/>
    <s v="105322"/>
    <s v="PHÚC LONG TÂY NINH"/>
    <x v="106"/>
    <x v="104"/>
    <s v="Khác"/>
    <s v="Phó sản"/>
    <x v="5"/>
    <s v="NĐ"/>
    <s v="(blank)"/>
    <x v="0"/>
    <n v="2022"/>
    <n v="38418000"/>
    <n v="0"/>
    <n v="0"/>
    <n v="0"/>
    <n v="38418000"/>
    <m/>
    <m/>
    <m/>
    <m/>
    <m/>
    <m/>
    <m/>
    <m/>
    <m/>
    <m/>
    <m/>
    <n v="1465.7489861325266"/>
    <n v="1465.7489861325266"/>
    <x v="105"/>
    <x v="106"/>
  </r>
  <r>
    <x v="1"/>
    <x v="8"/>
    <n v="9"/>
    <s v="105322"/>
    <s v="PHÚC LONG TÂY NINH"/>
    <x v="122"/>
    <x v="120"/>
    <s v="Khác"/>
    <s v="Phó sản"/>
    <x v="5"/>
    <s v="NĐ"/>
    <s v="(blank)"/>
    <x v="0"/>
    <n v="258"/>
    <n v="4386000"/>
    <n v="0"/>
    <n v="0"/>
    <n v="0"/>
    <n v="4386000"/>
    <m/>
    <m/>
    <m/>
    <m/>
    <m/>
    <m/>
    <m/>
    <m/>
    <m/>
    <m/>
    <m/>
    <n v="167.33757752036186"/>
    <n v="167.33757752036186"/>
    <x v="105"/>
    <x v="122"/>
  </r>
  <r>
    <x v="1"/>
    <x v="8"/>
    <n v="9"/>
    <s v="105324"/>
    <s v="NHỰA TRƯỜNG AN"/>
    <x v="51"/>
    <x v="49"/>
    <s v="rHDPE"/>
    <s v="rHDPE ép"/>
    <x v="1"/>
    <s v="NĐ"/>
    <s v="(blank)"/>
    <x v="0"/>
    <n v="12750"/>
    <n v="197625000"/>
    <n v="3413958.6220465088"/>
    <n v="0"/>
    <n v="0"/>
    <n v="194211041.37795347"/>
    <m/>
    <m/>
    <m/>
    <m/>
    <m/>
    <m/>
    <m/>
    <m/>
    <m/>
    <m/>
    <m/>
    <n v="7409.6683064052659"/>
    <n v="7539.9199173418856"/>
    <x v="106"/>
    <x v="51"/>
  </r>
  <r>
    <x v="1"/>
    <x v="8"/>
    <n v="9"/>
    <s v="105324"/>
    <s v="NHỰA TRƯỜNG AN"/>
    <x v="107"/>
    <x v="105"/>
    <s v="rHDPE"/>
    <s v="rHDPE ép"/>
    <x v="1"/>
    <s v="NĐ"/>
    <s v="(blank)"/>
    <x v="0"/>
    <n v="21000"/>
    <n v="315000000"/>
    <n v="4609839.19924457"/>
    <n v="0"/>
    <n v="0"/>
    <n v="310390160.80075544"/>
    <m/>
    <m/>
    <m/>
    <m/>
    <m/>
    <m/>
    <m/>
    <m/>
    <m/>
    <m/>
    <m/>
    <n v="11842.211033870039"/>
    <n v="12018.088672803005"/>
    <x v="106"/>
    <x v="107"/>
  </r>
  <r>
    <x v="1"/>
    <x v="8"/>
    <n v="9"/>
    <s v="105324"/>
    <s v="NHỰA TRƯỜNG AN"/>
    <x v="46"/>
    <x v="44"/>
    <s v="rHDPE"/>
    <s v="rHDPE ép"/>
    <x v="1"/>
    <s v="NĐ"/>
    <s v="(blank)"/>
    <x v="0"/>
    <n v="14250"/>
    <n v="221085000"/>
    <n v="3128105.1709159589"/>
    <n v="0"/>
    <n v="0"/>
    <n v="217956894.82908401"/>
    <m/>
    <m/>
    <m/>
    <m/>
    <m/>
    <m/>
    <m/>
    <m/>
    <m/>
    <m/>
    <m/>
    <n v="8315.6358377927954"/>
    <n v="8434.9813784973085"/>
    <x v="106"/>
    <x v="46"/>
  </r>
  <r>
    <x v="1"/>
    <x v="8"/>
    <n v="9"/>
    <s v="105324"/>
    <s v="NHỰA TRƯỜNG AN"/>
    <x v="126"/>
    <x v="124"/>
    <s v="Khác"/>
    <s v="Phó sản"/>
    <x v="5"/>
    <s v="NĐ"/>
    <s v="(blank)"/>
    <x v="0"/>
    <n v="10538"/>
    <n v="107331482"/>
    <n v="2677614.6055266736"/>
    <n v="0"/>
    <n v="0"/>
    <n v="104653867.39447334"/>
    <m/>
    <m/>
    <m/>
    <m/>
    <m/>
    <m/>
    <m/>
    <m/>
    <m/>
    <m/>
    <m/>
    <n v="3992.8236771382467"/>
    <n v="4094.9818033630468"/>
    <x v="106"/>
    <x v="126"/>
  </r>
  <r>
    <x v="1"/>
    <x v="8"/>
    <n v="9"/>
    <s v="105327"/>
    <s v="MEGA"/>
    <x v="84"/>
    <x v="82"/>
    <s v="rPP"/>
    <s v="rPP"/>
    <x v="6"/>
    <s v="NĐ"/>
    <s v="(blank)"/>
    <x v="0"/>
    <n v="25"/>
    <n v="437500"/>
    <n v="0"/>
    <n v="0"/>
    <n v="0"/>
    <n v="437500"/>
    <m/>
    <m/>
    <m/>
    <m/>
    <m/>
    <m/>
    <m/>
    <m/>
    <m/>
    <m/>
    <m/>
    <n v="16.691789823337508"/>
    <n v="16.691789823337508"/>
    <x v="122"/>
    <x v="84"/>
  </r>
  <r>
    <x v="1"/>
    <x v="8"/>
    <n v="9"/>
    <s v="105330"/>
    <s v="Việt Thành Plast"/>
    <x v="130"/>
    <x v="128"/>
    <s v="rPET"/>
    <s v="rPET"/>
    <x v="3"/>
    <s v="NĐ"/>
    <s v="(blank)"/>
    <x v="0"/>
    <n v="24200"/>
    <n v="504166666"/>
    <n v="3622016.5136921625"/>
    <n v="0"/>
    <n v="6399999.9999999991"/>
    <n v="494144649.48630786"/>
    <m/>
    <m/>
    <m/>
    <m/>
    <m/>
    <m/>
    <m/>
    <m/>
    <m/>
    <m/>
    <m/>
    <n v="18852.934014976534"/>
    <n v="19235.300628125256"/>
    <x v="124"/>
    <x v="130"/>
  </r>
  <r>
    <x v="1"/>
    <x v="8"/>
    <n v="9"/>
    <s v="105330"/>
    <s v="Việt Thành Plast"/>
    <x v="39"/>
    <x v="37"/>
    <s v="Khác"/>
    <s v="Khác"/>
    <x v="8"/>
    <s v="NĐ"/>
    <s v="(blank)"/>
    <x v="0"/>
    <n v="0"/>
    <n v="0"/>
    <n v="0"/>
    <n v="0"/>
    <n v="-6400000"/>
    <n v="6400000"/>
    <m/>
    <m/>
    <m/>
    <m/>
    <m/>
    <m/>
    <m/>
    <m/>
    <m/>
    <m/>
    <m/>
    <n v="244.17703970139439"/>
    <n v="0"/>
    <x v="124"/>
    <x v="39"/>
  </r>
  <r>
    <x v="1"/>
    <x v="8"/>
    <n v="9"/>
    <s v="105333"/>
    <s v="LƯỚI BẢO NÔNG"/>
    <x v="107"/>
    <x v="105"/>
    <s v="rHDPE"/>
    <s v="rHDPE ép"/>
    <x v="1"/>
    <s v="NĐ"/>
    <s v="(blank)"/>
    <x v="0"/>
    <n v="190500"/>
    <n v="2781300000"/>
    <n v="0"/>
    <n v="0"/>
    <n v="0"/>
    <n v="2781300000"/>
    <m/>
    <m/>
    <m/>
    <m/>
    <m/>
    <m/>
    <m/>
    <m/>
    <m/>
    <m/>
    <m/>
    <n v="106114.00008148253"/>
    <n v="106114.00008148253"/>
    <x v="125"/>
    <x v="107"/>
  </r>
  <r>
    <x v="1"/>
    <x v="8"/>
    <n v="9"/>
    <s v="105333"/>
    <s v="LƯỚI BẢO NÔNG"/>
    <x v="125"/>
    <x v="123"/>
    <s v="Khác"/>
    <s v="Phó sản"/>
    <x v="5"/>
    <s v="NĐ"/>
    <s v="(blank)"/>
    <x v="0"/>
    <n v="59760"/>
    <n v="664000000"/>
    <n v="0"/>
    <n v="0"/>
    <n v="0"/>
    <n v="664000000"/>
    <m/>
    <m/>
    <m/>
    <m/>
    <m/>
    <m/>
    <m/>
    <m/>
    <m/>
    <m/>
    <m/>
    <n v="25333.367869019665"/>
    <n v="25333.367869019665"/>
    <x v="125"/>
    <x v="125"/>
  </r>
  <r>
    <x v="1"/>
    <x v="8"/>
    <n v="9"/>
    <s v="105339"/>
    <s v="HUY THÀNH"/>
    <x v="3"/>
    <x v="3"/>
    <s v="rHDPE"/>
    <s v="rHDPE ép"/>
    <x v="1"/>
    <s v="NĐ"/>
    <s v="(blank)"/>
    <x v="0"/>
    <n v="22000"/>
    <n v="419222222"/>
    <n v="0"/>
    <n v="22000000"/>
    <n v="0"/>
    <n v="397222222"/>
    <m/>
    <m/>
    <m/>
    <m/>
    <m/>
    <m/>
    <m/>
    <m/>
    <m/>
    <m/>
    <m/>
    <n v="15155.085354932828"/>
    <n v="15994.44392890637"/>
    <x v="138"/>
    <x v="3"/>
  </r>
  <r>
    <x v="1"/>
    <x v="8"/>
    <n v="9"/>
    <s v="105339"/>
    <s v="HUY THÀNH"/>
    <x v="4"/>
    <x v="4"/>
    <s v="rHDPE"/>
    <s v="rHDPE ép"/>
    <x v="1"/>
    <s v="NĐ"/>
    <s v="(blank)"/>
    <x v="0"/>
    <n v="28875"/>
    <n v="550229164"/>
    <n v="0"/>
    <n v="28875000"/>
    <n v="0"/>
    <n v="521354164"/>
    <m/>
    <m/>
    <m/>
    <m/>
    <m/>
    <m/>
    <m/>
    <m/>
    <m/>
    <m/>
    <m/>
    <n v="19891.049437736761"/>
    <n v="20992.707566077039"/>
    <x v="138"/>
    <x v="4"/>
  </r>
  <r>
    <x v="1"/>
    <x v="8"/>
    <n v="9"/>
    <s v="105339"/>
    <s v="HUY THÀNH"/>
    <x v="5"/>
    <x v="5"/>
    <s v="rHDPE"/>
    <s v="rHDPE ép"/>
    <x v="1"/>
    <s v="NĐ"/>
    <s v="(blank)"/>
    <x v="0"/>
    <n v="23375"/>
    <n v="445423611"/>
    <n v="0"/>
    <n v="23375000"/>
    <n v="0"/>
    <n v="422048611"/>
    <m/>
    <m/>
    <m/>
    <m/>
    <m/>
    <m/>
    <m/>
    <m/>
    <m/>
    <m/>
    <m/>
    <n v="16102.278194385213"/>
    <n v="16994.096679232101"/>
    <x v="138"/>
    <x v="5"/>
  </r>
  <r>
    <x v="1"/>
    <x v="8"/>
    <n v="9"/>
    <s v="105349"/>
    <s v="MTVN Plastic"/>
    <x v="87"/>
    <x v="85"/>
    <s v="rHDPE"/>
    <s v="rHDPE thổi"/>
    <x v="0"/>
    <s v="NĐ"/>
    <s v="(blank)"/>
    <x v="0"/>
    <n v="48125"/>
    <n v="757523153"/>
    <n v="0"/>
    <n v="0"/>
    <n v="0"/>
    <n v="757523153"/>
    <m/>
    <m/>
    <m/>
    <m/>
    <m/>
    <m/>
    <m/>
    <m/>
    <m/>
    <m/>
    <m/>
    <n v="28901.525157001015"/>
    <n v="28901.525157001015"/>
    <x v="158"/>
    <x v="87"/>
  </r>
  <r>
    <x v="1"/>
    <x v="8"/>
    <n v="9"/>
    <s v="105354"/>
    <s v="UNILEVER - NNG-TN"/>
    <x v="9"/>
    <x v="9"/>
    <s v="rPET"/>
    <s v="rPET"/>
    <x v="3"/>
    <s v="NĐ"/>
    <s v="(blank)"/>
    <x v="0"/>
    <n v="66000"/>
    <n v="2194170000"/>
    <n v="9878226.855524078"/>
    <n v="0"/>
    <n v="9240000"/>
    <n v="2175051773.1444759"/>
    <m/>
    <m/>
    <m/>
    <m/>
    <m/>
    <m/>
    <m/>
    <m/>
    <m/>
    <m/>
    <m/>
    <n v="82984.016119326086"/>
    <n v="83713.42737525134"/>
    <x v="2"/>
    <x v="9"/>
  </r>
  <r>
    <x v="1"/>
    <x v="8"/>
    <n v="9"/>
    <s v="105360"/>
    <s v="LỢI TƯỜNG"/>
    <x v="107"/>
    <x v="105"/>
    <s v="rHDPE"/>
    <s v="rHDPE ép"/>
    <x v="1"/>
    <s v="NĐ"/>
    <s v="(blank)"/>
    <x v="0"/>
    <n v="6000"/>
    <n v="90000000"/>
    <n v="1317096.9140698772"/>
    <n v="0"/>
    <n v="0"/>
    <n v="88682903.085930124"/>
    <m/>
    <m/>
    <m/>
    <m/>
    <m/>
    <m/>
    <m/>
    <m/>
    <m/>
    <m/>
    <m/>
    <n v="3383.488866820011"/>
    <n v="3433.7396208008586"/>
    <x v="184"/>
    <x v="107"/>
  </r>
  <r>
    <x v="1"/>
    <x v="8"/>
    <n v="9"/>
    <s v="105360"/>
    <s v="LỢI TƯỜNG"/>
    <x v="31"/>
    <x v="29"/>
    <s v="rPP"/>
    <s v="rPP"/>
    <x v="6"/>
    <s v="NĐ"/>
    <s v="(blank)"/>
    <x v="0"/>
    <n v="6000"/>
    <n v="97222222"/>
    <n v="1317096.9140698772"/>
    <n v="0"/>
    <n v="0"/>
    <n v="95905125.085930124"/>
    <m/>
    <m/>
    <m/>
    <m/>
    <m/>
    <m/>
    <m/>
    <m/>
    <m/>
    <m/>
    <m/>
    <n v="3659.0358649491181"/>
    <n v="3709.2866189299657"/>
    <x v="184"/>
    <x v="31"/>
  </r>
  <r>
    <x v="1"/>
    <x v="8"/>
    <n v="9"/>
    <s v="105364"/>
    <s v="NHỰA LỘC PHÁT"/>
    <x v="62"/>
    <x v="60"/>
    <s v="Xơ sợi"/>
    <s v="Xơ sợi"/>
    <x v="7"/>
    <s v="NĐ"/>
    <s v="(blank)"/>
    <x v="0"/>
    <n v="25200"/>
    <n v="448560000"/>
    <n v="3951290.7422096319"/>
    <n v="0"/>
    <n v="0"/>
    <n v="444608709.25779039"/>
    <m/>
    <m/>
    <m/>
    <m/>
    <m/>
    <m/>
    <m/>
    <m/>
    <m/>
    <m/>
    <m/>
    <n v="16963.006008128938"/>
    <n v="17113.758270071481"/>
    <x v="187"/>
    <x v="62"/>
  </r>
  <r>
    <x v="1"/>
    <x v="8"/>
    <n v="9"/>
    <s v="105365"/>
    <s v="MEKONG BROS"/>
    <x v="130"/>
    <x v="128"/>
    <s v="rPET"/>
    <s v="rPET"/>
    <x v="3"/>
    <s v="NĐ"/>
    <s v="(blank)"/>
    <x v="0"/>
    <n v="19800"/>
    <n v="384999999.99999994"/>
    <n v="2963468.056657224"/>
    <n v="0"/>
    <n v="3800000"/>
    <n v="378236531.94334275"/>
    <m/>
    <m/>
    <m/>
    <m/>
    <m/>
    <m/>
    <m/>
    <m/>
    <m/>
    <m/>
    <m/>
    <n v="14430.730730757396"/>
    <n v="14688.775044537004"/>
    <x v="200"/>
    <x v="130"/>
  </r>
  <r>
    <x v="1"/>
    <x v="8"/>
    <n v="9"/>
    <s v="105365"/>
    <s v="MEKONG BROS"/>
    <x v="39"/>
    <x v="37"/>
    <s v="Khác"/>
    <s v="Khác"/>
    <x v="8"/>
    <s v="NĐ"/>
    <s v="(blank)"/>
    <x v="0"/>
    <n v="0"/>
    <n v="0"/>
    <n v="0"/>
    <n v="0"/>
    <n v="-3800000"/>
    <n v="3800000"/>
    <m/>
    <m/>
    <m/>
    <m/>
    <m/>
    <m/>
    <m/>
    <m/>
    <m/>
    <m/>
    <m/>
    <n v="144.98011732270291"/>
    <n v="0"/>
    <x v="200"/>
    <x v="39"/>
  </r>
  <r>
    <x v="1"/>
    <x v="8"/>
    <n v="9"/>
    <s v="105369"/>
    <s v="Masan-Nước Khoáng Quảng Ninh"/>
    <x v="26"/>
    <x v="24"/>
    <s v="Khác"/>
    <s v="Khác"/>
    <x v="2"/>
    <s v="NĐ"/>
    <s v="(blank)"/>
    <x v="0"/>
    <n v="0"/>
    <n v="323260800"/>
    <n v="0"/>
    <n v="0"/>
    <n v="0"/>
    <n v="323260800"/>
    <m/>
    <m/>
    <m/>
    <m/>
    <m/>
    <m/>
    <m/>
    <m/>
    <m/>
    <m/>
    <m/>
    <n v="12333.260186797581"/>
    <n v="12333.260186797581"/>
    <x v="201"/>
    <x v="26"/>
  </r>
  <r>
    <x v="1"/>
    <x v="8"/>
    <n v="9"/>
    <s v="105375"/>
    <s v="Masan- Tiêu Dùng MaSan"/>
    <x v="26"/>
    <x v="24"/>
    <s v="Khác"/>
    <s v="Khác"/>
    <x v="2"/>
    <s v="NĐ"/>
    <s v="(blank)"/>
    <x v="0"/>
    <n v="0"/>
    <n v="548824800"/>
    <n v="0"/>
    <n v="0"/>
    <n v="0"/>
    <n v="548824800"/>
    <m/>
    <m/>
    <m/>
    <m/>
    <m/>
    <m/>
    <m/>
    <m/>
    <m/>
    <m/>
    <m/>
    <n v="20939.127340423413"/>
    <n v="20939.127340423413"/>
    <x v="202"/>
    <x v="26"/>
  </r>
  <r>
    <x v="1"/>
    <x v="8"/>
    <n v="9"/>
    <s v="105376"/>
    <s v="Masan- BỘT GIẶT NET"/>
    <x v="26"/>
    <x v="24"/>
    <s v="Khác"/>
    <s v="Khác"/>
    <x v="2"/>
    <s v="NĐ"/>
    <s v="(blank)"/>
    <x v="0"/>
    <n v="0"/>
    <n v="9190800"/>
    <n v="0"/>
    <n v="0"/>
    <n v="0"/>
    <n v="9190800"/>
    <m/>
    <m/>
    <m/>
    <m/>
    <m/>
    <m/>
    <m/>
    <m/>
    <m/>
    <m/>
    <m/>
    <n v="350.65349007618369"/>
    <n v="350.65349007618369"/>
    <x v="203"/>
    <x v="26"/>
  </r>
  <r>
    <x v="1"/>
    <x v="8"/>
    <n v="9"/>
    <s v="105378"/>
    <s v="Masan-Vinacafé Biên Hòa"/>
    <x v="26"/>
    <x v="24"/>
    <s v="Khác"/>
    <s v="Khác"/>
    <x v="2"/>
    <s v="NĐ"/>
    <s v="(blank)"/>
    <x v="0"/>
    <n v="0"/>
    <n v="537080400"/>
    <n v="0"/>
    <n v="0"/>
    <n v="0"/>
    <n v="537080400"/>
    <m/>
    <m/>
    <m/>
    <m/>
    <m/>
    <m/>
    <m/>
    <m/>
    <m/>
    <m/>
    <m/>
    <n v="20491.047211506371"/>
    <n v="20491.047211506371"/>
    <x v="204"/>
    <x v="26"/>
  </r>
  <r>
    <x v="1"/>
    <x v="8"/>
    <n v="9"/>
    <s v="1121400100"/>
    <s v="Tiền gửi NH VND VietinBank-CN Tây Sài Gòn"/>
    <x v="27"/>
    <x v="25"/>
    <s v="Khác"/>
    <s v="Khác"/>
    <x v="2"/>
    <s v="NĐ"/>
    <s v="(blank)"/>
    <x v="0"/>
    <n v="0"/>
    <n v="0"/>
    <n v="0"/>
    <n v="0"/>
    <n v="0"/>
    <n v="0"/>
    <m/>
    <m/>
    <m/>
    <m/>
    <m/>
    <m/>
    <m/>
    <m/>
    <m/>
    <m/>
    <m/>
    <n v="0"/>
    <n v="0"/>
    <x v="205"/>
    <x v="27"/>
  </r>
  <r>
    <x v="1"/>
    <x v="8"/>
    <n v="9"/>
    <s v="1388190100"/>
    <s v="Phải thu khác-T/gian"/>
    <x v="27"/>
    <x v="25"/>
    <s v="Khác"/>
    <s v="Khác"/>
    <x v="2"/>
    <s v="NĐ"/>
    <s v="(blank)"/>
    <x v="0"/>
    <n v="0"/>
    <n v="0"/>
    <n v="0"/>
    <n v="0"/>
    <n v="0"/>
    <n v="0"/>
    <m/>
    <m/>
    <m/>
    <m/>
    <m/>
    <m/>
    <m/>
    <m/>
    <m/>
    <m/>
    <m/>
    <n v="0"/>
    <n v="0"/>
    <x v="98"/>
    <x v="27"/>
  </r>
  <r>
    <x v="1"/>
    <x v="8"/>
    <n v="9"/>
    <s v="200319"/>
    <s v="Niagara Bottling, LLC"/>
    <x v="9"/>
    <x v="9"/>
    <s v="rPET"/>
    <s v="rPET"/>
    <x v="3"/>
    <s v="XK"/>
    <s v="United Kingdom of Great Britain and Northern Ireland (the)"/>
    <x v="0"/>
    <n v="220000"/>
    <n v="6927360000"/>
    <n v="16479795.217391307"/>
    <n v="103910400"/>
    <n v="107646896"/>
    <n v="6699322908.782609"/>
    <m/>
    <m/>
    <m/>
    <m/>
    <m/>
    <m/>
    <m/>
    <m/>
    <m/>
    <m/>
    <m/>
    <n v="255309.56207250798"/>
    <n v="264000"/>
    <x v="14"/>
    <x v="9"/>
  </r>
  <r>
    <x v="1"/>
    <x v="8"/>
    <n v="9"/>
    <s v="200319"/>
    <s v="Niagara Bottling, LLC"/>
    <x v="9"/>
    <x v="9"/>
    <s v="rPET"/>
    <s v="rPET"/>
    <x v="3"/>
    <s v="XK"/>
    <s v="United States of America (the)"/>
    <x v="0"/>
    <n v="418000"/>
    <n v="13284612792"/>
    <n v="31311610.913043469"/>
    <n v="199269191.87999994"/>
    <n v="169951569.00000003"/>
    <n v="12884080420.206963"/>
    <m/>
    <m/>
    <m/>
    <m/>
    <m/>
    <m/>
    <m/>
    <m/>
    <m/>
    <m/>
    <m/>
    <n v="491827.99449405272"/>
    <n v="507117.60000000021"/>
    <x v="14"/>
    <x v="9"/>
  </r>
  <r>
    <x v="1"/>
    <x v="8"/>
    <n v="9"/>
    <s v="200319"/>
    <s v="Niagara Bottling, LLC"/>
    <x v="27"/>
    <x v="25"/>
    <s v="Khác"/>
    <s v="Khác"/>
    <x v="2"/>
    <s v="NĐ"/>
    <s v="(blank)"/>
    <x v="0"/>
    <n v="0"/>
    <n v="0"/>
    <n v="0"/>
    <n v="157.12000006437302"/>
    <n v="0"/>
    <n v="-157.12000006437302"/>
    <m/>
    <m/>
    <m/>
    <m/>
    <m/>
    <m/>
    <m/>
    <m/>
    <m/>
    <m/>
    <m/>
    <n v="-5.9945463271252348E-3"/>
    <n v="0"/>
    <x v="14"/>
    <x v="27"/>
  </r>
  <r>
    <x v="1"/>
    <x v="8"/>
    <n v="9"/>
    <s v="200358"/>
    <s v="REYNERA"/>
    <x v="85"/>
    <x v="83"/>
    <s v="rPP"/>
    <s v="rPP"/>
    <x v="6"/>
    <s v="XK"/>
    <s v="Mexico"/>
    <x v="0"/>
    <n v="16000"/>
    <n v="453600000.00000006"/>
    <n v="0"/>
    <n v="0"/>
    <n v="12473570.666666666"/>
    <n v="441126429.33333337"/>
    <m/>
    <m/>
    <m/>
    <m/>
    <m/>
    <m/>
    <m/>
    <m/>
    <m/>
    <m/>
    <m/>
    <n v="16804.816355555558"/>
    <n v="17280.000000000004"/>
    <x v="58"/>
    <x v="85"/>
  </r>
  <r>
    <x v="1"/>
    <x v="8"/>
    <n v="9"/>
    <s v="200358"/>
    <s v="REYNERA"/>
    <x v="86"/>
    <x v="84"/>
    <s v="rPP"/>
    <s v="rPP"/>
    <x v="6"/>
    <s v="XK"/>
    <s v="Mexico"/>
    <x v="0"/>
    <n v="8000"/>
    <n v="226800000.00000003"/>
    <n v="0"/>
    <n v="0"/>
    <n v="6236785.333333333"/>
    <n v="220563214.66666669"/>
    <m/>
    <m/>
    <m/>
    <m/>
    <m/>
    <m/>
    <m/>
    <m/>
    <m/>
    <m/>
    <m/>
    <n v="8402.4081777777792"/>
    <n v="8640.0000000000018"/>
    <x v="58"/>
    <x v="86"/>
  </r>
  <r>
    <x v="1"/>
    <x v="8"/>
    <n v="9"/>
    <s v="200381"/>
    <s v="ITD Polyresin"/>
    <x v="58"/>
    <x v="56"/>
    <s v="rPET"/>
    <s v="rPET"/>
    <x v="3"/>
    <s v="XK"/>
    <s v="Greece"/>
    <x v="0"/>
    <n v="66000"/>
    <n v="1902120000.0000005"/>
    <n v="4943938.5652173907"/>
    <n v="0"/>
    <n v="31967505"/>
    <n v="1865208556.434783"/>
    <m/>
    <m/>
    <m/>
    <m/>
    <m/>
    <m/>
    <m/>
    <m/>
    <m/>
    <m/>
    <m/>
    <n v="71191.166276136762"/>
    <n v="72600.000000000015"/>
    <x v="161"/>
    <x v="58"/>
  </r>
  <r>
    <x v="1"/>
    <x v="8"/>
    <n v="9"/>
    <s v="200383"/>
    <s v="Natures Organics - PIA"/>
    <x v="9"/>
    <x v="9"/>
    <s v="rPET"/>
    <s v="rPET"/>
    <x v="3"/>
    <s v="XK"/>
    <s v="Australia"/>
    <x v="0"/>
    <n v="64900"/>
    <n v="2125475524"/>
    <n v="4861539.5891304351"/>
    <n v="0"/>
    <n v="94949990.172666654"/>
    <n v="2025663994.238203"/>
    <m/>
    <m/>
    <m/>
    <m/>
    <m/>
    <m/>
    <m/>
    <m/>
    <m/>
    <m/>
    <m/>
    <n v="77315.419627412324"/>
    <n v="81125.01999999999"/>
    <x v="169"/>
    <x v="9"/>
  </r>
  <r>
    <x v="1"/>
    <x v="8"/>
    <n v="9"/>
    <s v="200383"/>
    <s v="Natures Organics - PIA"/>
    <x v="58"/>
    <x v="56"/>
    <s v="rPET"/>
    <s v="rPET"/>
    <x v="3"/>
    <s v="XK"/>
    <s v="Australia"/>
    <x v="0"/>
    <n v="1100"/>
    <n v="34007600"/>
    <n v="82398.976086956522"/>
    <n v="0"/>
    <n v="1609321.8673333335"/>
    <n v="32315879.156579711"/>
    <m/>
    <m/>
    <m/>
    <m/>
    <m/>
    <m/>
    <m/>
    <m/>
    <m/>
    <m/>
    <m/>
    <n v="1233.430502159531"/>
    <n v="1298"/>
    <x v="169"/>
    <x v="58"/>
  </r>
  <r>
    <x v="1"/>
    <x v="8"/>
    <n v="9"/>
    <s v="2421100100"/>
    <s v="Chi phí phân bổ"/>
    <x v="36"/>
    <x v="34"/>
    <s v="Khác"/>
    <s v="Khác"/>
    <x v="2"/>
    <s v="NĐ"/>
    <s v="(blank)"/>
    <x v="0"/>
    <n v="0"/>
    <n v="0"/>
    <n v="0"/>
    <n v="0"/>
    <n v="0"/>
    <n v="0"/>
    <m/>
    <m/>
    <m/>
    <m/>
    <m/>
    <m/>
    <m/>
    <m/>
    <m/>
    <m/>
    <m/>
    <n v="0"/>
    <n v="0"/>
    <x v="64"/>
    <x v="36"/>
  </r>
  <r>
    <x v="1"/>
    <x v="8"/>
    <n v="9"/>
    <s v="2422200100"/>
    <s v="Chi phí trả trước dài hạn cho BP gián tiếp"/>
    <x v="99"/>
    <x v="97"/>
    <s v="Khác"/>
    <s v="Khác"/>
    <x v="2"/>
    <s v="NĐ"/>
    <s v="(blank)"/>
    <x v="0"/>
    <n v="0"/>
    <n v="0"/>
    <n v="0"/>
    <n v="0"/>
    <n v="0"/>
    <n v="0"/>
    <m/>
    <m/>
    <m/>
    <m/>
    <m/>
    <m/>
    <m/>
    <m/>
    <m/>
    <m/>
    <m/>
    <n v="0"/>
    <n v="0"/>
    <x v="112"/>
    <x v="99"/>
  </r>
  <r>
    <x v="1"/>
    <x v="8"/>
    <n v="9"/>
    <s v="3358000400"/>
    <s v="Chí phí phải trả khác- Open item"/>
    <x v="36"/>
    <x v="34"/>
    <s v="Khác"/>
    <s v="Khác"/>
    <x v="2"/>
    <s v="NĐ"/>
    <s v="(blank)"/>
    <x v="0"/>
    <n v="0"/>
    <n v="0"/>
    <n v="0"/>
    <n v="0"/>
    <n v="0"/>
    <n v="0"/>
    <m/>
    <m/>
    <m/>
    <m/>
    <m/>
    <m/>
    <m/>
    <m/>
    <m/>
    <m/>
    <m/>
    <n v="0"/>
    <n v="0"/>
    <x v="19"/>
    <x v="36"/>
  </r>
  <r>
    <x v="1"/>
    <x v="8"/>
    <n v="9"/>
    <s v="3389000100"/>
    <s v="PT khác (GRIR khác)"/>
    <x v="27"/>
    <x v="25"/>
    <s v="Khác"/>
    <s v="Khác"/>
    <x v="2"/>
    <s v="NĐ"/>
    <s v="(blank)"/>
    <x v="0"/>
    <n v="0"/>
    <n v="0"/>
    <n v="0"/>
    <n v="0"/>
    <n v="0"/>
    <n v="0"/>
    <m/>
    <m/>
    <m/>
    <m/>
    <m/>
    <m/>
    <m/>
    <m/>
    <m/>
    <m/>
    <m/>
    <n v="0"/>
    <n v="0"/>
    <x v="116"/>
    <x v="27"/>
  </r>
  <r>
    <x v="1"/>
    <x v="8"/>
    <n v="9"/>
    <s v="6219000900"/>
    <s v="Kết chuyển CPSX không phân bổ được"/>
    <x v="37"/>
    <x v="35"/>
    <s v="Khác"/>
    <s v="Khác"/>
    <x v="2"/>
    <s v="NĐ"/>
    <s v="(blank)"/>
    <x v="0"/>
    <n v="0"/>
    <n v="0"/>
    <n v="0"/>
    <n v="0"/>
    <n v="0"/>
    <n v="0"/>
    <m/>
    <m/>
    <m/>
    <m/>
    <m/>
    <m/>
    <m/>
    <m/>
    <m/>
    <m/>
    <m/>
    <n v="0"/>
    <n v="0"/>
    <x v="20"/>
    <x v="37"/>
  </r>
  <r>
    <x v="1"/>
    <x v="8"/>
    <n v="9"/>
    <s v="BN"/>
    <s v="Bán Ngoài"/>
    <x v="38"/>
    <x v="36"/>
    <s v="Khác"/>
    <s v="Khác"/>
    <x v="2"/>
    <s v="NĐ"/>
    <s v="(blank)"/>
    <x v="0"/>
    <n v="0"/>
    <n v="0"/>
    <n v="0"/>
    <n v="0"/>
    <n v="3139999.9599996209"/>
    <n v="-3139999.9599996209"/>
    <m/>
    <m/>
    <m/>
    <m/>
    <m/>
    <m/>
    <m/>
    <m/>
    <m/>
    <m/>
    <m/>
    <n v="-119.79935857737567"/>
    <n v="0"/>
    <x v="21"/>
    <x v="38"/>
  </r>
  <r>
    <x v="1"/>
    <x v="8"/>
    <n v="9"/>
    <s v="BN"/>
    <s v="Bán Ngoài"/>
    <x v="59"/>
    <x v="57"/>
    <s v="Khác"/>
    <s v="Khác"/>
    <x v="13"/>
    <s v="NĐ"/>
    <s v="(blank)"/>
    <x v="0"/>
    <n v="0"/>
    <n v="0"/>
    <n v="0"/>
    <n v="0"/>
    <n v="19398756.000000052"/>
    <n v="-19398756.000000052"/>
    <m/>
    <m/>
    <m/>
    <m/>
    <m/>
    <m/>
    <m/>
    <m/>
    <m/>
    <m/>
    <m/>
    <n v="-740.11418968276178"/>
    <n v="0"/>
    <x v="21"/>
    <x v="59"/>
  </r>
  <r>
    <x v="1"/>
    <x v="8"/>
    <n v="9"/>
    <s v="BN"/>
    <s v="Bán Ngoài"/>
    <x v="39"/>
    <x v="37"/>
    <s v="Khác"/>
    <s v="Khác"/>
    <x v="8"/>
    <s v="NĐ"/>
    <s v="(blank)"/>
    <x v="0"/>
    <n v="0"/>
    <n v="0"/>
    <n v="15485539.015231762"/>
    <n v="0"/>
    <n v="-12693336.999999968"/>
    <n v="-2792202.0152317937"/>
    <m/>
    <m/>
    <m/>
    <m/>
    <m/>
    <m/>
    <m/>
    <m/>
    <m/>
    <m/>
    <m/>
    <n v="-106.52994098868038"/>
    <n v="0"/>
    <x v="21"/>
    <x v="39"/>
  </r>
  <r>
    <x v="1"/>
    <x v="8"/>
    <n v="9"/>
    <s v="BN"/>
    <s v="Bán Ngoài"/>
    <x v="41"/>
    <x v="39"/>
    <s v="Khác"/>
    <s v="Khác"/>
    <x v="2"/>
    <s v="NĐ"/>
    <s v="(blank)"/>
    <x v="0"/>
    <n v="0"/>
    <n v="0"/>
    <n v="0"/>
    <n v="0"/>
    <n v="0"/>
    <n v="0"/>
    <m/>
    <m/>
    <m/>
    <m/>
    <m/>
    <m/>
    <m/>
    <m/>
    <m/>
    <m/>
    <m/>
    <n v="0"/>
    <n v="0"/>
    <x v="21"/>
    <x v="4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9">
  <r>
    <n v="1"/>
    <s v="Quốc Anh"/>
    <s v="Quốc Anh"/>
    <s v="200319"/>
    <x v="0"/>
    <s v="Niagara Bottling, LLC"/>
    <s v="Hiện hữu"/>
    <s v="Xuất khẩu"/>
    <s v="Mỹ"/>
    <s v="Mỹ"/>
    <s v="Châu Mỹ"/>
    <s v="FOB"/>
    <s v="110000354"/>
    <s v="WSS01G 1"/>
    <x v="0"/>
    <s v="Hạt PET"/>
    <x v="0"/>
    <x v="0"/>
    <x v="0"/>
    <s v="Niagara Bottling, LLC"/>
    <s v="x"/>
    <n v="0.8"/>
    <n v="660"/>
    <n v="660"/>
    <n v="660"/>
    <n v="660"/>
    <n v="660"/>
    <n v="660"/>
    <n v="660"/>
    <n v="660"/>
    <n v="660"/>
    <n v="660"/>
    <n v="660"/>
    <n v="660"/>
    <n v="7920"/>
    <n v="13002"/>
    <n v="-5082"/>
    <n v="-0.39086294416243655"/>
    <n v="1080"/>
    <n v="1080"/>
    <n v="1080"/>
    <n v="1080"/>
    <n v="1080"/>
    <n v="1080"/>
    <n v="1080"/>
    <n v="1080"/>
    <n v="1080"/>
    <n v="1080"/>
    <n v="1080"/>
    <n v="1080"/>
    <n v="1080"/>
    <m/>
    <n v="1080"/>
    <n v="0"/>
    <s v="Đã bao gồm chi phí hỗ trợ tối đa 10% (giá sau hỗ trợ là 1060)"/>
    <n v="18889200000"/>
    <n v="18889200000"/>
    <n v="18889200000"/>
    <n v="18889200000"/>
    <n v="18889200000"/>
    <n v="18889200000"/>
    <n v="18889200000"/>
    <n v="18889200000"/>
    <n v="18889200000"/>
    <n v="18889200000"/>
    <n v="18889200000"/>
    <n v="18889200000"/>
    <n v="226670400000"/>
    <n v="369590112179.51868"/>
    <n v="-142919712179.51868"/>
    <n v="-0.386697878189174"/>
    <s v="Dthu"/>
    <n v="1.4999999999999999E-2"/>
    <m/>
    <n v="283338000"/>
    <n v="283338000"/>
    <n v="283338000"/>
    <n v="283338000"/>
    <n v="283338000"/>
    <n v="283338000"/>
    <n v="283338000"/>
    <n v="283338000"/>
    <n v="283338000"/>
    <n v="283338000"/>
    <n v="283338000"/>
    <n v="283338000"/>
    <n v="3400056000"/>
    <n v="0"/>
    <n v="530000"/>
    <n v="530000"/>
    <n v="0"/>
    <n v="349800000"/>
    <n v="349800000"/>
    <n v="349800000"/>
    <n v="349800000"/>
    <n v="349800000"/>
    <n v="349800000"/>
    <n v="349800000"/>
    <n v="349800000"/>
    <n v="349800000"/>
    <n v="349800000"/>
    <n v="349800000"/>
    <n v="349800000"/>
    <n v="4197600000"/>
    <n v="19522338000"/>
    <n v="19522338000"/>
    <n v="19522338000"/>
    <n v="19522338000"/>
    <n v="19522338000"/>
    <n v="19522338000"/>
    <n v="19522338000"/>
    <n v="19522338000"/>
    <n v="19522338000"/>
    <n v="19522338000"/>
    <n v="19522338000"/>
    <n v="19522338000"/>
    <n v="234268056000"/>
    <m/>
    <m/>
    <m/>
    <m/>
    <n v="0"/>
    <n v="0"/>
    <n v="0"/>
    <n v="0"/>
    <n v="0"/>
    <n v="0"/>
    <n v="0"/>
    <n v="0"/>
    <n v="0"/>
    <n v="0"/>
    <n v="0"/>
    <n v="0"/>
    <n v="0"/>
  </r>
  <r>
    <n v="2"/>
    <s v="Quốc Anh"/>
    <s v="Quốc Anh"/>
    <s v="200319"/>
    <x v="0"/>
    <s v="Niagara Bottling, LLC"/>
    <s v="Hiện hữu"/>
    <s v="Xuất khẩu"/>
    <s v="Shepley"/>
    <s v="UK"/>
    <s v="Châu Âu"/>
    <s v="FOB"/>
    <s v="110000354"/>
    <s v="WSS01G 1"/>
    <x v="0"/>
    <s v="Hạt PET"/>
    <x v="0"/>
    <x v="0"/>
    <x v="0"/>
    <s v="Niagara Bottling, LLC"/>
    <s v="x"/>
    <n v="0.8"/>
    <n v="440"/>
    <n v="440"/>
    <n v="440"/>
    <n v="440"/>
    <n v="440"/>
    <n v="440"/>
    <n v="440"/>
    <n v="440"/>
    <n v="440"/>
    <n v="440"/>
    <n v="440"/>
    <n v="440"/>
    <n v="5280"/>
    <n v="13002"/>
    <n v="-7722"/>
    <n v="-0.59390862944162437"/>
    <n v="1150"/>
    <n v="1150"/>
    <n v="1150"/>
    <n v="1150"/>
    <n v="1150"/>
    <n v="1150"/>
    <n v="1150"/>
    <n v="1150"/>
    <n v="1150"/>
    <n v="1150"/>
    <n v="1150"/>
    <n v="1150"/>
    <n v="1150"/>
    <m/>
    <n v="1150"/>
    <n v="0"/>
    <m/>
    <n v="13409000000"/>
    <n v="13409000000"/>
    <n v="13409000000"/>
    <n v="13409000000"/>
    <n v="13409000000"/>
    <n v="13409000000"/>
    <n v="13409000000"/>
    <n v="13409000000"/>
    <n v="13409000000"/>
    <n v="13409000000"/>
    <n v="13409000000"/>
    <n v="13409000000"/>
    <n v="160908000000"/>
    <n v="369590112179.51868"/>
    <n v="-208682112179.51868"/>
    <n v="-0.56463120982564818"/>
    <s v="Dthu"/>
    <n v="1.4999999999999999E-2"/>
    <m/>
    <n v="201135000"/>
    <n v="201135000"/>
    <n v="201135000"/>
    <n v="201135000"/>
    <n v="201135000"/>
    <n v="201135000"/>
    <n v="201135000"/>
    <n v="201135000"/>
    <n v="201135000"/>
    <n v="201135000"/>
    <n v="201135000"/>
    <n v="201135000"/>
    <n v="2413620000"/>
    <n v="0"/>
    <n v="530000"/>
    <n v="530000"/>
    <n v="0"/>
    <n v="233200000"/>
    <n v="233200000"/>
    <n v="233200000"/>
    <n v="233200000"/>
    <n v="233200000"/>
    <n v="233200000"/>
    <n v="233200000"/>
    <n v="233200000"/>
    <n v="233200000"/>
    <n v="233200000"/>
    <n v="233200000"/>
    <n v="233200000"/>
    <n v="2798400000"/>
    <n v="13843335000"/>
    <n v="13843335000"/>
    <n v="13843335000"/>
    <n v="13843335000"/>
    <n v="13843335000"/>
    <n v="13843335000"/>
    <n v="13843335000"/>
    <n v="13843335000"/>
    <n v="13843335000"/>
    <n v="13843335000"/>
    <n v="13843335000"/>
    <n v="13843335000"/>
    <n v="166120020000"/>
    <m/>
    <m/>
    <m/>
    <m/>
    <n v="0"/>
    <n v="0"/>
    <n v="0"/>
    <n v="0"/>
    <n v="0"/>
    <n v="0"/>
    <n v="0"/>
    <n v="0"/>
    <n v="0"/>
    <n v="0"/>
    <n v="0"/>
    <n v="0"/>
    <n v="0"/>
  </r>
  <r>
    <n v="3"/>
    <s v="Long"/>
    <s v="Quốc Anh"/>
    <s v="200332"/>
    <x v="1"/>
    <s v="OUTEIRINHO TURISMO E INDUSTRIA SA"/>
    <s v="Hiện hữu"/>
    <s v="Xuất khẩu"/>
    <s v="Lisbon"/>
    <s v="Bồ Đào Nha"/>
    <s v="Châu Âu"/>
    <s v="FOB"/>
    <s v="110000507"/>
    <s v="Vảy PET"/>
    <x v="0"/>
    <s v="Vảy PET"/>
    <x v="1"/>
    <x v="0"/>
    <x v="0"/>
    <s v="OUTEIRINHO TURISMO E INDUSTRIA SA"/>
    <s v="x"/>
    <n v="0.8"/>
    <m/>
    <m/>
    <m/>
    <m/>
    <m/>
    <m/>
    <m/>
    <m/>
    <m/>
    <m/>
    <m/>
    <m/>
    <n v="0"/>
    <n v="0"/>
    <n v="0"/>
    <n v="0"/>
    <n v="750"/>
    <n v="750"/>
    <n v="750"/>
    <n v="750"/>
    <n v="750"/>
    <n v="750"/>
    <n v="750"/>
    <n v="750"/>
    <n v="750"/>
    <n v="750"/>
    <n v="750"/>
    <n v="750"/>
    <n v="750"/>
    <m/>
    <n v="750"/>
    <n v="0"/>
    <m/>
    <n v="0"/>
    <n v="0"/>
    <n v="0"/>
    <n v="0"/>
    <n v="0"/>
    <n v="0"/>
    <n v="0"/>
    <n v="0"/>
    <n v="0"/>
    <n v="0"/>
    <n v="0"/>
    <n v="0"/>
    <n v="0"/>
    <n v="0"/>
    <n v="0"/>
    <n v="0"/>
    <m/>
    <m/>
    <m/>
    <n v="0"/>
    <n v="0"/>
    <n v="0"/>
    <n v="0"/>
    <n v="0"/>
    <n v="0"/>
    <n v="0"/>
    <n v="0"/>
    <n v="0"/>
    <n v="0"/>
    <n v="0"/>
    <n v="0"/>
    <n v="0"/>
    <n v="0"/>
    <n v="530000"/>
    <n v="530000"/>
    <n v="0"/>
    <n v="0"/>
    <n v="0"/>
    <n v="0"/>
    <n v="0"/>
    <n v="0"/>
    <n v="0"/>
    <n v="0"/>
    <n v="0"/>
    <n v="0"/>
    <n v="0"/>
    <n v="0"/>
    <n v="0"/>
    <n v="0"/>
    <n v="0"/>
    <n v="0"/>
    <n v="0"/>
    <n v="0"/>
    <n v="0"/>
    <n v="0"/>
    <n v="0"/>
    <n v="0"/>
    <n v="0"/>
    <n v="0"/>
    <n v="0"/>
    <n v="0"/>
    <n v="0"/>
    <m/>
    <m/>
    <m/>
    <m/>
    <n v="0"/>
    <n v="0"/>
    <n v="0"/>
    <n v="0"/>
    <n v="0"/>
    <n v="0"/>
    <n v="0"/>
    <n v="0"/>
    <n v="0"/>
    <n v="0"/>
    <n v="0"/>
    <n v="0"/>
    <n v="0"/>
  </r>
  <r>
    <n v="4"/>
    <s v="Long"/>
    <s v="Quốc Anh"/>
    <s v="200332"/>
    <x v="1"/>
    <s v="OUTEIRINHO TURISMO E INDUSTRIA SA"/>
    <s v="Hiện hữu"/>
    <s v="Xuất khẩu"/>
    <s v="Lisbon"/>
    <s v="Bồ Đào Nha"/>
    <s v="Châu Âu"/>
    <s v="FOB"/>
    <s v="110000355"/>
    <s v="iSS01G 1"/>
    <x v="0"/>
    <s v="Hạt PET"/>
    <x v="2"/>
    <x v="0"/>
    <x v="0"/>
    <s v="OUTEIRINHO TURISMO E INDUSTRIA SA"/>
    <s v="x"/>
    <n v="0.8"/>
    <n v="330"/>
    <n v="330"/>
    <n v="330"/>
    <n v="330"/>
    <n v="330"/>
    <n v="330"/>
    <n v="330"/>
    <n v="330"/>
    <n v="330"/>
    <n v="330"/>
    <n v="330"/>
    <n v="330"/>
    <n v="3960"/>
    <n v="6160"/>
    <n v="-2200"/>
    <n v="-0.35714285714285715"/>
    <n v="1200"/>
    <n v="1200"/>
    <n v="1200"/>
    <n v="1200"/>
    <n v="1200"/>
    <n v="1200"/>
    <n v="1200"/>
    <n v="1200"/>
    <n v="1200"/>
    <n v="1200"/>
    <n v="1200"/>
    <n v="1200"/>
    <n v="1180"/>
    <m/>
    <n v="1180"/>
    <n v="0"/>
    <s v="Đã bao gồm chi phí hỗ trợ tối đa 10% (giá sau hỗ trợ là 1060)"/>
    <n v="10494000000"/>
    <n v="10494000000"/>
    <n v="10494000000"/>
    <n v="10494000000"/>
    <n v="10494000000"/>
    <n v="10494000000"/>
    <n v="10494000000"/>
    <n v="10494000000"/>
    <n v="10494000000"/>
    <n v="10494000000"/>
    <n v="10494000000"/>
    <n v="10494000000"/>
    <n v="125928000000"/>
    <n v="195215645002.66504"/>
    <n v="-69287645002.665039"/>
    <n v="-0.35492875072445723"/>
    <m/>
    <m/>
    <m/>
    <n v="0"/>
    <n v="0"/>
    <n v="0"/>
    <n v="0"/>
    <n v="0"/>
    <n v="0"/>
    <n v="0"/>
    <n v="0"/>
    <n v="0"/>
    <n v="0"/>
    <n v="0"/>
    <n v="0"/>
    <n v="0"/>
    <n v="0"/>
    <n v="530000"/>
    <n v="530000"/>
    <n v="0"/>
    <n v="174900000"/>
    <n v="174900000"/>
    <n v="174900000"/>
    <n v="174900000"/>
    <n v="174900000"/>
    <n v="174900000"/>
    <n v="174900000"/>
    <n v="174900000"/>
    <n v="174900000"/>
    <n v="174900000"/>
    <n v="174900000"/>
    <n v="174900000"/>
    <n v="2098800000"/>
    <n v="10668900000"/>
    <n v="10668900000"/>
    <n v="10668900000"/>
    <n v="10668900000"/>
    <n v="10668900000"/>
    <n v="10668900000"/>
    <n v="10668900000"/>
    <n v="10668900000"/>
    <n v="10668900000"/>
    <n v="10668900000"/>
    <n v="10668900000"/>
    <n v="10668900000"/>
    <n v="128026800000"/>
    <m/>
    <m/>
    <m/>
    <n v="0.1"/>
    <n v="1049400000"/>
    <n v="1049400000"/>
    <n v="1049400000"/>
    <n v="1049400000"/>
    <n v="1049400000"/>
    <n v="1049400000"/>
    <n v="1049400000"/>
    <n v="1049400000"/>
    <n v="1049400000"/>
    <n v="1049400000"/>
    <n v="1049400000"/>
    <n v="1049400000"/>
    <n v="12592800000"/>
  </r>
  <r>
    <n v="5"/>
    <s v="Nghĩa"/>
    <s v="Cường"/>
    <s v="104894"/>
    <x v="2"/>
    <s v="UNILEVER-NGỌC NGHĨA"/>
    <s v="Hiện hữu"/>
    <s v="Nội địa"/>
    <s v="Hồ Chí Minh"/>
    <s v="Việt Nam"/>
    <s v="Châu Á"/>
    <s v="DDP"/>
    <s v="110000354"/>
    <s v="WSS01G 1"/>
    <x v="0"/>
    <s v="Hạt PET"/>
    <x v="0"/>
    <x v="0"/>
    <x v="0"/>
    <s v="Unilever"/>
    <s v="x"/>
    <n v="0.8"/>
    <n v="220"/>
    <n v="220"/>
    <n v="220"/>
    <n v="220"/>
    <n v="220"/>
    <n v="220"/>
    <n v="220"/>
    <n v="220"/>
    <n v="220"/>
    <n v="220"/>
    <n v="220"/>
    <n v="220"/>
    <n v="2640"/>
    <n v="3265.7"/>
    <n v="-625.69999999999982"/>
    <n v="-0.19159751354992799"/>
    <n v="1250"/>
    <n v="1250"/>
    <n v="1250"/>
    <n v="1250"/>
    <n v="1250"/>
    <n v="1250"/>
    <n v="1250"/>
    <n v="1250"/>
    <n v="1250"/>
    <n v="1250"/>
    <n v="1250"/>
    <n v="1250"/>
    <n v="1183"/>
    <m/>
    <n v="1183"/>
    <n v="0"/>
    <m/>
    <n v="7287500000"/>
    <n v="7287500000"/>
    <n v="7287500000"/>
    <n v="7287500000"/>
    <n v="7287500000"/>
    <n v="7287500000"/>
    <n v="7287500000"/>
    <n v="7287500000"/>
    <n v="7287500000"/>
    <n v="7287500000"/>
    <n v="7287500000"/>
    <n v="7287500000"/>
    <n v="87450000000"/>
    <n v="75849050314.347412"/>
    <n v="11600949685.652588"/>
    <n v="0.15294785679680661"/>
    <m/>
    <m/>
    <m/>
    <n v="0"/>
    <n v="0"/>
    <n v="0"/>
    <n v="0"/>
    <n v="0"/>
    <n v="0"/>
    <n v="0"/>
    <n v="0"/>
    <n v="0"/>
    <n v="0"/>
    <n v="0"/>
    <n v="0"/>
    <n v="0"/>
    <n v="140000"/>
    <n v="0"/>
    <n v="0"/>
    <n v="0"/>
    <n v="30800000"/>
    <n v="30800000"/>
    <n v="30800000"/>
    <n v="30800000"/>
    <n v="30800000"/>
    <n v="30800000"/>
    <n v="30800000"/>
    <n v="30800000"/>
    <n v="30800000"/>
    <n v="30800000"/>
    <n v="30800000"/>
    <n v="30800000"/>
    <n v="369600000"/>
    <n v="7318300000"/>
    <n v="7318300000"/>
    <n v="7318300000"/>
    <n v="7318300000"/>
    <n v="7318300000"/>
    <n v="7318300000"/>
    <n v="7318300000"/>
    <n v="7318300000"/>
    <n v="7318300000"/>
    <n v="7318300000"/>
    <n v="7318300000"/>
    <n v="7318300000"/>
    <n v="87819600000"/>
    <m/>
    <m/>
    <m/>
    <m/>
    <n v="0"/>
    <n v="0"/>
    <n v="0"/>
    <n v="0"/>
    <n v="0"/>
    <n v="0"/>
    <n v="0"/>
    <n v="0"/>
    <n v="0"/>
    <n v="0"/>
    <n v="0"/>
    <n v="0"/>
    <n v="0"/>
  </r>
  <r>
    <n v="6"/>
    <s v="Cường"/>
    <s v="Cường"/>
    <s v="105207"/>
    <x v="3"/>
    <s v="Suntory Sri Thái Bình Dương"/>
    <s v="Hiện hữu"/>
    <s v="Nội địa"/>
    <s v="Bình Dương"/>
    <s v="Việt Nam"/>
    <s v="Châu Á"/>
    <s v="DDP"/>
    <s v="110000332"/>
    <s v="iSS1084G"/>
    <x v="0"/>
    <s v="Hạt PET"/>
    <x v="3"/>
    <x v="0"/>
    <x v="0"/>
    <s v="SUNTORY"/>
    <s v="x"/>
    <n v="0.8"/>
    <n v="33"/>
    <n v="33"/>
    <n v="33"/>
    <n v="55"/>
    <n v="55"/>
    <n v="55"/>
    <n v="55"/>
    <n v="55"/>
    <n v="55"/>
    <n v="55"/>
    <n v="61"/>
    <n v="66"/>
    <n v="611"/>
    <n v="194.4717"/>
    <n v="416.5283"/>
    <n v="2.1418453173392322"/>
    <n v="1260"/>
    <n v="1260"/>
    <n v="1260"/>
    <n v="1260"/>
    <n v="1260"/>
    <n v="1260"/>
    <n v="1260"/>
    <n v="1260"/>
    <n v="1260"/>
    <n v="1260"/>
    <n v="1260"/>
    <n v="1260"/>
    <n v="1260"/>
    <m/>
    <n v="1260"/>
    <n v="0"/>
    <m/>
    <n v="1101870000"/>
    <n v="1101870000"/>
    <n v="1101870000"/>
    <n v="1836450000"/>
    <n v="1836450000"/>
    <n v="1836450000"/>
    <n v="1836450000"/>
    <n v="1836450000"/>
    <n v="1836450000"/>
    <n v="1836450000"/>
    <n v="2036790000"/>
    <n v="2203740000"/>
    <n v="20401290000"/>
    <n v="6774814988.3541889"/>
    <n v="13626475011.645811"/>
    <n v="2.0113427503289061"/>
    <s v="Dthu"/>
    <n v="5.0000000000000001E-3"/>
    <m/>
    <n v="5509350"/>
    <n v="5509350"/>
    <n v="5509350"/>
    <n v="9182250"/>
    <n v="9182250"/>
    <n v="9182250"/>
    <n v="9182250"/>
    <n v="9182250"/>
    <n v="9182250"/>
    <n v="9182250"/>
    <n v="10183950"/>
    <n v="11018700"/>
    <n v="102006450"/>
    <n v="160000"/>
    <n v="0"/>
    <n v="0"/>
    <n v="0"/>
    <n v="5280000"/>
    <n v="5280000"/>
    <n v="5280000"/>
    <n v="8800000"/>
    <n v="8800000"/>
    <n v="8800000"/>
    <n v="8800000"/>
    <n v="8800000"/>
    <n v="8800000"/>
    <n v="8800000"/>
    <n v="9760000"/>
    <n v="10560000"/>
    <n v="97760000"/>
    <n v="1112659350"/>
    <n v="1112659350"/>
    <n v="1112659350"/>
    <n v="1854432250"/>
    <n v="1854432250"/>
    <n v="1854432250"/>
    <n v="1854432250"/>
    <n v="1854432250"/>
    <n v="1854432250"/>
    <n v="1854432250"/>
    <n v="2056733950"/>
    <n v="2225318700"/>
    <n v="20601056450"/>
    <m/>
    <m/>
    <m/>
    <m/>
    <n v="0"/>
    <n v="0"/>
    <n v="0"/>
    <n v="0"/>
    <n v="0"/>
    <n v="0"/>
    <n v="0"/>
    <n v="0"/>
    <n v="0"/>
    <n v="0"/>
    <n v="0"/>
    <n v="0"/>
    <n v="0"/>
  </r>
  <r>
    <n v="7"/>
    <s v="Cường"/>
    <s v="Cường"/>
    <s v="105271"/>
    <x v="3"/>
    <s v="Suntory- Ngọc Nghĩa Tây Ninh"/>
    <s v="Hiện hữu"/>
    <s v="Nội địa"/>
    <s v="Tây Ninh"/>
    <s v="Việt Nam"/>
    <s v="Châu Á"/>
    <s v="DDP"/>
    <s v="110000332"/>
    <s v="iSS1084G"/>
    <x v="0"/>
    <s v="Hạt PET"/>
    <x v="3"/>
    <x v="0"/>
    <x v="0"/>
    <s v="SUNTORY"/>
    <s v="x"/>
    <n v="0.8"/>
    <n v="33"/>
    <n v="33"/>
    <n v="33"/>
    <n v="55"/>
    <n v="55"/>
    <n v="55"/>
    <n v="55"/>
    <n v="55"/>
    <n v="55"/>
    <n v="55"/>
    <n v="55"/>
    <n v="66"/>
    <n v="605"/>
    <n v="374"/>
    <n v="231"/>
    <n v="0.61764705882352944"/>
    <n v="1260"/>
    <n v="1260"/>
    <n v="1260"/>
    <n v="1260"/>
    <n v="1260"/>
    <n v="1260"/>
    <n v="1260"/>
    <n v="1260"/>
    <n v="1260"/>
    <n v="1260"/>
    <n v="1260"/>
    <n v="1260"/>
    <n v="1260"/>
    <m/>
    <n v="1260"/>
    <n v="0"/>
    <m/>
    <n v="1101870000"/>
    <n v="1101870000"/>
    <n v="1101870000"/>
    <n v="1836450000"/>
    <n v="1836450000"/>
    <n v="1836450000"/>
    <n v="1836450000"/>
    <n v="1836450000"/>
    <n v="1836450000"/>
    <n v="1836450000"/>
    <n v="1836450000"/>
    <n v="2203740000"/>
    <n v="20200950000"/>
    <n v="13142063297.375744"/>
    <n v="7058886702.6242561"/>
    <n v="0.53712164847309785"/>
    <s v="Dthu"/>
    <n v="5.0000000000000001E-3"/>
    <m/>
    <n v="5509350"/>
    <n v="5509350"/>
    <n v="5509350"/>
    <n v="9182250"/>
    <n v="9182250"/>
    <n v="9182250"/>
    <n v="9182250"/>
    <n v="9182250"/>
    <n v="9182250"/>
    <n v="9182250"/>
    <n v="9182250"/>
    <n v="11018700"/>
    <n v="101004750"/>
    <n v="140000"/>
    <n v="0"/>
    <n v="0"/>
    <n v="0"/>
    <n v="4620000"/>
    <n v="4620000"/>
    <n v="4620000"/>
    <n v="7700000"/>
    <n v="7700000"/>
    <n v="7700000"/>
    <n v="7700000"/>
    <n v="7700000"/>
    <n v="7700000"/>
    <n v="7700000"/>
    <n v="7700000"/>
    <n v="9240000"/>
    <n v="84700000"/>
    <n v="1111999350"/>
    <n v="1111999350"/>
    <n v="1111999350"/>
    <n v="1853332250"/>
    <n v="1853332250"/>
    <n v="1853332250"/>
    <n v="1853332250"/>
    <n v="1853332250"/>
    <n v="1853332250"/>
    <n v="1853332250"/>
    <n v="1853332250"/>
    <n v="2223998700"/>
    <n v="20386654750"/>
    <m/>
    <m/>
    <m/>
    <m/>
    <n v="0"/>
    <n v="0"/>
    <n v="0"/>
    <n v="0"/>
    <n v="0"/>
    <n v="0"/>
    <n v="0"/>
    <n v="0"/>
    <n v="0"/>
    <n v="0"/>
    <n v="0"/>
    <n v="0"/>
    <n v="0"/>
  </r>
  <r>
    <n v="8"/>
    <s v="Cường"/>
    <s v="Cường"/>
    <s v="105271-Thêm"/>
    <x v="3"/>
    <s v="Suntory- Ngọc Nghĩa Tây Ninh (thêm)"/>
    <s v="Hiện hữu"/>
    <s v="Nội địa"/>
    <s v="Tây Ninh"/>
    <s v="Việt Nam"/>
    <s v="Châu Á"/>
    <s v="DDP"/>
    <s v="110000332"/>
    <s v="iSS1084G"/>
    <x v="0"/>
    <s v="Hạt PET"/>
    <x v="3"/>
    <x v="0"/>
    <x v="0"/>
    <s v="SUNTORY"/>
    <s v="x"/>
    <n v="0.8"/>
    <n v="220"/>
    <n v="220"/>
    <n v="220"/>
    <n v="220"/>
    <n v="220"/>
    <n v="220"/>
    <n v="220"/>
    <n v="220"/>
    <n v="220"/>
    <n v="220"/>
    <n v="220"/>
    <n v="220"/>
    <n v="2640"/>
    <n v="0"/>
    <n v="2640"/>
    <n v="0"/>
    <n v="1260"/>
    <n v="1260"/>
    <n v="1260"/>
    <n v="1260"/>
    <n v="1260"/>
    <n v="1260"/>
    <n v="1260"/>
    <n v="1260"/>
    <n v="1260"/>
    <n v="1260"/>
    <n v="1260"/>
    <n v="1260"/>
    <n v="1260"/>
    <m/>
    <n v="1260"/>
    <n v="0"/>
    <m/>
    <n v="7345800000"/>
    <n v="7345800000"/>
    <n v="7345800000"/>
    <n v="7345800000"/>
    <n v="7345800000"/>
    <n v="7345800000"/>
    <n v="7345800000"/>
    <n v="7345800000"/>
    <n v="7345800000"/>
    <n v="7345800000"/>
    <n v="7345800000"/>
    <n v="7345800000"/>
    <n v="88149600000"/>
    <n v="0"/>
    <n v="88149600000"/>
    <n v="0"/>
    <m/>
    <m/>
    <m/>
    <n v="0"/>
    <n v="0"/>
    <n v="0"/>
    <n v="0"/>
    <n v="0"/>
    <n v="0"/>
    <n v="0"/>
    <n v="0"/>
    <n v="0"/>
    <n v="0"/>
    <n v="0"/>
    <n v="0"/>
    <n v="0"/>
    <n v="0"/>
    <n v="0"/>
    <n v="0"/>
    <n v="0"/>
    <n v="0"/>
    <n v="0"/>
    <n v="0"/>
    <n v="0"/>
    <n v="0"/>
    <n v="0"/>
    <n v="0"/>
    <n v="0"/>
    <n v="0"/>
    <n v="0"/>
    <n v="0"/>
    <n v="0"/>
    <n v="0"/>
    <n v="7345800000"/>
    <n v="7345800000"/>
    <n v="7345800000"/>
    <n v="7345800000"/>
    <n v="7345800000"/>
    <n v="7345800000"/>
    <n v="7345800000"/>
    <n v="7345800000"/>
    <n v="7345800000"/>
    <n v="7345800000"/>
    <n v="7345800000"/>
    <n v="7345800000"/>
    <n v="88149600000"/>
    <m/>
    <m/>
    <m/>
    <m/>
    <n v="0"/>
    <n v="0"/>
    <n v="0"/>
    <n v="0"/>
    <n v="0"/>
    <n v="0"/>
    <n v="0"/>
    <n v="0"/>
    <n v="0"/>
    <n v="0"/>
    <n v="0"/>
    <n v="0"/>
    <n v="0"/>
  </r>
  <r>
    <n v="9"/>
    <s v="Cường"/>
    <s v="Cường"/>
    <s v="105350"/>
    <x v="3"/>
    <s v="Suntory - Ngọc Nghĩa Hưng Yên"/>
    <s v="Hiện hữu"/>
    <s v="Nội địa"/>
    <s v="Hưng Yên"/>
    <s v="Việt Nam"/>
    <s v="Châu Á"/>
    <s v="DDP"/>
    <s v="110000332"/>
    <s v="iSS1084G"/>
    <x v="0"/>
    <s v="Hạt PET"/>
    <x v="3"/>
    <x v="0"/>
    <x v="0"/>
    <s v="SUNTORY"/>
    <s v="x"/>
    <n v="0.8"/>
    <n v="44"/>
    <n v="44"/>
    <n v="44"/>
    <n v="44"/>
    <n v="66"/>
    <n v="66"/>
    <n v="66"/>
    <n v="66"/>
    <n v="66"/>
    <n v="66"/>
    <n v="66"/>
    <n v="66"/>
    <n v="704"/>
    <n v="3.3"/>
    <n v="700.7"/>
    <n v="212.33333333333337"/>
    <n v="1260"/>
    <n v="1260"/>
    <n v="1260"/>
    <n v="1260"/>
    <n v="1260"/>
    <n v="1260"/>
    <n v="1260"/>
    <n v="1260"/>
    <n v="1260"/>
    <n v="1260"/>
    <n v="1260"/>
    <n v="1260"/>
    <n v="1260"/>
    <m/>
    <n v="1260"/>
    <n v="0"/>
    <m/>
    <n v="1469160000"/>
    <n v="1469160000"/>
    <n v="1469160000"/>
    <n v="1469160000"/>
    <n v="2203740000"/>
    <n v="2203740000"/>
    <n v="2203740000"/>
    <n v="2203740000"/>
    <n v="2203740000"/>
    <n v="2203740000"/>
    <n v="2203740000"/>
    <n v="2203740000"/>
    <n v="23506560000"/>
    <n v="133958947.25040984"/>
    <n v="23372601052.749592"/>
    <n v="174.4758490006578"/>
    <s v="Dthu"/>
    <n v="5.0000000000000001E-3"/>
    <m/>
    <n v="7345800"/>
    <n v="7345800"/>
    <n v="7345800"/>
    <n v="7345800"/>
    <n v="11018700"/>
    <n v="11018700"/>
    <n v="11018700"/>
    <n v="11018700"/>
    <n v="11018700"/>
    <n v="11018700"/>
    <n v="11018700"/>
    <n v="11018700"/>
    <n v="117532800"/>
    <n v="610269.31818181823"/>
    <n v="0"/>
    <n v="0"/>
    <n v="0"/>
    <n v="26851850.000000004"/>
    <n v="26851850.000000004"/>
    <n v="26851850.000000004"/>
    <n v="26851850.000000004"/>
    <n v="40277775"/>
    <n v="40277775"/>
    <n v="40277775"/>
    <n v="40277775"/>
    <n v="40277775"/>
    <n v="40277775"/>
    <n v="40277775"/>
    <n v="40277775"/>
    <n v="429629600"/>
    <n v="1503357650"/>
    <n v="1503357650"/>
    <n v="1503357650"/>
    <n v="1503357650"/>
    <n v="2255036475"/>
    <n v="2255036475"/>
    <n v="2255036475"/>
    <n v="2255036475"/>
    <n v="2255036475"/>
    <n v="2255036475"/>
    <n v="2255036475"/>
    <n v="2255036475"/>
    <n v="24053722400"/>
    <m/>
    <m/>
    <m/>
    <m/>
    <n v="0"/>
    <n v="0"/>
    <n v="0"/>
    <n v="0"/>
    <n v="0"/>
    <n v="0"/>
    <n v="0"/>
    <n v="0"/>
    <n v="0"/>
    <n v="0"/>
    <n v="0"/>
    <n v="0"/>
    <n v="0"/>
  </r>
  <r>
    <n v="10"/>
    <s v="Duy"/>
    <s v="Cường"/>
    <s v="104909"/>
    <x v="4"/>
    <s v="Công ty TNHH La Vie"/>
    <s v="Hiện hữu"/>
    <s v="Nội địa"/>
    <s v="Tây Ninh"/>
    <s v="Việt Nam"/>
    <s v="Châu Á"/>
    <s v="EXW"/>
    <s v="110000329"/>
    <s v="WSS01"/>
    <x v="0"/>
    <s v="Hạt PET"/>
    <x v="0"/>
    <x v="0"/>
    <x v="0"/>
    <s v="Lavie"/>
    <s v="x"/>
    <n v="0.8"/>
    <n v="110"/>
    <n v="110"/>
    <n v="110"/>
    <n v="110"/>
    <n v="110"/>
    <n v="110"/>
    <n v="110"/>
    <n v="110"/>
    <n v="110"/>
    <n v="110"/>
    <n v="110"/>
    <n v="110"/>
    <n v="1320"/>
    <n v="0"/>
    <n v="1320"/>
    <n v="0"/>
    <n v="1250"/>
    <n v="1250"/>
    <n v="1250"/>
    <n v="1250"/>
    <n v="1250"/>
    <n v="1250"/>
    <n v="1250"/>
    <n v="1250"/>
    <n v="1250"/>
    <n v="1250"/>
    <n v="1250"/>
    <n v="1250"/>
    <n v="1250"/>
    <m/>
    <n v="1250"/>
    <n v="0"/>
    <m/>
    <n v="3643750000"/>
    <n v="3643750000"/>
    <n v="3643750000"/>
    <n v="3643750000"/>
    <n v="3643750000"/>
    <n v="3643750000"/>
    <n v="3643750000"/>
    <n v="3643750000"/>
    <n v="3643750000"/>
    <n v="3643750000"/>
    <n v="3643750000"/>
    <n v="3643750000"/>
    <n v="43725000000"/>
    <n v="0"/>
    <n v="43725000000"/>
    <n v="0"/>
    <m/>
    <m/>
    <m/>
    <n v="0"/>
    <n v="0"/>
    <n v="0"/>
    <n v="0"/>
    <n v="0"/>
    <n v="0"/>
    <n v="0"/>
    <n v="0"/>
    <n v="0"/>
    <n v="0"/>
    <n v="0"/>
    <n v="0"/>
    <n v="0"/>
    <n v="0"/>
    <n v="0"/>
    <n v="0"/>
    <n v="0"/>
    <n v="0"/>
    <n v="0"/>
    <n v="0"/>
    <n v="0"/>
    <n v="0"/>
    <n v="0"/>
    <n v="0"/>
    <n v="0"/>
    <n v="0"/>
    <n v="0"/>
    <n v="0"/>
    <n v="0"/>
    <n v="0"/>
    <n v="3643750000"/>
    <n v="3643750000"/>
    <n v="3643750000"/>
    <n v="3643750000"/>
    <n v="3643750000"/>
    <n v="3643750000"/>
    <n v="3643750000"/>
    <n v="3643750000"/>
    <n v="3643750000"/>
    <n v="3643750000"/>
    <n v="3643750000"/>
    <n v="3643750000"/>
    <n v="43725000000"/>
    <m/>
    <m/>
    <m/>
    <m/>
    <n v="0"/>
    <n v="0"/>
    <n v="0"/>
    <n v="0"/>
    <n v="0"/>
    <n v="0"/>
    <n v="0"/>
    <n v="0"/>
    <n v="0"/>
    <n v="0"/>
    <n v="0"/>
    <n v="0"/>
    <n v="0"/>
  </r>
  <r>
    <n v="11"/>
    <s v="Cường"/>
    <s v="Cường"/>
    <s v="200391"/>
    <x v="5"/>
    <s v="SHARPAK AYLESHAM LTD"/>
    <s v="Mới"/>
    <s v="Xuất khẩu"/>
    <s v="Felixstowe"/>
    <s v="UK"/>
    <s v="Châu Âu"/>
    <s v="CIF"/>
    <s v="110000507"/>
    <s v="Vảy PET"/>
    <x v="0"/>
    <s v="Vảy PET"/>
    <x v="1"/>
    <x v="0"/>
    <x v="0"/>
    <s v="SHARPAK AYLESHAM LTD"/>
    <s v="x"/>
    <n v="0.8"/>
    <m/>
    <m/>
    <m/>
    <m/>
    <m/>
    <m/>
    <m/>
    <m/>
    <m/>
    <m/>
    <m/>
    <m/>
    <n v="0"/>
    <n v="0"/>
    <n v="0"/>
    <n v="0"/>
    <n v="750"/>
    <n v="750"/>
    <n v="750"/>
    <n v="750"/>
    <n v="750"/>
    <n v="750"/>
    <n v="750"/>
    <n v="750"/>
    <n v="750"/>
    <n v="750"/>
    <n v="750"/>
    <n v="750"/>
    <n v="750"/>
    <m/>
    <n v="750"/>
    <n v="0"/>
    <m/>
    <n v="0"/>
    <n v="0"/>
    <n v="0"/>
    <n v="0"/>
    <n v="0"/>
    <n v="0"/>
    <n v="0"/>
    <n v="0"/>
    <n v="0"/>
    <n v="0"/>
    <n v="0"/>
    <n v="0"/>
    <n v="0"/>
    <n v="0"/>
    <n v="0"/>
    <n v="0"/>
    <m/>
    <m/>
    <m/>
    <n v="0"/>
    <n v="0"/>
    <n v="0"/>
    <n v="0"/>
    <n v="0"/>
    <n v="0"/>
    <n v="0"/>
    <n v="0"/>
    <n v="0"/>
    <n v="0"/>
    <n v="0"/>
    <n v="0"/>
    <n v="0"/>
    <n v="0"/>
    <n v="2698181.8181818179"/>
    <n v="530000"/>
    <n v="2168181.8181818179"/>
    <n v="0"/>
    <n v="0"/>
    <n v="0"/>
    <n v="0"/>
    <n v="0"/>
    <n v="0"/>
    <n v="0"/>
    <n v="0"/>
    <n v="0"/>
    <n v="0"/>
    <n v="0"/>
    <n v="0"/>
    <n v="0"/>
    <n v="0"/>
    <n v="0"/>
    <n v="0"/>
    <n v="0"/>
    <n v="0"/>
    <n v="0"/>
    <n v="0"/>
    <n v="0"/>
    <n v="0"/>
    <n v="0"/>
    <n v="0"/>
    <n v="0"/>
    <n v="0"/>
    <m/>
    <m/>
    <m/>
    <m/>
    <n v="0"/>
    <n v="0"/>
    <n v="0"/>
    <n v="0"/>
    <n v="0"/>
    <n v="0"/>
    <n v="0"/>
    <n v="0"/>
    <n v="0"/>
    <n v="0"/>
    <n v="0"/>
    <n v="0"/>
    <n v="0"/>
  </r>
  <r>
    <n v="12"/>
    <s v="Quỳnh Anh"/>
    <s v="Quốc Anh"/>
    <s v="105356"/>
    <x v="6"/>
    <s v="Quang Chí Bảo"/>
    <s v="Mới"/>
    <s v="Nội địa"/>
    <s v="Hồ Chí Minh"/>
    <s v="Việt Nam"/>
    <s v="Châu Á"/>
    <s v="EXW"/>
    <s v="110000436"/>
    <s v="WSS05SB"/>
    <x v="1"/>
    <s v="Hạt Xơ sợi"/>
    <x v="4"/>
    <x v="0"/>
    <x v="0"/>
    <s v="Quang Chí Bảo"/>
    <s v="x"/>
    <n v="0.8"/>
    <n v="86.586983333333322"/>
    <n v="86.586983333333322"/>
    <n v="86.586983333333322"/>
    <n v="86.586983333333322"/>
    <n v="86.586983333333322"/>
    <n v="86.586983333333322"/>
    <n v="86.586983333333322"/>
    <n v="86.586983333333322"/>
    <n v="86.586983333333322"/>
    <n v="86.586983333333322"/>
    <n v="86.586983333333322"/>
    <n v="86.586983333333322"/>
    <n v="1039.0438000000001"/>
    <n v="997.95"/>
    <n v="41.093800000000101"/>
    <n v="4.1178215341450074E-2"/>
    <n v="640"/>
    <n v="632"/>
    <n v="624"/>
    <n v="616"/>
    <n v="608"/>
    <n v="600"/>
    <n v="592"/>
    <n v="584"/>
    <n v="576"/>
    <n v="568"/>
    <n v="560"/>
    <n v="552"/>
    <n v="596"/>
    <m/>
    <n v="596"/>
    <n v="0"/>
    <m/>
    <n v="1468515237.333333"/>
    <n v="1450158796.8666666"/>
    <n v="1431802356.3999999"/>
    <n v="1413445915.9333332"/>
    <n v="1395089475.4666665"/>
    <n v="1376733034.9999998"/>
    <n v="1358376594.5333331"/>
    <n v="1340020154.0666664"/>
    <n v="1321663713.5999999"/>
    <n v="1303307273.1333332"/>
    <n v="1284950832.6666665"/>
    <n v="1266594392.1999998"/>
    <n v="16410657777.199997"/>
    <n v="5994506181.0431871"/>
    <n v="10416151596.156811"/>
    <n v="1.7376162909125823"/>
    <m/>
    <m/>
    <m/>
    <n v="0"/>
    <n v="0"/>
    <n v="0"/>
    <n v="0"/>
    <n v="0"/>
    <n v="0"/>
    <n v="0"/>
    <n v="0"/>
    <n v="0"/>
    <n v="0"/>
    <n v="0"/>
    <n v="0"/>
    <n v="0"/>
    <n v="0"/>
    <n v="0"/>
    <n v="0"/>
    <n v="0"/>
    <n v="0"/>
    <n v="0"/>
    <n v="0"/>
    <n v="0"/>
    <n v="0"/>
    <n v="0"/>
    <n v="0"/>
    <n v="0"/>
    <n v="0"/>
    <n v="0"/>
    <n v="0"/>
    <n v="0"/>
    <n v="0"/>
    <n v="1468515237.333333"/>
    <n v="1450158796.8666666"/>
    <n v="1431802356.3999999"/>
    <n v="1413445915.9333332"/>
    <n v="1395089475.4666665"/>
    <n v="1376733034.9999998"/>
    <n v="1358376594.5333331"/>
    <n v="1340020154.0666664"/>
    <n v="1321663713.5999999"/>
    <n v="1303307273.1333332"/>
    <n v="1284950832.6666665"/>
    <n v="1266594392.1999998"/>
    <n v="16410657777.199997"/>
    <m/>
    <m/>
    <m/>
    <m/>
    <n v="0"/>
    <n v="0"/>
    <n v="0"/>
    <n v="0"/>
    <n v="0"/>
    <n v="0"/>
    <n v="0"/>
    <n v="0"/>
    <n v="0"/>
    <n v="0"/>
    <n v="0"/>
    <n v="0"/>
    <n v="0"/>
  </r>
  <r>
    <n v="13"/>
    <s v="Andy"/>
    <s v="Cường"/>
    <s v="NS26-NEWCUS-017"/>
    <x v="7"/>
    <s v="New Developments - Vảy PET - XK"/>
    <s v="Mới"/>
    <s v="Xuất khẩu"/>
    <s v="Mỹ"/>
    <s v="Mỹ"/>
    <s v="Châu Mỹ"/>
    <s v="FOB"/>
    <s v="110000507"/>
    <s v="Vảy PET"/>
    <x v="0"/>
    <s v="Vảy PET"/>
    <x v="1"/>
    <x v="0"/>
    <x v="0"/>
    <s v="KHÁCH HÀNG MỚI CÒN LẠI"/>
    <s v="x"/>
    <n v="0.8"/>
    <m/>
    <m/>
    <m/>
    <m/>
    <m/>
    <m/>
    <m/>
    <m/>
    <m/>
    <m/>
    <m/>
    <m/>
    <n v="0"/>
    <n v="0"/>
    <n v="0"/>
    <n v="0"/>
    <n v="750"/>
    <n v="750"/>
    <n v="750"/>
    <n v="750"/>
    <n v="750"/>
    <n v="750"/>
    <n v="750"/>
    <n v="750"/>
    <n v="750"/>
    <n v="750"/>
    <n v="750"/>
    <n v="750"/>
    <n v="750"/>
    <m/>
    <n v="750"/>
    <n v="0"/>
    <m/>
    <n v="0"/>
    <n v="0"/>
    <n v="0"/>
    <n v="0"/>
    <n v="0"/>
    <n v="0"/>
    <n v="0"/>
    <n v="0"/>
    <n v="0"/>
    <n v="0"/>
    <n v="0"/>
    <n v="0"/>
    <n v="0"/>
    <n v="0"/>
    <n v="0"/>
    <n v="0"/>
    <m/>
    <m/>
    <m/>
    <n v="0"/>
    <n v="0"/>
    <n v="0"/>
    <n v="0"/>
    <n v="0"/>
    <n v="0"/>
    <n v="0"/>
    <n v="0"/>
    <n v="0"/>
    <n v="0"/>
    <n v="0"/>
    <n v="0"/>
    <n v="0"/>
    <n v="0"/>
    <n v="530000"/>
    <n v="530000"/>
    <n v="0"/>
    <n v="0"/>
    <n v="0"/>
    <n v="0"/>
    <n v="0"/>
    <n v="0"/>
    <n v="0"/>
    <n v="0"/>
    <n v="0"/>
    <n v="0"/>
    <n v="0"/>
    <n v="0"/>
    <n v="0"/>
    <n v="0"/>
    <n v="0"/>
    <n v="0"/>
    <n v="0"/>
    <n v="0"/>
    <n v="0"/>
    <n v="0"/>
    <n v="0"/>
    <n v="0"/>
    <n v="0"/>
    <n v="0"/>
    <n v="0"/>
    <n v="0"/>
    <n v="0"/>
    <m/>
    <m/>
    <m/>
    <m/>
    <n v="0"/>
    <n v="0"/>
    <n v="0"/>
    <n v="0"/>
    <n v="0"/>
    <n v="0"/>
    <n v="0"/>
    <n v="0"/>
    <n v="0"/>
    <n v="0"/>
    <n v="0"/>
    <n v="0"/>
    <n v="0"/>
  </r>
  <r>
    <n v="14"/>
    <s v="Andy"/>
    <s v="Cường"/>
    <s v="NS26-NEWCUS-018"/>
    <x v="8"/>
    <s v="New Developments - Hạt PET - XK"/>
    <s v="Mới"/>
    <s v="Xuất khẩu"/>
    <s v="Mỹ"/>
    <s v="Mỹ"/>
    <s v="Châu Mỹ"/>
    <s v="FOB"/>
    <s v="110000332"/>
    <s v="iSS1084G"/>
    <x v="0"/>
    <s v="Hạt PET"/>
    <x v="3"/>
    <x v="0"/>
    <x v="0"/>
    <s v="KHÁCH HÀNG MỚI CÒN LẠI"/>
    <s v="x"/>
    <n v="0.8"/>
    <n v="44"/>
    <n v="53"/>
    <n v="55"/>
    <n v="55"/>
    <n v="55"/>
    <n v="55"/>
    <n v="55"/>
    <n v="55"/>
    <n v="55"/>
    <n v="55"/>
    <n v="55"/>
    <n v="55"/>
    <n v="647"/>
    <n v="0"/>
    <n v="647"/>
    <n v="0"/>
    <n v="1250"/>
    <n v="1250"/>
    <n v="1250"/>
    <n v="1250"/>
    <n v="1250"/>
    <n v="1250"/>
    <n v="1250"/>
    <n v="1250"/>
    <n v="1250"/>
    <n v="1250"/>
    <n v="1250"/>
    <n v="1250"/>
    <n v="1200"/>
    <m/>
    <n v="1200"/>
    <n v="0"/>
    <m/>
    <n v="1457500000"/>
    <n v="1755625000"/>
    <n v="1821875000"/>
    <n v="1821875000"/>
    <n v="1821875000"/>
    <n v="1821875000"/>
    <n v="1821875000"/>
    <n v="1821875000"/>
    <n v="1821875000"/>
    <n v="1821875000"/>
    <n v="1821875000"/>
    <n v="1821875000"/>
    <n v="21431875000"/>
    <n v="0"/>
    <n v="21431875000"/>
    <n v="0"/>
    <m/>
    <m/>
    <m/>
    <n v="0"/>
    <n v="0"/>
    <n v="0"/>
    <n v="0"/>
    <n v="0"/>
    <n v="0"/>
    <n v="0"/>
    <n v="0"/>
    <n v="0"/>
    <n v="0"/>
    <n v="0"/>
    <n v="0"/>
    <n v="0"/>
    <n v="0"/>
    <n v="530000"/>
    <n v="530000"/>
    <n v="0"/>
    <n v="23320000"/>
    <n v="28090000"/>
    <n v="29150000"/>
    <n v="29150000"/>
    <n v="29150000"/>
    <n v="29150000"/>
    <n v="29150000"/>
    <n v="29150000"/>
    <n v="29150000"/>
    <n v="29150000"/>
    <n v="29150000"/>
    <n v="29150000"/>
    <n v="342910000"/>
    <n v="1480820000"/>
    <n v="1783715000"/>
    <n v="1851025000"/>
    <n v="1851025000"/>
    <n v="1851025000"/>
    <n v="1851025000"/>
    <n v="1851025000"/>
    <n v="1851025000"/>
    <n v="1851025000"/>
    <n v="1851025000"/>
    <n v="1851025000"/>
    <n v="1851025000"/>
    <n v="21774785000"/>
    <m/>
    <m/>
    <m/>
    <n v="0.1"/>
    <n v="145750000"/>
    <n v="175562500"/>
    <n v="182187500"/>
    <n v="182187500"/>
    <n v="182187500"/>
    <n v="182187500"/>
    <n v="182187500"/>
    <n v="182187500"/>
    <n v="182187500"/>
    <n v="182187500"/>
    <n v="182187500"/>
    <n v="182187500"/>
    <n v="2143187500"/>
  </r>
  <r>
    <n v="15"/>
    <s v="Quốc Anh"/>
    <s v="Quốc Anh"/>
    <s v="200394"/>
    <x v="9"/>
    <s v="MHE ENTERPRISE"/>
    <s v="Mới"/>
    <s v="Xuất khẩu"/>
    <s v="Tema"/>
    <s v="Ghana"/>
    <s v="Châu Phi"/>
    <s v="CIF"/>
    <s v="110000341"/>
    <s v="rHDB04B01"/>
    <x v="2"/>
    <s v="Hạt HD thổi"/>
    <x v="1"/>
    <x v="1"/>
    <x v="0"/>
    <s v="MHE ENTERPRISE"/>
    <s v="x"/>
    <n v="0.8"/>
    <n v="50"/>
    <n v="50"/>
    <n v="50"/>
    <n v="50"/>
    <n v="50"/>
    <n v="50"/>
    <n v="80"/>
    <n v="80"/>
    <n v="80"/>
    <n v="80"/>
    <n v="80"/>
    <n v="80"/>
    <n v="780"/>
    <n v="27"/>
    <n v="753"/>
    <n v="27.888888888888889"/>
    <n v="600"/>
    <n v="600"/>
    <n v="600"/>
    <n v="600"/>
    <n v="600"/>
    <n v="600"/>
    <n v="600"/>
    <n v="600"/>
    <n v="600"/>
    <n v="600"/>
    <n v="600"/>
    <n v="600"/>
    <n v="600"/>
    <m/>
    <n v="600"/>
    <n v="0"/>
    <m/>
    <n v="795000000"/>
    <n v="795000000"/>
    <n v="795000000"/>
    <n v="795000000"/>
    <n v="795000000"/>
    <n v="795000000"/>
    <n v="1272000000"/>
    <n v="1272000000"/>
    <n v="1272000000"/>
    <n v="1272000000"/>
    <n v="1272000000"/>
    <n v="1272000000"/>
    <n v="12402000000"/>
    <n v="456809749"/>
    <n v="11945190251"/>
    <n v="26.1491578871711"/>
    <m/>
    <m/>
    <m/>
    <n v="0"/>
    <n v="0"/>
    <n v="0"/>
    <n v="0"/>
    <n v="0"/>
    <n v="0"/>
    <n v="0"/>
    <n v="0"/>
    <n v="0"/>
    <n v="0"/>
    <n v="0"/>
    <n v="0"/>
    <n v="0"/>
    <n v="0"/>
    <n v="5348181.8181818184"/>
    <n v="530000"/>
    <n v="4818181.8181818184"/>
    <n v="267409090.90909091"/>
    <n v="267409090.90909091"/>
    <n v="267409090.90909091"/>
    <n v="267409090.90909091"/>
    <n v="267409090.90909091"/>
    <n v="267409090.90909091"/>
    <n v="427854545.4545455"/>
    <n v="427854545.4545455"/>
    <n v="427854545.4545455"/>
    <n v="427854545.4545455"/>
    <n v="427854545.4545455"/>
    <n v="427854545.4545455"/>
    <n v="4171581818.1818185"/>
    <n v="1062409090.9090909"/>
    <n v="1062409090.9090909"/>
    <n v="1062409090.9090909"/>
    <n v="1062409090.9090909"/>
    <n v="1062409090.9090909"/>
    <n v="1062409090.9090909"/>
    <n v="1699854545.4545455"/>
    <n v="1699854545.4545455"/>
    <n v="1699854545.4545455"/>
    <n v="1699854545.4545455"/>
    <n v="1699854545.4545455"/>
    <n v="1699854545.4545455"/>
    <n v="16573581818.18182"/>
    <m/>
    <m/>
    <m/>
    <m/>
    <n v="0"/>
    <n v="0"/>
    <n v="0"/>
    <n v="0"/>
    <n v="0"/>
    <n v="0"/>
    <n v="0"/>
    <n v="0"/>
    <n v="0"/>
    <n v="0"/>
    <n v="0"/>
    <n v="0"/>
    <n v="0"/>
  </r>
  <r>
    <n v="16"/>
    <s v="Quỳnh Anh"/>
    <s v="Quốc Anh"/>
    <s v="105338"/>
    <x v="10"/>
    <s v="Nhựa Đạt Hòa"/>
    <s v="Mới"/>
    <s v="Nội địa"/>
    <s v="Hồ Chí Minh"/>
    <s v="Việt Nam"/>
    <s v="Châu Á"/>
    <s v="DDP"/>
    <s v="110000341"/>
    <s v="rHDB04B01"/>
    <x v="2"/>
    <s v="Hạt HD thổi"/>
    <x v="1"/>
    <x v="1"/>
    <x v="0"/>
    <s v="Nhựa Đạt Hòa"/>
    <s v="x"/>
    <n v="0.8"/>
    <m/>
    <m/>
    <m/>
    <m/>
    <m/>
    <m/>
    <m/>
    <m/>
    <m/>
    <m/>
    <m/>
    <m/>
    <n v="0"/>
    <n v="0"/>
    <n v="0"/>
    <n v="0"/>
    <n v="600"/>
    <n v="600"/>
    <n v="600"/>
    <n v="600"/>
    <n v="600"/>
    <n v="600"/>
    <n v="600"/>
    <n v="600"/>
    <n v="600"/>
    <n v="600"/>
    <n v="600"/>
    <n v="600"/>
    <n v="600"/>
    <m/>
    <n v="600"/>
    <n v="0"/>
    <m/>
    <n v="0"/>
    <n v="0"/>
    <n v="0"/>
    <n v="0"/>
    <n v="0"/>
    <n v="0"/>
    <n v="0"/>
    <n v="0"/>
    <n v="0"/>
    <n v="0"/>
    <n v="0"/>
    <n v="0"/>
    <n v="0"/>
    <n v="0"/>
    <n v="0"/>
    <n v="0"/>
    <m/>
    <m/>
    <m/>
    <n v="0"/>
    <n v="0"/>
    <n v="0"/>
    <n v="0"/>
    <n v="0"/>
    <n v="0"/>
    <n v="0"/>
    <n v="0"/>
    <n v="0"/>
    <n v="0"/>
    <n v="0"/>
    <n v="0"/>
    <n v="0"/>
    <n v="0"/>
    <n v="0"/>
    <n v="0"/>
    <n v="0"/>
    <n v="0"/>
    <n v="0"/>
    <n v="0"/>
    <n v="0"/>
    <n v="0"/>
    <n v="0"/>
    <n v="0"/>
    <n v="0"/>
    <n v="0"/>
    <n v="0"/>
    <n v="0"/>
    <n v="0"/>
    <n v="0"/>
    <n v="0"/>
    <n v="0"/>
    <n v="0"/>
    <n v="0"/>
    <n v="0"/>
    <n v="0"/>
    <n v="0"/>
    <n v="0"/>
    <n v="0"/>
    <n v="0"/>
    <n v="0"/>
    <n v="0"/>
    <n v="0"/>
    <m/>
    <m/>
    <m/>
    <m/>
    <n v="0"/>
    <n v="0"/>
    <n v="0"/>
    <n v="0"/>
    <n v="0"/>
    <n v="0"/>
    <n v="0"/>
    <n v="0"/>
    <n v="0"/>
    <n v="0"/>
    <n v="0"/>
    <n v="0"/>
    <n v="0"/>
  </r>
  <r>
    <n v="17"/>
    <s v="Nghĩa"/>
    <s v="Cường"/>
    <s v="104877"/>
    <x v="11"/>
    <s v="Công ty trách nhiệm hữu hạn Uy Kiệt"/>
    <s v="Hiện hữu"/>
    <s v="Nội địa"/>
    <s v="Bình Dương"/>
    <s v="Việt Nam"/>
    <s v="Châu Á"/>
    <s v="DDP"/>
    <s v="110000359"/>
    <s v="WSS03G"/>
    <x v="0"/>
    <s v="Hạt PET"/>
    <x v="5"/>
    <x v="0"/>
    <x v="0"/>
    <s v="Uy Kiệt"/>
    <s v="x"/>
    <n v="0.8"/>
    <m/>
    <m/>
    <m/>
    <n v="220"/>
    <m/>
    <n v="220"/>
    <m/>
    <n v="220"/>
    <m/>
    <n v="220"/>
    <m/>
    <m/>
    <n v="880"/>
    <n v="330.85"/>
    <n v="549.15"/>
    <n v="1.6598156264168049"/>
    <n v="970"/>
    <n v="970"/>
    <n v="970"/>
    <n v="970"/>
    <n v="970"/>
    <n v="970"/>
    <n v="970"/>
    <n v="970"/>
    <n v="970"/>
    <n v="970"/>
    <n v="970"/>
    <n v="970"/>
    <n v="970"/>
    <m/>
    <n v="970"/>
    <n v="0"/>
    <m/>
    <n v="0"/>
    <n v="0"/>
    <n v="0"/>
    <n v="5655100000"/>
    <n v="0"/>
    <n v="5655100000"/>
    <n v="0"/>
    <n v="5655100000"/>
    <n v="0"/>
    <n v="5655100000"/>
    <n v="0"/>
    <n v="0"/>
    <n v="22620400000"/>
    <n v="9292220825.1846371"/>
    <n v="13328179174.815363"/>
    <n v="1.4343373264109369"/>
    <m/>
    <m/>
    <m/>
    <n v="0"/>
    <n v="0"/>
    <n v="0"/>
    <n v="0"/>
    <n v="0"/>
    <n v="0"/>
    <n v="0"/>
    <n v="0"/>
    <n v="0"/>
    <n v="0"/>
    <n v="0"/>
    <n v="0"/>
    <n v="0"/>
    <n v="220000"/>
    <n v="0"/>
    <n v="0"/>
    <n v="0"/>
    <n v="0"/>
    <n v="0"/>
    <n v="0"/>
    <n v="48400000"/>
    <n v="0"/>
    <n v="48400000"/>
    <n v="0"/>
    <n v="48400000"/>
    <n v="0"/>
    <n v="48400000"/>
    <n v="0"/>
    <n v="0"/>
    <n v="193600000"/>
    <n v="0"/>
    <n v="0"/>
    <n v="0"/>
    <n v="5703500000"/>
    <n v="0"/>
    <n v="5703500000"/>
    <n v="0"/>
    <n v="5703500000"/>
    <n v="0"/>
    <n v="5703500000"/>
    <n v="0"/>
    <n v="0"/>
    <n v="22814000000"/>
    <m/>
    <m/>
    <m/>
    <m/>
    <n v="0"/>
    <n v="0"/>
    <n v="0"/>
    <n v="0"/>
    <n v="0"/>
    <n v="0"/>
    <n v="0"/>
    <n v="0"/>
    <n v="0"/>
    <n v="0"/>
    <n v="0"/>
    <n v="0"/>
    <n v="0"/>
  </r>
  <r>
    <n v="18"/>
    <s v="Nghĩa"/>
    <s v="Cường"/>
    <s v="NS26-NEWCUS-017"/>
    <x v="7"/>
    <s v="New Developments - Vảy PET - XK"/>
    <s v="Mới"/>
    <s v="Xuất khẩu"/>
    <s v="Export"/>
    <s v="Unknown"/>
    <s v="Unknown"/>
    <s v="FOB"/>
    <s v="110000507"/>
    <s v="Vảy PET"/>
    <x v="0"/>
    <s v="Vảy PET"/>
    <x v="1"/>
    <x v="0"/>
    <x v="0"/>
    <s v="KHÁCH HÀNG MỚI CÒN LẠI"/>
    <s v="x"/>
    <n v="0.8"/>
    <m/>
    <m/>
    <m/>
    <m/>
    <m/>
    <m/>
    <m/>
    <m/>
    <m/>
    <m/>
    <m/>
    <m/>
    <n v="0"/>
    <n v="0"/>
    <n v="0"/>
    <n v="0"/>
    <n v="750"/>
    <n v="750"/>
    <n v="750"/>
    <n v="750"/>
    <n v="750"/>
    <n v="750"/>
    <n v="750"/>
    <n v="750"/>
    <n v="750"/>
    <n v="750"/>
    <n v="750"/>
    <n v="750"/>
    <n v="750"/>
    <m/>
    <n v="750"/>
    <n v="0"/>
    <m/>
    <n v="0"/>
    <n v="0"/>
    <n v="0"/>
    <n v="0"/>
    <n v="0"/>
    <n v="0"/>
    <n v="0"/>
    <n v="0"/>
    <n v="0"/>
    <n v="0"/>
    <n v="0"/>
    <n v="0"/>
    <n v="0"/>
    <n v="0"/>
    <n v="0"/>
    <n v="0"/>
    <m/>
    <m/>
    <m/>
    <n v="0"/>
    <n v="0"/>
    <n v="0"/>
    <n v="0"/>
    <n v="0"/>
    <n v="0"/>
    <n v="0"/>
    <n v="0"/>
    <n v="0"/>
    <n v="0"/>
    <n v="0"/>
    <n v="0"/>
    <n v="0"/>
    <n v="0"/>
    <n v="530000"/>
    <n v="530000"/>
    <n v="0"/>
    <n v="0"/>
    <n v="0"/>
    <n v="0"/>
    <n v="0"/>
    <n v="0"/>
    <n v="0"/>
    <n v="0"/>
    <n v="0"/>
    <n v="0"/>
    <n v="0"/>
    <n v="0"/>
    <n v="0"/>
    <n v="0"/>
    <n v="0"/>
    <n v="0"/>
    <n v="0"/>
    <n v="0"/>
    <n v="0"/>
    <n v="0"/>
    <n v="0"/>
    <n v="0"/>
    <n v="0"/>
    <n v="0"/>
    <n v="0"/>
    <n v="0"/>
    <n v="0"/>
    <m/>
    <m/>
    <m/>
    <m/>
    <n v="0"/>
    <n v="0"/>
    <n v="0"/>
    <n v="0"/>
    <n v="0"/>
    <n v="0"/>
    <n v="0"/>
    <n v="0"/>
    <n v="0"/>
    <n v="0"/>
    <n v="0"/>
    <n v="0"/>
    <n v="0"/>
  </r>
  <r>
    <n v="19"/>
    <s v="Duy"/>
    <s v="Cường"/>
    <s v="NS26-NEWCUS-017"/>
    <x v="7"/>
    <s v="New Developments - Vảy PET - XK"/>
    <s v="Mới"/>
    <s v="Xuất khẩu"/>
    <s v="Export"/>
    <s v="Unknown"/>
    <s v="Unknown"/>
    <s v="FOB"/>
    <s v="110000507"/>
    <s v="Vảy PET"/>
    <x v="0"/>
    <s v="Vảy PET"/>
    <x v="1"/>
    <x v="0"/>
    <x v="0"/>
    <s v="KHÁCH HÀNG MỚI CÒN LẠI"/>
    <m/>
    <n v="0.8"/>
    <m/>
    <m/>
    <m/>
    <m/>
    <m/>
    <m/>
    <m/>
    <m/>
    <m/>
    <m/>
    <m/>
    <m/>
    <n v="0"/>
    <n v="0"/>
    <n v="0"/>
    <n v="0"/>
    <n v="750"/>
    <n v="750"/>
    <n v="750"/>
    <n v="750"/>
    <n v="750"/>
    <n v="750"/>
    <n v="750"/>
    <n v="750"/>
    <n v="750"/>
    <n v="750"/>
    <n v="750"/>
    <n v="750"/>
    <n v="750"/>
    <m/>
    <n v="750"/>
    <n v="0"/>
    <m/>
    <n v="0"/>
    <n v="0"/>
    <n v="0"/>
    <n v="0"/>
    <n v="0"/>
    <n v="0"/>
    <n v="0"/>
    <n v="0"/>
    <n v="0"/>
    <n v="0"/>
    <n v="0"/>
    <n v="0"/>
    <n v="0"/>
    <n v="0"/>
    <n v="0"/>
    <n v="0"/>
    <m/>
    <m/>
    <m/>
    <n v="0"/>
    <n v="0"/>
    <n v="0"/>
    <n v="0"/>
    <n v="0"/>
    <n v="0"/>
    <n v="0"/>
    <n v="0"/>
    <n v="0"/>
    <n v="0"/>
    <n v="0"/>
    <n v="0"/>
    <n v="0"/>
    <n v="0"/>
    <n v="530000"/>
    <n v="530000"/>
    <n v="0"/>
    <n v="0"/>
    <n v="0"/>
    <n v="0"/>
    <n v="0"/>
    <n v="0"/>
    <n v="0"/>
    <n v="0"/>
    <n v="0"/>
    <n v="0"/>
    <n v="0"/>
    <n v="0"/>
    <n v="0"/>
    <n v="0"/>
    <n v="0"/>
    <n v="0"/>
    <n v="0"/>
    <n v="0"/>
    <n v="0"/>
    <n v="0"/>
    <n v="0"/>
    <n v="0"/>
    <n v="0"/>
    <n v="0"/>
    <n v="0"/>
    <n v="0"/>
    <n v="0"/>
    <m/>
    <m/>
    <m/>
    <m/>
    <n v="0"/>
    <n v="0"/>
    <n v="0"/>
    <n v="0"/>
    <n v="0"/>
    <n v="0"/>
    <n v="0"/>
    <n v="0"/>
    <n v="0"/>
    <n v="0"/>
    <n v="0"/>
    <n v="0"/>
    <n v="0"/>
  </r>
  <r>
    <n v="20"/>
    <s v="Tuyền"/>
    <s v="Cường"/>
    <s v="NS26-NEWCUS-017"/>
    <x v="7"/>
    <s v="New Developments - Vảy PET - XK"/>
    <s v="Mới"/>
    <s v="Xuất khẩu"/>
    <s v="Export"/>
    <s v="Unknown"/>
    <s v="Unknown"/>
    <s v="FOB"/>
    <s v="110000507"/>
    <s v="Vảy PET"/>
    <x v="0"/>
    <s v="Vảy PET"/>
    <x v="1"/>
    <x v="0"/>
    <x v="0"/>
    <s v="KHÁCH HÀNG MỚI CÒN LẠI"/>
    <m/>
    <n v="0.8"/>
    <m/>
    <m/>
    <m/>
    <m/>
    <m/>
    <m/>
    <m/>
    <m/>
    <m/>
    <m/>
    <m/>
    <m/>
    <n v="0"/>
    <n v="0"/>
    <n v="0"/>
    <n v="0"/>
    <n v="750"/>
    <n v="750"/>
    <n v="750"/>
    <n v="750"/>
    <n v="750"/>
    <n v="750"/>
    <n v="750"/>
    <n v="750"/>
    <n v="750"/>
    <n v="750"/>
    <n v="750"/>
    <n v="750"/>
    <n v="750"/>
    <m/>
    <n v="750"/>
    <n v="0"/>
    <m/>
    <n v="0"/>
    <n v="0"/>
    <n v="0"/>
    <n v="0"/>
    <n v="0"/>
    <n v="0"/>
    <n v="0"/>
    <n v="0"/>
    <n v="0"/>
    <n v="0"/>
    <n v="0"/>
    <n v="0"/>
    <n v="0"/>
    <n v="0"/>
    <n v="0"/>
    <n v="0"/>
    <m/>
    <m/>
    <m/>
    <n v="0"/>
    <n v="0"/>
    <n v="0"/>
    <n v="0"/>
    <n v="0"/>
    <n v="0"/>
    <n v="0"/>
    <n v="0"/>
    <n v="0"/>
    <n v="0"/>
    <n v="0"/>
    <n v="0"/>
    <n v="0"/>
    <n v="0"/>
    <n v="530000"/>
    <n v="530000"/>
    <n v="0"/>
    <n v="0"/>
    <n v="0"/>
    <n v="0"/>
    <n v="0"/>
    <n v="0"/>
    <n v="0"/>
    <n v="0"/>
    <n v="0"/>
    <n v="0"/>
    <n v="0"/>
    <n v="0"/>
    <n v="0"/>
    <n v="0"/>
    <n v="0"/>
    <n v="0"/>
    <n v="0"/>
    <n v="0"/>
    <n v="0"/>
    <n v="0"/>
    <n v="0"/>
    <n v="0"/>
    <n v="0"/>
    <n v="0"/>
    <n v="0"/>
    <n v="0"/>
    <n v="0"/>
    <m/>
    <m/>
    <m/>
    <m/>
    <n v="0"/>
    <n v="0"/>
    <n v="0"/>
    <n v="0"/>
    <n v="0"/>
    <n v="0"/>
    <n v="0"/>
    <n v="0"/>
    <n v="0"/>
    <n v="0"/>
    <n v="0"/>
    <n v="0"/>
    <n v="0"/>
  </r>
  <r>
    <n v="21"/>
    <s v="Nghĩa"/>
    <s v="Cường"/>
    <s v="200365"/>
    <x v="12"/>
    <s v="Vinmar International"/>
    <s v="Hiện hữu"/>
    <s v="Xuất khẩu"/>
    <s v="EU"/>
    <s v="EU"/>
    <s v="Châu Âu"/>
    <s v="FOB"/>
    <s v="110000355"/>
    <s v="iSS01G 1"/>
    <x v="0"/>
    <s v="Hạt PET"/>
    <x v="2"/>
    <x v="0"/>
    <x v="0"/>
    <s v="Vinmar International"/>
    <s v="x"/>
    <n v="0.8"/>
    <n v="154"/>
    <n v="132"/>
    <n v="154"/>
    <n v="132"/>
    <n v="154"/>
    <n v="132"/>
    <n v="154"/>
    <n v="132"/>
    <n v="154"/>
    <n v="132"/>
    <n v="154"/>
    <n v="132"/>
    <n v="1716"/>
    <n v="1694"/>
    <n v="22"/>
    <n v="1.2987012987012988E-2"/>
    <n v="1200"/>
    <n v="1200"/>
    <n v="1200"/>
    <n v="1200"/>
    <n v="1200"/>
    <n v="1200"/>
    <n v="1200"/>
    <n v="1200"/>
    <n v="1200"/>
    <n v="1200"/>
    <n v="1200"/>
    <n v="1200"/>
    <n v="1200"/>
    <m/>
    <n v="1200"/>
    <n v="0"/>
    <s v="Đã bao gồm chi phí hỗ trợ tối đa 10% (giá sau hỗ trợ là 1080)"/>
    <n v="4897200000"/>
    <n v="4197600000"/>
    <n v="4897200000"/>
    <n v="4197600000"/>
    <n v="4897200000"/>
    <n v="4197600000"/>
    <n v="4897200000"/>
    <n v="4197600000"/>
    <n v="4897200000"/>
    <n v="4197600000"/>
    <n v="4897200000"/>
    <n v="4197600000"/>
    <n v="54568800000"/>
    <n v="53810972942.379776"/>
    <n v="757827057.620224"/>
    <n v="1.4083132420439549E-2"/>
    <m/>
    <m/>
    <m/>
    <n v="0"/>
    <n v="0"/>
    <n v="0"/>
    <n v="0"/>
    <n v="0"/>
    <n v="0"/>
    <n v="0"/>
    <n v="0"/>
    <n v="0"/>
    <n v="0"/>
    <n v="0"/>
    <n v="0"/>
    <n v="0"/>
    <n v="0"/>
    <n v="0"/>
    <n v="0"/>
    <n v="0"/>
    <n v="0"/>
    <n v="0"/>
    <n v="0"/>
    <n v="0"/>
    <n v="0"/>
    <n v="0"/>
    <n v="0"/>
    <n v="0"/>
    <n v="0"/>
    <n v="0"/>
    <n v="0"/>
    <n v="0"/>
    <n v="0"/>
    <n v="4897200000"/>
    <n v="4197600000"/>
    <n v="4897200000"/>
    <n v="4197600000"/>
    <n v="4897200000"/>
    <n v="4197600000"/>
    <n v="4897200000"/>
    <n v="4197600000"/>
    <n v="4897200000"/>
    <n v="4197600000"/>
    <n v="4897200000"/>
    <n v="4197600000"/>
    <n v="54568800000"/>
    <m/>
    <m/>
    <m/>
    <n v="0.1"/>
    <n v="489720000"/>
    <n v="419760000"/>
    <n v="489720000"/>
    <n v="419760000"/>
    <n v="489720000"/>
    <n v="419760000"/>
    <n v="489720000"/>
    <n v="419760000"/>
    <n v="489720000"/>
    <n v="419760000"/>
    <n v="489720000"/>
    <n v="419760000"/>
    <n v="5456880000"/>
  </r>
  <r>
    <n v="22"/>
    <s v="Nghĩa"/>
    <s v="Cường"/>
    <s v="105354"/>
    <x v="2"/>
    <s v="UNILEVER - NNG-TN"/>
    <s v="Hiện hữu"/>
    <s v="Nội địa"/>
    <s v="Tây Ninh"/>
    <s v="Việt Nam"/>
    <s v="Châu Á"/>
    <s v="DDP"/>
    <s v="110000354"/>
    <s v="WSS01G 1"/>
    <x v="0"/>
    <s v="Hạt PET"/>
    <x v="0"/>
    <x v="0"/>
    <x v="0"/>
    <s v="Unilever"/>
    <s v="x"/>
    <n v="0.8"/>
    <n v="44"/>
    <n v="44"/>
    <n v="44"/>
    <n v="44"/>
    <n v="44"/>
    <n v="44"/>
    <n v="44"/>
    <n v="44"/>
    <n v="44"/>
    <n v="44"/>
    <n v="44"/>
    <n v="44"/>
    <n v="528"/>
    <n v="572"/>
    <n v="-44"/>
    <n v="-7.6923076923076927E-2"/>
    <n v="1250"/>
    <n v="1250"/>
    <n v="1250"/>
    <n v="1250"/>
    <n v="1250"/>
    <n v="1250"/>
    <n v="1250"/>
    <n v="1250"/>
    <n v="1250"/>
    <n v="1250"/>
    <n v="1250"/>
    <n v="1250"/>
    <n v="1183"/>
    <m/>
    <n v="1183"/>
    <n v="0"/>
    <m/>
    <n v="1457500000"/>
    <n v="1457500000"/>
    <n v="1457500000"/>
    <n v="1457500000"/>
    <n v="1457500000"/>
    <n v="1457500000"/>
    <n v="1457500000"/>
    <n v="1457500000"/>
    <n v="1457500000"/>
    <n v="1457500000"/>
    <n v="1457500000"/>
    <n v="1457500000"/>
    <n v="17490000000"/>
    <n v="7872306619.3843365"/>
    <n v="9617693380.6156635"/>
    <n v="1.2217122433891972"/>
    <m/>
    <m/>
    <m/>
    <n v="0"/>
    <n v="0"/>
    <n v="0"/>
    <n v="0"/>
    <n v="0"/>
    <n v="0"/>
    <n v="0"/>
    <n v="0"/>
    <n v="0"/>
    <n v="0"/>
    <n v="0"/>
    <n v="0"/>
    <n v="0"/>
    <n v="140000"/>
    <n v="0"/>
    <n v="0"/>
    <n v="0"/>
    <n v="6160000"/>
    <n v="6160000"/>
    <n v="6160000"/>
    <n v="6160000"/>
    <n v="6160000"/>
    <n v="6160000"/>
    <n v="6160000"/>
    <n v="6160000"/>
    <n v="6160000"/>
    <n v="6160000"/>
    <n v="6160000"/>
    <n v="6160000"/>
    <n v="73920000"/>
    <n v="1463660000"/>
    <n v="1463660000"/>
    <n v="1463660000"/>
    <n v="1463660000"/>
    <n v="1463660000"/>
    <n v="1463660000"/>
    <n v="1463660000"/>
    <n v="1463660000"/>
    <n v="1463660000"/>
    <n v="1463660000"/>
    <n v="1463660000"/>
    <n v="1463660000"/>
    <n v="17563920000"/>
    <m/>
    <m/>
    <m/>
    <m/>
    <n v="0"/>
    <n v="0"/>
    <n v="0"/>
    <n v="0"/>
    <n v="0"/>
    <n v="0"/>
    <n v="0"/>
    <n v="0"/>
    <n v="0"/>
    <n v="0"/>
    <n v="0"/>
    <n v="0"/>
    <n v="0"/>
  </r>
  <r>
    <n v="23"/>
    <s v="Duy"/>
    <s v="Cường"/>
    <s v="105281"/>
    <x v="13"/>
    <s v="Plascene- DTP"/>
    <s v="Hiện hữu"/>
    <s v="Nội địa"/>
    <s v="Tây Ninh"/>
    <s v="Việt Nam"/>
    <s v="Châu Á"/>
    <s v="DDP"/>
    <s v="110000354"/>
    <s v="WSS01G 1"/>
    <x v="0"/>
    <s v="Hạt PET"/>
    <x v="0"/>
    <x v="0"/>
    <x v="0"/>
    <s v="Plascene"/>
    <s v="x"/>
    <n v="0.8"/>
    <n v="22"/>
    <n v="22"/>
    <n v="22"/>
    <n v="22"/>
    <n v="22"/>
    <n v="22"/>
    <n v="22"/>
    <n v="22"/>
    <n v="22"/>
    <n v="22"/>
    <n v="22"/>
    <n v="22"/>
    <n v="264"/>
    <n v="715"/>
    <n v="-451"/>
    <n v="-0.63076923076923075"/>
    <n v="1150"/>
    <n v="1150"/>
    <n v="1150"/>
    <n v="1150"/>
    <n v="1150"/>
    <n v="1150"/>
    <n v="1150"/>
    <n v="1150"/>
    <n v="1150"/>
    <n v="1150"/>
    <n v="1150"/>
    <n v="1150"/>
    <n v="1150"/>
    <m/>
    <n v="1150"/>
    <n v="0"/>
    <m/>
    <n v="670450000"/>
    <n v="670450000"/>
    <n v="670450000"/>
    <n v="670450000"/>
    <n v="670450000"/>
    <n v="670450000"/>
    <n v="670450000"/>
    <n v="670450000"/>
    <n v="670450000"/>
    <n v="670450000"/>
    <n v="670450000"/>
    <n v="670450000"/>
    <n v="8045400000"/>
    <n v="16514678913.542868"/>
    <n v="-8469278913.5428677"/>
    <n v="-0.51283339857111199"/>
    <m/>
    <m/>
    <m/>
    <n v="0"/>
    <n v="0"/>
    <n v="0"/>
    <n v="0"/>
    <n v="0"/>
    <n v="0"/>
    <n v="0"/>
    <n v="0"/>
    <n v="0"/>
    <n v="0"/>
    <n v="0"/>
    <n v="0"/>
    <n v="0"/>
    <n v="0"/>
    <n v="0"/>
    <n v="0"/>
    <n v="0"/>
    <n v="0"/>
    <n v="0"/>
    <n v="0"/>
    <n v="0"/>
    <n v="0"/>
    <n v="0"/>
    <n v="0"/>
    <n v="0"/>
    <n v="0"/>
    <n v="0"/>
    <n v="0"/>
    <n v="0"/>
    <n v="0"/>
    <n v="670450000"/>
    <n v="670450000"/>
    <n v="670450000"/>
    <n v="670450000"/>
    <n v="670450000"/>
    <n v="670450000"/>
    <n v="670450000"/>
    <n v="670450000"/>
    <n v="670450000"/>
    <n v="670450000"/>
    <n v="670450000"/>
    <n v="670450000"/>
    <n v="8045400000"/>
    <m/>
    <m/>
    <m/>
    <m/>
    <n v="0"/>
    <n v="0"/>
    <n v="0"/>
    <n v="0"/>
    <n v="0"/>
    <n v="0"/>
    <n v="0"/>
    <n v="0"/>
    <n v="0"/>
    <n v="0"/>
    <n v="0"/>
    <n v="0"/>
    <n v="0"/>
  </r>
  <r>
    <n v="24"/>
    <s v="Quỳnh Anh"/>
    <s v="Quốc Anh"/>
    <s v="105287"/>
    <x v="14"/>
    <s v="CÔNG TY TNHH HƯNG DỤ"/>
    <s v="Hiện hữu"/>
    <s v="Nội địa"/>
    <s v="Bình Dương"/>
    <s v="Việt Nam"/>
    <s v="Châu Á"/>
    <s v="DDP"/>
    <s v="110000436"/>
    <s v="WSS05SB"/>
    <x v="1"/>
    <s v="Hạt Xơ sợi"/>
    <x v="4"/>
    <x v="0"/>
    <x v="0"/>
    <s v="Hưng Dụ"/>
    <s v="x"/>
    <n v="0.8"/>
    <m/>
    <m/>
    <m/>
    <m/>
    <m/>
    <m/>
    <m/>
    <m/>
    <m/>
    <m/>
    <m/>
    <m/>
    <n v="0"/>
    <n v="886.8"/>
    <n v="-886.8"/>
    <n v="-1"/>
    <n v="640"/>
    <n v="632"/>
    <n v="624"/>
    <n v="616"/>
    <n v="608"/>
    <n v="600"/>
    <n v="592"/>
    <n v="584"/>
    <n v="576"/>
    <n v="568"/>
    <n v="560"/>
    <n v="552"/>
    <n v="596"/>
    <m/>
    <n v="596"/>
    <n v="0"/>
    <m/>
    <n v="0"/>
    <n v="0"/>
    <n v="0"/>
    <n v="0"/>
    <n v="0"/>
    <n v="0"/>
    <n v="0"/>
    <n v="0"/>
    <n v="0"/>
    <n v="0"/>
    <n v="0"/>
    <n v="0"/>
    <n v="0"/>
    <n v="7713893803.9693661"/>
    <n v="-7713893803.9693661"/>
    <n v="-1"/>
    <m/>
    <m/>
    <m/>
    <n v="0"/>
    <n v="0"/>
    <n v="0"/>
    <n v="0"/>
    <n v="0"/>
    <n v="0"/>
    <n v="0"/>
    <n v="0"/>
    <n v="0"/>
    <n v="0"/>
    <n v="0"/>
    <n v="0"/>
    <n v="0"/>
    <n v="172727.27272727274"/>
    <n v="0"/>
    <n v="0"/>
    <n v="0"/>
    <n v="0"/>
    <n v="0"/>
    <n v="0"/>
    <n v="0"/>
    <n v="0"/>
    <n v="0"/>
    <n v="0"/>
    <n v="0"/>
    <n v="0"/>
    <n v="0"/>
    <n v="0"/>
    <n v="0"/>
    <n v="0"/>
    <n v="0"/>
    <n v="0"/>
    <n v="0"/>
    <n v="0"/>
    <n v="0"/>
    <n v="0"/>
    <n v="0"/>
    <n v="0"/>
    <n v="0"/>
    <n v="0"/>
    <n v="0"/>
    <n v="0"/>
    <n v="0"/>
    <m/>
    <m/>
    <m/>
    <m/>
    <n v="0"/>
    <n v="0"/>
    <n v="0"/>
    <n v="0"/>
    <n v="0"/>
    <n v="0"/>
    <n v="0"/>
    <n v="0"/>
    <n v="0"/>
    <n v="0"/>
    <n v="0"/>
    <n v="0"/>
    <n v="0"/>
  </r>
  <r>
    <n v="25"/>
    <s v="Quỳnh Anh"/>
    <s v="Quốc Anh"/>
    <s v="105287"/>
    <x v="14"/>
    <s v="CÔNG TY TNHH HƯNG DỤ"/>
    <s v="Hiện hữu"/>
    <s v="Nội địa"/>
    <s v="Bình Dương"/>
    <s v="Việt Nam"/>
    <s v="Châu Á"/>
    <s v="DDP"/>
    <s v="110000466"/>
    <s v="WSS05SB-2"/>
    <x v="1"/>
    <s v="Hạt Xơ sợi"/>
    <x v="4"/>
    <x v="0"/>
    <x v="0"/>
    <s v="Hưng Dụ"/>
    <s v="x"/>
    <n v="0.8"/>
    <m/>
    <m/>
    <m/>
    <m/>
    <m/>
    <m/>
    <m/>
    <m/>
    <m/>
    <m/>
    <m/>
    <m/>
    <n v="0"/>
    <n v="286.64999999999998"/>
    <n v="-286.64999999999998"/>
    <n v="-1"/>
    <n v="640"/>
    <n v="632"/>
    <n v="624"/>
    <n v="616"/>
    <n v="608"/>
    <n v="600"/>
    <n v="592"/>
    <n v="584"/>
    <n v="576"/>
    <n v="568"/>
    <n v="560"/>
    <n v="552"/>
    <n v="596"/>
    <m/>
    <n v="596"/>
    <n v="0"/>
    <m/>
    <n v="0"/>
    <n v="0"/>
    <n v="0"/>
    <n v="0"/>
    <n v="0"/>
    <n v="0"/>
    <n v="0"/>
    <n v="0"/>
    <n v="0"/>
    <n v="0"/>
    <n v="0"/>
    <n v="0"/>
    <n v="0"/>
    <n v="4973142287.9180212"/>
    <n v="-4973142287.9180212"/>
    <n v="-1"/>
    <m/>
    <m/>
    <m/>
    <n v="0"/>
    <n v="0"/>
    <n v="0"/>
    <n v="0"/>
    <n v="0"/>
    <n v="0"/>
    <n v="0"/>
    <n v="0"/>
    <n v="0"/>
    <n v="0"/>
    <n v="0"/>
    <n v="0"/>
    <n v="0"/>
    <n v="172727.27272727274"/>
    <n v="0"/>
    <n v="0"/>
    <n v="0"/>
    <n v="0"/>
    <n v="0"/>
    <n v="0"/>
    <n v="0"/>
    <n v="0"/>
    <n v="0"/>
    <n v="0"/>
    <n v="0"/>
    <n v="0"/>
    <n v="0"/>
    <n v="0"/>
    <n v="0"/>
    <n v="0"/>
    <n v="0"/>
    <n v="0"/>
    <n v="0"/>
    <n v="0"/>
    <n v="0"/>
    <n v="0"/>
    <n v="0"/>
    <n v="0"/>
    <n v="0"/>
    <n v="0"/>
    <n v="0"/>
    <n v="0"/>
    <n v="0"/>
    <m/>
    <m/>
    <m/>
    <m/>
    <n v="0"/>
    <n v="0"/>
    <n v="0"/>
    <n v="0"/>
    <n v="0"/>
    <n v="0"/>
    <n v="0"/>
    <n v="0"/>
    <n v="0"/>
    <n v="0"/>
    <n v="0"/>
    <n v="0"/>
    <n v="0"/>
  </r>
  <r>
    <n v="26"/>
    <s v="Quốc Anh"/>
    <s v="Quốc Anh"/>
    <s v="NS26-NEWCUS-021"/>
    <x v="15"/>
    <s v="New Developments - Hạt HDPE - NĐ"/>
    <s v="Mới"/>
    <s v="Nội địa"/>
    <s v="Việt Nam"/>
    <s v="Việt Nam"/>
    <s v="Châu Á"/>
    <s v="EXW"/>
    <s v="110000361"/>
    <s v="rHDI3R01"/>
    <x v="3"/>
    <s v="Hạt HD ép"/>
    <x v="1"/>
    <x v="0"/>
    <x v="0"/>
    <s v="KHÁCH HÀNG MỚI CÒN LẠI"/>
    <s v="x"/>
    <n v="0.8"/>
    <m/>
    <m/>
    <m/>
    <m/>
    <m/>
    <m/>
    <m/>
    <m/>
    <m/>
    <m/>
    <m/>
    <m/>
    <n v="0"/>
    <n v="0"/>
    <n v="0"/>
    <n v="0"/>
    <n v="695"/>
    <n v="695"/>
    <n v="695"/>
    <n v="695"/>
    <n v="695"/>
    <n v="695"/>
    <n v="695"/>
    <n v="695"/>
    <n v="695"/>
    <n v="695"/>
    <n v="695"/>
    <n v="695"/>
    <n v="695"/>
    <m/>
    <n v="695"/>
    <n v="0"/>
    <m/>
    <n v="0"/>
    <n v="0"/>
    <n v="0"/>
    <n v="0"/>
    <n v="0"/>
    <n v="0"/>
    <n v="0"/>
    <n v="0"/>
    <n v="0"/>
    <n v="0"/>
    <n v="0"/>
    <n v="0"/>
    <n v="0"/>
    <n v="0"/>
    <n v="0"/>
    <n v="0"/>
    <m/>
    <m/>
    <m/>
    <n v="0"/>
    <n v="0"/>
    <n v="0"/>
    <n v="0"/>
    <n v="0"/>
    <n v="0"/>
    <n v="0"/>
    <n v="0"/>
    <n v="0"/>
    <n v="0"/>
    <n v="0"/>
    <n v="0"/>
    <n v="0"/>
    <n v="0"/>
    <n v="0"/>
    <n v="0"/>
    <n v="0"/>
    <n v="0"/>
    <n v="0"/>
    <n v="0"/>
    <n v="0"/>
    <n v="0"/>
    <n v="0"/>
    <n v="0"/>
    <n v="0"/>
    <n v="0"/>
    <n v="0"/>
    <n v="0"/>
    <n v="0"/>
    <n v="0"/>
    <n v="0"/>
    <n v="0"/>
    <n v="0"/>
    <n v="0"/>
    <n v="0"/>
    <n v="0"/>
    <n v="0"/>
    <n v="0"/>
    <n v="0"/>
    <n v="0"/>
    <n v="0"/>
    <n v="0"/>
    <n v="0"/>
    <m/>
    <m/>
    <m/>
    <m/>
    <n v="0"/>
    <n v="0"/>
    <n v="0"/>
    <n v="0"/>
    <n v="0"/>
    <n v="0"/>
    <n v="0"/>
    <n v="0"/>
    <n v="0"/>
    <n v="0"/>
    <n v="0"/>
    <n v="0"/>
    <n v="0"/>
  </r>
  <r>
    <n v="27"/>
    <s v="Nghĩa"/>
    <s v="Cường"/>
    <s v="200388"/>
    <x v="16"/>
    <s v="Svepol Americas Inc."/>
    <s v="Hiện hữu"/>
    <s v="Xuất khẩu"/>
    <s v="Mỹ"/>
    <s v="Mỹ"/>
    <s v="Châu Mỹ"/>
    <s v="FOB"/>
    <s v="110000355"/>
    <s v="iSS01G 1"/>
    <x v="0"/>
    <s v="Hạt PET"/>
    <x v="2"/>
    <x v="0"/>
    <x v="0"/>
    <s v="Svepol Americas Inc."/>
    <s v="x"/>
    <n v="0.8"/>
    <m/>
    <m/>
    <n v="110"/>
    <m/>
    <m/>
    <n v="110"/>
    <m/>
    <m/>
    <n v="110"/>
    <m/>
    <m/>
    <n v="110"/>
    <n v="440"/>
    <n v="330"/>
    <n v="110"/>
    <n v="0.33333333333333331"/>
    <n v="1200"/>
    <n v="1200"/>
    <n v="1200"/>
    <n v="1200"/>
    <n v="1200"/>
    <n v="1200"/>
    <n v="1200"/>
    <n v="1200"/>
    <n v="1200"/>
    <n v="1200"/>
    <n v="1200"/>
    <n v="1200"/>
    <n v="1200"/>
    <m/>
    <n v="1200"/>
    <n v="0"/>
    <s v="Đã bao gồm chi phí hỗ trợ tối đa 10% (giá sau hỗ trợ là 1080)"/>
    <n v="0"/>
    <n v="0"/>
    <n v="3498000000"/>
    <n v="0"/>
    <n v="0"/>
    <n v="3498000000"/>
    <n v="0"/>
    <n v="0"/>
    <n v="3498000000"/>
    <n v="0"/>
    <n v="0"/>
    <n v="3498000000"/>
    <n v="13992000000"/>
    <n v="10942233017.145329"/>
    <n v="3049766982.8546715"/>
    <n v="0.27871522915624325"/>
    <m/>
    <m/>
    <m/>
    <n v="0"/>
    <n v="0"/>
    <n v="0"/>
    <n v="0"/>
    <n v="0"/>
    <n v="0"/>
    <n v="0"/>
    <n v="0"/>
    <n v="0"/>
    <n v="0"/>
    <n v="0"/>
    <n v="0"/>
    <n v="0"/>
    <n v="0"/>
    <n v="530000"/>
    <n v="530000"/>
    <n v="0"/>
    <n v="0"/>
    <n v="0"/>
    <n v="58300000"/>
    <n v="0"/>
    <n v="0"/>
    <n v="58300000"/>
    <n v="0"/>
    <n v="0"/>
    <n v="58300000"/>
    <n v="0"/>
    <n v="0"/>
    <n v="58300000"/>
    <n v="233200000"/>
    <n v="0"/>
    <n v="0"/>
    <n v="3556300000"/>
    <n v="0"/>
    <n v="0"/>
    <n v="3556300000"/>
    <n v="0"/>
    <n v="0"/>
    <n v="3556300000"/>
    <n v="0"/>
    <n v="0"/>
    <n v="3556300000"/>
    <n v="14225200000"/>
    <m/>
    <m/>
    <m/>
    <n v="0.1"/>
    <n v="0"/>
    <n v="0"/>
    <n v="349800000"/>
    <n v="0"/>
    <n v="0"/>
    <n v="349800000"/>
    <n v="0"/>
    <n v="0"/>
    <n v="349800000"/>
    <n v="0"/>
    <n v="0"/>
    <n v="349800000"/>
    <n v="1399200000"/>
  </r>
  <r>
    <n v="28"/>
    <s v="Long"/>
    <s v="Quốc Anh"/>
    <s v="NS26-NEWCUS-010"/>
    <x v="17"/>
    <s v="Serioplast"/>
    <s v="Mới"/>
    <s v="Xuất khẩu"/>
    <s v="Ý"/>
    <s v="Ý"/>
    <s v="Châu Âu"/>
    <s v="FOB"/>
    <s v="110000443"/>
    <s v="rHDA03N01"/>
    <x v="2"/>
    <s v="Hạt HD thổi"/>
    <x v="1"/>
    <x v="2"/>
    <x v="0"/>
    <s v="KHÁCH HÀNG MỚI CÒN LẠI"/>
    <s v="x"/>
    <n v="0.8"/>
    <n v="0"/>
    <n v="22"/>
    <n v="22"/>
    <n v="44"/>
    <n v="44"/>
    <n v="44"/>
    <n v="44"/>
    <n v="66"/>
    <n v="66"/>
    <n v="66"/>
    <n v="66"/>
    <n v="66"/>
    <n v="550"/>
    <n v="0"/>
    <n v="550"/>
    <n v="0"/>
    <n v="1260"/>
    <n v="1241"/>
    <n v="1222"/>
    <n v="1203"/>
    <n v="1184"/>
    <n v="1165"/>
    <n v="1146"/>
    <n v="1127"/>
    <n v="1108"/>
    <n v="1089"/>
    <n v="1070"/>
    <n v="1051"/>
    <n v="1155.5"/>
    <m/>
    <n v="1155.5"/>
    <n v="0"/>
    <m/>
    <n v="0"/>
    <n v="723503000"/>
    <n v="712426000"/>
    <n v="1402698000"/>
    <n v="1380544000"/>
    <n v="1358390000"/>
    <n v="1336236000"/>
    <n v="1971123000"/>
    <n v="1937892000"/>
    <n v="1904661000"/>
    <n v="1871430000"/>
    <n v="1838199000"/>
    <n v="16437102000"/>
    <n v="0"/>
    <n v="16437102000"/>
    <n v="0"/>
    <m/>
    <m/>
    <m/>
    <n v="0"/>
    <n v="0"/>
    <n v="0"/>
    <n v="0"/>
    <n v="0"/>
    <n v="0"/>
    <n v="0"/>
    <n v="0"/>
    <n v="0"/>
    <n v="0"/>
    <n v="0"/>
    <n v="0"/>
    <n v="0"/>
    <n v="0"/>
    <n v="530000"/>
    <n v="530000"/>
    <n v="0"/>
    <n v="0"/>
    <n v="11660000"/>
    <n v="11660000"/>
    <n v="23320000"/>
    <n v="23320000"/>
    <n v="23320000"/>
    <n v="23320000"/>
    <n v="34980000"/>
    <n v="34980000"/>
    <n v="34980000"/>
    <n v="34980000"/>
    <n v="34980000"/>
    <n v="291500000"/>
    <n v="0"/>
    <n v="735163000"/>
    <n v="724086000"/>
    <n v="1426018000"/>
    <n v="1403864000"/>
    <n v="1381710000"/>
    <n v="1359556000"/>
    <n v="2006103000"/>
    <n v="1972872000"/>
    <n v="1939641000"/>
    <n v="1906410000"/>
    <n v="1873179000"/>
    <n v="16728602000"/>
    <m/>
    <m/>
    <m/>
    <m/>
    <n v="0"/>
    <n v="0"/>
    <n v="0"/>
    <n v="0"/>
    <n v="0"/>
    <n v="0"/>
    <n v="0"/>
    <n v="0"/>
    <n v="0"/>
    <n v="0"/>
    <n v="0"/>
    <n v="0"/>
    <n v="0"/>
  </r>
  <r>
    <n v="29"/>
    <s v="Nghĩa"/>
    <s v="Cường"/>
    <s v="105263"/>
    <x v="2"/>
    <s v="Unilever Duy Tân"/>
    <s v="Hiện hữu"/>
    <s v="Nội địa"/>
    <s v="Tây Ninh"/>
    <s v="Việt Nam"/>
    <s v="Châu Á"/>
    <s v="DDP"/>
    <s v="110000339"/>
    <s v="rHDPE MBF01"/>
    <x v="2"/>
    <s v="Hạt HD thổi"/>
    <x v="1"/>
    <x v="2"/>
    <x v="0"/>
    <s v="Unilever"/>
    <s v="x"/>
    <n v="0.8"/>
    <n v="44"/>
    <n v="44"/>
    <n v="44"/>
    <n v="44"/>
    <n v="44"/>
    <n v="44"/>
    <n v="44"/>
    <n v="44"/>
    <n v="44"/>
    <n v="44"/>
    <n v="44"/>
    <n v="44"/>
    <n v="528"/>
    <n v="824.85"/>
    <n v="-296.85000000000002"/>
    <n v="-0.35988361520276413"/>
    <n v="1300"/>
    <n v="1300"/>
    <n v="1300"/>
    <n v="1300"/>
    <n v="1300"/>
    <n v="1300"/>
    <n v="1300"/>
    <n v="1300"/>
    <n v="1300"/>
    <n v="1300"/>
    <n v="1300"/>
    <n v="1300"/>
    <n v="1286"/>
    <m/>
    <n v="1286"/>
    <n v="0"/>
    <m/>
    <n v="1515800000"/>
    <n v="1515800000"/>
    <n v="1515800000"/>
    <n v="1515800000"/>
    <n v="1515800000"/>
    <n v="1515800000"/>
    <n v="1515800000"/>
    <n v="1515800000"/>
    <n v="1515800000"/>
    <n v="1515800000"/>
    <n v="1515800000"/>
    <n v="1515800000"/>
    <n v="18189600000"/>
    <n v="23274943418.940582"/>
    <n v="-5085343418.9405823"/>
    <n v="-0.21849004431101016"/>
    <m/>
    <m/>
    <m/>
    <n v="0"/>
    <n v="0"/>
    <n v="0"/>
    <n v="0"/>
    <n v="0"/>
    <n v="0"/>
    <n v="0"/>
    <n v="0"/>
    <n v="0"/>
    <n v="0"/>
    <n v="0"/>
    <n v="0"/>
    <n v="0"/>
    <n v="0"/>
    <n v="0"/>
    <n v="0"/>
    <n v="0"/>
    <n v="0"/>
    <n v="0"/>
    <n v="0"/>
    <n v="0"/>
    <n v="0"/>
    <n v="0"/>
    <n v="0"/>
    <n v="0"/>
    <n v="0"/>
    <n v="0"/>
    <n v="0"/>
    <n v="0"/>
    <n v="0"/>
    <n v="1515800000"/>
    <n v="1515800000"/>
    <n v="1515800000"/>
    <n v="1515800000"/>
    <n v="1515800000"/>
    <n v="1515800000"/>
    <n v="1515800000"/>
    <n v="1515800000"/>
    <n v="1515800000"/>
    <n v="1515800000"/>
    <n v="1515800000"/>
    <n v="1515800000"/>
    <n v="18189600000"/>
    <m/>
    <m/>
    <m/>
    <m/>
    <n v="0"/>
    <n v="0"/>
    <n v="0"/>
    <n v="0"/>
    <n v="0"/>
    <n v="0"/>
    <n v="0"/>
    <n v="0"/>
    <n v="0"/>
    <n v="0"/>
    <n v="0"/>
    <n v="0"/>
    <n v="0"/>
  </r>
  <r>
    <n v="30"/>
    <s v="Long"/>
    <s v="Quốc Anh"/>
    <s v="105284"/>
    <x v="18"/>
    <s v="Motul -DTP"/>
    <s v="Hiện hữu"/>
    <s v="Nội địa"/>
    <s v="Tây Ninh"/>
    <s v="Việt Nam"/>
    <s v="Châu Á"/>
    <s v="DDP"/>
    <s v="110000374"/>
    <s v="rHDB03N02"/>
    <x v="2"/>
    <s v="Hạt HD thổi"/>
    <x v="1"/>
    <x v="2"/>
    <x v="0"/>
    <s v="Motul -DTP"/>
    <s v="x"/>
    <n v="0.8"/>
    <n v="44"/>
    <n v="44"/>
    <n v="44"/>
    <n v="44"/>
    <n v="44"/>
    <n v="44"/>
    <n v="44"/>
    <n v="44"/>
    <n v="44"/>
    <n v="44"/>
    <n v="44"/>
    <n v="44"/>
    <n v="528"/>
    <n v="319"/>
    <n v="209"/>
    <n v="0.65517241379310343"/>
    <n v="1150"/>
    <n v="1150"/>
    <n v="1150"/>
    <n v="1150"/>
    <n v="1150"/>
    <n v="1150"/>
    <n v="1150"/>
    <n v="1150"/>
    <n v="1150"/>
    <n v="1150"/>
    <n v="1150"/>
    <n v="1150"/>
    <n v="1150"/>
    <m/>
    <n v="1150"/>
    <n v="0"/>
    <m/>
    <n v="1340900000"/>
    <n v="1340900000"/>
    <n v="1340900000"/>
    <n v="1340900000"/>
    <n v="1340900000"/>
    <n v="1340900000"/>
    <n v="1340900000"/>
    <n v="1340900000"/>
    <n v="1340900000"/>
    <n v="1340900000"/>
    <n v="1340900000"/>
    <n v="1340900000"/>
    <n v="16090800000"/>
    <n v="9093545241.3801041"/>
    <n v="6997254758.6198959"/>
    <n v="0.76947489377178713"/>
    <m/>
    <m/>
    <m/>
    <n v="0"/>
    <n v="0"/>
    <n v="0"/>
    <n v="0"/>
    <n v="0"/>
    <n v="0"/>
    <n v="0"/>
    <n v="0"/>
    <n v="0"/>
    <n v="0"/>
    <n v="0"/>
    <n v="0"/>
    <n v="0"/>
    <n v="0"/>
    <n v="0"/>
    <n v="0"/>
    <n v="0"/>
    <n v="0"/>
    <n v="0"/>
    <n v="0"/>
    <n v="0"/>
    <n v="0"/>
    <n v="0"/>
    <n v="0"/>
    <n v="0"/>
    <n v="0"/>
    <n v="0"/>
    <n v="0"/>
    <n v="0"/>
    <n v="0"/>
    <n v="1340900000"/>
    <n v="1340900000"/>
    <n v="1340900000"/>
    <n v="1340900000"/>
    <n v="1340900000"/>
    <n v="1340900000"/>
    <n v="1340900000"/>
    <n v="1340900000"/>
    <n v="1340900000"/>
    <n v="1340900000"/>
    <n v="1340900000"/>
    <n v="1340900000"/>
    <n v="16090800000"/>
    <m/>
    <m/>
    <m/>
    <m/>
    <n v="0"/>
    <n v="0"/>
    <n v="0"/>
    <n v="0"/>
    <n v="0"/>
    <n v="0"/>
    <n v="0"/>
    <n v="0"/>
    <n v="0"/>
    <n v="0"/>
    <n v="0"/>
    <n v="0"/>
    <n v="0"/>
  </r>
  <r>
    <n v="31"/>
    <s v="Nghĩa"/>
    <s v="Cường"/>
    <s v="200370"/>
    <x v="19"/>
    <s v="KORYFES SA"/>
    <s v="Hiện hữu"/>
    <s v="Xuất khẩu"/>
    <s v="Varna"/>
    <s v="Bulgaria"/>
    <s v="Châu Âu"/>
    <s v="CFR"/>
    <s v="110000355"/>
    <s v="iSS01G 1"/>
    <x v="0"/>
    <s v="Hạt PET"/>
    <x v="2"/>
    <x v="0"/>
    <x v="0"/>
    <s v="KORYFES SA"/>
    <s v="x"/>
    <n v="0.8"/>
    <n v="44"/>
    <n v="44"/>
    <n v="44"/>
    <n v="44"/>
    <n v="44"/>
    <n v="44"/>
    <n v="44"/>
    <n v="44"/>
    <n v="44"/>
    <n v="44"/>
    <n v="44"/>
    <n v="44"/>
    <n v="528"/>
    <n v="968"/>
    <n v="-440"/>
    <n v="-0.45454545454545453"/>
    <n v="1200"/>
    <n v="1200"/>
    <n v="1200"/>
    <n v="1200"/>
    <n v="1200"/>
    <n v="1200"/>
    <n v="1200"/>
    <n v="1200"/>
    <n v="1200"/>
    <n v="1200"/>
    <n v="1200"/>
    <n v="1200"/>
    <n v="1200"/>
    <m/>
    <n v="1200"/>
    <n v="0"/>
    <s v="Đã bao gồm chi phí hỗ trợ tối đa 10% (giá sau hỗ trợ là 1080)"/>
    <n v="1399200000"/>
    <n v="1399200000"/>
    <n v="1399200000"/>
    <n v="1399200000"/>
    <n v="1399200000"/>
    <n v="1399200000"/>
    <n v="1399200000"/>
    <n v="1399200000"/>
    <n v="1399200000"/>
    <n v="1399200000"/>
    <n v="1399200000"/>
    <n v="1399200000"/>
    <n v="16790400000"/>
    <n v="31538143142.724213"/>
    <n v="-14747743142.724213"/>
    <n v="-0.46761608874638161"/>
    <m/>
    <m/>
    <m/>
    <n v="0"/>
    <n v="0"/>
    <n v="0"/>
    <n v="0"/>
    <n v="0"/>
    <n v="0"/>
    <n v="0"/>
    <n v="0"/>
    <n v="0"/>
    <n v="0"/>
    <n v="0"/>
    <n v="0"/>
    <n v="0"/>
    <n v="0"/>
    <n v="3782272.7272727275"/>
    <n v="530000"/>
    <n v="3252272.7272727275"/>
    <n v="166420000"/>
    <n v="166420000"/>
    <n v="166420000"/>
    <n v="166420000"/>
    <n v="166420000"/>
    <n v="166420000"/>
    <n v="166420000"/>
    <n v="166420000"/>
    <n v="166420000"/>
    <n v="166420000"/>
    <n v="166420000"/>
    <n v="166420000"/>
    <n v="1997040000"/>
    <n v="1565620000"/>
    <n v="1565620000"/>
    <n v="1565620000"/>
    <n v="1565620000"/>
    <n v="1565620000"/>
    <n v="1565620000"/>
    <n v="1565620000"/>
    <n v="1565620000"/>
    <n v="1565620000"/>
    <n v="1565620000"/>
    <n v="1565620000"/>
    <n v="1565620000"/>
    <n v="18787440000"/>
    <m/>
    <m/>
    <m/>
    <n v="0.1"/>
    <n v="139920000"/>
    <n v="139920000"/>
    <n v="139920000"/>
    <n v="139920000"/>
    <n v="139920000"/>
    <n v="139920000"/>
    <n v="139920000"/>
    <n v="139920000"/>
    <n v="139920000"/>
    <n v="139920000"/>
    <n v="139920000"/>
    <n v="139920000"/>
    <n v="1679040000"/>
  </r>
  <r>
    <n v="32"/>
    <s v="Duy"/>
    <s v="Cường"/>
    <s v="200311"/>
    <x v="20"/>
    <s v="Plascene, Inc."/>
    <s v="Hiện hữu"/>
    <s v="Xuất khẩu"/>
    <s v="Mỹ"/>
    <s v="Mỹ"/>
    <s v="Châu Mỹ"/>
    <s v="FOB"/>
    <s v="110000354"/>
    <s v="WSS01G 1"/>
    <x v="0"/>
    <s v="Hạt PET"/>
    <x v="0"/>
    <x v="0"/>
    <x v="0"/>
    <s v="Plascene, Inc."/>
    <s v="x"/>
    <n v="0.8"/>
    <n v="0"/>
    <n v="0"/>
    <n v="44"/>
    <n v="44"/>
    <n v="88"/>
    <n v="44"/>
    <n v="64.900000000000006"/>
    <n v="66"/>
    <m/>
    <m/>
    <n v="66"/>
    <n v="66"/>
    <n v="482.9"/>
    <n v="482.9"/>
    <n v="0"/>
    <n v="0"/>
    <n v="1100"/>
    <n v="1100"/>
    <n v="1100"/>
    <n v="1100"/>
    <n v="1100"/>
    <n v="1100"/>
    <n v="1100"/>
    <n v="1100"/>
    <n v="1100"/>
    <n v="1100"/>
    <n v="1100"/>
    <n v="1100"/>
    <n v="1100"/>
    <m/>
    <n v="1100"/>
    <n v="0"/>
    <m/>
    <n v="0"/>
    <n v="0"/>
    <n v="1282600000"/>
    <n v="1282600000"/>
    <n v="2565200000"/>
    <n v="1282600000"/>
    <n v="1891835000"/>
    <n v="1923900000"/>
    <n v="0"/>
    <n v="0"/>
    <n v="1923900000"/>
    <n v="1923900000"/>
    <n v="14076535000"/>
    <n v="11150621465.401171"/>
    <n v="2925913534.5988293"/>
    <n v="0.26239914462862296"/>
    <m/>
    <m/>
    <m/>
    <n v="0"/>
    <n v="0"/>
    <n v="0"/>
    <n v="0"/>
    <n v="0"/>
    <n v="0"/>
    <n v="0"/>
    <n v="0"/>
    <n v="0"/>
    <n v="0"/>
    <n v="0"/>
    <n v="0"/>
    <n v="0"/>
    <n v="0"/>
    <n v="530000"/>
    <n v="530000"/>
    <n v="0"/>
    <n v="0"/>
    <n v="0"/>
    <n v="23320000"/>
    <n v="23320000"/>
    <n v="46640000"/>
    <n v="23320000"/>
    <n v="34397000"/>
    <n v="34980000"/>
    <n v="0"/>
    <n v="0"/>
    <n v="34980000"/>
    <n v="34980000"/>
    <n v="255937000"/>
    <n v="0"/>
    <n v="0"/>
    <n v="1305920000"/>
    <n v="1305920000"/>
    <n v="2611840000"/>
    <n v="1305920000"/>
    <n v="1926232000"/>
    <n v="1958880000"/>
    <n v="0"/>
    <n v="0"/>
    <n v="1958880000"/>
    <n v="1958880000"/>
    <n v="14332472000"/>
    <m/>
    <m/>
    <m/>
    <m/>
    <n v="0"/>
    <n v="0"/>
    <n v="0"/>
    <n v="0"/>
    <n v="0"/>
    <n v="0"/>
    <n v="0"/>
    <n v="0"/>
    <n v="0"/>
    <n v="0"/>
    <n v="0"/>
    <n v="0"/>
    <n v="0"/>
  </r>
  <r>
    <n v="33"/>
    <s v="Tuyền"/>
    <s v="Cường"/>
    <s v="NS26-NEWCUS-018"/>
    <x v="8"/>
    <s v="New Developments - Hạt PET - XK"/>
    <s v="Mới"/>
    <s v="Xuất khẩu"/>
    <s v="Export"/>
    <s v="Unknown"/>
    <s v="Unknown"/>
    <s v="FOB"/>
    <s v="110000332"/>
    <s v="iSS1084G"/>
    <x v="0"/>
    <s v="Hạt PET"/>
    <x v="3"/>
    <x v="0"/>
    <x v="0"/>
    <s v="KHÁCH HÀNG MỚI CÒN LẠI"/>
    <s v="x"/>
    <n v="0.8"/>
    <n v="44"/>
    <n v="54"/>
    <n v="55"/>
    <n v="55"/>
    <n v="55"/>
    <n v="55"/>
    <n v="55"/>
    <n v="55"/>
    <n v="55"/>
    <n v="55"/>
    <n v="55"/>
    <n v="55"/>
    <n v="648"/>
    <n v="0"/>
    <n v="648"/>
    <n v="0"/>
    <n v="1250"/>
    <n v="1250"/>
    <n v="1250"/>
    <n v="1250"/>
    <n v="1250"/>
    <n v="1250"/>
    <n v="1250"/>
    <n v="1250"/>
    <n v="1250"/>
    <n v="1250"/>
    <n v="1250"/>
    <n v="1250"/>
    <n v="1200"/>
    <m/>
    <n v="1200"/>
    <n v="0"/>
    <m/>
    <n v="1457500000"/>
    <n v="1788750000"/>
    <n v="1821875000"/>
    <n v="1821875000"/>
    <n v="1821875000"/>
    <n v="1821875000"/>
    <n v="1821875000"/>
    <n v="1821875000"/>
    <n v="1821875000"/>
    <n v="1821875000"/>
    <n v="1821875000"/>
    <n v="1821875000"/>
    <n v="21465000000"/>
    <n v="0"/>
    <n v="21465000000"/>
    <n v="0"/>
    <m/>
    <m/>
    <m/>
    <n v="0"/>
    <n v="0"/>
    <n v="0"/>
    <n v="0"/>
    <n v="0"/>
    <n v="0"/>
    <n v="0"/>
    <n v="0"/>
    <n v="0"/>
    <n v="0"/>
    <n v="0"/>
    <n v="0"/>
    <n v="0"/>
    <n v="0"/>
    <n v="530000"/>
    <n v="530000"/>
    <n v="0"/>
    <n v="23320000"/>
    <n v="28620000"/>
    <n v="29150000"/>
    <n v="29150000"/>
    <n v="29150000"/>
    <n v="29150000"/>
    <n v="29150000"/>
    <n v="29150000"/>
    <n v="29150000"/>
    <n v="29150000"/>
    <n v="29150000"/>
    <n v="29150000"/>
    <n v="343440000"/>
    <n v="1480820000"/>
    <n v="1817370000"/>
    <n v="1851025000"/>
    <n v="1851025000"/>
    <n v="1851025000"/>
    <n v="1851025000"/>
    <n v="1851025000"/>
    <n v="1851025000"/>
    <n v="1851025000"/>
    <n v="1851025000"/>
    <n v="1851025000"/>
    <n v="1851025000"/>
    <n v="21808440000"/>
    <m/>
    <m/>
    <m/>
    <m/>
    <n v="0"/>
    <n v="0"/>
    <n v="0"/>
    <n v="0"/>
    <n v="0"/>
    <n v="0"/>
    <n v="0"/>
    <n v="0"/>
    <n v="0"/>
    <n v="0"/>
    <n v="0"/>
    <n v="0"/>
    <n v="0"/>
  </r>
  <r>
    <n v="34"/>
    <s v="Duy"/>
    <s v="Cường"/>
    <s v="NS26-NEWCUS-018"/>
    <x v="8"/>
    <s v="New Developments - Hạt PET - XK"/>
    <s v="Mới"/>
    <s v="Xuất khẩu"/>
    <s v="Export"/>
    <s v="Unknown"/>
    <s v="Unknown"/>
    <s v="FOB"/>
    <s v="110000332"/>
    <s v="iSS1084G"/>
    <x v="0"/>
    <s v="Hạt PET"/>
    <x v="3"/>
    <x v="0"/>
    <x v="0"/>
    <s v="KHÁCH HÀNG MỚI CÒN LẠI"/>
    <s v="x"/>
    <n v="0.8"/>
    <n v="55"/>
    <n v="65"/>
    <n v="66"/>
    <n v="66"/>
    <n v="66"/>
    <n v="66"/>
    <n v="66"/>
    <n v="66"/>
    <n v="66"/>
    <n v="66"/>
    <n v="66"/>
    <n v="66"/>
    <n v="780"/>
    <n v="0"/>
    <n v="780"/>
    <n v="0"/>
    <n v="1250"/>
    <n v="1250"/>
    <n v="1250"/>
    <n v="1250"/>
    <n v="1250"/>
    <n v="1250"/>
    <n v="1250"/>
    <n v="1250"/>
    <n v="1250"/>
    <n v="1250"/>
    <n v="1250"/>
    <n v="1250"/>
    <n v="1200"/>
    <m/>
    <n v="1200"/>
    <n v="0"/>
    <m/>
    <n v="1821875000"/>
    <n v="2153125000"/>
    <n v="2186250000"/>
    <n v="2186250000"/>
    <n v="2186250000"/>
    <n v="2186250000"/>
    <n v="2186250000"/>
    <n v="2186250000"/>
    <n v="2186250000"/>
    <n v="2186250000"/>
    <n v="2186250000"/>
    <n v="2186250000"/>
    <n v="25837500000"/>
    <n v="0"/>
    <n v="25837500000"/>
    <n v="0"/>
    <m/>
    <m/>
    <m/>
    <n v="0"/>
    <n v="0"/>
    <n v="0"/>
    <n v="0"/>
    <n v="0"/>
    <n v="0"/>
    <n v="0"/>
    <n v="0"/>
    <n v="0"/>
    <n v="0"/>
    <n v="0"/>
    <n v="0"/>
    <n v="0"/>
    <n v="0"/>
    <n v="530000"/>
    <n v="530000"/>
    <n v="0"/>
    <n v="29150000"/>
    <n v="34450000"/>
    <n v="34980000"/>
    <n v="34980000"/>
    <n v="34980000"/>
    <n v="34980000"/>
    <n v="34980000"/>
    <n v="34980000"/>
    <n v="34980000"/>
    <n v="34980000"/>
    <n v="34980000"/>
    <n v="34980000"/>
    <n v="413400000"/>
    <n v="1851025000"/>
    <n v="2187575000"/>
    <n v="2221230000"/>
    <n v="2221230000"/>
    <n v="2221230000"/>
    <n v="2221230000"/>
    <n v="2221230000"/>
    <n v="2221230000"/>
    <n v="2221230000"/>
    <n v="2221230000"/>
    <n v="2221230000"/>
    <n v="2221230000"/>
    <n v="26250900000"/>
    <m/>
    <m/>
    <m/>
    <m/>
    <n v="0"/>
    <n v="0"/>
    <n v="0"/>
    <n v="0"/>
    <n v="0"/>
    <n v="0"/>
    <n v="0"/>
    <n v="0"/>
    <n v="0"/>
    <n v="0"/>
    <n v="0"/>
    <n v="0"/>
    <n v="0"/>
  </r>
  <r>
    <n v="35"/>
    <s v="Nghĩa"/>
    <s v="Cường"/>
    <s v="NS26-NEWCUS-018"/>
    <x v="8"/>
    <s v="New Developments - Hạt PET - XK"/>
    <s v="Mới"/>
    <s v="Xuất khẩu"/>
    <s v="Export"/>
    <s v="Unknown"/>
    <s v="Unknown"/>
    <s v="FOB"/>
    <s v="110000332"/>
    <s v="iSS1084G"/>
    <x v="0"/>
    <s v="Hạt PET"/>
    <x v="3"/>
    <x v="0"/>
    <x v="0"/>
    <s v="KHÁCH HÀNG MỚI CÒN LẠI"/>
    <s v="x"/>
    <n v="0.8"/>
    <n v="55"/>
    <n v="65"/>
    <n v="66"/>
    <n v="66"/>
    <n v="66"/>
    <n v="66"/>
    <n v="66"/>
    <n v="66"/>
    <n v="66"/>
    <n v="66"/>
    <n v="66"/>
    <n v="66"/>
    <n v="780"/>
    <n v="0"/>
    <n v="780"/>
    <n v="0"/>
    <n v="1250"/>
    <n v="1250"/>
    <n v="1250"/>
    <n v="1250"/>
    <n v="1250"/>
    <n v="1250"/>
    <n v="1250"/>
    <n v="1250"/>
    <n v="1250"/>
    <n v="1250"/>
    <n v="1250"/>
    <n v="1250"/>
    <n v="1200"/>
    <m/>
    <n v="1200"/>
    <n v="0"/>
    <m/>
    <n v="1821875000"/>
    <n v="2153125000"/>
    <n v="2186250000"/>
    <n v="2186250000"/>
    <n v="2186250000"/>
    <n v="2186250000"/>
    <n v="2186250000"/>
    <n v="2186250000"/>
    <n v="2186250000"/>
    <n v="2186250000"/>
    <n v="2186250000"/>
    <n v="2186250000"/>
    <n v="25837500000"/>
    <n v="0"/>
    <n v="25837500000"/>
    <n v="0"/>
    <m/>
    <m/>
    <m/>
    <n v="0"/>
    <n v="0"/>
    <n v="0"/>
    <n v="0"/>
    <n v="0"/>
    <n v="0"/>
    <n v="0"/>
    <n v="0"/>
    <n v="0"/>
    <n v="0"/>
    <n v="0"/>
    <n v="0"/>
    <n v="0"/>
    <n v="0"/>
    <n v="530000"/>
    <n v="530000"/>
    <n v="0"/>
    <n v="29150000"/>
    <n v="34450000"/>
    <n v="34980000"/>
    <n v="34980000"/>
    <n v="34980000"/>
    <n v="34980000"/>
    <n v="34980000"/>
    <n v="34980000"/>
    <n v="34980000"/>
    <n v="34980000"/>
    <n v="34980000"/>
    <n v="34980000"/>
    <n v="413400000"/>
    <n v="1851025000"/>
    <n v="2187575000"/>
    <n v="2221230000"/>
    <n v="2221230000"/>
    <n v="2221230000"/>
    <n v="2221230000"/>
    <n v="2221230000"/>
    <n v="2221230000"/>
    <n v="2221230000"/>
    <n v="2221230000"/>
    <n v="2221230000"/>
    <n v="2221230000"/>
    <n v="26250900000"/>
    <m/>
    <m/>
    <m/>
    <m/>
    <n v="0"/>
    <n v="0"/>
    <n v="0"/>
    <n v="0"/>
    <n v="0"/>
    <n v="0"/>
    <n v="0"/>
    <n v="0"/>
    <n v="0"/>
    <n v="0"/>
    <n v="0"/>
    <n v="0"/>
    <n v="0"/>
  </r>
  <r>
    <n v="36"/>
    <s v="Quỳnh Anh"/>
    <s v="Quốc Anh"/>
    <s v="200380"/>
    <x v="21"/>
    <s v="Lion Corp"/>
    <s v="Hiện hữu"/>
    <s v="Xuất khẩu"/>
    <s v="Tokyo"/>
    <s v="Nhật"/>
    <s v="Châu Á"/>
    <s v="FOB"/>
    <s v="110000355"/>
    <s v="iSS01G 1"/>
    <x v="0"/>
    <s v="Hạt PET"/>
    <x v="2"/>
    <x v="0"/>
    <x v="0"/>
    <s v="LION-ITOCHU"/>
    <s v="x"/>
    <n v="0.8"/>
    <m/>
    <m/>
    <m/>
    <m/>
    <n v="105"/>
    <m/>
    <n v="105"/>
    <m/>
    <n v="105"/>
    <m/>
    <n v="105"/>
    <m/>
    <n v="420"/>
    <n v="336"/>
    <n v="84"/>
    <n v="0.25"/>
    <n v="1200"/>
    <n v="1200"/>
    <n v="1200"/>
    <n v="1200"/>
    <n v="1200"/>
    <n v="1200"/>
    <n v="1200"/>
    <n v="1200"/>
    <n v="1200"/>
    <n v="1200"/>
    <n v="1200"/>
    <n v="1200"/>
    <n v="1200"/>
    <m/>
    <n v="1200"/>
    <n v="0"/>
    <m/>
    <n v="0"/>
    <n v="0"/>
    <n v="0"/>
    <n v="0"/>
    <n v="3339000000"/>
    <n v="0"/>
    <n v="3339000000"/>
    <n v="0"/>
    <n v="3339000000"/>
    <n v="0"/>
    <n v="3339000000"/>
    <n v="0"/>
    <n v="13356000000"/>
    <n v="6831090793.3387585"/>
    <n v="6524909206.6612415"/>
    <n v="0.95517822907930228"/>
    <m/>
    <m/>
    <m/>
    <n v="0"/>
    <n v="0"/>
    <n v="0"/>
    <n v="0"/>
    <n v="0"/>
    <n v="0"/>
    <n v="0"/>
    <n v="0"/>
    <n v="0"/>
    <n v="0"/>
    <n v="0"/>
    <n v="0"/>
    <n v="0"/>
    <n v="0"/>
    <n v="530000"/>
    <n v="530000"/>
    <n v="0"/>
    <n v="0"/>
    <n v="0"/>
    <n v="0"/>
    <n v="0"/>
    <n v="55650000"/>
    <n v="0"/>
    <n v="55650000"/>
    <n v="0"/>
    <n v="55650000"/>
    <n v="0"/>
    <n v="55650000"/>
    <n v="0"/>
    <n v="222600000"/>
    <n v="0"/>
    <n v="0"/>
    <n v="0"/>
    <n v="0"/>
    <n v="3394650000"/>
    <n v="0"/>
    <n v="3394650000"/>
    <n v="0"/>
    <n v="3394650000"/>
    <n v="0"/>
    <n v="3394650000"/>
    <n v="0"/>
    <n v="13578600000"/>
    <m/>
    <m/>
    <m/>
    <m/>
    <n v="0"/>
    <n v="0"/>
    <n v="0"/>
    <n v="0"/>
    <n v="0"/>
    <n v="0"/>
    <n v="0"/>
    <n v="0"/>
    <n v="0"/>
    <n v="0"/>
    <n v="0"/>
    <n v="0"/>
    <n v="0"/>
  </r>
  <r>
    <n v="37"/>
    <s v="Nghĩa"/>
    <s v="Cường"/>
    <s v="200370"/>
    <x v="19"/>
    <s v="KORYFES SA"/>
    <s v="Hiện hữu"/>
    <s v="Xuất khẩu"/>
    <s v="Antwerp"/>
    <s v="Bỉ"/>
    <s v="Châu Âu"/>
    <s v="CFR"/>
    <s v="110000443"/>
    <s v="rHDA03N01"/>
    <x v="2"/>
    <s v="Hạt HD thổi"/>
    <x v="1"/>
    <x v="2"/>
    <x v="0"/>
    <s v="KORYFES SA"/>
    <s v="x"/>
    <n v="0.8"/>
    <m/>
    <m/>
    <n v="99"/>
    <m/>
    <m/>
    <n v="99"/>
    <m/>
    <m/>
    <n v="99"/>
    <m/>
    <m/>
    <n v="99"/>
    <n v="396"/>
    <n v="297"/>
    <n v="99"/>
    <n v="0.33333333333333331"/>
    <n v="1260"/>
    <n v="1241"/>
    <n v="1222"/>
    <n v="1203"/>
    <n v="1184"/>
    <n v="1165"/>
    <n v="1146"/>
    <n v="1127"/>
    <n v="1108"/>
    <n v="1089"/>
    <n v="1070"/>
    <n v="1051"/>
    <n v="1155.5"/>
    <m/>
    <n v="1155.5"/>
    <n v="0"/>
    <m/>
    <n v="0"/>
    <n v="0"/>
    <n v="3205917000"/>
    <n v="0"/>
    <n v="0"/>
    <n v="3056377500"/>
    <n v="0"/>
    <n v="0"/>
    <n v="2906838000"/>
    <n v="0"/>
    <n v="0"/>
    <n v="2757298500"/>
    <n v="11926431000"/>
    <n v="6952224970.9989347"/>
    <n v="4974206029.0010653"/>
    <n v="0.71548404284252376"/>
    <m/>
    <m/>
    <m/>
    <n v="0"/>
    <n v="0"/>
    <n v="0"/>
    <n v="0"/>
    <n v="0"/>
    <n v="0"/>
    <n v="0"/>
    <n v="0"/>
    <n v="0"/>
    <n v="0"/>
    <n v="0"/>
    <n v="0"/>
    <n v="0"/>
    <n v="0"/>
    <n v="2698181.8181818179"/>
    <n v="530000"/>
    <n v="2168181.8181818179"/>
    <n v="0"/>
    <n v="0"/>
    <n v="267119999.99999997"/>
    <n v="0"/>
    <n v="0"/>
    <n v="267119999.99999997"/>
    <n v="0"/>
    <n v="0"/>
    <n v="267119999.99999997"/>
    <n v="0"/>
    <n v="0"/>
    <n v="267119999.99999997"/>
    <n v="1068479999.9999999"/>
    <n v="0"/>
    <n v="0"/>
    <n v="3473037000"/>
    <n v="0"/>
    <n v="0"/>
    <n v="3323497500"/>
    <n v="0"/>
    <n v="0"/>
    <n v="3173958000"/>
    <n v="0"/>
    <n v="0"/>
    <n v="3024418500"/>
    <n v="12994911000"/>
    <m/>
    <m/>
    <m/>
    <m/>
    <n v="0"/>
    <n v="0"/>
    <n v="0"/>
    <n v="0"/>
    <n v="0"/>
    <n v="0"/>
    <n v="0"/>
    <n v="0"/>
    <n v="0"/>
    <n v="0"/>
    <n v="0"/>
    <n v="0"/>
    <n v="0"/>
  </r>
  <r>
    <n v="38"/>
    <s v="Nghĩa"/>
    <s v="Cường"/>
    <s v="200385"/>
    <x v="22"/>
    <s v="VINMAR POLYMERS AMERICA LLC"/>
    <s v="Hiện hữu"/>
    <s v="Xuất khẩu"/>
    <s v="Los Angeles"/>
    <s v="Mỹ"/>
    <s v="Châu Mỹ"/>
    <s v="CIF"/>
    <s v="110000443"/>
    <s v="rHDA03N01"/>
    <x v="2"/>
    <s v="Hạt HD thổi"/>
    <x v="1"/>
    <x v="2"/>
    <x v="0"/>
    <s v="VINMAR POLYMERS AMERICA LLC"/>
    <s v="x"/>
    <n v="0.8"/>
    <m/>
    <m/>
    <n v="99"/>
    <m/>
    <m/>
    <n v="99"/>
    <m/>
    <m/>
    <n v="99"/>
    <m/>
    <m/>
    <n v="99"/>
    <n v="396"/>
    <n v="4.125"/>
    <n v="391.875"/>
    <n v="95"/>
    <n v="1260"/>
    <n v="1241"/>
    <n v="1222"/>
    <n v="1203"/>
    <n v="1184"/>
    <n v="1165"/>
    <n v="1146"/>
    <n v="1127"/>
    <n v="1108"/>
    <n v="1089"/>
    <n v="1070"/>
    <n v="1051"/>
    <n v="1155.5"/>
    <m/>
    <n v="1155.5"/>
    <n v="0"/>
    <m/>
    <n v="0"/>
    <n v="0"/>
    <n v="3205917000"/>
    <n v="0"/>
    <n v="0"/>
    <n v="3056377500"/>
    <n v="0"/>
    <n v="0"/>
    <n v="2906838000"/>
    <n v="0"/>
    <n v="0"/>
    <n v="2757298500"/>
    <n v="11926431000"/>
    <n v="149445360"/>
    <n v="11776985640"/>
    <n v="78.804625583557765"/>
    <m/>
    <m/>
    <m/>
    <n v="0"/>
    <n v="0"/>
    <n v="0"/>
    <n v="0"/>
    <n v="0"/>
    <n v="0"/>
    <n v="0"/>
    <n v="0"/>
    <n v="0"/>
    <n v="0"/>
    <n v="0"/>
    <n v="0"/>
    <n v="0"/>
    <n v="0"/>
    <n v="3180000"/>
    <n v="530000"/>
    <n v="2650000"/>
    <n v="0"/>
    <n v="0"/>
    <n v="314820000"/>
    <n v="0"/>
    <n v="0"/>
    <n v="314820000"/>
    <n v="0"/>
    <n v="0"/>
    <n v="314820000"/>
    <n v="0"/>
    <n v="0"/>
    <n v="314820000"/>
    <n v="1259280000"/>
    <n v="0"/>
    <n v="0"/>
    <n v="3520737000"/>
    <n v="0"/>
    <n v="0"/>
    <n v="3371197500"/>
    <n v="0"/>
    <n v="0"/>
    <n v="3221658000"/>
    <n v="0"/>
    <n v="0"/>
    <n v="3072118500"/>
    <n v="13185711000"/>
    <m/>
    <m/>
    <m/>
    <m/>
    <n v="0"/>
    <n v="0"/>
    <n v="0"/>
    <n v="0"/>
    <n v="0"/>
    <n v="0"/>
    <n v="0"/>
    <n v="0"/>
    <n v="0"/>
    <n v="0"/>
    <n v="0"/>
    <n v="0"/>
    <n v="0"/>
  </r>
  <r>
    <n v="39"/>
    <s v="Quỳnh Anh"/>
    <s v="Quốc Anh"/>
    <s v="105349"/>
    <x v="23"/>
    <s v="MTVN Plastic"/>
    <s v="Hiện hữu"/>
    <s v="Nội địa"/>
    <s v="Đồng Nai"/>
    <s v="Việt Nam"/>
    <s v="Châu Á"/>
    <s v="EXW"/>
    <s v="110000341"/>
    <s v="rHDB04B01"/>
    <x v="2"/>
    <s v="Hạt HD thổi"/>
    <x v="1"/>
    <x v="1"/>
    <x v="0"/>
    <s v="MTVN Plastic"/>
    <s v="x"/>
    <n v="0.8"/>
    <m/>
    <m/>
    <m/>
    <m/>
    <m/>
    <m/>
    <m/>
    <m/>
    <m/>
    <m/>
    <m/>
    <m/>
    <n v="0"/>
    <n v="122.625"/>
    <n v="-122.625"/>
    <n v="-1"/>
    <n v="600"/>
    <n v="600"/>
    <n v="600"/>
    <n v="600"/>
    <n v="600"/>
    <n v="600"/>
    <n v="600"/>
    <n v="600"/>
    <n v="600"/>
    <n v="600"/>
    <n v="600"/>
    <n v="600"/>
    <n v="600"/>
    <m/>
    <n v="600"/>
    <n v="0"/>
    <m/>
    <n v="0"/>
    <n v="0"/>
    <n v="0"/>
    <n v="0"/>
    <n v="0"/>
    <n v="0"/>
    <n v="0"/>
    <n v="0"/>
    <n v="0"/>
    <n v="0"/>
    <n v="0"/>
    <n v="0"/>
    <n v="0"/>
    <n v="1929691564"/>
    <n v="-1929691564"/>
    <n v="-1"/>
    <m/>
    <m/>
    <m/>
    <n v="0"/>
    <n v="0"/>
    <n v="0"/>
    <n v="0"/>
    <n v="0"/>
    <n v="0"/>
    <n v="0"/>
    <n v="0"/>
    <n v="0"/>
    <n v="0"/>
    <n v="0"/>
    <n v="0"/>
    <n v="0"/>
    <n v="0"/>
    <n v="0"/>
    <n v="0"/>
    <n v="0"/>
    <n v="0"/>
    <n v="0"/>
    <n v="0"/>
    <n v="0"/>
    <n v="0"/>
    <n v="0"/>
    <n v="0"/>
    <n v="0"/>
    <n v="0"/>
    <n v="0"/>
    <n v="0"/>
    <n v="0"/>
    <n v="0"/>
    <n v="0"/>
    <n v="0"/>
    <n v="0"/>
    <n v="0"/>
    <n v="0"/>
    <n v="0"/>
    <n v="0"/>
    <n v="0"/>
    <n v="0"/>
    <n v="0"/>
    <n v="0"/>
    <n v="0"/>
    <n v="0"/>
    <m/>
    <m/>
    <m/>
    <m/>
    <n v="0"/>
    <n v="0"/>
    <n v="0"/>
    <n v="0"/>
    <n v="0"/>
    <n v="0"/>
    <n v="0"/>
    <n v="0"/>
    <n v="0"/>
    <n v="0"/>
    <n v="0"/>
    <n v="0"/>
    <n v="0"/>
  </r>
  <r>
    <n v="40"/>
    <s v="Long"/>
    <s v="Quốc Anh"/>
    <s v="200344"/>
    <x v="24"/>
    <s v="Wiese"/>
    <s v="Mới"/>
    <s v="Xuất khẩu"/>
    <s v="Manzanillo"/>
    <s v="Mexico"/>
    <s v="Châu Mỹ"/>
    <s v="CIF"/>
    <s v="110000443"/>
    <s v="rHDA03N01"/>
    <x v="2"/>
    <s v="Hạt HD thổi"/>
    <x v="1"/>
    <x v="2"/>
    <x v="0"/>
    <s v="Wiese"/>
    <s v="x"/>
    <n v="0.8"/>
    <n v="0"/>
    <n v="22"/>
    <n v="22"/>
    <n v="22"/>
    <n v="22"/>
    <n v="22"/>
    <n v="44"/>
    <n v="44"/>
    <n v="44"/>
    <n v="44"/>
    <n v="44"/>
    <n v="44"/>
    <n v="374"/>
    <n v="0"/>
    <n v="374"/>
    <n v="0"/>
    <n v="1260"/>
    <n v="1241"/>
    <n v="1222"/>
    <n v="1203"/>
    <n v="1184"/>
    <n v="1165"/>
    <n v="1146"/>
    <n v="1127"/>
    <n v="1108"/>
    <n v="1089"/>
    <n v="1070"/>
    <n v="1051"/>
    <n v="1155.5"/>
    <m/>
    <n v="1155.5"/>
    <n v="0"/>
    <m/>
    <n v="0"/>
    <n v="723503000"/>
    <n v="712426000"/>
    <n v="701349000"/>
    <n v="690272000"/>
    <n v="679195000"/>
    <n v="1336236000"/>
    <n v="1314082000"/>
    <n v="1291928000"/>
    <n v="1269774000"/>
    <n v="1247620000"/>
    <n v="1225466000"/>
    <n v="11191851000"/>
    <n v="0"/>
    <n v="11191851000"/>
    <n v="0"/>
    <m/>
    <m/>
    <m/>
    <n v="0"/>
    <n v="0"/>
    <n v="0"/>
    <n v="0"/>
    <n v="0"/>
    <n v="0"/>
    <n v="0"/>
    <n v="0"/>
    <n v="0"/>
    <n v="0"/>
    <n v="0"/>
    <n v="0"/>
    <n v="0"/>
    <n v="0"/>
    <n v="530000"/>
    <n v="530000"/>
    <n v="0"/>
    <n v="0"/>
    <n v="11660000"/>
    <n v="11660000"/>
    <n v="11660000"/>
    <n v="11660000"/>
    <n v="11660000"/>
    <n v="23320000"/>
    <n v="23320000"/>
    <n v="23320000"/>
    <n v="23320000"/>
    <n v="23320000"/>
    <n v="23320000"/>
    <n v="198220000"/>
    <n v="0"/>
    <n v="735163000"/>
    <n v="724086000"/>
    <n v="713009000"/>
    <n v="701932000"/>
    <n v="690855000"/>
    <n v="1359556000"/>
    <n v="1337402000"/>
    <n v="1315248000"/>
    <n v="1293094000"/>
    <n v="1270940000"/>
    <n v="1248786000"/>
    <n v="11390071000"/>
    <m/>
    <m/>
    <m/>
    <m/>
    <n v="0"/>
    <n v="0"/>
    <n v="0"/>
    <n v="0"/>
    <n v="0"/>
    <n v="0"/>
    <n v="0"/>
    <n v="0"/>
    <n v="0"/>
    <n v="0"/>
    <n v="0"/>
    <n v="0"/>
    <n v="0"/>
  </r>
  <r>
    <n v="41"/>
    <s v="Nghĩa"/>
    <s v="Cường"/>
    <s v="105223"/>
    <x v="2"/>
    <s v="Dynaplast Bắc Ninh"/>
    <s v="Hiện hữu"/>
    <s v="Nội địa"/>
    <s v="Bắc Ninh"/>
    <s v="Việt Nam"/>
    <s v="Châu Á"/>
    <s v="DDP"/>
    <s v="110000339"/>
    <s v="rHDPE MBF01"/>
    <x v="2"/>
    <s v="Hạt HD thổi"/>
    <x v="1"/>
    <x v="2"/>
    <x v="0"/>
    <s v="Unilever"/>
    <s v="x"/>
    <n v="0.8"/>
    <n v="30"/>
    <n v="30"/>
    <n v="30"/>
    <n v="30"/>
    <n v="30"/>
    <n v="30"/>
    <n v="30"/>
    <n v="30"/>
    <n v="30"/>
    <n v="30"/>
    <n v="30"/>
    <n v="30"/>
    <n v="360"/>
    <n v="400.47500000000002"/>
    <n v="-40.475000000000023"/>
    <n v="-0.10106748236469199"/>
    <n v="1300"/>
    <n v="1300"/>
    <n v="1300"/>
    <n v="1300"/>
    <n v="1300"/>
    <n v="1300"/>
    <n v="1300"/>
    <n v="1300"/>
    <n v="1300"/>
    <n v="1300"/>
    <n v="1300"/>
    <n v="1300"/>
    <n v="1286"/>
    <m/>
    <n v="1286"/>
    <n v="0"/>
    <m/>
    <n v="1033500000"/>
    <n v="1033500000"/>
    <n v="1033500000"/>
    <n v="1033500000"/>
    <n v="1033500000"/>
    <n v="1033500000"/>
    <n v="1033500000"/>
    <n v="1033500000"/>
    <n v="1033500000"/>
    <n v="1033500000"/>
    <n v="1033500000"/>
    <n v="1033500000"/>
    <n v="12402000000"/>
    <n v="9957996475.661644"/>
    <n v="2444003524.338356"/>
    <n v="0.24543125018288059"/>
    <m/>
    <m/>
    <m/>
    <n v="0"/>
    <n v="0"/>
    <n v="0"/>
    <n v="0"/>
    <n v="0"/>
    <n v="0"/>
    <n v="0"/>
    <n v="0"/>
    <n v="0"/>
    <n v="0"/>
    <n v="0"/>
    <n v="0"/>
    <n v="0"/>
    <n v="0"/>
    <n v="0"/>
    <n v="0"/>
    <n v="0"/>
    <n v="0"/>
    <n v="0"/>
    <n v="0"/>
    <n v="0"/>
    <n v="0"/>
    <n v="0"/>
    <n v="0"/>
    <n v="0"/>
    <n v="0"/>
    <n v="0"/>
    <n v="0"/>
    <n v="0"/>
    <n v="0"/>
    <n v="1033500000"/>
    <n v="1033500000"/>
    <n v="1033500000"/>
    <n v="1033500000"/>
    <n v="1033500000"/>
    <n v="1033500000"/>
    <n v="1033500000"/>
    <n v="1033500000"/>
    <n v="1033500000"/>
    <n v="1033500000"/>
    <n v="1033500000"/>
    <n v="1033500000"/>
    <n v="12402000000"/>
    <m/>
    <m/>
    <m/>
    <m/>
    <n v="0"/>
    <n v="0"/>
    <n v="0"/>
    <n v="0"/>
    <n v="0"/>
    <n v="0"/>
    <n v="0"/>
    <n v="0"/>
    <n v="0"/>
    <n v="0"/>
    <n v="0"/>
    <n v="0"/>
    <n v="0"/>
  </r>
  <r>
    <n v="42"/>
    <s v="Long"/>
    <s v="Quốc Anh"/>
    <s v="200329"/>
    <x v="25"/>
    <s v="Pentaplast"/>
    <s v="Hiện hữu"/>
    <s v="Xuất khẩu"/>
    <s v="Ý"/>
    <s v="Ý"/>
    <s v="Châu Âu"/>
    <s v="FOB"/>
    <s v="110000392"/>
    <s v="rPP20B01"/>
    <x v="4"/>
    <s v="Hạt PP"/>
    <x v="1"/>
    <x v="0"/>
    <x v="0"/>
    <s v="Pentaplast SRL"/>
    <s v="x"/>
    <n v="0.8"/>
    <n v="25"/>
    <n v="25"/>
    <n v="25"/>
    <n v="25"/>
    <n v="25"/>
    <n v="25"/>
    <n v="25"/>
    <n v="25"/>
    <n v="25"/>
    <n v="25"/>
    <n v="25"/>
    <n v="25"/>
    <n v="300"/>
    <n v="0"/>
    <n v="300"/>
    <n v="0"/>
    <n v="700"/>
    <n v="700"/>
    <n v="700"/>
    <n v="700"/>
    <n v="700"/>
    <n v="700"/>
    <n v="700"/>
    <n v="700"/>
    <n v="700"/>
    <n v="700"/>
    <n v="700"/>
    <n v="700"/>
    <n v="700"/>
    <m/>
    <n v="700"/>
    <n v="0"/>
    <m/>
    <n v="463750000"/>
    <n v="463750000"/>
    <n v="463750000"/>
    <n v="463750000"/>
    <n v="463750000"/>
    <n v="463750000"/>
    <n v="463750000"/>
    <n v="463750000"/>
    <n v="463750000"/>
    <n v="463750000"/>
    <n v="463750000"/>
    <n v="463750000"/>
    <n v="5565000000"/>
    <n v="0"/>
    <n v="5565000000"/>
    <n v="0"/>
    <m/>
    <m/>
    <m/>
    <n v="0"/>
    <n v="0"/>
    <n v="0"/>
    <n v="0"/>
    <n v="0"/>
    <n v="0"/>
    <n v="0"/>
    <n v="0"/>
    <n v="0"/>
    <n v="0"/>
    <n v="0"/>
    <n v="0"/>
    <n v="0"/>
    <n v="0"/>
    <n v="0"/>
    <n v="0"/>
    <n v="0"/>
    <n v="0"/>
    <n v="0"/>
    <n v="0"/>
    <n v="0"/>
    <n v="0"/>
    <n v="0"/>
    <n v="0"/>
    <n v="0"/>
    <n v="0"/>
    <n v="0"/>
    <n v="0"/>
    <n v="0"/>
    <n v="0"/>
    <n v="463750000"/>
    <n v="463750000"/>
    <n v="463750000"/>
    <n v="463750000"/>
    <n v="463750000"/>
    <n v="463750000"/>
    <n v="463750000"/>
    <n v="463750000"/>
    <n v="463750000"/>
    <n v="463750000"/>
    <n v="463750000"/>
    <n v="463750000"/>
    <n v="5565000000"/>
    <m/>
    <m/>
    <m/>
    <m/>
    <n v="0"/>
    <n v="0"/>
    <n v="0"/>
    <n v="0"/>
    <n v="0"/>
    <n v="0"/>
    <n v="0"/>
    <n v="0"/>
    <n v="0"/>
    <n v="0"/>
    <n v="0"/>
    <n v="0"/>
    <n v="0"/>
  </r>
  <r>
    <n v="43"/>
    <s v="Duy"/>
    <s v="Cường"/>
    <s v="NS26-NEWCUS-016"/>
    <x v="26"/>
    <s v="New Developments - Xơ sợi - XK"/>
    <s v="Mới"/>
    <s v="Xuất khẩu"/>
    <s v="Export"/>
    <s v="Unknown"/>
    <s v="Unknown"/>
    <s v="FOB"/>
    <s v="110000466"/>
    <s v="WSS05SB-2"/>
    <x v="1"/>
    <s v="Hạt Xơ sợi"/>
    <x v="4"/>
    <x v="0"/>
    <x v="0"/>
    <s v="KHÁCH HÀNG MỚI CÒN LẠI"/>
    <s v="x"/>
    <n v="0.8"/>
    <m/>
    <m/>
    <m/>
    <m/>
    <m/>
    <m/>
    <m/>
    <m/>
    <m/>
    <m/>
    <m/>
    <m/>
    <n v="0"/>
    <n v="0"/>
    <n v="0"/>
    <n v="0"/>
    <n v="640"/>
    <n v="632"/>
    <n v="624"/>
    <n v="616"/>
    <n v="608"/>
    <n v="600"/>
    <n v="592"/>
    <n v="584"/>
    <n v="576"/>
    <n v="568"/>
    <n v="560"/>
    <n v="552"/>
    <n v="596"/>
    <m/>
    <n v="596"/>
    <n v="0"/>
    <m/>
    <n v="0"/>
    <n v="0"/>
    <n v="0"/>
    <n v="0"/>
    <n v="0"/>
    <n v="0"/>
    <n v="0"/>
    <n v="0"/>
    <n v="0"/>
    <n v="0"/>
    <n v="0"/>
    <n v="0"/>
    <n v="0"/>
    <n v="0"/>
    <n v="0"/>
    <n v="0"/>
    <m/>
    <m/>
    <m/>
    <n v="0"/>
    <n v="0"/>
    <n v="0"/>
    <n v="0"/>
    <n v="0"/>
    <n v="0"/>
    <n v="0"/>
    <n v="0"/>
    <n v="0"/>
    <n v="0"/>
    <n v="0"/>
    <n v="0"/>
    <n v="0"/>
    <n v="0"/>
    <n v="530000"/>
    <n v="530000"/>
    <n v="0"/>
    <n v="0"/>
    <n v="0"/>
    <n v="0"/>
    <n v="0"/>
    <n v="0"/>
    <n v="0"/>
    <n v="0"/>
    <n v="0"/>
    <n v="0"/>
    <n v="0"/>
    <n v="0"/>
    <n v="0"/>
    <n v="0"/>
    <n v="0"/>
    <n v="0"/>
    <n v="0"/>
    <n v="0"/>
    <n v="0"/>
    <n v="0"/>
    <n v="0"/>
    <n v="0"/>
    <n v="0"/>
    <n v="0"/>
    <n v="0"/>
    <n v="0"/>
    <n v="0"/>
    <m/>
    <m/>
    <m/>
    <m/>
    <n v="0"/>
    <n v="0"/>
    <n v="0"/>
    <n v="0"/>
    <n v="0"/>
    <n v="0"/>
    <n v="0"/>
    <n v="0"/>
    <n v="0"/>
    <n v="0"/>
    <n v="0"/>
    <n v="0"/>
    <n v="0"/>
  </r>
  <r>
    <n v="44"/>
    <s v="Nghĩa"/>
    <s v="Cường"/>
    <s v="NS26-NEWCUS-016"/>
    <x v="26"/>
    <s v="New Developments - Xơ sợi - XK"/>
    <s v="Mới"/>
    <s v="Xuất khẩu"/>
    <s v="Export"/>
    <s v="Unknown"/>
    <s v="Unknown"/>
    <s v="FOB"/>
    <s v="110000466"/>
    <s v="WSS05SB-2"/>
    <x v="1"/>
    <s v="Hạt Xơ sợi"/>
    <x v="4"/>
    <x v="0"/>
    <x v="0"/>
    <s v="KHÁCH HÀNG MỚI CÒN LẠI"/>
    <s v="x"/>
    <n v="0.8"/>
    <m/>
    <m/>
    <m/>
    <m/>
    <m/>
    <m/>
    <m/>
    <m/>
    <m/>
    <m/>
    <m/>
    <m/>
    <n v="0"/>
    <n v="0"/>
    <n v="0"/>
    <n v="0"/>
    <n v="640"/>
    <n v="632"/>
    <n v="624"/>
    <n v="616"/>
    <n v="608"/>
    <n v="600"/>
    <n v="592"/>
    <n v="584"/>
    <n v="576"/>
    <n v="568"/>
    <n v="560"/>
    <n v="552"/>
    <n v="596"/>
    <m/>
    <n v="596"/>
    <n v="0"/>
    <m/>
    <n v="0"/>
    <n v="0"/>
    <n v="0"/>
    <n v="0"/>
    <n v="0"/>
    <n v="0"/>
    <n v="0"/>
    <n v="0"/>
    <n v="0"/>
    <n v="0"/>
    <n v="0"/>
    <n v="0"/>
    <n v="0"/>
    <n v="0"/>
    <n v="0"/>
    <n v="0"/>
    <m/>
    <m/>
    <m/>
    <n v="0"/>
    <n v="0"/>
    <n v="0"/>
    <n v="0"/>
    <n v="0"/>
    <n v="0"/>
    <n v="0"/>
    <n v="0"/>
    <n v="0"/>
    <n v="0"/>
    <n v="0"/>
    <n v="0"/>
    <n v="0"/>
    <n v="0"/>
    <n v="530000"/>
    <n v="530000"/>
    <n v="0"/>
    <n v="0"/>
    <n v="0"/>
    <n v="0"/>
    <n v="0"/>
    <n v="0"/>
    <n v="0"/>
    <n v="0"/>
    <n v="0"/>
    <n v="0"/>
    <n v="0"/>
    <n v="0"/>
    <n v="0"/>
    <n v="0"/>
    <n v="0"/>
    <n v="0"/>
    <n v="0"/>
    <n v="0"/>
    <n v="0"/>
    <n v="0"/>
    <n v="0"/>
    <n v="0"/>
    <n v="0"/>
    <n v="0"/>
    <n v="0"/>
    <n v="0"/>
    <n v="0"/>
    <m/>
    <m/>
    <m/>
    <m/>
    <n v="0"/>
    <n v="0"/>
    <n v="0"/>
    <n v="0"/>
    <n v="0"/>
    <n v="0"/>
    <n v="0"/>
    <n v="0"/>
    <n v="0"/>
    <n v="0"/>
    <n v="0"/>
    <n v="0"/>
    <n v="0"/>
  </r>
  <r>
    <n v="45"/>
    <s v="Tuyền"/>
    <s v="Cường"/>
    <s v="NS26-NEWCUS-016"/>
    <x v="26"/>
    <s v="New Developments - Xơ sợi - XK"/>
    <s v="Mới"/>
    <s v="Xuất khẩu"/>
    <s v="Export"/>
    <s v="Unknown"/>
    <s v="Unknown"/>
    <s v="FOB"/>
    <s v="110000466"/>
    <s v="WSS05SB-2"/>
    <x v="1"/>
    <s v="Hạt Xơ sợi"/>
    <x v="4"/>
    <x v="0"/>
    <x v="0"/>
    <s v="KHÁCH HÀNG MỚI CÒN LẠI"/>
    <s v="x"/>
    <n v="0.8"/>
    <m/>
    <m/>
    <m/>
    <m/>
    <m/>
    <m/>
    <m/>
    <m/>
    <m/>
    <m/>
    <m/>
    <m/>
    <n v="0"/>
    <n v="0"/>
    <n v="0"/>
    <n v="0"/>
    <n v="640"/>
    <n v="632"/>
    <n v="624"/>
    <n v="616"/>
    <n v="608"/>
    <n v="600"/>
    <n v="592"/>
    <n v="584"/>
    <n v="576"/>
    <n v="568"/>
    <n v="560"/>
    <n v="552"/>
    <n v="596"/>
    <m/>
    <n v="596"/>
    <n v="0"/>
    <m/>
    <n v="0"/>
    <n v="0"/>
    <n v="0"/>
    <n v="0"/>
    <n v="0"/>
    <n v="0"/>
    <n v="0"/>
    <n v="0"/>
    <n v="0"/>
    <n v="0"/>
    <n v="0"/>
    <n v="0"/>
    <n v="0"/>
    <n v="0"/>
    <n v="0"/>
    <n v="0"/>
    <m/>
    <m/>
    <m/>
    <n v="0"/>
    <n v="0"/>
    <n v="0"/>
    <n v="0"/>
    <n v="0"/>
    <n v="0"/>
    <n v="0"/>
    <n v="0"/>
    <n v="0"/>
    <n v="0"/>
    <n v="0"/>
    <n v="0"/>
    <n v="0"/>
    <n v="0"/>
    <n v="530000"/>
    <n v="530000"/>
    <n v="0"/>
    <n v="0"/>
    <n v="0"/>
    <n v="0"/>
    <n v="0"/>
    <n v="0"/>
    <n v="0"/>
    <n v="0"/>
    <n v="0"/>
    <n v="0"/>
    <n v="0"/>
    <n v="0"/>
    <n v="0"/>
    <n v="0"/>
    <n v="0"/>
    <n v="0"/>
    <n v="0"/>
    <n v="0"/>
    <n v="0"/>
    <n v="0"/>
    <n v="0"/>
    <n v="0"/>
    <n v="0"/>
    <n v="0"/>
    <n v="0"/>
    <n v="0"/>
    <n v="0"/>
    <m/>
    <m/>
    <m/>
    <m/>
    <n v="0"/>
    <n v="0"/>
    <n v="0"/>
    <n v="0"/>
    <n v="0"/>
    <n v="0"/>
    <n v="0"/>
    <n v="0"/>
    <n v="0"/>
    <n v="0"/>
    <n v="0"/>
    <n v="0"/>
    <n v="0"/>
  </r>
  <r>
    <n v="46"/>
    <s v="Andy"/>
    <s v="Cường"/>
    <s v="NS26-NEWCUS-016"/>
    <x v="26"/>
    <s v="New Developments - Xơ sợi - XK"/>
    <s v="Mới"/>
    <s v="Xuất khẩu"/>
    <s v="Mỹ"/>
    <s v="Mỹ"/>
    <s v="Châu Mỹ"/>
    <s v="FOB"/>
    <s v="110000466"/>
    <s v="WSS05SB-2"/>
    <x v="1"/>
    <s v="Hạt Xơ sợi"/>
    <x v="4"/>
    <x v="0"/>
    <x v="0"/>
    <s v="KHÁCH HÀNG MỚI CÒN LẠI"/>
    <s v="x"/>
    <n v="0.8"/>
    <m/>
    <m/>
    <m/>
    <m/>
    <m/>
    <m/>
    <m/>
    <m/>
    <m/>
    <m/>
    <m/>
    <m/>
    <n v="0"/>
    <n v="0"/>
    <n v="0"/>
    <n v="0"/>
    <n v="640"/>
    <n v="632"/>
    <n v="624"/>
    <n v="616"/>
    <n v="608"/>
    <n v="600"/>
    <n v="592"/>
    <n v="584"/>
    <n v="576"/>
    <n v="568"/>
    <n v="560"/>
    <n v="552"/>
    <n v="596"/>
    <m/>
    <n v="596"/>
    <n v="0"/>
    <m/>
    <n v="0"/>
    <n v="0"/>
    <n v="0"/>
    <n v="0"/>
    <n v="0"/>
    <n v="0"/>
    <n v="0"/>
    <n v="0"/>
    <n v="0"/>
    <n v="0"/>
    <n v="0"/>
    <n v="0"/>
    <n v="0"/>
    <n v="0"/>
    <n v="0"/>
    <n v="0"/>
    <m/>
    <m/>
    <m/>
    <n v="0"/>
    <n v="0"/>
    <n v="0"/>
    <n v="0"/>
    <n v="0"/>
    <n v="0"/>
    <n v="0"/>
    <n v="0"/>
    <n v="0"/>
    <n v="0"/>
    <n v="0"/>
    <n v="0"/>
    <n v="0"/>
    <n v="0"/>
    <n v="530000"/>
    <n v="530000"/>
    <n v="0"/>
    <n v="0"/>
    <n v="0"/>
    <n v="0"/>
    <n v="0"/>
    <n v="0"/>
    <n v="0"/>
    <n v="0"/>
    <n v="0"/>
    <n v="0"/>
    <n v="0"/>
    <n v="0"/>
    <n v="0"/>
    <n v="0"/>
    <n v="0"/>
    <n v="0"/>
    <n v="0"/>
    <n v="0"/>
    <n v="0"/>
    <n v="0"/>
    <n v="0"/>
    <n v="0"/>
    <n v="0"/>
    <n v="0"/>
    <n v="0"/>
    <n v="0"/>
    <n v="0"/>
    <m/>
    <m/>
    <m/>
    <m/>
    <n v="0"/>
    <n v="0"/>
    <n v="0"/>
    <n v="0"/>
    <n v="0"/>
    <n v="0"/>
    <n v="0"/>
    <n v="0"/>
    <n v="0"/>
    <n v="0"/>
    <n v="0"/>
    <n v="0"/>
    <n v="0"/>
  </r>
  <r>
    <n v="47"/>
    <s v="Quốc Anh"/>
    <s v="Quốc Anh"/>
    <s v="NS26-NEWCUS-019"/>
    <x v="27"/>
    <s v="New Developments - Hạt PP - NĐ"/>
    <s v="Mới"/>
    <s v="Nội địa"/>
    <s v="Việt Nam"/>
    <s v="Việt Nam"/>
    <s v="Châu Á"/>
    <s v="EXW"/>
    <s v="110000392"/>
    <s v="rPP20B01"/>
    <x v="4"/>
    <s v="Hạt PP"/>
    <x v="1"/>
    <x v="0"/>
    <x v="0"/>
    <s v="KHÁCH HÀNG MỚI CÒN LẠI"/>
    <s v="x"/>
    <n v="0.8"/>
    <n v="25"/>
    <n v="25"/>
    <n v="25"/>
    <n v="25"/>
    <n v="25"/>
    <n v="25"/>
    <n v="25"/>
    <n v="25"/>
    <n v="25"/>
    <n v="25"/>
    <n v="25"/>
    <n v="25"/>
    <n v="300"/>
    <n v="0"/>
    <n v="300"/>
    <n v="0"/>
    <n v="700"/>
    <n v="700"/>
    <n v="700"/>
    <n v="700"/>
    <n v="700"/>
    <n v="700"/>
    <n v="700"/>
    <n v="700"/>
    <n v="700"/>
    <n v="700"/>
    <n v="700"/>
    <n v="700"/>
    <n v="700"/>
    <m/>
    <n v="700"/>
    <n v="0"/>
    <m/>
    <n v="463750000"/>
    <n v="463750000"/>
    <n v="463750000"/>
    <n v="463750000"/>
    <n v="463750000"/>
    <n v="463750000"/>
    <n v="463750000"/>
    <n v="463750000"/>
    <n v="463750000"/>
    <n v="463750000"/>
    <n v="463750000"/>
    <n v="463750000"/>
    <n v="5565000000"/>
    <n v="0"/>
    <n v="5565000000"/>
    <n v="0"/>
    <m/>
    <m/>
    <m/>
    <n v="0"/>
    <n v="0"/>
    <n v="0"/>
    <n v="0"/>
    <n v="0"/>
    <n v="0"/>
    <n v="0"/>
    <n v="0"/>
    <n v="0"/>
    <n v="0"/>
    <n v="0"/>
    <n v="0"/>
    <n v="0"/>
    <n v="0"/>
    <n v="0"/>
    <n v="0"/>
    <n v="0"/>
    <n v="0"/>
    <n v="0"/>
    <n v="0"/>
    <n v="0"/>
    <n v="0"/>
    <n v="0"/>
    <n v="0"/>
    <n v="0"/>
    <n v="0"/>
    <n v="0"/>
    <n v="0"/>
    <n v="0"/>
    <n v="0"/>
    <n v="463750000"/>
    <n v="463750000"/>
    <n v="463750000"/>
    <n v="463750000"/>
    <n v="463750000"/>
    <n v="463750000"/>
    <n v="463750000"/>
    <n v="463750000"/>
    <n v="463750000"/>
    <n v="463750000"/>
    <n v="463750000"/>
    <n v="463750000"/>
    <n v="5565000000"/>
    <m/>
    <m/>
    <m/>
    <m/>
    <n v="0"/>
    <n v="0"/>
    <n v="0"/>
    <n v="0"/>
    <n v="0"/>
    <n v="0"/>
    <n v="0"/>
    <n v="0"/>
    <n v="0"/>
    <n v="0"/>
    <n v="0"/>
    <n v="0"/>
    <n v="0"/>
  </r>
  <r>
    <n v="48"/>
    <s v="Quỳnh Anh"/>
    <s v="Quốc Anh"/>
    <s v="105292"/>
    <x v="28"/>
    <s v="NHỰA ĐỒNG NAI"/>
    <s v="Hiện hữu"/>
    <s v="Nội địa"/>
    <s v="Đồng Nai"/>
    <s v="Việt Nam"/>
    <s v="Châu Á"/>
    <s v="DDP"/>
    <s v="110000341"/>
    <s v="rHDB04B01"/>
    <x v="2"/>
    <s v="Hạt HD thổi"/>
    <x v="1"/>
    <x v="1"/>
    <x v="0"/>
    <s v="NHỰA ĐỒNG NAI"/>
    <s v="x"/>
    <n v="0.8"/>
    <m/>
    <m/>
    <m/>
    <m/>
    <m/>
    <m/>
    <m/>
    <m/>
    <m/>
    <m/>
    <m/>
    <m/>
    <n v="0"/>
    <n v="182"/>
    <n v="-182"/>
    <n v="-1"/>
    <n v="600"/>
    <n v="600"/>
    <n v="600"/>
    <n v="600"/>
    <n v="600"/>
    <n v="600"/>
    <n v="600"/>
    <n v="600"/>
    <n v="600"/>
    <n v="600"/>
    <n v="600"/>
    <n v="600"/>
    <n v="600"/>
    <m/>
    <n v="600"/>
    <n v="0"/>
    <m/>
    <n v="0"/>
    <n v="0"/>
    <n v="0"/>
    <n v="0"/>
    <n v="0"/>
    <n v="0"/>
    <n v="0"/>
    <n v="0"/>
    <n v="0"/>
    <n v="0"/>
    <n v="0"/>
    <n v="0"/>
    <n v="0"/>
    <n v="852304079.84137511"/>
    <n v="-852304079.84137511"/>
    <n v="-1"/>
    <m/>
    <m/>
    <m/>
    <n v="0"/>
    <n v="0"/>
    <n v="0"/>
    <n v="0"/>
    <n v="0"/>
    <n v="0"/>
    <n v="0"/>
    <n v="0"/>
    <n v="0"/>
    <n v="0"/>
    <n v="0"/>
    <n v="0"/>
    <n v="0"/>
    <n v="0"/>
    <n v="0"/>
    <n v="0"/>
    <n v="0"/>
    <n v="0"/>
    <n v="0"/>
    <n v="0"/>
    <n v="0"/>
    <n v="0"/>
    <n v="0"/>
    <n v="0"/>
    <n v="0"/>
    <n v="0"/>
    <n v="0"/>
    <n v="0"/>
    <n v="0"/>
    <n v="0"/>
    <n v="0"/>
    <n v="0"/>
    <n v="0"/>
    <n v="0"/>
    <n v="0"/>
    <n v="0"/>
    <n v="0"/>
    <n v="0"/>
    <n v="0"/>
    <n v="0"/>
    <n v="0"/>
    <n v="0"/>
    <n v="0"/>
    <m/>
    <m/>
    <m/>
    <m/>
    <n v="0"/>
    <n v="0"/>
    <n v="0"/>
    <n v="0"/>
    <n v="0"/>
    <n v="0"/>
    <n v="0"/>
    <n v="0"/>
    <n v="0"/>
    <n v="0"/>
    <n v="0"/>
    <n v="0"/>
    <n v="0"/>
  </r>
  <r>
    <n v="49"/>
    <s v="Long"/>
    <s v="Quốc Anh"/>
    <s v="105222"/>
    <x v="29"/>
    <s v="CN Cty Coca - Hà Nội"/>
    <s v="Hiện hữu"/>
    <s v="Nội địa"/>
    <s v="Hà Nội"/>
    <s v="Việt Nam"/>
    <s v="Châu Á"/>
    <s v="DDP"/>
    <s v="110000332"/>
    <s v="iSS1084G"/>
    <x v="0"/>
    <s v="Hạt PET"/>
    <x v="3"/>
    <x v="0"/>
    <x v="0"/>
    <s v="Coca Cola Việt Nam"/>
    <s v="x"/>
    <n v="0.8"/>
    <n v="22"/>
    <n v="22"/>
    <n v="22"/>
    <n v="22"/>
    <n v="22"/>
    <n v="22"/>
    <n v="22"/>
    <n v="22"/>
    <n v="22"/>
    <n v="22"/>
    <n v="22"/>
    <n v="22"/>
    <n v="264"/>
    <n v="242"/>
    <n v="22"/>
    <n v="9.0909090909090912E-2"/>
    <n v="1302"/>
    <n v="1302"/>
    <n v="1302"/>
    <n v="1302"/>
    <n v="1302"/>
    <n v="1302"/>
    <n v="1302"/>
    <n v="1302"/>
    <n v="1302"/>
    <n v="1302"/>
    <n v="1302"/>
    <n v="1302"/>
    <n v="1302"/>
    <m/>
    <n v="1302"/>
    <n v="0"/>
    <m/>
    <n v="759066000"/>
    <n v="759066000"/>
    <n v="759066000"/>
    <n v="759066000"/>
    <n v="759066000"/>
    <n v="759066000"/>
    <n v="759066000"/>
    <n v="759066000"/>
    <n v="759066000"/>
    <n v="759066000"/>
    <n v="759066000"/>
    <n v="759066000"/>
    <n v="9108792000"/>
    <n v="8309655659.9687843"/>
    <n v="799136340.03121567"/>
    <n v="9.6169609515951673E-2"/>
    <s v="Dthu"/>
    <n v="0.01"/>
    <m/>
    <n v="7590660"/>
    <n v="7590660"/>
    <n v="7590660"/>
    <n v="7590660"/>
    <n v="7590660"/>
    <n v="7590660"/>
    <n v="7590660"/>
    <n v="7590660"/>
    <n v="7590660"/>
    <n v="7590660"/>
    <n v="7590660"/>
    <n v="7590660"/>
    <n v="91087920"/>
    <n v="610269.31818181823"/>
    <n v="0"/>
    <n v="0"/>
    <n v="0"/>
    <n v="13425925.000000002"/>
    <n v="13425925.000000002"/>
    <n v="13425925.000000002"/>
    <n v="13425925.000000002"/>
    <n v="13425925.000000002"/>
    <n v="13425925.000000002"/>
    <n v="13425925.000000002"/>
    <n v="13425925.000000002"/>
    <n v="13425925.000000002"/>
    <n v="13425925.000000002"/>
    <n v="13425925.000000002"/>
    <n v="13425925.000000002"/>
    <n v="161111100.00000003"/>
    <n v="780082585"/>
    <n v="780082585"/>
    <n v="780082585"/>
    <n v="780082585"/>
    <n v="780082585"/>
    <n v="780082585"/>
    <n v="780082585"/>
    <n v="780082585"/>
    <n v="780082585"/>
    <n v="780082585"/>
    <n v="780082585"/>
    <n v="780082585"/>
    <n v="9360991020"/>
    <m/>
    <m/>
    <m/>
    <m/>
    <n v="0"/>
    <n v="0"/>
    <n v="0"/>
    <n v="0"/>
    <n v="0"/>
    <n v="0"/>
    <n v="0"/>
    <n v="0"/>
    <n v="0"/>
    <n v="0"/>
    <n v="0"/>
    <n v="0"/>
    <n v="0"/>
  </r>
  <r>
    <n v="50"/>
    <s v="Nghĩa"/>
    <s v="Cường"/>
    <s v="105263"/>
    <x v="2"/>
    <s v="Unilever Duy Tân"/>
    <s v="Hiện hữu"/>
    <s v="Nội địa"/>
    <s v="Tây Ninh"/>
    <s v="Việt Nam"/>
    <s v="Châu Á"/>
    <s v="DDP"/>
    <s v="110000425"/>
    <s v="HCBF-Whi-U"/>
    <x v="2"/>
    <s v="Hạt HD thổi"/>
    <x v="1"/>
    <x v="2"/>
    <x v="0"/>
    <s v="Unilever"/>
    <s v="x"/>
    <n v="0.8"/>
    <n v="22"/>
    <n v="22"/>
    <n v="22"/>
    <n v="22"/>
    <n v="22"/>
    <n v="22"/>
    <n v="22"/>
    <n v="22"/>
    <n v="22"/>
    <n v="22"/>
    <n v="22"/>
    <n v="22"/>
    <n v="264"/>
    <n v="37.125"/>
    <n v="226.875"/>
    <n v="6.1111111111111107"/>
    <n v="1300"/>
    <n v="1300"/>
    <n v="1300"/>
    <n v="1300"/>
    <n v="1300"/>
    <n v="1300"/>
    <n v="1300"/>
    <n v="1300"/>
    <n v="1300"/>
    <n v="1300"/>
    <n v="1300"/>
    <n v="1300"/>
    <n v="1236"/>
    <m/>
    <n v="1236"/>
    <n v="0"/>
    <s v="Giá đã trừ EPR"/>
    <n v="757900000"/>
    <n v="757900000"/>
    <n v="757900000"/>
    <n v="757900000"/>
    <n v="757900000"/>
    <n v="757900000"/>
    <n v="757900000"/>
    <n v="757900000"/>
    <n v="757900000"/>
    <n v="757900000"/>
    <n v="757900000"/>
    <n v="757900000"/>
    <n v="9094800000"/>
    <n v="1257262777.3188648"/>
    <n v="7837537222.6811352"/>
    <n v="6.2338099592790162"/>
    <m/>
    <m/>
    <m/>
    <n v="0"/>
    <n v="0"/>
    <n v="0"/>
    <n v="0"/>
    <n v="0"/>
    <n v="0"/>
    <n v="0"/>
    <n v="0"/>
    <n v="0"/>
    <n v="0"/>
    <n v="0"/>
    <n v="0"/>
    <n v="0"/>
    <n v="0"/>
    <n v="0"/>
    <n v="0"/>
    <n v="0"/>
    <n v="0"/>
    <n v="0"/>
    <n v="0"/>
    <n v="0"/>
    <n v="0"/>
    <n v="0"/>
    <n v="0"/>
    <n v="0"/>
    <n v="0"/>
    <n v="0"/>
    <n v="0"/>
    <n v="0"/>
    <n v="0"/>
    <n v="757900000"/>
    <n v="757900000"/>
    <n v="757900000"/>
    <n v="757900000"/>
    <n v="757900000"/>
    <n v="757900000"/>
    <n v="757900000"/>
    <n v="757900000"/>
    <n v="757900000"/>
    <n v="757900000"/>
    <n v="757900000"/>
    <n v="757900000"/>
    <n v="9094800000"/>
    <m/>
    <m/>
    <m/>
    <m/>
    <n v="0"/>
    <n v="0"/>
    <n v="0"/>
    <n v="0"/>
    <n v="0"/>
    <n v="0"/>
    <n v="0"/>
    <n v="0"/>
    <n v="0"/>
    <n v="0"/>
    <n v="0"/>
    <n v="0"/>
    <n v="0"/>
  </r>
  <r>
    <n v="51"/>
    <s v="Nghĩa"/>
    <s v="Cường"/>
    <s v="105263"/>
    <x v="2"/>
    <s v="Unilever Duy Tân"/>
    <s v="Hiện hữu"/>
    <s v="Nội địa"/>
    <s v="Tây Ninh"/>
    <s v="Việt Nam"/>
    <s v="Châu Á"/>
    <s v="DDP"/>
    <s v="110000426"/>
    <s v="HCBF-Yel-U"/>
    <x v="2"/>
    <s v="Hạt HD thổi"/>
    <x v="1"/>
    <x v="2"/>
    <x v="0"/>
    <s v="Unilever"/>
    <s v="x"/>
    <n v="0.8"/>
    <n v="22"/>
    <n v="22"/>
    <n v="22"/>
    <n v="22"/>
    <n v="22"/>
    <n v="22"/>
    <n v="22"/>
    <n v="22"/>
    <n v="22"/>
    <n v="22"/>
    <n v="22"/>
    <n v="22"/>
    <n v="264"/>
    <n v="341"/>
    <n v="-77"/>
    <n v="-0.22580645161290322"/>
    <n v="1300"/>
    <n v="1300"/>
    <n v="1300"/>
    <n v="1300"/>
    <n v="1300"/>
    <n v="1300"/>
    <n v="1300"/>
    <n v="1300"/>
    <n v="1300"/>
    <n v="1300"/>
    <n v="1300"/>
    <n v="1300"/>
    <n v="1236"/>
    <m/>
    <n v="1236"/>
    <n v="0"/>
    <m/>
    <n v="757900000"/>
    <n v="757900000"/>
    <n v="757900000"/>
    <n v="757900000"/>
    <n v="757900000"/>
    <n v="757900000"/>
    <n v="757900000"/>
    <n v="757900000"/>
    <n v="757900000"/>
    <n v="757900000"/>
    <n v="757900000"/>
    <n v="757900000"/>
    <n v="9094800000"/>
    <n v="10068742025.984629"/>
    <n v="-973942025.98462868"/>
    <n v="-9.6729266026595442E-2"/>
    <m/>
    <m/>
    <m/>
    <n v="0"/>
    <n v="0"/>
    <n v="0"/>
    <n v="0"/>
    <n v="0"/>
    <n v="0"/>
    <n v="0"/>
    <n v="0"/>
    <n v="0"/>
    <n v="0"/>
    <n v="0"/>
    <n v="0"/>
    <n v="0"/>
    <n v="0"/>
    <n v="0"/>
    <n v="0"/>
    <n v="0"/>
    <n v="0"/>
    <n v="0"/>
    <n v="0"/>
    <n v="0"/>
    <n v="0"/>
    <n v="0"/>
    <n v="0"/>
    <n v="0"/>
    <n v="0"/>
    <n v="0"/>
    <n v="0"/>
    <n v="0"/>
    <n v="0"/>
    <n v="757900000"/>
    <n v="757900000"/>
    <n v="757900000"/>
    <n v="757900000"/>
    <n v="757900000"/>
    <n v="757900000"/>
    <n v="757900000"/>
    <n v="757900000"/>
    <n v="757900000"/>
    <n v="757900000"/>
    <n v="757900000"/>
    <n v="757900000"/>
    <n v="9094800000"/>
    <m/>
    <m/>
    <m/>
    <m/>
    <n v="0"/>
    <n v="0"/>
    <n v="0"/>
    <n v="0"/>
    <n v="0"/>
    <n v="0"/>
    <n v="0"/>
    <n v="0"/>
    <n v="0"/>
    <n v="0"/>
    <n v="0"/>
    <n v="0"/>
    <n v="0"/>
  </r>
  <r>
    <n v="52"/>
    <s v="Nghĩa"/>
    <s v="Cường"/>
    <s v="105263"/>
    <x v="2"/>
    <s v="Unilever Duy Tân"/>
    <s v="Hiện hữu"/>
    <s v="Nội địa"/>
    <s v="Tây Ninh"/>
    <s v="Việt Nam"/>
    <s v="Châu Á"/>
    <s v="DDP"/>
    <s v="110000481"/>
    <s v="rHDPE PCF01"/>
    <x v="2"/>
    <s v="Hạt HD thổi"/>
    <x v="1"/>
    <x v="2"/>
    <x v="0"/>
    <s v="Unilever"/>
    <s v="x"/>
    <n v="0.8"/>
    <n v="22"/>
    <n v="22"/>
    <n v="22"/>
    <n v="22"/>
    <n v="22"/>
    <n v="22"/>
    <n v="22"/>
    <n v="22"/>
    <n v="22"/>
    <n v="22"/>
    <n v="22"/>
    <n v="22"/>
    <n v="264"/>
    <n v="414"/>
    <n v="-150"/>
    <n v="-0.36231884057971014"/>
    <n v="1300"/>
    <n v="1300"/>
    <n v="1300"/>
    <n v="1300"/>
    <n v="1300"/>
    <n v="1300"/>
    <n v="1300"/>
    <n v="1300"/>
    <n v="1300"/>
    <n v="1300"/>
    <n v="1300"/>
    <n v="1300"/>
    <n v="1286"/>
    <m/>
    <n v="1286"/>
    <n v="0"/>
    <m/>
    <n v="757900000"/>
    <n v="757900000"/>
    <n v="757900000"/>
    <n v="757900000"/>
    <n v="757900000"/>
    <n v="757900000"/>
    <n v="757900000"/>
    <n v="757900000"/>
    <n v="757900000"/>
    <n v="757900000"/>
    <n v="757900000"/>
    <n v="757900000"/>
    <n v="9094800000"/>
    <n v="6673979703.6715193"/>
    <n v="2420820296.3284807"/>
    <n v="0.36272515108140474"/>
    <m/>
    <m/>
    <m/>
    <n v="0"/>
    <n v="0"/>
    <n v="0"/>
    <n v="0"/>
    <n v="0"/>
    <n v="0"/>
    <n v="0"/>
    <n v="0"/>
    <n v="0"/>
    <n v="0"/>
    <n v="0"/>
    <n v="0"/>
    <n v="0"/>
    <n v="0"/>
    <n v="0"/>
    <n v="0"/>
    <n v="0"/>
    <n v="0"/>
    <n v="0"/>
    <n v="0"/>
    <n v="0"/>
    <n v="0"/>
    <n v="0"/>
    <n v="0"/>
    <n v="0"/>
    <n v="0"/>
    <n v="0"/>
    <n v="0"/>
    <n v="0"/>
    <n v="0"/>
    <n v="757900000"/>
    <n v="757900000"/>
    <n v="757900000"/>
    <n v="757900000"/>
    <n v="757900000"/>
    <n v="757900000"/>
    <n v="757900000"/>
    <n v="757900000"/>
    <n v="757900000"/>
    <n v="757900000"/>
    <n v="757900000"/>
    <n v="757900000"/>
    <n v="9094800000"/>
    <m/>
    <m/>
    <m/>
    <m/>
    <n v="0"/>
    <n v="0"/>
    <n v="0"/>
    <n v="0"/>
    <n v="0"/>
    <n v="0"/>
    <n v="0"/>
    <n v="0"/>
    <n v="0"/>
    <n v="0"/>
    <n v="0"/>
    <n v="0"/>
    <n v="0"/>
  </r>
  <r>
    <n v="53"/>
    <s v="Long"/>
    <s v="Quốc Anh"/>
    <s v="105312"/>
    <x v="29"/>
    <s v="COCA COLA ĐÀ NẴNG"/>
    <s v="Hiện hữu"/>
    <s v="Nội địa"/>
    <s v="Đà Nẵng"/>
    <s v="Việt Nam"/>
    <s v="Châu Á"/>
    <s v="DDP"/>
    <s v="110000332"/>
    <s v="iSS1084G"/>
    <x v="0"/>
    <s v="Hạt PET"/>
    <x v="3"/>
    <x v="0"/>
    <x v="0"/>
    <s v="Coca Cola Việt Nam"/>
    <s v="x"/>
    <n v="0.8"/>
    <n v="22"/>
    <n v="22"/>
    <n v="22"/>
    <n v="22"/>
    <n v="22"/>
    <n v="22"/>
    <n v="22"/>
    <n v="22"/>
    <n v="22"/>
    <n v="22"/>
    <n v="22"/>
    <n v="22"/>
    <n v="264"/>
    <n v="220"/>
    <n v="44"/>
    <n v="0.2"/>
    <n v="1302"/>
    <n v="1302"/>
    <n v="1302"/>
    <n v="1302"/>
    <n v="1302"/>
    <n v="1302"/>
    <n v="1302"/>
    <n v="1302"/>
    <n v="1302"/>
    <n v="1302"/>
    <n v="1302"/>
    <n v="1302"/>
    <n v="1302"/>
    <m/>
    <n v="1302"/>
    <n v="0"/>
    <m/>
    <n v="759066000"/>
    <n v="759066000"/>
    <n v="759066000"/>
    <n v="759066000"/>
    <n v="759066000"/>
    <n v="759066000"/>
    <n v="759066000"/>
    <n v="759066000"/>
    <n v="759066000"/>
    <n v="759066000"/>
    <n v="759066000"/>
    <n v="759066000"/>
    <n v="9108792000"/>
    <n v="3147384955.4822073"/>
    <n v="5961407044.5177927"/>
    <n v="1.8940825888279218"/>
    <s v="Dthu"/>
    <n v="0.01"/>
    <m/>
    <n v="7590660"/>
    <n v="7590660"/>
    <n v="7590660"/>
    <n v="7590660"/>
    <n v="7590660"/>
    <n v="7590660"/>
    <n v="7590660"/>
    <n v="7590660"/>
    <n v="7590660"/>
    <n v="7590660"/>
    <n v="7590660"/>
    <n v="7590660"/>
    <n v="91087920"/>
    <n v="140000"/>
    <n v="0"/>
    <n v="0"/>
    <n v="0"/>
    <n v="3080000"/>
    <n v="3080000"/>
    <n v="3080000"/>
    <n v="3080000"/>
    <n v="3080000"/>
    <n v="3080000"/>
    <n v="3080000"/>
    <n v="3080000"/>
    <n v="3080000"/>
    <n v="3080000"/>
    <n v="3080000"/>
    <n v="3080000"/>
    <n v="36960000"/>
    <n v="769736660"/>
    <n v="769736660"/>
    <n v="769736660"/>
    <n v="769736660"/>
    <n v="769736660"/>
    <n v="769736660"/>
    <n v="769736660"/>
    <n v="769736660"/>
    <n v="769736660"/>
    <n v="769736660"/>
    <n v="769736660"/>
    <n v="769736660"/>
    <n v="9236839920"/>
    <m/>
    <m/>
    <m/>
    <m/>
    <n v="0"/>
    <n v="0"/>
    <n v="0"/>
    <n v="0"/>
    <n v="0"/>
    <n v="0"/>
    <n v="0"/>
    <n v="0"/>
    <n v="0"/>
    <n v="0"/>
    <n v="0"/>
    <n v="0"/>
    <n v="0"/>
  </r>
  <r>
    <n v="54"/>
    <s v="Long"/>
    <s v="Quốc Anh"/>
    <s v="105328"/>
    <x v="29"/>
    <s v="CN COCA-COLA VN - LONG AN"/>
    <s v="Hiện hữu"/>
    <s v="Nội địa"/>
    <s v="Tây Ninh"/>
    <s v="Việt Nam"/>
    <s v="Châu Á"/>
    <s v="DDP"/>
    <s v="110000332"/>
    <s v="iSS1084G"/>
    <x v="0"/>
    <s v="Hạt PET"/>
    <x v="3"/>
    <x v="0"/>
    <x v="0"/>
    <s v="Coca Cola Việt Nam"/>
    <s v="x"/>
    <n v="0.8"/>
    <n v="22"/>
    <n v="22"/>
    <n v="22"/>
    <n v="22"/>
    <n v="22"/>
    <n v="22"/>
    <n v="22"/>
    <n v="22"/>
    <n v="22"/>
    <n v="22"/>
    <n v="22"/>
    <n v="22"/>
    <n v="264"/>
    <n v="286"/>
    <n v="-22"/>
    <n v="-7.6923076923076927E-2"/>
    <n v="1302"/>
    <n v="1302"/>
    <n v="1302"/>
    <n v="1302"/>
    <n v="1302"/>
    <n v="1302"/>
    <n v="1302"/>
    <n v="1302"/>
    <n v="1302"/>
    <n v="1302"/>
    <n v="1302"/>
    <n v="1302"/>
    <n v="1302"/>
    <m/>
    <n v="1302"/>
    <n v="0"/>
    <m/>
    <n v="759066000"/>
    <n v="759066000"/>
    <n v="759066000"/>
    <n v="759066000"/>
    <n v="759066000"/>
    <n v="759066000"/>
    <n v="759066000"/>
    <n v="759066000"/>
    <n v="759066000"/>
    <n v="759066000"/>
    <n v="759066000"/>
    <n v="759066000"/>
    <n v="9108792000"/>
    <n v="10042165884.464769"/>
    <n v="-933373884.46476936"/>
    <n v="-9.2945475627792484E-2"/>
    <s v="Dthu"/>
    <n v="0.01"/>
    <m/>
    <n v="7590660"/>
    <n v="7590660"/>
    <n v="7590660"/>
    <n v="7590660"/>
    <n v="7590660"/>
    <n v="7590660"/>
    <n v="7590660"/>
    <n v="7590660"/>
    <n v="7590660"/>
    <n v="7590660"/>
    <n v="7590660"/>
    <n v="7590660"/>
    <n v="91087920"/>
    <n v="200000"/>
    <n v="0"/>
    <n v="0"/>
    <n v="0"/>
    <n v="4400000"/>
    <n v="4400000"/>
    <n v="4400000"/>
    <n v="4400000"/>
    <n v="4400000"/>
    <n v="4400000"/>
    <n v="4400000"/>
    <n v="4400000"/>
    <n v="4400000"/>
    <n v="4400000"/>
    <n v="4400000"/>
    <n v="4400000"/>
    <n v="52800000"/>
    <n v="771056660"/>
    <n v="771056660"/>
    <n v="771056660"/>
    <n v="771056660"/>
    <n v="771056660"/>
    <n v="771056660"/>
    <n v="771056660"/>
    <n v="771056660"/>
    <n v="771056660"/>
    <n v="771056660"/>
    <n v="771056660"/>
    <n v="771056660"/>
    <n v="9252679920"/>
    <m/>
    <m/>
    <m/>
    <m/>
    <n v="0"/>
    <n v="0"/>
    <n v="0"/>
    <n v="0"/>
    <n v="0"/>
    <n v="0"/>
    <n v="0"/>
    <n v="0"/>
    <n v="0"/>
    <n v="0"/>
    <n v="0"/>
    <n v="0"/>
    <n v="0"/>
  </r>
  <r>
    <n v="55"/>
    <s v="Quỳnh Anh"/>
    <s v="Quốc Anh"/>
    <s v="105333"/>
    <x v="30"/>
    <s v="LƯỚI BẢO NÔNG"/>
    <s v="Hiện hữu"/>
    <s v="Nội địa"/>
    <s v="Tây Ninh"/>
    <s v="Việt Nam"/>
    <s v="Châu Á"/>
    <s v="EXW"/>
    <s v="110000408"/>
    <s v="Vảy HD Ép Trắng"/>
    <x v="3"/>
    <s v="Vảy HD ép"/>
    <x v="1"/>
    <x v="0"/>
    <x v="0"/>
    <s v="LƯỚI BẢO NÔNG"/>
    <s v="x"/>
    <n v="0.8"/>
    <m/>
    <m/>
    <m/>
    <m/>
    <m/>
    <m/>
    <m/>
    <m/>
    <m/>
    <m/>
    <m/>
    <m/>
    <n v="0"/>
    <n v="430.25"/>
    <n v="-430.25"/>
    <n v="-1"/>
    <n v="560"/>
    <n v="560"/>
    <n v="560"/>
    <n v="560"/>
    <n v="560"/>
    <n v="560"/>
    <n v="560"/>
    <n v="560"/>
    <n v="560"/>
    <n v="560"/>
    <n v="560"/>
    <n v="560"/>
    <n v="560"/>
    <m/>
    <n v="560"/>
    <n v="0"/>
    <m/>
    <n v="0"/>
    <n v="0"/>
    <n v="0"/>
    <n v="0"/>
    <n v="0"/>
    <n v="0"/>
    <n v="0"/>
    <n v="0"/>
    <n v="0"/>
    <n v="0"/>
    <n v="0"/>
    <n v="0"/>
    <n v="0"/>
    <n v="2795863924.5248852"/>
    <n v="-2795863924.5248852"/>
    <n v="-1"/>
    <m/>
    <m/>
    <m/>
    <n v="0"/>
    <n v="0"/>
    <n v="0"/>
    <n v="0"/>
    <n v="0"/>
    <n v="0"/>
    <n v="0"/>
    <n v="0"/>
    <n v="0"/>
    <n v="0"/>
    <n v="0"/>
    <n v="0"/>
    <n v="0"/>
    <n v="0"/>
    <n v="0"/>
    <n v="0"/>
    <n v="0"/>
    <n v="0"/>
    <n v="0"/>
    <n v="0"/>
    <n v="0"/>
    <n v="0"/>
    <n v="0"/>
    <n v="0"/>
    <n v="0"/>
    <n v="0"/>
    <n v="0"/>
    <n v="0"/>
    <n v="0"/>
    <n v="0"/>
    <n v="0"/>
    <n v="0"/>
    <n v="0"/>
    <n v="0"/>
    <n v="0"/>
    <n v="0"/>
    <n v="0"/>
    <n v="0"/>
    <n v="0"/>
    <n v="0"/>
    <n v="0"/>
    <n v="0"/>
    <n v="0"/>
    <m/>
    <m/>
    <m/>
    <m/>
    <n v="0"/>
    <n v="0"/>
    <n v="0"/>
    <n v="0"/>
    <n v="0"/>
    <n v="0"/>
    <n v="0"/>
    <n v="0"/>
    <n v="0"/>
    <n v="0"/>
    <n v="0"/>
    <n v="0"/>
    <n v="0"/>
  </r>
  <r>
    <n v="56"/>
    <s v="Nghĩa"/>
    <s v="Cường"/>
    <s v="200357"/>
    <x v="31"/>
    <s v="Genesis Polymers International"/>
    <s v="Hiện hữu"/>
    <s v="Xuất khẩu"/>
    <s v="Manzanillo"/>
    <s v="Mexico"/>
    <s v="Châu Mỹ"/>
    <s v="CFR"/>
    <s v="110000332"/>
    <s v="iSS1084G"/>
    <x v="0"/>
    <s v="Hạt PET"/>
    <x v="3"/>
    <x v="0"/>
    <x v="0"/>
    <s v="Genesis Polymers International"/>
    <s v="x"/>
    <n v="0.8"/>
    <n v="22"/>
    <n v="22"/>
    <n v="22"/>
    <n v="22"/>
    <n v="22"/>
    <n v="22"/>
    <n v="22"/>
    <n v="22"/>
    <n v="22"/>
    <n v="22"/>
    <n v="22"/>
    <n v="22"/>
    <n v="264"/>
    <n v="352"/>
    <n v="-88"/>
    <n v="-0.25"/>
    <n v="1250"/>
    <n v="1250"/>
    <n v="1250"/>
    <n v="1250"/>
    <n v="1250"/>
    <n v="1250"/>
    <n v="1250"/>
    <n v="1250"/>
    <n v="1250"/>
    <n v="1250"/>
    <n v="1250"/>
    <n v="1250"/>
    <n v="1200"/>
    <m/>
    <n v="1200"/>
    <n v="0"/>
    <m/>
    <n v="728750000"/>
    <n v="728750000"/>
    <n v="728750000"/>
    <n v="728750000"/>
    <n v="728750000"/>
    <n v="728750000"/>
    <n v="728750000"/>
    <n v="728750000"/>
    <n v="728750000"/>
    <n v="728750000"/>
    <n v="728750000"/>
    <n v="728750000"/>
    <n v="8745000000"/>
    <n v="7603216859.2347927"/>
    <n v="1141783140.7652073"/>
    <n v="0.15017106073706271"/>
    <m/>
    <m/>
    <m/>
    <n v="0"/>
    <n v="0"/>
    <n v="0"/>
    <n v="0"/>
    <n v="0"/>
    <n v="0"/>
    <n v="0"/>
    <n v="0"/>
    <n v="0"/>
    <n v="0"/>
    <n v="0"/>
    <n v="0"/>
    <n v="0"/>
    <n v="0"/>
    <n v="3420909.0909090908"/>
    <n v="530000"/>
    <n v="2890909.0909090908"/>
    <n v="75260000"/>
    <n v="75260000"/>
    <n v="75260000"/>
    <n v="75260000"/>
    <n v="75260000"/>
    <n v="75260000"/>
    <n v="75260000"/>
    <n v="75260000"/>
    <n v="75260000"/>
    <n v="75260000"/>
    <n v="75260000"/>
    <n v="75260000"/>
    <n v="903120000"/>
    <n v="804010000"/>
    <n v="804010000"/>
    <n v="804010000"/>
    <n v="804010000"/>
    <n v="804010000"/>
    <n v="804010000"/>
    <n v="804010000"/>
    <n v="804010000"/>
    <n v="804010000"/>
    <n v="804010000"/>
    <n v="804010000"/>
    <n v="804010000"/>
    <n v="9648120000"/>
    <m/>
    <m/>
    <m/>
    <m/>
    <n v="0"/>
    <n v="0"/>
    <n v="0"/>
    <n v="0"/>
    <n v="0"/>
    <n v="0"/>
    <n v="0"/>
    <n v="0"/>
    <n v="0"/>
    <n v="0"/>
    <n v="0"/>
    <n v="0"/>
    <n v="0"/>
  </r>
  <r>
    <n v="57"/>
    <s v="Quỳnh Anh"/>
    <s v="Quốc Anh"/>
    <s v="200368"/>
    <x v="32"/>
    <s v="SodaStream"/>
    <s v="Hiện hữu"/>
    <s v="Xuất khẩu"/>
    <s v="Ashdod"/>
    <s v="Israel"/>
    <s v="Châu Á"/>
    <s v="CIF"/>
    <s v="110000332"/>
    <s v="iSS1084G"/>
    <x v="0"/>
    <s v="Hạt PET"/>
    <x v="3"/>
    <x v="0"/>
    <x v="0"/>
    <s v="KHÁCH HÀNG HIỆN HỮU CÒN LẠI"/>
    <s v="x"/>
    <n v="0.8"/>
    <n v="44"/>
    <m/>
    <n v="44"/>
    <m/>
    <n v="44"/>
    <m/>
    <n v="44"/>
    <m/>
    <n v="44"/>
    <m/>
    <n v="44"/>
    <m/>
    <n v="264"/>
    <n v="572"/>
    <n v="-308"/>
    <n v="-0.53846153846153844"/>
    <n v="1250"/>
    <n v="1250"/>
    <n v="1250"/>
    <n v="1250"/>
    <n v="1250"/>
    <n v="1250"/>
    <n v="1250"/>
    <n v="1250"/>
    <n v="1250"/>
    <n v="1250"/>
    <n v="1250"/>
    <n v="1250"/>
    <n v="1250"/>
    <m/>
    <n v="1250"/>
    <n v="0"/>
    <m/>
    <n v="1457500000"/>
    <n v="0"/>
    <n v="1457500000"/>
    <n v="0"/>
    <n v="1457500000"/>
    <n v="0"/>
    <n v="1457500000"/>
    <n v="0"/>
    <n v="1457500000"/>
    <n v="0"/>
    <n v="1457500000"/>
    <n v="0"/>
    <n v="8745000000"/>
    <n v="1515455330.9048197"/>
    <n v="7229544669.0951805"/>
    <n v="4.7705428999868307"/>
    <s v="SL"/>
    <m/>
    <n v="662500"/>
    <n v="29150000"/>
    <n v="0"/>
    <n v="29150000"/>
    <n v="0"/>
    <n v="29150000"/>
    <n v="0"/>
    <n v="29150000"/>
    <n v="0"/>
    <n v="29150000"/>
    <n v="0"/>
    <n v="29150000"/>
    <n v="0"/>
    <n v="174900000"/>
    <n v="0"/>
    <n v="5107272.7272727275"/>
    <n v="530000"/>
    <n v="4577272.7272727275"/>
    <n v="224720000"/>
    <n v="0"/>
    <n v="224720000"/>
    <n v="0"/>
    <n v="224720000"/>
    <n v="0"/>
    <n v="224720000"/>
    <n v="0"/>
    <n v="224720000"/>
    <n v="0"/>
    <n v="224720000"/>
    <n v="0"/>
    <n v="1348320000"/>
    <n v="1711370000"/>
    <n v="0"/>
    <n v="1711370000"/>
    <n v="0"/>
    <n v="1711370000"/>
    <n v="0"/>
    <n v="1711370000"/>
    <n v="0"/>
    <n v="1711370000"/>
    <n v="0"/>
    <n v="1711370000"/>
    <n v="0"/>
    <n v="10268220000"/>
    <m/>
    <m/>
    <m/>
    <m/>
    <n v="0"/>
    <n v="0"/>
    <n v="0"/>
    <n v="0"/>
    <n v="0"/>
    <n v="0"/>
    <n v="0"/>
    <n v="0"/>
    <n v="0"/>
    <n v="0"/>
    <n v="0"/>
    <n v="0"/>
    <n v="0"/>
  </r>
  <r>
    <n v="58"/>
    <s v="Quỳnh Anh"/>
    <s v="Quốc Anh"/>
    <s v="200383"/>
    <x v="33"/>
    <s v="Natures Organics - PIA"/>
    <s v="Hiện hữu"/>
    <s v="Xuất khẩu"/>
    <s v="Melbourne"/>
    <s v="Úc"/>
    <s v="Châu Úc"/>
    <s v="CIF"/>
    <s v="110000354"/>
    <s v="WSS01G 1"/>
    <x v="0"/>
    <s v="Hạt PET"/>
    <x v="0"/>
    <x v="0"/>
    <x v="0"/>
    <s v="PIA"/>
    <s v="x"/>
    <n v="0.8"/>
    <n v="44"/>
    <m/>
    <n v="44"/>
    <m/>
    <n v="44"/>
    <m/>
    <n v="44"/>
    <m/>
    <n v="44"/>
    <m/>
    <n v="44"/>
    <m/>
    <n v="264"/>
    <n v="262.89999999999998"/>
    <n v="1.1000000000000227"/>
    <n v="4.1841004184101291E-3"/>
    <n v="1150"/>
    <n v="1150"/>
    <n v="1150"/>
    <n v="1150"/>
    <n v="1150"/>
    <n v="1150"/>
    <n v="1150"/>
    <n v="1150"/>
    <n v="1150"/>
    <n v="1150"/>
    <n v="1150"/>
    <n v="1150"/>
    <n v="1150"/>
    <m/>
    <n v="1150"/>
    <n v="0"/>
    <m/>
    <n v="1340900000"/>
    <n v="0"/>
    <n v="1340900000"/>
    <n v="0"/>
    <n v="1340900000"/>
    <n v="0"/>
    <n v="1340900000"/>
    <n v="0"/>
    <n v="1340900000"/>
    <n v="0"/>
    <n v="1340900000"/>
    <n v="0"/>
    <n v="8045400000"/>
    <n v="4132368629.7606473"/>
    <n v="3913031370.2393527"/>
    <n v="0.94692214582656942"/>
    <m/>
    <m/>
    <m/>
    <n v="0"/>
    <n v="0"/>
    <n v="0"/>
    <n v="0"/>
    <n v="0"/>
    <n v="0"/>
    <n v="0"/>
    <n v="0"/>
    <n v="0"/>
    <n v="0"/>
    <n v="0"/>
    <n v="0"/>
    <n v="0"/>
    <n v="0"/>
    <n v="1734545.4545454546"/>
    <n v="530000"/>
    <n v="1204545.4545454546"/>
    <n v="76320000"/>
    <n v="0"/>
    <n v="76320000"/>
    <n v="0"/>
    <n v="76320000"/>
    <n v="0"/>
    <n v="76320000"/>
    <n v="0"/>
    <n v="76320000"/>
    <n v="0"/>
    <n v="76320000"/>
    <n v="0"/>
    <n v="457920000"/>
    <n v="1417220000"/>
    <n v="0"/>
    <n v="1417220000"/>
    <n v="0"/>
    <n v="1417220000"/>
    <n v="0"/>
    <n v="1417220000"/>
    <n v="0"/>
    <n v="1417220000"/>
    <n v="0"/>
    <n v="1417220000"/>
    <n v="0"/>
    <n v="8503320000"/>
    <m/>
    <m/>
    <m/>
    <m/>
    <n v="0"/>
    <n v="0"/>
    <n v="0"/>
    <n v="0"/>
    <n v="0"/>
    <n v="0"/>
    <n v="0"/>
    <n v="0"/>
    <n v="0"/>
    <n v="0"/>
    <n v="0"/>
    <n v="0"/>
    <n v="0"/>
  </r>
  <r>
    <n v="59"/>
    <s v="Nghĩa"/>
    <s v="Cường"/>
    <s v="200386"/>
    <x v="34"/>
    <s v="GENESIS DISTRIBUCIÓN DE COLOMBIA SA"/>
    <s v="Mới"/>
    <s v="Xuất khẩu"/>
    <s v="Buenaventura"/>
    <s v="Colombia"/>
    <s v="Châu Mỹ"/>
    <s v="CFR"/>
    <s v="110000332"/>
    <s v="iSS1084G"/>
    <x v="0"/>
    <s v="Hạt PET"/>
    <x v="3"/>
    <x v="0"/>
    <x v="0"/>
    <s v="GENESIS DISTRIBUCIÓN DE COLOMBIA SA"/>
    <s v="x"/>
    <n v="0.8"/>
    <n v="66"/>
    <n v="66"/>
    <n v="66"/>
    <n v="66"/>
    <n v="66"/>
    <n v="66"/>
    <n v="66"/>
    <n v="66"/>
    <n v="66"/>
    <n v="66"/>
    <n v="66"/>
    <n v="66"/>
    <n v="792"/>
    <n v="110"/>
    <n v="682"/>
    <n v="6.2"/>
    <n v="1250"/>
    <n v="1250"/>
    <n v="1250"/>
    <n v="1250"/>
    <n v="1250"/>
    <n v="1250"/>
    <n v="1250"/>
    <n v="1250"/>
    <n v="1250"/>
    <n v="1250"/>
    <n v="1250"/>
    <n v="1250"/>
    <n v="1200"/>
    <m/>
    <n v="1200"/>
    <n v="0"/>
    <m/>
    <n v="2186250000"/>
    <n v="2186250000"/>
    <n v="2186250000"/>
    <n v="2186250000"/>
    <n v="2186250000"/>
    <n v="2186250000"/>
    <n v="2186250000"/>
    <n v="2186250000"/>
    <n v="2186250000"/>
    <n v="2186250000"/>
    <n v="2186250000"/>
    <n v="2186250000"/>
    <n v="26235000000"/>
    <n v="756615057.7163893"/>
    <n v="25478384942.283611"/>
    <n v="33.674171142168795"/>
    <m/>
    <m/>
    <m/>
    <n v="0"/>
    <n v="0"/>
    <n v="0"/>
    <n v="0"/>
    <n v="0"/>
    <n v="0"/>
    <n v="0"/>
    <n v="0"/>
    <n v="0"/>
    <n v="0"/>
    <n v="0"/>
    <n v="0"/>
    <n v="0"/>
    <n v="0"/>
    <n v="4384545.4545454551"/>
    <n v="530000"/>
    <n v="3854545.4545454551"/>
    <n v="289380000.00000006"/>
    <n v="289380000.00000006"/>
    <n v="289380000.00000006"/>
    <n v="289380000.00000006"/>
    <n v="289380000.00000006"/>
    <n v="289380000.00000006"/>
    <n v="289380000.00000006"/>
    <n v="289380000.00000006"/>
    <n v="289380000.00000006"/>
    <n v="289380000.00000006"/>
    <n v="289380000.00000006"/>
    <n v="289380000.00000006"/>
    <n v="3472560000.0000005"/>
    <n v="2475630000"/>
    <n v="2475630000"/>
    <n v="2475630000"/>
    <n v="2475630000"/>
    <n v="2475630000"/>
    <n v="2475630000"/>
    <n v="2475630000"/>
    <n v="2475630000"/>
    <n v="2475630000"/>
    <n v="2475630000"/>
    <n v="2475630000"/>
    <n v="2475630000"/>
    <n v="29707560000"/>
    <m/>
    <m/>
    <m/>
    <m/>
    <n v="0"/>
    <n v="0"/>
    <n v="0"/>
    <n v="0"/>
    <n v="0"/>
    <n v="0"/>
    <n v="0"/>
    <n v="0"/>
    <n v="0"/>
    <n v="0"/>
    <n v="0"/>
    <n v="0"/>
    <n v="0"/>
  </r>
  <r>
    <n v="60"/>
    <s v="Quỳnh Anh"/>
    <s v="Quốc Anh"/>
    <s v="200381"/>
    <x v="35"/>
    <s v="ITD Polyresin"/>
    <s v="Hiện hữu"/>
    <s v="Xuất khẩu"/>
    <s v="Thessaloniki"/>
    <s v="Hy lạp"/>
    <s v="Châu Âu"/>
    <s v="FOB"/>
    <s v="110000359"/>
    <s v="WSS03G"/>
    <x v="0"/>
    <s v="Hạt PET"/>
    <x v="5"/>
    <x v="0"/>
    <x v="0"/>
    <s v="ITD Polyresin"/>
    <s v="x"/>
    <n v="0.8"/>
    <m/>
    <n v="44"/>
    <m/>
    <n v="44"/>
    <m/>
    <n v="44"/>
    <m/>
    <n v="44"/>
    <m/>
    <n v="44"/>
    <m/>
    <m/>
    <n v="220"/>
    <n v="176"/>
    <n v="44"/>
    <n v="0.25"/>
    <n v="970"/>
    <n v="970"/>
    <n v="970"/>
    <n v="970"/>
    <n v="970"/>
    <n v="970"/>
    <n v="970"/>
    <n v="970"/>
    <n v="970"/>
    <n v="970"/>
    <n v="970"/>
    <n v="970"/>
    <n v="970"/>
    <m/>
    <n v="970"/>
    <n v="0"/>
    <m/>
    <n v="0"/>
    <n v="1131020000"/>
    <n v="0"/>
    <n v="1131020000"/>
    <n v="0"/>
    <n v="1131020000"/>
    <n v="0"/>
    <n v="1131020000"/>
    <n v="0"/>
    <n v="1131020000"/>
    <n v="0"/>
    <n v="0"/>
    <n v="5655100000"/>
    <n v="5056628619.1207333"/>
    <n v="598471380.87926674"/>
    <n v="0.11835383334584919"/>
    <m/>
    <m/>
    <m/>
    <n v="0"/>
    <n v="0"/>
    <n v="0"/>
    <n v="0"/>
    <n v="0"/>
    <n v="0"/>
    <n v="0"/>
    <n v="0"/>
    <n v="0"/>
    <n v="0"/>
    <n v="0"/>
    <n v="0"/>
    <n v="0"/>
    <n v="0"/>
    <n v="530000"/>
    <n v="530000"/>
    <n v="0"/>
    <n v="0"/>
    <n v="23320000"/>
    <n v="0"/>
    <n v="23320000"/>
    <n v="0"/>
    <n v="23320000"/>
    <n v="0"/>
    <n v="23320000"/>
    <n v="0"/>
    <n v="23320000"/>
    <n v="0"/>
    <n v="0"/>
    <n v="116600000"/>
    <n v="0"/>
    <n v="1154340000"/>
    <n v="0"/>
    <n v="1154340000"/>
    <n v="0"/>
    <n v="1154340000"/>
    <n v="0"/>
    <n v="1154340000"/>
    <n v="0"/>
    <n v="1154340000"/>
    <n v="0"/>
    <n v="0"/>
    <n v="5771700000"/>
    <m/>
    <m/>
    <m/>
    <m/>
    <n v="0"/>
    <n v="0"/>
    <n v="0"/>
    <n v="0"/>
    <n v="0"/>
    <n v="0"/>
    <n v="0"/>
    <n v="0"/>
    <n v="0"/>
    <n v="0"/>
    <n v="0"/>
    <n v="0"/>
    <n v="0"/>
  </r>
  <r>
    <n v="61"/>
    <s v="Long"/>
    <s v="Quốc Anh"/>
    <s v="200367"/>
    <x v="36"/>
    <s v="MAS CO.LTD"/>
    <s v="Hiện hữu"/>
    <s v="Xuất khẩu"/>
    <s v="Valencia"/>
    <s v="Bồ Đào Nha"/>
    <s v="Châu Âu"/>
    <s v="FOB"/>
    <s v="110000355"/>
    <s v="iSS01G 1"/>
    <x v="0"/>
    <s v="Hạt PET"/>
    <x v="2"/>
    <x v="0"/>
    <x v="0"/>
    <s v="MAS CO.LTD"/>
    <s v="x"/>
    <n v="0.8"/>
    <n v="44"/>
    <m/>
    <m/>
    <n v="44"/>
    <m/>
    <m/>
    <n v="44"/>
    <m/>
    <m/>
    <n v="44"/>
    <m/>
    <m/>
    <n v="176"/>
    <n v="264"/>
    <n v="-88"/>
    <n v="-0.33333333333333331"/>
    <n v="1200"/>
    <n v="1200"/>
    <n v="1200"/>
    <n v="1200"/>
    <n v="1200"/>
    <n v="1200"/>
    <n v="1200"/>
    <n v="1200"/>
    <n v="1200"/>
    <n v="1200"/>
    <n v="1200"/>
    <n v="1200"/>
    <n v="1200"/>
    <m/>
    <n v="1200"/>
    <n v="0"/>
    <s v="Đã bao gồm chi phí hỗ trợ tối đa 10% (giá sau hỗ trợ là 1080)"/>
    <n v="1399200000"/>
    <n v="0"/>
    <n v="0"/>
    <n v="1399200000"/>
    <n v="0"/>
    <n v="0"/>
    <n v="1399200000"/>
    <n v="0"/>
    <n v="0"/>
    <n v="1399200000"/>
    <n v="0"/>
    <n v="0"/>
    <n v="5596800000"/>
    <n v="8550359388.9032822"/>
    <n v="-2953559388.9032822"/>
    <n v="-0.3454310227867653"/>
    <m/>
    <m/>
    <m/>
    <n v="0"/>
    <n v="0"/>
    <n v="0"/>
    <n v="0"/>
    <n v="0"/>
    <n v="0"/>
    <n v="0"/>
    <n v="0"/>
    <n v="0"/>
    <n v="0"/>
    <n v="0"/>
    <n v="0"/>
    <n v="0"/>
    <n v="0"/>
    <n v="530000"/>
    <n v="530000"/>
    <n v="0"/>
    <n v="23320000"/>
    <n v="0"/>
    <n v="0"/>
    <n v="23320000"/>
    <n v="0"/>
    <n v="0"/>
    <n v="23320000"/>
    <n v="0"/>
    <n v="0"/>
    <n v="23320000"/>
    <n v="0"/>
    <n v="0"/>
    <n v="93280000"/>
    <n v="1422520000"/>
    <n v="0"/>
    <n v="0"/>
    <n v="1422520000"/>
    <n v="0"/>
    <n v="0"/>
    <n v="1422520000"/>
    <n v="0"/>
    <n v="0"/>
    <n v="1422520000"/>
    <n v="0"/>
    <n v="0"/>
    <n v="5690080000"/>
    <m/>
    <m/>
    <m/>
    <n v="0.1"/>
    <n v="139920000"/>
    <n v="0"/>
    <n v="0"/>
    <n v="139920000"/>
    <n v="0"/>
    <n v="0"/>
    <n v="139920000"/>
    <n v="0"/>
    <n v="0"/>
    <n v="139920000"/>
    <n v="0"/>
    <n v="0"/>
    <n v="559680000"/>
  </r>
  <r>
    <n v="62"/>
    <s v="Quỳnh Anh"/>
    <s v="Quốc Anh"/>
    <s v="200374"/>
    <x v="37"/>
    <s v="POLYCAD"/>
    <s v="Hiện hữu"/>
    <s v="Xuất khẩu"/>
    <s v="Haifa"/>
    <s v="Israel"/>
    <s v="Châu Á"/>
    <s v="CIF"/>
    <s v="110000355"/>
    <s v="iSS01G 1"/>
    <x v="0"/>
    <s v="Hạt PET"/>
    <x v="2"/>
    <x v="0"/>
    <x v="0"/>
    <s v="POLYCAD"/>
    <s v="x"/>
    <n v="0.8"/>
    <m/>
    <n v="44"/>
    <m/>
    <m/>
    <n v="44"/>
    <m/>
    <m/>
    <n v="44"/>
    <m/>
    <m/>
    <n v="44"/>
    <m/>
    <n v="176"/>
    <n v="66"/>
    <n v="110"/>
    <n v="1.6666666666666667"/>
    <n v="1200"/>
    <n v="1200"/>
    <n v="1200"/>
    <n v="1200"/>
    <n v="1200"/>
    <n v="1200"/>
    <n v="1200"/>
    <n v="1200"/>
    <n v="1200"/>
    <n v="1200"/>
    <n v="1200"/>
    <n v="1200"/>
    <n v="1200"/>
    <m/>
    <n v="1200"/>
    <n v="0"/>
    <m/>
    <n v="0"/>
    <n v="1399200000"/>
    <n v="0"/>
    <n v="0"/>
    <n v="1399200000"/>
    <n v="0"/>
    <n v="0"/>
    <n v="1399200000"/>
    <n v="0"/>
    <n v="0"/>
    <n v="1399200000"/>
    <n v="0"/>
    <n v="5596800000"/>
    <n v="2143745069.8846154"/>
    <n v="3453054930.1153846"/>
    <n v="1.6107581907121267"/>
    <m/>
    <m/>
    <m/>
    <n v="0"/>
    <n v="0"/>
    <n v="0"/>
    <n v="0"/>
    <n v="0"/>
    <n v="0"/>
    <n v="0"/>
    <n v="0"/>
    <n v="0"/>
    <n v="0"/>
    <n v="0"/>
    <n v="0"/>
    <n v="0"/>
    <n v="0"/>
    <n v="4143636.3636363638"/>
    <n v="530000"/>
    <n v="3613636.3636363638"/>
    <n v="0"/>
    <n v="182320000"/>
    <n v="0"/>
    <n v="0"/>
    <n v="182320000"/>
    <n v="0"/>
    <n v="0"/>
    <n v="182320000"/>
    <n v="0"/>
    <n v="0"/>
    <n v="182320000"/>
    <n v="0"/>
    <n v="729280000"/>
    <n v="0"/>
    <n v="1581520000"/>
    <n v="0"/>
    <n v="0"/>
    <n v="1581520000"/>
    <n v="0"/>
    <n v="0"/>
    <n v="1581520000"/>
    <n v="0"/>
    <n v="0"/>
    <n v="1581520000"/>
    <n v="0"/>
    <n v="6326080000"/>
    <m/>
    <m/>
    <m/>
    <m/>
    <n v="0"/>
    <n v="0"/>
    <n v="0"/>
    <n v="0"/>
    <n v="0"/>
    <n v="0"/>
    <n v="0"/>
    <n v="0"/>
    <n v="0"/>
    <n v="0"/>
    <n v="0"/>
    <n v="0"/>
    <n v="0"/>
  </r>
  <r>
    <n v="63"/>
    <s v="Quỳnh Anh"/>
    <s v="Quốc Anh"/>
    <s v="105339"/>
    <x v="38"/>
    <s v="HUY THÀNH"/>
    <s v="Hiện hữu"/>
    <s v="Nội địa"/>
    <s v="Tây Ninh"/>
    <s v="Việt Nam"/>
    <s v="Châu Á"/>
    <s v="DDP"/>
    <s v="110000366"/>
    <s v="rHDI3G01"/>
    <x v="3"/>
    <s v="Hạt HD ép"/>
    <x v="1"/>
    <x v="0"/>
    <x v="0"/>
    <s v="HUY THÀNH"/>
    <s v="x"/>
    <n v="0.8"/>
    <m/>
    <m/>
    <m/>
    <m/>
    <m/>
    <m/>
    <m/>
    <m/>
    <m/>
    <m/>
    <m/>
    <m/>
    <n v="0"/>
    <n v="157.5"/>
    <n v="-157.5"/>
    <n v="-1"/>
    <n v="695"/>
    <n v="695"/>
    <n v="695"/>
    <n v="695"/>
    <n v="695"/>
    <n v="695"/>
    <n v="695"/>
    <n v="695"/>
    <n v="695"/>
    <n v="695"/>
    <n v="695"/>
    <n v="695"/>
    <n v="695"/>
    <m/>
    <n v="695"/>
    <n v="0"/>
    <m/>
    <n v="0"/>
    <n v="0"/>
    <n v="0"/>
    <n v="0"/>
    <n v="0"/>
    <n v="0"/>
    <n v="0"/>
    <n v="0"/>
    <n v="0"/>
    <n v="0"/>
    <n v="0"/>
    <n v="0"/>
    <n v="0"/>
    <n v="2542934139.5032921"/>
    <n v="-2542934139.5032921"/>
    <n v="-1"/>
    <s v="SL"/>
    <m/>
    <n v="1000000"/>
    <n v="0"/>
    <n v="0"/>
    <n v="0"/>
    <n v="0"/>
    <n v="0"/>
    <n v="0"/>
    <n v="0"/>
    <n v="0"/>
    <n v="0"/>
    <n v="0"/>
    <n v="0"/>
    <n v="0"/>
    <n v="0"/>
    <n v="0"/>
    <n v="0"/>
    <n v="0"/>
    <n v="0"/>
    <n v="0"/>
    <n v="0"/>
    <n v="0"/>
    <n v="0"/>
    <n v="0"/>
    <n v="0"/>
    <n v="0"/>
    <n v="0"/>
    <n v="0"/>
    <n v="0"/>
    <n v="0"/>
    <n v="0"/>
    <n v="0"/>
    <n v="0"/>
    <n v="0"/>
    <n v="0"/>
    <n v="0"/>
    <n v="0"/>
    <n v="0"/>
    <n v="0"/>
    <n v="0"/>
    <n v="0"/>
    <n v="0"/>
    <n v="0"/>
    <n v="0"/>
    <n v="0"/>
    <m/>
    <m/>
    <m/>
    <m/>
    <n v="0"/>
    <n v="0"/>
    <n v="0"/>
    <n v="0"/>
    <n v="0"/>
    <n v="0"/>
    <n v="0"/>
    <n v="0"/>
    <n v="0"/>
    <n v="0"/>
    <n v="0"/>
    <n v="0"/>
    <n v="0"/>
  </r>
  <r>
    <n v="64"/>
    <s v="Nghĩa"/>
    <s v="Cường"/>
    <s v="105263"/>
    <x v="2"/>
    <s v="Unilever Duy Tân"/>
    <s v="Hiện hữu"/>
    <s v="Nội địa"/>
    <s v="Tây Ninh"/>
    <s v="Việt Nam"/>
    <s v="Châu Á"/>
    <s v="DDP"/>
    <s v="110000354"/>
    <s v="WSS01G 1"/>
    <x v="0"/>
    <s v="Hạt PET"/>
    <x v="0"/>
    <x v="0"/>
    <x v="0"/>
    <s v="Unilever"/>
    <s v="x"/>
    <n v="0.8"/>
    <n v="11"/>
    <n v="11"/>
    <n v="11"/>
    <n v="11"/>
    <n v="11"/>
    <n v="11"/>
    <n v="11"/>
    <n v="11"/>
    <n v="11"/>
    <n v="11"/>
    <n v="11"/>
    <n v="11"/>
    <n v="132"/>
    <n v="126.5"/>
    <n v="5.5"/>
    <n v="4.3478260869565216E-2"/>
    <n v="1250"/>
    <n v="1250"/>
    <n v="1250"/>
    <n v="1250"/>
    <n v="1250"/>
    <n v="1250"/>
    <n v="1250"/>
    <n v="1250"/>
    <n v="1250"/>
    <n v="1250"/>
    <n v="1250"/>
    <n v="1250"/>
    <n v="1183"/>
    <m/>
    <n v="1183"/>
    <n v="0"/>
    <m/>
    <n v="364375000"/>
    <n v="364375000"/>
    <n v="364375000"/>
    <n v="364375000"/>
    <n v="364375000"/>
    <n v="364375000"/>
    <n v="364375000"/>
    <n v="364375000"/>
    <n v="364375000"/>
    <n v="364375000"/>
    <n v="364375000"/>
    <n v="364375000"/>
    <n v="4372500000"/>
    <n v="3028354230.621685"/>
    <n v="1344145769.378315"/>
    <n v="0.44385354784020026"/>
    <m/>
    <m/>
    <m/>
    <n v="0"/>
    <n v="0"/>
    <n v="0"/>
    <n v="0"/>
    <n v="0"/>
    <n v="0"/>
    <n v="0"/>
    <n v="0"/>
    <n v="0"/>
    <n v="0"/>
    <n v="0"/>
    <n v="0"/>
    <n v="0"/>
    <n v="0"/>
    <n v="0"/>
    <n v="0"/>
    <n v="0"/>
    <n v="0"/>
    <n v="0"/>
    <n v="0"/>
    <n v="0"/>
    <n v="0"/>
    <n v="0"/>
    <n v="0"/>
    <n v="0"/>
    <n v="0"/>
    <n v="0"/>
    <n v="0"/>
    <n v="0"/>
    <n v="0"/>
    <n v="364375000"/>
    <n v="364375000"/>
    <n v="364375000"/>
    <n v="364375000"/>
    <n v="364375000"/>
    <n v="364375000"/>
    <n v="364375000"/>
    <n v="364375000"/>
    <n v="364375000"/>
    <n v="364375000"/>
    <n v="364375000"/>
    <n v="364375000"/>
    <n v="4372500000"/>
    <m/>
    <m/>
    <m/>
    <m/>
    <n v="0"/>
    <n v="0"/>
    <n v="0"/>
    <n v="0"/>
    <n v="0"/>
    <n v="0"/>
    <n v="0"/>
    <n v="0"/>
    <n v="0"/>
    <n v="0"/>
    <n v="0"/>
    <n v="0"/>
    <n v="0"/>
  </r>
  <r>
    <n v="65"/>
    <s v="Nghĩa"/>
    <s v="Cường"/>
    <s v="105306"/>
    <x v="39"/>
    <s v="MTV MILKIWAY SOLUTION"/>
    <s v="Hiện hữu"/>
    <s v="Nội địa"/>
    <s v="Hồ Chí Minh"/>
    <s v="Việt Nam"/>
    <s v="Châu Á"/>
    <s v="DDP"/>
    <s v="110000354"/>
    <s v="WSS01G 1"/>
    <x v="0"/>
    <s v="Hạt PET"/>
    <x v="0"/>
    <x v="0"/>
    <x v="0"/>
    <s v="Tân Lập Thành"/>
    <s v="x"/>
    <n v="0.8"/>
    <m/>
    <n v="22"/>
    <m/>
    <n v="22"/>
    <m/>
    <n v="22"/>
    <m/>
    <n v="22"/>
    <m/>
    <n v="22"/>
    <m/>
    <n v="22"/>
    <n v="132"/>
    <n v="88"/>
    <n v="44"/>
    <n v="0.5"/>
    <n v="1150"/>
    <n v="1150"/>
    <n v="1150"/>
    <n v="1150"/>
    <n v="1150"/>
    <n v="1150"/>
    <n v="1150"/>
    <n v="1150"/>
    <n v="1150"/>
    <n v="1150"/>
    <n v="1150"/>
    <n v="1150"/>
    <n v="1150"/>
    <m/>
    <n v="1150"/>
    <n v="0"/>
    <m/>
    <n v="0"/>
    <n v="670450000"/>
    <n v="0"/>
    <n v="670450000"/>
    <n v="0"/>
    <n v="670450000"/>
    <n v="0"/>
    <n v="670450000"/>
    <n v="0"/>
    <n v="670450000"/>
    <n v="0"/>
    <n v="670450000"/>
    <n v="4022700000"/>
    <n v="2873806531.3575301"/>
    <n v="1148893468.6424699"/>
    <n v="0.39978107645950511"/>
    <m/>
    <m/>
    <m/>
    <n v="0"/>
    <n v="0"/>
    <n v="0"/>
    <n v="0"/>
    <n v="0"/>
    <n v="0"/>
    <n v="0"/>
    <n v="0"/>
    <n v="0"/>
    <n v="0"/>
    <n v="0"/>
    <n v="0"/>
    <n v="0"/>
    <n v="0"/>
    <n v="0"/>
    <n v="0"/>
    <n v="0"/>
    <n v="0"/>
    <n v="0"/>
    <n v="0"/>
    <n v="0"/>
    <n v="0"/>
    <n v="0"/>
    <n v="0"/>
    <n v="0"/>
    <n v="0"/>
    <n v="0"/>
    <n v="0"/>
    <n v="0"/>
    <n v="0"/>
    <n v="0"/>
    <n v="670450000"/>
    <n v="0"/>
    <n v="670450000"/>
    <n v="0"/>
    <n v="670450000"/>
    <n v="0"/>
    <n v="670450000"/>
    <n v="0"/>
    <n v="670450000"/>
    <n v="0"/>
    <n v="670450000"/>
    <n v="4022700000"/>
    <m/>
    <m/>
    <m/>
    <m/>
    <n v="0"/>
    <n v="0"/>
    <n v="0"/>
    <n v="0"/>
    <n v="0"/>
    <n v="0"/>
    <n v="0"/>
    <n v="0"/>
    <n v="0"/>
    <n v="0"/>
    <n v="0"/>
    <n v="0"/>
    <n v="0"/>
  </r>
  <r>
    <n v="66"/>
    <s v="Quỳnh Anh"/>
    <s v="Quốc Anh"/>
    <s v="105323"/>
    <x v="40"/>
    <s v="ĐẠI LỤC"/>
    <s v="Hiện hữu"/>
    <s v="Nội địa"/>
    <s v="Hồ Chí Minh"/>
    <s v="Việt Nam"/>
    <s v="Châu Á"/>
    <s v="DDP"/>
    <s v="110000436"/>
    <s v="WSS05SB"/>
    <x v="1"/>
    <s v="Hạt Xơ sợi"/>
    <x v="4"/>
    <x v="0"/>
    <x v="0"/>
    <s v="ĐẠI LỤC"/>
    <s v="x"/>
    <n v="0.8"/>
    <m/>
    <m/>
    <m/>
    <m/>
    <m/>
    <m/>
    <m/>
    <m/>
    <m/>
    <m/>
    <m/>
    <m/>
    <n v="0"/>
    <n v="11"/>
    <n v="-11"/>
    <n v="-1"/>
    <n v="640"/>
    <n v="632"/>
    <n v="624"/>
    <n v="616"/>
    <n v="608"/>
    <n v="600"/>
    <n v="592"/>
    <n v="584"/>
    <n v="576"/>
    <n v="568"/>
    <n v="560"/>
    <n v="552"/>
    <n v="596"/>
    <m/>
    <n v="596"/>
    <n v="0"/>
    <m/>
    <n v="0"/>
    <n v="0"/>
    <n v="0"/>
    <n v="0"/>
    <n v="0"/>
    <n v="0"/>
    <n v="0"/>
    <n v="0"/>
    <n v="0"/>
    <n v="0"/>
    <n v="0"/>
    <n v="0"/>
    <n v="0"/>
    <n v="193210018.66353852"/>
    <n v="-193210018.66353852"/>
    <n v="-1"/>
    <m/>
    <m/>
    <m/>
    <n v="0"/>
    <n v="0"/>
    <n v="0"/>
    <n v="0"/>
    <n v="0"/>
    <n v="0"/>
    <n v="0"/>
    <n v="0"/>
    <n v="0"/>
    <n v="0"/>
    <n v="0"/>
    <n v="0"/>
    <n v="0"/>
    <n v="0"/>
    <n v="0"/>
    <n v="0"/>
    <n v="0"/>
    <n v="0"/>
    <n v="0"/>
    <n v="0"/>
    <n v="0"/>
    <n v="0"/>
    <n v="0"/>
    <n v="0"/>
    <n v="0"/>
    <n v="0"/>
    <n v="0"/>
    <n v="0"/>
    <n v="0"/>
    <n v="0"/>
    <n v="0"/>
    <n v="0"/>
    <n v="0"/>
    <n v="0"/>
    <n v="0"/>
    <n v="0"/>
    <n v="0"/>
    <n v="0"/>
    <n v="0"/>
    <n v="0"/>
    <n v="0"/>
    <n v="0"/>
    <n v="0"/>
    <m/>
    <m/>
    <m/>
    <m/>
    <n v="0"/>
    <n v="0"/>
    <n v="0"/>
    <n v="0"/>
    <n v="0"/>
    <n v="0"/>
    <n v="0"/>
    <n v="0"/>
    <n v="0"/>
    <n v="0"/>
    <n v="0"/>
    <n v="0"/>
    <n v="0"/>
  </r>
  <r>
    <n v="67"/>
    <s v="Quỳnh Anh"/>
    <s v="Quốc Anh"/>
    <s v="105359"/>
    <x v="41"/>
    <s v="THẠC HƯƠNG"/>
    <s v="Hiện hữu"/>
    <s v="Nội địa"/>
    <s v="Đồng Nai"/>
    <s v="Việt Nam"/>
    <s v="Châu Á"/>
    <s v="EXW"/>
    <s v="110000341"/>
    <s v="rHDB04B01"/>
    <x v="2"/>
    <s v="Hạt HD thổi"/>
    <x v="1"/>
    <x v="1"/>
    <x v="0"/>
    <s v="KHÁCH HÀNG HIỆN HỮU CÒN LẠI"/>
    <s v="x"/>
    <n v="0.8"/>
    <m/>
    <m/>
    <m/>
    <m/>
    <m/>
    <m/>
    <m/>
    <m/>
    <m/>
    <m/>
    <m/>
    <m/>
    <n v="0"/>
    <n v="1.375"/>
    <n v="-1.375"/>
    <n v="-1"/>
    <n v="600"/>
    <n v="600"/>
    <n v="600"/>
    <n v="600"/>
    <n v="600"/>
    <n v="600"/>
    <n v="600"/>
    <n v="600"/>
    <n v="600"/>
    <n v="600"/>
    <n v="600"/>
    <n v="600"/>
    <n v="600"/>
    <m/>
    <n v="600"/>
    <n v="0"/>
    <m/>
    <n v="0"/>
    <n v="0"/>
    <n v="0"/>
    <n v="0"/>
    <n v="0"/>
    <n v="0"/>
    <n v="0"/>
    <n v="0"/>
    <n v="0"/>
    <n v="0"/>
    <n v="0"/>
    <n v="0"/>
    <n v="0"/>
    <n v="24750000"/>
    <n v="-24750000"/>
    <n v="-1"/>
    <m/>
    <m/>
    <m/>
    <n v="0"/>
    <n v="0"/>
    <n v="0"/>
    <n v="0"/>
    <n v="0"/>
    <n v="0"/>
    <n v="0"/>
    <n v="0"/>
    <n v="0"/>
    <n v="0"/>
    <n v="0"/>
    <n v="0"/>
    <n v="0"/>
    <n v="0"/>
    <n v="0"/>
    <n v="0"/>
    <n v="0"/>
    <n v="0"/>
    <n v="0"/>
    <n v="0"/>
    <n v="0"/>
    <n v="0"/>
    <n v="0"/>
    <n v="0"/>
    <n v="0"/>
    <n v="0"/>
    <n v="0"/>
    <n v="0"/>
    <n v="0"/>
    <n v="0"/>
    <n v="0"/>
    <n v="0"/>
    <n v="0"/>
    <n v="0"/>
    <n v="0"/>
    <n v="0"/>
    <n v="0"/>
    <n v="0"/>
    <n v="0"/>
    <n v="0"/>
    <n v="0"/>
    <n v="0"/>
    <n v="0"/>
    <m/>
    <m/>
    <m/>
    <m/>
    <n v="0"/>
    <n v="0"/>
    <n v="0"/>
    <n v="0"/>
    <n v="0"/>
    <n v="0"/>
    <n v="0"/>
    <n v="0"/>
    <n v="0"/>
    <n v="0"/>
    <n v="0"/>
    <n v="0"/>
    <n v="0"/>
  </r>
  <r>
    <n v="68"/>
    <s v="Quỳnh Anh"/>
    <s v="Quốc Anh"/>
    <s v="105364"/>
    <x v="42"/>
    <s v="NHỰA LỘC PHÁT"/>
    <s v="Hiện hữu"/>
    <s v="Nội địa"/>
    <s v="Hồ Chí Minh"/>
    <s v="Việt Nam"/>
    <s v="Châu Á"/>
    <s v="DDP"/>
    <s v="110000436"/>
    <s v="WSS05SB"/>
    <x v="1"/>
    <s v="Hạt Xơ sợi"/>
    <x v="4"/>
    <x v="0"/>
    <x v="0"/>
    <s v="NHỰA LỘC PHÁT"/>
    <s v="x"/>
    <n v="0.8"/>
    <m/>
    <m/>
    <m/>
    <m/>
    <m/>
    <m/>
    <m/>
    <m/>
    <m/>
    <m/>
    <m/>
    <m/>
    <n v="0"/>
    <n v="73.5"/>
    <n v="-73.5"/>
    <n v="-1"/>
    <n v="640"/>
    <n v="632"/>
    <n v="624"/>
    <n v="616"/>
    <n v="608"/>
    <n v="600"/>
    <n v="592"/>
    <n v="584"/>
    <n v="576"/>
    <n v="568"/>
    <n v="560"/>
    <n v="552"/>
    <n v="596"/>
    <m/>
    <n v="596"/>
    <n v="0"/>
    <m/>
    <n v="0"/>
    <n v="0"/>
    <n v="0"/>
    <n v="0"/>
    <n v="0"/>
    <n v="0"/>
    <n v="0"/>
    <n v="0"/>
    <n v="0"/>
    <n v="0"/>
    <n v="0"/>
    <n v="0"/>
    <n v="0"/>
    <n v="630518364.57884574"/>
    <n v="-630518364.57884574"/>
    <n v="-1"/>
    <m/>
    <m/>
    <m/>
    <n v="0"/>
    <n v="0"/>
    <n v="0"/>
    <n v="0"/>
    <n v="0"/>
    <n v="0"/>
    <n v="0"/>
    <n v="0"/>
    <n v="0"/>
    <n v="0"/>
    <n v="0"/>
    <n v="0"/>
    <n v="0"/>
    <n v="0"/>
    <n v="0"/>
    <n v="0"/>
    <n v="0"/>
    <n v="0"/>
    <n v="0"/>
    <n v="0"/>
    <n v="0"/>
    <n v="0"/>
    <n v="0"/>
    <n v="0"/>
    <n v="0"/>
    <n v="0"/>
    <n v="0"/>
    <n v="0"/>
    <n v="0"/>
    <n v="0"/>
    <n v="0"/>
    <n v="0"/>
    <n v="0"/>
    <n v="0"/>
    <n v="0"/>
    <n v="0"/>
    <n v="0"/>
    <n v="0"/>
    <n v="0"/>
    <n v="0"/>
    <n v="0"/>
    <n v="0"/>
    <n v="0"/>
    <m/>
    <m/>
    <m/>
    <m/>
    <n v="0"/>
    <n v="0"/>
    <n v="0"/>
    <n v="0"/>
    <n v="0"/>
    <n v="0"/>
    <n v="0"/>
    <n v="0"/>
    <n v="0"/>
    <n v="0"/>
    <n v="0"/>
    <n v="0"/>
    <n v="0"/>
  </r>
  <r>
    <n v="69"/>
    <s v="Quỳnh Anh"/>
    <s v="Quốc Anh"/>
    <s v="200330"/>
    <x v="43"/>
    <s v="Fega"/>
    <s v="Hiện hữu"/>
    <s v="Xuất khẩu"/>
    <s v="Thessaloniki"/>
    <s v="Hy lạp"/>
    <s v="Châu Âu"/>
    <s v="FOB"/>
    <s v="110000355"/>
    <s v="iSS01G 1"/>
    <x v="0"/>
    <s v="Hạt PET"/>
    <x v="2"/>
    <x v="0"/>
    <x v="0"/>
    <s v="KHÁCH HÀNG HIỆN HỮU CÒN LẠI"/>
    <s v="x"/>
    <n v="0.8"/>
    <n v="22"/>
    <m/>
    <n v="22"/>
    <m/>
    <n v="22"/>
    <m/>
    <n v="22"/>
    <m/>
    <n v="22"/>
    <m/>
    <n v="22"/>
    <m/>
    <n v="132"/>
    <n v="66"/>
    <n v="66"/>
    <n v="1"/>
    <n v="1200"/>
    <n v="1200"/>
    <n v="1200"/>
    <n v="1200"/>
    <n v="1200"/>
    <n v="1200"/>
    <n v="1200"/>
    <n v="1200"/>
    <n v="1200"/>
    <n v="1200"/>
    <n v="1200"/>
    <n v="1200"/>
    <n v="1200"/>
    <m/>
    <n v="1200"/>
    <n v="0"/>
    <s v="Đã bao gồm chi phí hỗ trợ tối đa 10% (giá sau hỗ trợ là 1080)"/>
    <n v="699600000"/>
    <n v="0"/>
    <n v="699600000"/>
    <n v="0"/>
    <n v="699600000"/>
    <n v="0"/>
    <n v="699600000"/>
    <n v="0"/>
    <n v="699600000"/>
    <n v="0"/>
    <n v="699600000"/>
    <n v="0"/>
    <n v="4197600000"/>
    <n v="714271281.5089649"/>
    <n v="3483328718.491035"/>
    <n v="4.8767587451257697"/>
    <m/>
    <m/>
    <m/>
    <n v="0"/>
    <n v="0"/>
    <n v="0"/>
    <n v="0"/>
    <n v="0"/>
    <n v="0"/>
    <n v="0"/>
    <n v="0"/>
    <n v="0"/>
    <n v="0"/>
    <n v="0"/>
    <n v="0"/>
    <n v="0"/>
    <n v="0"/>
    <n v="530000"/>
    <n v="530000"/>
    <n v="0"/>
    <n v="11660000"/>
    <n v="0"/>
    <n v="11660000"/>
    <n v="0"/>
    <n v="11660000"/>
    <n v="0"/>
    <n v="11660000"/>
    <n v="0"/>
    <n v="11660000"/>
    <n v="0"/>
    <n v="11660000"/>
    <n v="0"/>
    <n v="69960000"/>
    <n v="711260000"/>
    <n v="0"/>
    <n v="711260000"/>
    <n v="0"/>
    <n v="711260000"/>
    <n v="0"/>
    <n v="711260000"/>
    <n v="0"/>
    <n v="711260000"/>
    <n v="0"/>
    <n v="711260000"/>
    <n v="0"/>
    <n v="4267560000"/>
    <m/>
    <m/>
    <m/>
    <n v="0.1"/>
    <n v="69960000"/>
    <n v="0"/>
    <n v="69960000"/>
    <n v="0"/>
    <n v="69960000"/>
    <n v="0"/>
    <n v="69960000"/>
    <n v="0"/>
    <n v="69960000"/>
    <n v="0"/>
    <n v="69960000"/>
    <n v="0"/>
    <n v="419760000"/>
  </r>
  <r>
    <n v="70"/>
    <s v="Quỳnh Anh"/>
    <s v="Quốc Anh"/>
    <s v="200330"/>
    <x v="43"/>
    <s v="Fega"/>
    <s v="Hiện hữu"/>
    <s v="Xuất khẩu"/>
    <s v="Thessaloniki"/>
    <s v="Hy lạp"/>
    <s v="Châu Âu"/>
    <s v="FOB"/>
    <s v="110000359"/>
    <s v="WSS03G"/>
    <x v="0"/>
    <s v="Hạt PET"/>
    <x v="5"/>
    <x v="0"/>
    <x v="0"/>
    <s v="Fega"/>
    <s v="x"/>
    <n v="0.8"/>
    <m/>
    <n v="22"/>
    <m/>
    <n v="22"/>
    <m/>
    <n v="22"/>
    <m/>
    <n v="22"/>
    <m/>
    <n v="22"/>
    <m/>
    <n v="22"/>
    <n v="132"/>
    <n v="66"/>
    <n v="66"/>
    <n v="1"/>
    <n v="970"/>
    <n v="970"/>
    <n v="970"/>
    <n v="970"/>
    <n v="970"/>
    <n v="970"/>
    <n v="970"/>
    <n v="970"/>
    <n v="970"/>
    <n v="970"/>
    <n v="970"/>
    <n v="970"/>
    <n v="970"/>
    <m/>
    <n v="970"/>
    <n v="0"/>
    <m/>
    <n v="0"/>
    <n v="565510000"/>
    <n v="0"/>
    <n v="565510000"/>
    <n v="0"/>
    <n v="565510000"/>
    <n v="0"/>
    <n v="565510000"/>
    <n v="0"/>
    <n v="565510000"/>
    <n v="0"/>
    <n v="565510000"/>
    <n v="3393060000"/>
    <n v="1884061196.2896633"/>
    <n v="1508998803.7103367"/>
    <n v="0.80092876318563966"/>
    <m/>
    <m/>
    <m/>
    <n v="0"/>
    <n v="0"/>
    <n v="0"/>
    <n v="0"/>
    <n v="0"/>
    <n v="0"/>
    <n v="0"/>
    <n v="0"/>
    <n v="0"/>
    <n v="0"/>
    <n v="0"/>
    <n v="0"/>
    <n v="0"/>
    <n v="0"/>
    <n v="530000"/>
    <n v="530000"/>
    <n v="0"/>
    <n v="0"/>
    <n v="11660000"/>
    <n v="0"/>
    <n v="11660000"/>
    <n v="0"/>
    <n v="11660000"/>
    <n v="0"/>
    <n v="11660000"/>
    <n v="0"/>
    <n v="11660000"/>
    <n v="0"/>
    <n v="11660000"/>
    <n v="69960000"/>
    <n v="0"/>
    <n v="577170000"/>
    <n v="0"/>
    <n v="577170000"/>
    <n v="0"/>
    <n v="577170000"/>
    <n v="0"/>
    <n v="577170000"/>
    <n v="0"/>
    <n v="577170000"/>
    <n v="0"/>
    <n v="577170000"/>
    <n v="3463020000"/>
    <m/>
    <m/>
    <m/>
    <m/>
    <n v="0"/>
    <n v="0"/>
    <n v="0"/>
    <n v="0"/>
    <n v="0"/>
    <n v="0"/>
    <n v="0"/>
    <n v="0"/>
    <n v="0"/>
    <n v="0"/>
    <n v="0"/>
    <n v="0"/>
    <n v="0"/>
  </r>
  <r>
    <n v="71"/>
    <s v="Quỳnh Anh"/>
    <s v="Quốc Anh"/>
    <s v="200364"/>
    <x v="44"/>
    <s v="POLYRESIN EOOD"/>
    <s v="Hiện hữu"/>
    <s v="Xuất khẩu"/>
    <s v="Thessaloniki"/>
    <s v="Hy lạp"/>
    <s v="Châu Âu"/>
    <s v="FOB"/>
    <s v="110000355"/>
    <s v="iSS01G 1"/>
    <x v="0"/>
    <s v="Hạt PET"/>
    <x v="2"/>
    <x v="0"/>
    <x v="0"/>
    <s v="KHÁCH HÀNG HIỆN HỮU CÒN LẠI"/>
    <s v="x"/>
    <n v="0.8"/>
    <n v="22"/>
    <m/>
    <n v="22"/>
    <m/>
    <n v="22"/>
    <m/>
    <n v="22"/>
    <m/>
    <n v="22"/>
    <m/>
    <n v="22"/>
    <m/>
    <n v="132"/>
    <n v="22"/>
    <n v="110"/>
    <n v="5"/>
    <n v="1200"/>
    <n v="1200"/>
    <n v="1200"/>
    <n v="1200"/>
    <n v="1200"/>
    <n v="1200"/>
    <n v="1200"/>
    <n v="1200"/>
    <n v="1200"/>
    <n v="1200"/>
    <n v="1200"/>
    <n v="1200"/>
    <n v="1200"/>
    <m/>
    <n v="1200"/>
    <n v="0"/>
    <s v="Đã bao gồm chi phí hỗ trợ tối đa 10% (giá sau hỗ trợ là 1080)"/>
    <n v="699600000"/>
    <n v="0"/>
    <n v="699600000"/>
    <n v="0"/>
    <n v="699600000"/>
    <n v="0"/>
    <n v="699600000"/>
    <n v="0"/>
    <n v="699600000"/>
    <n v="0"/>
    <n v="699600000"/>
    <n v="0"/>
    <n v="4197600000"/>
    <n v="691230908.96153843"/>
    <n v="3506369091.0384617"/>
    <n v="5.0726451111774047"/>
    <m/>
    <m/>
    <m/>
    <n v="0"/>
    <n v="0"/>
    <n v="0"/>
    <n v="0"/>
    <n v="0"/>
    <n v="0"/>
    <n v="0"/>
    <n v="0"/>
    <n v="0"/>
    <n v="0"/>
    <n v="0"/>
    <n v="0"/>
    <n v="0"/>
    <n v="0"/>
    <n v="530000"/>
    <n v="530000"/>
    <n v="0"/>
    <n v="11660000"/>
    <n v="0"/>
    <n v="11660000"/>
    <n v="0"/>
    <n v="11660000"/>
    <n v="0"/>
    <n v="11660000"/>
    <n v="0"/>
    <n v="11660000"/>
    <n v="0"/>
    <n v="11660000"/>
    <n v="0"/>
    <n v="69960000"/>
    <n v="711260000"/>
    <n v="0"/>
    <n v="711260000"/>
    <n v="0"/>
    <n v="711260000"/>
    <n v="0"/>
    <n v="711260000"/>
    <n v="0"/>
    <n v="711260000"/>
    <n v="0"/>
    <n v="711260000"/>
    <n v="0"/>
    <n v="4267560000"/>
    <m/>
    <m/>
    <m/>
    <n v="0.1"/>
    <n v="69960000"/>
    <n v="0"/>
    <n v="69960000"/>
    <n v="0"/>
    <n v="69960000"/>
    <n v="0"/>
    <n v="69960000"/>
    <n v="0"/>
    <n v="69960000"/>
    <n v="0"/>
    <n v="69960000"/>
    <n v="0"/>
    <n v="419760000"/>
  </r>
  <r>
    <n v="72"/>
    <s v="Quỳnh Anh"/>
    <s v="Quốc Anh"/>
    <s v="200364"/>
    <x v="44"/>
    <s v="POLYRESIN EOOD"/>
    <s v="Hiện hữu"/>
    <s v="Xuất khẩu"/>
    <s v="Thessaloniki"/>
    <s v="Hy lạp"/>
    <s v="Châu Âu"/>
    <s v="FOB"/>
    <s v="110000359"/>
    <s v="WSS03G"/>
    <x v="0"/>
    <s v="Hạt PET"/>
    <x v="5"/>
    <x v="0"/>
    <x v="0"/>
    <s v="POLYRESIN EOOD"/>
    <s v="x"/>
    <n v="0.8"/>
    <n v="22"/>
    <m/>
    <n v="22"/>
    <m/>
    <n v="22"/>
    <m/>
    <n v="22"/>
    <m/>
    <n v="22"/>
    <m/>
    <n v="22"/>
    <m/>
    <n v="132"/>
    <n v="176"/>
    <n v="-44"/>
    <n v="-0.25"/>
    <n v="970"/>
    <n v="970"/>
    <n v="970"/>
    <n v="970"/>
    <n v="970"/>
    <n v="970"/>
    <n v="970"/>
    <n v="970"/>
    <n v="970"/>
    <n v="970"/>
    <n v="970"/>
    <n v="970"/>
    <n v="970"/>
    <m/>
    <n v="970"/>
    <n v="0"/>
    <m/>
    <n v="565510000"/>
    <n v="0"/>
    <n v="565510000"/>
    <n v="0"/>
    <n v="565510000"/>
    <n v="0"/>
    <n v="565510000"/>
    <n v="0"/>
    <n v="565510000"/>
    <n v="0"/>
    <n v="565510000"/>
    <n v="0"/>
    <n v="3393060000"/>
    <n v="2508032355.2969847"/>
    <n v="885027644.70301533"/>
    <n v="0.35287728359398146"/>
    <m/>
    <m/>
    <m/>
    <n v="0"/>
    <n v="0"/>
    <n v="0"/>
    <n v="0"/>
    <n v="0"/>
    <n v="0"/>
    <n v="0"/>
    <n v="0"/>
    <n v="0"/>
    <n v="0"/>
    <n v="0"/>
    <n v="0"/>
    <n v="0"/>
    <n v="0"/>
    <n v="530000"/>
    <n v="530000"/>
    <n v="0"/>
    <n v="11660000"/>
    <n v="0"/>
    <n v="11660000"/>
    <n v="0"/>
    <n v="11660000"/>
    <n v="0"/>
    <n v="11660000"/>
    <n v="0"/>
    <n v="11660000"/>
    <n v="0"/>
    <n v="11660000"/>
    <n v="0"/>
    <n v="69960000"/>
    <n v="577170000"/>
    <n v="0"/>
    <n v="577170000"/>
    <n v="0"/>
    <n v="577170000"/>
    <n v="0"/>
    <n v="577170000"/>
    <n v="0"/>
    <n v="577170000"/>
    <n v="0"/>
    <n v="577170000"/>
    <n v="0"/>
    <n v="3463020000"/>
    <m/>
    <m/>
    <m/>
    <m/>
    <n v="0"/>
    <n v="0"/>
    <n v="0"/>
    <n v="0"/>
    <n v="0"/>
    <n v="0"/>
    <n v="0"/>
    <n v="0"/>
    <n v="0"/>
    <n v="0"/>
    <n v="0"/>
    <n v="0"/>
    <n v="0"/>
  </r>
  <r>
    <n v="73"/>
    <s v="Quỳnh Anh"/>
    <s v="Quốc Anh"/>
    <s v="200369"/>
    <x v="45"/>
    <s v="PTI- Retal"/>
    <s v="Hiện hữu"/>
    <s v="Xuất khẩu"/>
    <s v="Barcelona"/>
    <s v="Tây Ban Nha"/>
    <s v="Châu Âu"/>
    <s v="CIF"/>
    <s v="110000355"/>
    <s v="iSS01G 1"/>
    <x v="0"/>
    <s v="Hạt PET"/>
    <x v="2"/>
    <x v="0"/>
    <x v="0"/>
    <s v="KHÁCH HÀNG HIỆN HỮU CÒN LẠI"/>
    <s v="x"/>
    <n v="0.8"/>
    <m/>
    <n v="44"/>
    <m/>
    <m/>
    <m/>
    <n v="44"/>
    <m/>
    <m/>
    <m/>
    <n v="44"/>
    <m/>
    <m/>
    <n v="132"/>
    <n v="22"/>
    <n v="110"/>
    <n v="5"/>
    <n v="1200"/>
    <n v="1200"/>
    <n v="1200"/>
    <n v="1200"/>
    <n v="1200"/>
    <n v="1200"/>
    <n v="1200"/>
    <n v="1200"/>
    <n v="1200"/>
    <n v="1200"/>
    <n v="1200"/>
    <n v="1200"/>
    <n v="1200"/>
    <m/>
    <n v="1200"/>
    <n v="0"/>
    <s v="Đã bao gồm chi phí hỗ trợ tối đa 10% (giá sau hỗ trợ là 1080)"/>
    <n v="0"/>
    <n v="1399200000"/>
    <n v="0"/>
    <n v="0"/>
    <n v="0"/>
    <n v="1399200000"/>
    <n v="0"/>
    <n v="0"/>
    <n v="0"/>
    <n v="1399200000"/>
    <n v="0"/>
    <n v="0"/>
    <n v="4197600000"/>
    <n v="694845889.96153843"/>
    <n v="3502754110.0384617"/>
    <n v="5.0410517794562306"/>
    <m/>
    <m/>
    <m/>
    <n v="0"/>
    <n v="0"/>
    <n v="0"/>
    <n v="0"/>
    <n v="0"/>
    <n v="0"/>
    <n v="0"/>
    <n v="0"/>
    <n v="0"/>
    <n v="0"/>
    <n v="0"/>
    <n v="0"/>
    <n v="0"/>
    <n v="0"/>
    <n v="5107272.7272727275"/>
    <n v="530000"/>
    <n v="4577272.7272727275"/>
    <n v="0"/>
    <n v="224720000"/>
    <n v="0"/>
    <n v="0"/>
    <n v="0"/>
    <n v="224720000"/>
    <n v="0"/>
    <n v="0"/>
    <n v="0"/>
    <n v="224720000"/>
    <n v="0"/>
    <n v="0"/>
    <n v="674160000"/>
    <n v="0"/>
    <n v="1623920000"/>
    <n v="0"/>
    <n v="0"/>
    <n v="0"/>
    <n v="1623920000"/>
    <n v="0"/>
    <n v="0"/>
    <n v="0"/>
    <n v="1623920000"/>
    <n v="0"/>
    <n v="0"/>
    <n v="4871760000"/>
    <m/>
    <m/>
    <m/>
    <n v="0.1"/>
    <n v="0"/>
    <n v="139920000"/>
    <n v="0"/>
    <n v="0"/>
    <n v="0"/>
    <n v="139920000"/>
    <n v="0"/>
    <n v="0"/>
    <n v="0"/>
    <n v="139920000"/>
    <n v="0"/>
    <n v="0"/>
    <n v="419760000"/>
  </r>
  <r>
    <n v="74"/>
    <s v="Nghĩa"/>
    <s v="Cường"/>
    <s v="200382"/>
    <x v="46"/>
    <s v="MONTACHEM INTERNATIONAL"/>
    <s v="Hiện hữu"/>
    <s v="Xuất khẩu"/>
    <s v="Antwerp"/>
    <s v="Bỉ"/>
    <s v="Châu Âu"/>
    <s v="CIF"/>
    <s v="110000355"/>
    <s v="iSS01G 1"/>
    <x v="0"/>
    <s v="Hạt PET"/>
    <x v="2"/>
    <x v="0"/>
    <x v="0"/>
    <s v="KHÁCH HÀNG HIỆN HỮU CÒN LẠI"/>
    <s v="x"/>
    <n v="0.8"/>
    <m/>
    <n v="22"/>
    <m/>
    <n v="22"/>
    <m/>
    <n v="22"/>
    <m/>
    <n v="22"/>
    <m/>
    <n v="22"/>
    <m/>
    <n v="22"/>
    <n v="132"/>
    <n v="22"/>
    <n v="110"/>
    <n v="5"/>
    <n v="1200"/>
    <n v="1200"/>
    <n v="1200"/>
    <n v="1200"/>
    <n v="1200"/>
    <n v="1200"/>
    <n v="1200"/>
    <n v="1200"/>
    <n v="1200"/>
    <n v="1200"/>
    <n v="1200"/>
    <n v="1200"/>
    <n v="1200"/>
    <m/>
    <n v="1200"/>
    <n v="0"/>
    <s v="Đã bao gồm chi phí hỗ trợ tối đa 10% (giá sau hỗ trợ là 1080)"/>
    <n v="0"/>
    <n v="699600000"/>
    <n v="0"/>
    <n v="699600000"/>
    <n v="0"/>
    <n v="699600000"/>
    <n v="0"/>
    <n v="699600000"/>
    <n v="0"/>
    <n v="699600000"/>
    <n v="0"/>
    <n v="699600000"/>
    <n v="4197600000"/>
    <n v="736332936.45695364"/>
    <n v="3461267063.5430465"/>
    <n v="4.7006821129009673"/>
    <m/>
    <m/>
    <m/>
    <n v="0"/>
    <n v="0"/>
    <n v="0"/>
    <n v="0"/>
    <n v="0"/>
    <n v="0"/>
    <n v="0"/>
    <n v="0"/>
    <n v="0"/>
    <n v="0"/>
    <n v="0"/>
    <n v="0"/>
    <n v="0"/>
    <n v="0"/>
    <n v="2698181.8181818179"/>
    <n v="530000"/>
    <n v="2168181.8181818179"/>
    <n v="0"/>
    <n v="59359999.999999993"/>
    <n v="0"/>
    <n v="59359999.999999993"/>
    <n v="0"/>
    <n v="59359999.999999993"/>
    <n v="0"/>
    <n v="59359999.999999993"/>
    <n v="0"/>
    <n v="59359999.999999993"/>
    <n v="0"/>
    <n v="59359999.999999993"/>
    <n v="356159999.99999994"/>
    <n v="0"/>
    <n v="758960000"/>
    <n v="0"/>
    <n v="758960000"/>
    <n v="0"/>
    <n v="758960000"/>
    <n v="0"/>
    <n v="758960000"/>
    <n v="0"/>
    <n v="758960000"/>
    <n v="0"/>
    <n v="758960000"/>
    <n v="4553760000"/>
    <m/>
    <m/>
    <m/>
    <n v="0.1"/>
    <n v="0"/>
    <n v="69960000"/>
    <n v="0"/>
    <n v="69960000"/>
    <n v="0"/>
    <n v="69960000"/>
    <n v="0"/>
    <n v="69960000"/>
    <n v="0"/>
    <n v="69960000"/>
    <n v="0"/>
    <n v="69960000"/>
    <n v="419760000"/>
  </r>
  <r>
    <n v="75"/>
    <s v="Long"/>
    <s v="Quốc Anh"/>
    <s v="200384"/>
    <x v="47"/>
    <s v="TRICON"/>
    <s v="Mới"/>
    <s v="Xuất khẩu"/>
    <s v="Manzanillo"/>
    <s v="Mexico"/>
    <s v="Châu Mỹ"/>
    <s v="FOB"/>
    <s v="110000354"/>
    <s v="WSS01G 1"/>
    <x v="0"/>
    <s v="Hạt PET"/>
    <x v="0"/>
    <x v="0"/>
    <x v="0"/>
    <s v="KHÁCH HÀNG HIỆN HỮU CÒN LẠI"/>
    <s v="x"/>
    <n v="0.8"/>
    <n v="22"/>
    <m/>
    <n v="22"/>
    <m/>
    <n v="22"/>
    <m/>
    <n v="22"/>
    <m/>
    <n v="22"/>
    <m/>
    <n v="22"/>
    <m/>
    <n v="132"/>
    <n v="22"/>
    <n v="110"/>
    <n v="5"/>
    <n v="1150"/>
    <n v="1150"/>
    <n v="1150"/>
    <n v="1150"/>
    <n v="1150"/>
    <n v="1150"/>
    <n v="1150"/>
    <n v="1150"/>
    <n v="1150"/>
    <n v="1150"/>
    <n v="1150"/>
    <n v="1150"/>
    <n v="1150"/>
    <m/>
    <n v="1150"/>
    <n v="0"/>
    <m/>
    <n v="670450000"/>
    <n v="0"/>
    <n v="670450000"/>
    <n v="0"/>
    <n v="670450000"/>
    <n v="0"/>
    <n v="670450000"/>
    <n v="0"/>
    <n v="670450000"/>
    <n v="0"/>
    <n v="670450000"/>
    <n v="0"/>
    <n v="4022700000"/>
    <n v="700884813.23356235"/>
    <n v="3321815186.7664375"/>
    <n v="4.7394595004007858"/>
    <m/>
    <m/>
    <m/>
    <n v="0"/>
    <n v="0"/>
    <n v="0"/>
    <n v="0"/>
    <n v="0"/>
    <n v="0"/>
    <n v="0"/>
    <n v="0"/>
    <n v="0"/>
    <n v="0"/>
    <n v="0"/>
    <n v="0"/>
    <n v="0"/>
    <n v="0"/>
    <n v="530000"/>
    <n v="530000"/>
    <n v="0"/>
    <n v="11660000"/>
    <n v="0"/>
    <n v="11660000"/>
    <n v="0"/>
    <n v="11660000"/>
    <n v="0"/>
    <n v="11660000"/>
    <n v="0"/>
    <n v="11660000"/>
    <n v="0"/>
    <n v="11660000"/>
    <n v="0"/>
    <n v="69960000"/>
    <n v="682110000"/>
    <n v="0"/>
    <n v="682110000"/>
    <n v="0"/>
    <n v="682110000"/>
    <n v="0"/>
    <n v="682110000"/>
    <n v="0"/>
    <n v="682110000"/>
    <n v="0"/>
    <n v="682110000"/>
    <n v="0"/>
    <n v="4092660000"/>
    <m/>
    <m/>
    <m/>
    <m/>
    <n v="0"/>
    <n v="0"/>
    <n v="0"/>
    <n v="0"/>
    <n v="0"/>
    <n v="0"/>
    <n v="0"/>
    <n v="0"/>
    <n v="0"/>
    <n v="0"/>
    <n v="0"/>
    <n v="0"/>
    <n v="0"/>
  </r>
  <r>
    <n v="76"/>
    <s v="Cường"/>
    <s v="Cường"/>
    <s v="1000"/>
    <x v="48"/>
    <s v="CPSX Nhựa Duy Tân"/>
    <s v="Hiện hữu"/>
    <s v="Nội địa"/>
    <s v="Tây Ninh"/>
    <s v="Việt Nam"/>
    <s v="Châu Á"/>
    <s v="DDP"/>
    <s v="110000354"/>
    <s v="WSS01G 1"/>
    <x v="0"/>
    <s v="Hạt PET"/>
    <x v="0"/>
    <x v="0"/>
    <x v="0"/>
    <s v="DTP"/>
    <s v="x"/>
    <n v="0.8"/>
    <n v="11"/>
    <n v="11"/>
    <n v="11"/>
    <n v="11"/>
    <n v="11"/>
    <n v="11"/>
    <n v="11"/>
    <n v="11"/>
    <n v="11"/>
    <n v="11"/>
    <n v="11"/>
    <n v="11"/>
    <n v="132"/>
    <n v="111.1"/>
    <n v="20.900000000000006"/>
    <n v="0.18811881188118817"/>
    <n v="1150"/>
    <n v="1150"/>
    <n v="1150"/>
    <n v="1150"/>
    <n v="1150"/>
    <n v="1150"/>
    <n v="1150"/>
    <n v="1150"/>
    <n v="1150"/>
    <n v="1150"/>
    <n v="1150"/>
    <n v="1150"/>
    <n v="1150"/>
    <m/>
    <n v="1150"/>
    <n v="0"/>
    <m/>
    <n v="335225000"/>
    <n v="335225000"/>
    <n v="335225000"/>
    <n v="335225000"/>
    <n v="335225000"/>
    <n v="335225000"/>
    <n v="335225000"/>
    <n v="335225000"/>
    <n v="335225000"/>
    <n v="335225000"/>
    <n v="335225000"/>
    <n v="335225000"/>
    <n v="4022700000"/>
    <n v="3213289339.4352484"/>
    <n v="809410660.56475163"/>
    <n v="0.25189473311077848"/>
    <m/>
    <m/>
    <m/>
    <n v="0"/>
    <n v="0"/>
    <n v="0"/>
    <n v="0"/>
    <n v="0"/>
    <n v="0"/>
    <n v="0"/>
    <n v="0"/>
    <n v="0"/>
    <n v="0"/>
    <n v="0"/>
    <n v="0"/>
    <n v="0"/>
    <n v="0"/>
    <n v="0"/>
    <n v="0"/>
    <n v="0"/>
    <n v="0"/>
    <n v="0"/>
    <n v="0"/>
    <n v="0"/>
    <n v="0"/>
    <n v="0"/>
    <n v="0"/>
    <n v="0"/>
    <n v="0"/>
    <n v="0"/>
    <n v="0"/>
    <n v="0"/>
    <n v="0"/>
    <n v="335225000"/>
    <n v="335225000"/>
    <n v="335225000"/>
    <n v="335225000"/>
    <n v="335225000"/>
    <n v="335225000"/>
    <n v="335225000"/>
    <n v="335225000"/>
    <n v="335225000"/>
    <n v="335225000"/>
    <n v="335225000"/>
    <n v="335225000"/>
    <n v="4022700000"/>
    <m/>
    <m/>
    <m/>
    <m/>
    <n v="0"/>
    <n v="0"/>
    <n v="0"/>
    <n v="0"/>
    <n v="0"/>
    <n v="0"/>
    <n v="0"/>
    <n v="0"/>
    <n v="0"/>
    <n v="0"/>
    <n v="0"/>
    <n v="0"/>
    <n v="0"/>
  </r>
  <r>
    <n v="77"/>
    <s v="Cường"/>
    <s v="Cường"/>
    <s v="1000"/>
    <x v="48"/>
    <s v="CPSX Nhựa Duy Tân"/>
    <s v="Hiện hữu"/>
    <s v="Nội địa"/>
    <s v="Tây Ninh"/>
    <s v="Việt Nam"/>
    <s v="Châu Á"/>
    <s v="DDP"/>
    <s v="110000360"/>
    <s v="rHDI4L01"/>
    <x v="3"/>
    <s v="Hạt HD ép"/>
    <x v="1"/>
    <x v="0"/>
    <x v="0"/>
    <s v="DTP"/>
    <s v="x"/>
    <n v="0.8"/>
    <m/>
    <m/>
    <m/>
    <m/>
    <m/>
    <m/>
    <m/>
    <m/>
    <m/>
    <m/>
    <m/>
    <m/>
    <n v="0"/>
    <n v="165"/>
    <n v="-165"/>
    <n v="-1"/>
    <n v="695"/>
    <n v="695"/>
    <n v="695"/>
    <n v="695"/>
    <n v="695"/>
    <n v="695"/>
    <n v="695"/>
    <n v="695"/>
    <n v="695"/>
    <n v="695"/>
    <n v="695"/>
    <n v="695"/>
    <n v="695"/>
    <m/>
    <n v="695"/>
    <n v="0"/>
    <m/>
    <n v="0"/>
    <n v="0"/>
    <n v="0"/>
    <n v="0"/>
    <n v="0"/>
    <n v="0"/>
    <n v="0"/>
    <n v="0"/>
    <n v="0"/>
    <n v="0"/>
    <n v="0"/>
    <n v="0"/>
    <n v="0"/>
    <n v="2325132615.7260113"/>
    <n v="-2325132615.7260113"/>
    <n v="-1"/>
    <m/>
    <m/>
    <m/>
    <n v="0"/>
    <n v="0"/>
    <n v="0"/>
    <n v="0"/>
    <n v="0"/>
    <n v="0"/>
    <n v="0"/>
    <n v="0"/>
    <n v="0"/>
    <n v="0"/>
    <n v="0"/>
    <n v="0"/>
    <n v="0"/>
    <n v="0"/>
    <n v="0"/>
    <n v="0"/>
    <n v="0"/>
    <n v="0"/>
    <n v="0"/>
    <n v="0"/>
    <n v="0"/>
    <n v="0"/>
    <n v="0"/>
    <n v="0"/>
    <n v="0"/>
    <n v="0"/>
    <n v="0"/>
    <n v="0"/>
    <n v="0"/>
    <n v="0"/>
    <n v="0"/>
    <n v="0"/>
    <n v="0"/>
    <n v="0"/>
    <n v="0"/>
    <n v="0"/>
    <n v="0"/>
    <n v="0"/>
    <n v="0"/>
    <n v="0"/>
    <n v="0"/>
    <n v="0"/>
    <n v="0"/>
    <m/>
    <m/>
    <m/>
    <m/>
    <n v="0"/>
    <n v="0"/>
    <n v="0"/>
    <n v="0"/>
    <n v="0"/>
    <n v="0"/>
    <n v="0"/>
    <n v="0"/>
    <n v="0"/>
    <n v="0"/>
    <n v="0"/>
    <n v="0"/>
    <n v="0"/>
  </r>
  <r>
    <n v="78"/>
    <s v="Quỳnh Anh"/>
    <s v="Quốc Anh"/>
    <s v="105333"/>
    <x v="30"/>
    <s v="LƯỚI BẢO NÔNG"/>
    <s v="Hiện hữu"/>
    <s v="Nội địa"/>
    <s v="Tây Ninh"/>
    <s v="Việt Nam"/>
    <s v="Châu Á"/>
    <s v="EXW"/>
    <s v="110000410"/>
    <s v="Vảy HD Ép Lá"/>
    <x v="3"/>
    <s v="Vảy HD ép"/>
    <x v="1"/>
    <x v="0"/>
    <x v="0"/>
    <s v="LƯỚI BẢO NÔNG"/>
    <s v="x"/>
    <n v="0.8"/>
    <m/>
    <m/>
    <m/>
    <m/>
    <m/>
    <m/>
    <m/>
    <m/>
    <m/>
    <m/>
    <m/>
    <m/>
    <n v="0"/>
    <n v="88.5"/>
    <n v="-88.5"/>
    <n v="-1"/>
    <n v="560"/>
    <n v="560"/>
    <n v="560"/>
    <n v="560"/>
    <n v="560"/>
    <n v="560"/>
    <n v="560"/>
    <n v="560"/>
    <n v="560"/>
    <n v="560"/>
    <n v="560"/>
    <n v="560"/>
    <n v="560"/>
    <m/>
    <n v="560"/>
    <n v="0"/>
    <m/>
    <n v="0"/>
    <n v="0"/>
    <n v="0"/>
    <n v="0"/>
    <n v="0"/>
    <n v="0"/>
    <n v="0"/>
    <n v="0"/>
    <n v="0"/>
    <n v="0"/>
    <n v="0"/>
    <n v="0"/>
    <n v="0"/>
    <n v="1345092878.8731503"/>
    <n v="-1345092878.8731503"/>
    <n v="-1"/>
    <m/>
    <m/>
    <m/>
    <n v="0"/>
    <n v="0"/>
    <n v="0"/>
    <n v="0"/>
    <n v="0"/>
    <n v="0"/>
    <n v="0"/>
    <n v="0"/>
    <n v="0"/>
    <n v="0"/>
    <n v="0"/>
    <n v="0"/>
    <n v="0"/>
    <n v="0"/>
    <n v="0"/>
    <n v="0"/>
    <n v="0"/>
    <n v="0"/>
    <n v="0"/>
    <n v="0"/>
    <n v="0"/>
    <n v="0"/>
    <n v="0"/>
    <n v="0"/>
    <n v="0"/>
    <n v="0"/>
    <n v="0"/>
    <n v="0"/>
    <n v="0"/>
    <n v="0"/>
    <n v="0"/>
    <n v="0"/>
    <n v="0"/>
    <n v="0"/>
    <n v="0"/>
    <n v="0"/>
    <n v="0"/>
    <n v="0"/>
    <n v="0"/>
    <n v="0"/>
    <n v="0"/>
    <n v="0"/>
    <n v="0"/>
    <m/>
    <m/>
    <m/>
    <m/>
    <n v="0"/>
    <n v="0"/>
    <n v="0"/>
    <n v="0"/>
    <n v="0"/>
    <n v="0"/>
    <n v="0"/>
    <n v="0"/>
    <n v="0"/>
    <n v="0"/>
    <n v="0"/>
    <n v="0"/>
    <n v="0"/>
  </r>
  <r>
    <n v="79"/>
    <s v="Quỳnh Anh"/>
    <s v="Quốc Anh"/>
    <s v="200387"/>
    <x v="49"/>
    <s v="ANTEX"/>
    <s v="Hiện hữu"/>
    <s v="Xuất khẩu"/>
    <s v="Bibao"/>
    <s v="Tây Ban Nha"/>
    <s v="Châu Âu"/>
    <s v="CIF"/>
    <s v="110000436"/>
    <s v="WSS05SB"/>
    <x v="1"/>
    <s v="Hạt Xơ sợi"/>
    <x v="4"/>
    <x v="0"/>
    <x v="0"/>
    <s v="ANTEX"/>
    <s v="x"/>
    <n v="0.8"/>
    <m/>
    <m/>
    <m/>
    <m/>
    <m/>
    <m/>
    <m/>
    <m/>
    <m/>
    <m/>
    <m/>
    <m/>
    <n v="0"/>
    <n v="84"/>
    <n v="-84"/>
    <n v="-1"/>
    <n v="640"/>
    <n v="632"/>
    <n v="624"/>
    <n v="616"/>
    <n v="608"/>
    <n v="600"/>
    <n v="592"/>
    <n v="584"/>
    <n v="576"/>
    <n v="568"/>
    <n v="560"/>
    <n v="552"/>
    <n v="596"/>
    <m/>
    <n v="596"/>
    <n v="0"/>
    <m/>
    <n v="0"/>
    <n v="0"/>
    <n v="0"/>
    <n v="0"/>
    <n v="0"/>
    <n v="0"/>
    <n v="0"/>
    <n v="0"/>
    <n v="0"/>
    <n v="0"/>
    <n v="0"/>
    <n v="0"/>
    <n v="0"/>
    <n v="366925433.04722744"/>
    <n v="-366925433.04722744"/>
    <n v="-1"/>
    <m/>
    <m/>
    <m/>
    <n v="0"/>
    <n v="0"/>
    <n v="0"/>
    <n v="0"/>
    <n v="0"/>
    <n v="0"/>
    <n v="0"/>
    <n v="0"/>
    <n v="0"/>
    <n v="0"/>
    <n v="0"/>
    <n v="0"/>
    <n v="0"/>
    <n v="0"/>
    <n v="3420909.0909090908"/>
    <n v="530000"/>
    <n v="2890909.0909090908"/>
    <n v="0"/>
    <n v="0"/>
    <n v="0"/>
    <n v="0"/>
    <n v="0"/>
    <n v="0"/>
    <n v="0"/>
    <n v="0"/>
    <n v="0"/>
    <n v="0"/>
    <n v="0"/>
    <n v="0"/>
    <n v="0"/>
    <n v="0"/>
    <n v="0"/>
    <n v="0"/>
    <n v="0"/>
    <n v="0"/>
    <n v="0"/>
    <n v="0"/>
    <n v="0"/>
    <n v="0"/>
    <n v="0"/>
    <n v="0"/>
    <n v="0"/>
    <n v="0"/>
    <m/>
    <m/>
    <m/>
    <m/>
    <n v="0"/>
    <n v="0"/>
    <n v="0"/>
    <n v="0"/>
    <n v="0"/>
    <n v="0"/>
    <n v="0"/>
    <n v="0"/>
    <n v="0"/>
    <n v="0"/>
    <n v="0"/>
    <n v="0"/>
    <n v="0"/>
  </r>
  <r>
    <n v="80"/>
    <s v="Quỳnh Anh"/>
    <s v="Quốc Anh"/>
    <s v="105286"/>
    <x v="50"/>
    <s v="MONDELEZ-VIỆT THÀNH"/>
    <s v="Hiện hữu"/>
    <s v="Nội địa"/>
    <s v="Tây Ninh"/>
    <s v="Việt Nam"/>
    <s v="Châu Á"/>
    <s v="EXW"/>
    <s v="110000355"/>
    <s v="iSS01G 1"/>
    <x v="0"/>
    <s v="Hạt PET"/>
    <x v="2"/>
    <x v="0"/>
    <x v="0"/>
    <s v="KHÁCH HÀNG HIỆN HỮU CÒN LẠI"/>
    <s v="x"/>
    <n v="0.8"/>
    <n v="5.5"/>
    <m/>
    <m/>
    <n v="5.5"/>
    <n v="22"/>
    <n v="22"/>
    <n v="22"/>
    <m/>
    <m/>
    <n v="22"/>
    <n v="11"/>
    <n v="11"/>
    <n v="121"/>
    <n v="169.39999999999998"/>
    <n v="-48.399999999999977"/>
    <n v="-0.28571428571428564"/>
    <n v="1200"/>
    <n v="1200"/>
    <n v="1200"/>
    <n v="1200"/>
    <n v="1200"/>
    <n v="1200"/>
    <n v="1200"/>
    <n v="1200"/>
    <n v="1200"/>
    <n v="1200"/>
    <n v="1200"/>
    <n v="1200"/>
    <n v="1200"/>
    <m/>
    <n v="1200"/>
    <n v="0"/>
    <m/>
    <n v="174900000"/>
    <n v="0"/>
    <n v="0"/>
    <n v="174900000"/>
    <n v="699600000"/>
    <n v="699600000"/>
    <n v="699600000"/>
    <n v="0"/>
    <n v="0"/>
    <n v="699600000"/>
    <n v="349800000"/>
    <n v="349800000"/>
    <n v="3847800000"/>
    <n v="4215578089.2602882"/>
    <n v="-367778089.26028824"/>
    <n v="-8.7242622832026023E-2"/>
    <m/>
    <m/>
    <m/>
    <n v="0"/>
    <n v="0"/>
    <n v="0"/>
    <n v="0"/>
    <n v="0"/>
    <n v="0"/>
    <n v="0"/>
    <n v="0"/>
    <n v="0"/>
    <n v="0"/>
    <n v="0"/>
    <n v="0"/>
    <n v="0"/>
    <n v="0"/>
    <n v="0"/>
    <n v="0"/>
    <n v="0"/>
    <n v="0"/>
    <n v="0"/>
    <n v="0"/>
    <n v="0"/>
    <n v="0"/>
    <n v="0"/>
    <n v="0"/>
    <n v="0"/>
    <n v="0"/>
    <n v="0"/>
    <n v="0"/>
    <n v="0"/>
    <n v="0"/>
    <n v="174900000"/>
    <n v="0"/>
    <n v="0"/>
    <n v="174900000"/>
    <n v="699600000"/>
    <n v="699600000"/>
    <n v="699600000"/>
    <n v="0"/>
    <n v="0"/>
    <n v="699600000"/>
    <n v="349800000"/>
    <n v="349800000"/>
    <n v="3847800000"/>
    <m/>
    <m/>
    <m/>
    <m/>
    <n v="0"/>
    <n v="0"/>
    <n v="0"/>
    <n v="0"/>
    <n v="0"/>
    <n v="0"/>
    <n v="0"/>
    <n v="0"/>
    <n v="0"/>
    <n v="0"/>
    <n v="0"/>
    <n v="0"/>
    <n v="0"/>
  </r>
  <r>
    <n v="81"/>
    <s v="Nghĩa"/>
    <s v="Cường"/>
    <s v="102865"/>
    <x v="2"/>
    <s v="Dynaplast Bình Dương"/>
    <s v="Hiện hữu"/>
    <s v="Nội địa"/>
    <s v="Bình Dương"/>
    <s v="Việt Nam"/>
    <s v="Châu Á"/>
    <s v="DDP"/>
    <s v="110000481"/>
    <s v="rHDPE PCF01"/>
    <x v="2"/>
    <s v="Hạt HD thổi"/>
    <x v="1"/>
    <x v="2"/>
    <x v="0"/>
    <s v="Unilever"/>
    <s v="x"/>
    <n v="0.8"/>
    <n v="10"/>
    <n v="10"/>
    <n v="10"/>
    <n v="10"/>
    <n v="10"/>
    <n v="10"/>
    <n v="10"/>
    <n v="10"/>
    <n v="10"/>
    <n v="10"/>
    <n v="10"/>
    <n v="10"/>
    <n v="120"/>
    <n v="0"/>
    <n v="120"/>
    <n v="0"/>
    <n v="1300"/>
    <n v="1300"/>
    <n v="1300"/>
    <n v="1300"/>
    <n v="1300"/>
    <n v="1300"/>
    <n v="1300"/>
    <n v="1300"/>
    <n v="1300"/>
    <n v="1300"/>
    <n v="1300"/>
    <n v="1300"/>
    <n v="1286"/>
    <m/>
    <n v="1286"/>
    <n v="0"/>
    <m/>
    <n v="344500000"/>
    <n v="344500000"/>
    <n v="344500000"/>
    <n v="344500000"/>
    <n v="344500000"/>
    <n v="344500000"/>
    <n v="344500000"/>
    <n v="344500000"/>
    <n v="344500000"/>
    <n v="344500000"/>
    <n v="344500000"/>
    <n v="344500000"/>
    <n v="4134000000"/>
    <n v="0"/>
    <n v="4134000000"/>
    <n v="0"/>
    <m/>
    <m/>
    <m/>
    <n v="0"/>
    <n v="0"/>
    <n v="0"/>
    <n v="0"/>
    <n v="0"/>
    <n v="0"/>
    <n v="0"/>
    <n v="0"/>
    <n v="0"/>
    <n v="0"/>
    <n v="0"/>
    <n v="0"/>
    <n v="0"/>
    <n v="0"/>
    <n v="0"/>
    <n v="0"/>
    <n v="0"/>
    <n v="0"/>
    <n v="0"/>
    <n v="0"/>
    <n v="0"/>
    <n v="0"/>
    <n v="0"/>
    <n v="0"/>
    <n v="0"/>
    <n v="0"/>
    <n v="0"/>
    <n v="0"/>
    <n v="0"/>
    <n v="0"/>
    <n v="344500000"/>
    <n v="344500000"/>
    <n v="344500000"/>
    <n v="344500000"/>
    <n v="344500000"/>
    <n v="344500000"/>
    <n v="344500000"/>
    <n v="344500000"/>
    <n v="344500000"/>
    <n v="344500000"/>
    <n v="344500000"/>
    <n v="344500000"/>
    <n v="4134000000"/>
    <m/>
    <m/>
    <m/>
    <m/>
    <n v="0"/>
    <n v="0"/>
    <n v="0"/>
    <n v="0"/>
    <n v="0"/>
    <n v="0"/>
    <n v="0"/>
    <n v="0"/>
    <n v="0"/>
    <n v="0"/>
    <n v="0"/>
    <n v="0"/>
    <n v="0"/>
  </r>
  <r>
    <n v="82"/>
    <s v="Long"/>
    <s v="Quốc Anh"/>
    <s v="105267"/>
    <x v="51"/>
    <s v="Hồng Kim Long An"/>
    <s v="Hiện hữu"/>
    <s v="Nội địa"/>
    <s v="Tây Ninh"/>
    <s v="Việt Nam"/>
    <s v="Châu Á"/>
    <s v="DDP"/>
    <s v="110000508"/>
    <s v="rPP20W02"/>
    <x v="4"/>
    <s v="Hạt PP"/>
    <x v="1"/>
    <x v="0"/>
    <x v="0"/>
    <s v="Hồng Kim Long An"/>
    <s v="x"/>
    <n v="0.8"/>
    <n v="10"/>
    <n v="10"/>
    <n v="10"/>
    <n v="10"/>
    <n v="10"/>
    <n v="10"/>
    <n v="10"/>
    <n v="10"/>
    <n v="10"/>
    <n v="10"/>
    <n v="10"/>
    <n v="10"/>
    <n v="120"/>
    <n v="5"/>
    <n v="115"/>
    <n v="23"/>
    <n v="700"/>
    <n v="700"/>
    <n v="700"/>
    <n v="700"/>
    <n v="700"/>
    <n v="700"/>
    <n v="700"/>
    <n v="700"/>
    <n v="700"/>
    <n v="700"/>
    <n v="700"/>
    <n v="700"/>
    <n v="700"/>
    <m/>
    <n v="700"/>
    <n v="0"/>
    <m/>
    <n v="185500000"/>
    <n v="185500000"/>
    <n v="185500000"/>
    <n v="185500000"/>
    <n v="185500000"/>
    <n v="185500000"/>
    <n v="185500000"/>
    <n v="185500000"/>
    <n v="185500000"/>
    <n v="185500000"/>
    <n v="185500000"/>
    <n v="185500000"/>
    <n v="2226000000"/>
    <n v="100000000"/>
    <n v="2126000000"/>
    <n v="21.26"/>
    <m/>
    <m/>
    <m/>
    <n v="0"/>
    <n v="0"/>
    <n v="0"/>
    <n v="0"/>
    <n v="0"/>
    <n v="0"/>
    <n v="0"/>
    <n v="0"/>
    <n v="0"/>
    <n v="0"/>
    <n v="0"/>
    <n v="0"/>
    <n v="0"/>
    <n v="0"/>
    <n v="0"/>
    <n v="0"/>
    <n v="0"/>
    <n v="0"/>
    <n v="0"/>
    <n v="0"/>
    <n v="0"/>
    <n v="0"/>
    <n v="0"/>
    <n v="0"/>
    <n v="0"/>
    <n v="0"/>
    <n v="0"/>
    <n v="0"/>
    <n v="0"/>
    <n v="0"/>
    <n v="185500000"/>
    <n v="185500000"/>
    <n v="185500000"/>
    <n v="185500000"/>
    <n v="185500000"/>
    <n v="185500000"/>
    <n v="185500000"/>
    <n v="185500000"/>
    <n v="185500000"/>
    <n v="185500000"/>
    <n v="185500000"/>
    <n v="185500000"/>
    <n v="2226000000"/>
    <m/>
    <m/>
    <m/>
    <m/>
    <n v="0"/>
    <n v="0"/>
    <n v="0"/>
    <n v="0"/>
    <n v="0"/>
    <n v="0"/>
    <n v="0"/>
    <n v="0"/>
    <n v="0"/>
    <n v="0"/>
    <n v="0"/>
    <n v="0"/>
    <n v="0"/>
  </r>
  <r>
    <n v="83"/>
    <s v="Nghĩa"/>
    <s v="Cường"/>
    <s v="200355"/>
    <x v="52"/>
    <s v="International Gate SA"/>
    <s v="Hiện hữu"/>
    <s v="Xuất khẩu"/>
    <s v="Gdansk"/>
    <s v="Ba Lan"/>
    <s v="Châu Âu"/>
    <s v="CIF"/>
    <s v="110000355"/>
    <s v="iSS01G 1"/>
    <x v="0"/>
    <s v="Hạt PET"/>
    <x v="2"/>
    <x v="0"/>
    <x v="0"/>
    <s v="KHÁCH HÀNG HIỆN HỮU CÒN LẠI"/>
    <s v="x"/>
    <n v="0.8"/>
    <m/>
    <n v="22"/>
    <m/>
    <n v="22"/>
    <m/>
    <m/>
    <n v="22"/>
    <m/>
    <n v="22"/>
    <m/>
    <n v="22"/>
    <m/>
    <n v="110"/>
    <n v="176"/>
    <n v="-66"/>
    <n v="-0.375"/>
    <n v="1200"/>
    <n v="1200"/>
    <n v="1200"/>
    <n v="1200"/>
    <n v="1200"/>
    <n v="1200"/>
    <n v="1200"/>
    <n v="1200"/>
    <n v="1200"/>
    <n v="1200"/>
    <n v="1200"/>
    <n v="1200"/>
    <n v="1200"/>
    <m/>
    <n v="1200"/>
    <n v="0"/>
    <s v="Đã bao gồm chi phí hỗ trợ tối đa 10% (giá sau hỗ trợ là 1080)"/>
    <n v="0"/>
    <n v="699600000"/>
    <n v="0"/>
    <n v="699600000"/>
    <n v="0"/>
    <n v="0"/>
    <n v="699600000"/>
    <n v="0"/>
    <n v="699600000"/>
    <n v="0"/>
    <n v="699600000"/>
    <n v="0"/>
    <n v="3498000000"/>
    <n v="5662826742.673007"/>
    <n v="-2164826742.673007"/>
    <n v="-0.38228729944351969"/>
    <m/>
    <m/>
    <m/>
    <n v="0"/>
    <n v="0"/>
    <n v="0"/>
    <n v="0"/>
    <n v="0"/>
    <n v="0"/>
    <n v="0"/>
    <n v="0"/>
    <n v="0"/>
    <n v="0"/>
    <n v="0"/>
    <n v="0"/>
    <n v="0"/>
    <n v="0"/>
    <n v="2698181.8181818179"/>
    <n v="530000"/>
    <n v="2168181.8181818179"/>
    <n v="0"/>
    <n v="59359999.999999993"/>
    <n v="0"/>
    <n v="59359999.999999993"/>
    <n v="0"/>
    <n v="0"/>
    <n v="59359999.999999993"/>
    <n v="0"/>
    <n v="59359999.999999993"/>
    <n v="0"/>
    <n v="59359999.999999993"/>
    <n v="0"/>
    <n v="296799999.99999994"/>
    <n v="0"/>
    <n v="758960000"/>
    <n v="0"/>
    <n v="758960000"/>
    <n v="0"/>
    <n v="0"/>
    <n v="758960000"/>
    <n v="0"/>
    <n v="758960000"/>
    <n v="0"/>
    <n v="758960000"/>
    <n v="0"/>
    <n v="3794800000"/>
    <m/>
    <m/>
    <m/>
    <n v="0.1"/>
    <n v="0"/>
    <n v="69960000"/>
    <n v="0"/>
    <n v="69960000"/>
    <n v="0"/>
    <n v="0"/>
    <n v="69960000"/>
    <n v="0"/>
    <n v="69960000"/>
    <n v="0"/>
    <n v="69960000"/>
    <n v="0"/>
    <n v="349800000"/>
  </r>
  <r>
    <n v="84"/>
    <s v="Nghĩa"/>
    <s v="Cường"/>
    <s v="200357"/>
    <x v="31"/>
    <s v="Genesis Polymers International"/>
    <s v="Hiện hữu"/>
    <s v="Xuất khẩu"/>
    <s v="Manzanillo"/>
    <s v="Mexico"/>
    <s v="Châu Mỹ"/>
    <s v="CFR"/>
    <s v="110000355"/>
    <s v="iSS01G 1"/>
    <x v="0"/>
    <s v="Hạt PET"/>
    <x v="2"/>
    <x v="0"/>
    <x v="0"/>
    <s v="KHÁCH HÀNG HIỆN HỮU CÒN LẠI"/>
    <s v="x"/>
    <n v="0.8"/>
    <m/>
    <m/>
    <n v="22"/>
    <m/>
    <m/>
    <n v="22"/>
    <m/>
    <m/>
    <n v="22"/>
    <m/>
    <m/>
    <n v="22"/>
    <n v="88"/>
    <n v="154"/>
    <n v="-66"/>
    <n v="-0.42857142857142855"/>
    <n v="1200"/>
    <n v="1200"/>
    <n v="1200"/>
    <n v="1200"/>
    <n v="1200"/>
    <n v="1200"/>
    <n v="1200"/>
    <n v="1200"/>
    <n v="1200"/>
    <n v="1200"/>
    <n v="1200"/>
    <n v="1200"/>
    <n v="1200"/>
    <m/>
    <n v="1200"/>
    <n v="0"/>
    <m/>
    <n v="0"/>
    <n v="0"/>
    <n v="699600000"/>
    <n v="0"/>
    <n v="0"/>
    <n v="699600000"/>
    <n v="0"/>
    <n v="0"/>
    <n v="699600000"/>
    <n v="0"/>
    <n v="0"/>
    <n v="699600000"/>
    <n v="2798400000"/>
    <n v="2158996667.898994"/>
    <n v="639403332.10100603"/>
    <n v="0.29615762803526463"/>
    <m/>
    <m/>
    <m/>
    <n v="0"/>
    <n v="0"/>
    <n v="0"/>
    <n v="0"/>
    <n v="0"/>
    <n v="0"/>
    <n v="0"/>
    <n v="0"/>
    <n v="0"/>
    <n v="0"/>
    <n v="0"/>
    <n v="0"/>
    <n v="0"/>
    <n v="0"/>
    <n v="3420909.0909090908"/>
    <n v="530000"/>
    <n v="2890909.0909090908"/>
    <n v="0"/>
    <n v="0"/>
    <n v="75260000"/>
    <n v="0"/>
    <n v="0"/>
    <n v="75260000"/>
    <n v="0"/>
    <n v="0"/>
    <n v="75260000"/>
    <n v="0"/>
    <n v="0"/>
    <n v="75260000"/>
    <n v="301040000"/>
    <n v="0"/>
    <n v="0"/>
    <n v="774860000"/>
    <n v="0"/>
    <n v="0"/>
    <n v="774860000"/>
    <n v="0"/>
    <n v="0"/>
    <n v="774860000"/>
    <n v="0"/>
    <n v="0"/>
    <n v="774860000"/>
    <n v="3099440000"/>
    <m/>
    <m/>
    <m/>
    <m/>
    <n v="0"/>
    <n v="0"/>
    <n v="0"/>
    <n v="0"/>
    <n v="0"/>
    <n v="0"/>
    <n v="0"/>
    <n v="0"/>
    <n v="0"/>
    <n v="0"/>
    <n v="0"/>
    <n v="0"/>
    <n v="0"/>
  </r>
  <r>
    <n v="85"/>
    <s v="Quỳnh Anh"/>
    <s v="Quốc Anh"/>
    <s v="200390"/>
    <x v="43"/>
    <s v="AGRIFREDA"/>
    <s v="Hiện hữu"/>
    <s v="Xuất khẩu"/>
    <s v="Thessaloniki"/>
    <s v="Hy lạp"/>
    <s v="Châu Âu"/>
    <s v="FOB"/>
    <s v="110000359"/>
    <s v="WSS03G"/>
    <x v="0"/>
    <s v="Hạt PET"/>
    <x v="5"/>
    <x v="0"/>
    <x v="0"/>
    <s v="KHÁCH HÀNG HIỆN HỮU CÒN LẠI"/>
    <s v="x"/>
    <n v="0.8"/>
    <m/>
    <n v="22"/>
    <m/>
    <m/>
    <m/>
    <n v="22"/>
    <m/>
    <m/>
    <m/>
    <n v="22"/>
    <m/>
    <n v="22"/>
    <n v="88"/>
    <n v="110"/>
    <n v="-22"/>
    <n v="-0.2"/>
    <n v="970"/>
    <n v="970"/>
    <n v="970"/>
    <n v="970"/>
    <n v="970"/>
    <n v="970"/>
    <n v="970"/>
    <n v="970"/>
    <n v="970"/>
    <n v="970"/>
    <n v="970"/>
    <n v="970"/>
    <n v="970"/>
    <m/>
    <n v="970"/>
    <n v="0"/>
    <m/>
    <n v="0"/>
    <n v="565510000"/>
    <n v="0"/>
    <n v="0"/>
    <n v="0"/>
    <n v="565510000"/>
    <n v="0"/>
    <n v="0"/>
    <n v="0"/>
    <n v="565510000"/>
    <n v="0"/>
    <n v="565510000"/>
    <n v="2262040000"/>
    <n v="1856170665.9078536"/>
    <n v="405869334.0921464"/>
    <n v="0.21865949157947479"/>
    <m/>
    <m/>
    <m/>
    <n v="0"/>
    <n v="0"/>
    <n v="0"/>
    <n v="0"/>
    <n v="0"/>
    <n v="0"/>
    <n v="0"/>
    <n v="0"/>
    <n v="0"/>
    <n v="0"/>
    <n v="0"/>
    <n v="0"/>
    <n v="0"/>
    <n v="0"/>
    <n v="530000"/>
    <n v="530000"/>
    <n v="0"/>
    <n v="0"/>
    <n v="11660000"/>
    <n v="0"/>
    <n v="0"/>
    <n v="0"/>
    <n v="11660000"/>
    <n v="0"/>
    <n v="0"/>
    <n v="0"/>
    <n v="11660000"/>
    <n v="0"/>
    <n v="11660000"/>
    <n v="46640000"/>
    <n v="0"/>
    <n v="577170000"/>
    <n v="0"/>
    <n v="0"/>
    <n v="0"/>
    <n v="577170000"/>
    <n v="0"/>
    <n v="0"/>
    <n v="0"/>
    <n v="577170000"/>
    <n v="0"/>
    <n v="577170000"/>
    <n v="2308680000"/>
    <m/>
    <m/>
    <m/>
    <m/>
    <n v="0"/>
    <n v="0"/>
    <n v="0"/>
    <n v="0"/>
    <n v="0"/>
    <n v="0"/>
    <n v="0"/>
    <n v="0"/>
    <n v="0"/>
    <n v="0"/>
    <n v="0"/>
    <n v="0"/>
    <n v="0"/>
  </r>
  <r>
    <n v="86"/>
    <s v="Quỳnh Anh"/>
    <s v="Quốc Anh"/>
    <s v="105351"/>
    <x v="53"/>
    <s v="ĐÔ THÀNH"/>
    <s v="Hiện hữu"/>
    <s v="Nội địa"/>
    <s v="Hồ Chí Minh"/>
    <s v="Việt Nam"/>
    <s v="Châu Á"/>
    <s v="DDP"/>
    <s v="110000354"/>
    <s v="WSS01G 1"/>
    <x v="0"/>
    <s v="Hạt PET"/>
    <x v="0"/>
    <x v="0"/>
    <x v="0"/>
    <s v="ĐÔ THÀNH"/>
    <s v="x"/>
    <n v="0.8"/>
    <m/>
    <m/>
    <m/>
    <m/>
    <m/>
    <n v="11"/>
    <n v="11"/>
    <n v="11"/>
    <n v="11"/>
    <n v="11"/>
    <n v="11"/>
    <n v="11"/>
    <n v="77"/>
    <n v="3.3"/>
    <n v="73.7"/>
    <n v="22.333333333333336"/>
    <n v="1150"/>
    <n v="1150"/>
    <n v="1150"/>
    <n v="1150"/>
    <n v="1150"/>
    <n v="1150"/>
    <n v="1150"/>
    <n v="1150"/>
    <n v="1150"/>
    <n v="1150"/>
    <n v="1150"/>
    <n v="1150"/>
    <n v="1150"/>
    <m/>
    <n v="1150"/>
    <n v="0"/>
    <m/>
    <n v="0"/>
    <n v="0"/>
    <n v="0"/>
    <n v="0"/>
    <n v="0"/>
    <n v="335225000"/>
    <n v="335225000"/>
    <n v="335225000"/>
    <n v="335225000"/>
    <n v="335225000"/>
    <n v="335225000"/>
    <n v="335225000"/>
    <n v="2346575000"/>
    <n v="110716727.34879406"/>
    <n v="2235858272.651206"/>
    <n v="20.194403557535782"/>
    <m/>
    <m/>
    <m/>
    <n v="0"/>
    <n v="0"/>
    <n v="0"/>
    <n v="0"/>
    <n v="0"/>
    <n v="0"/>
    <n v="0"/>
    <n v="0"/>
    <n v="0"/>
    <n v="0"/>
    <n v="0"/>
    <n v="0"/>
    <n v="0"/>
    <n v="0"/>
    <n v="0"/>
    <n v="0"/>
    <n v="0"/>
    <n v="0"/>
    <n v="0"/>
    <n v="0"/>
    <n v="0"/>
    <n v="0"/>
    <n v="0"/>
    <n v="0"/>
    <n v="0"/>
    <n v="0"/>
    <n v="0"/>
    <n v="0"/>
    <n v="0"/>
    <n v="0"/>
    <n v="0"/>
    <n v="0"/>
    <n v="0"/>
    <n v="0"/>
    <n v="0"/>
    <n v="335225000"/>
    <n v="335225000"/>
    <n v="335225000"/>
    <n v="335225000"/>
    <n v="335225000"/>
    <n v="335225000"/>
    <n v="335225000"/>
    <n v="2346575000"/>
    <m/>
    <m/>
    <m/>
    <m/>
    <n v="0"/>
    <n v="0"/>
    <n v="0"/>
    <n v="0"/>
    <n v="0"/>
    <n v="0"/>
    <n v="0"/>
    <n v="0"/>
    <n v="0"/>
    <n v="0"/>
    <n v="0"/>
    <n v="0"/>
    <n v="0"/>
  </r>
  <r>
    <n v="87"/>
    <s v="Long"/>
    <s v="Quốc Anh"/>
    <s v="200332"/>
    <x v="1"/>
    <s v="OUTEIRINHO TURISMO E INDUSTRIA SA"/>
    <s v="Hiện hữu"/>
    <s v="Xuất khẩu"/>
    <s v="Lisbon"/>
    <s v="Bồ Đào Nha"/>
    <s v="Châu Âu"/>
    <s v="FOB"/>
    <s v="110000496"/>
    <s v="rHDI7DL02"/>
    <x v="3"/>
    <s v="Hạt HD ép"/>
    <x v="1"/>
    <x v="0"/>
    <x v="0"/>
    <s v="OUTEIRINHO TURISMO E INDUSTRIA SA"/>
    <s v="x"/>
    <n v="0.8"/>
    <m/>
    <m/>
    <m/>
    <m/>
    <m/>
    <m/>
    <m/>
    <m/>
    <m/>
    <m/>
    <m/>
    <m/>
    <n v="0"/>
    <n v="25"/>
    <n v="-25"/>
    <n v="-1"/>
    <n v="930"/>
    <n v="930"/>
    <n v="930"/>
    <n v="930"/>
    <n v="930"/>
    <n v="930"/>
    <n v="930"/>
    <n v="930"/>
    <n v="930"/>
    <n v="930"/>
    <n v="930"/>
    <n v="930"/>
    <n v="930"/>
    <m/>
    <n v="930"/>
    <n v="0"/>
    <m/>
    <n v="0"/>
    <n v="0"/>
    <n v="0"/>
    <n v="0"/>
    <n v="0"/>
    <n v="0"/>
    <n v="0"/>
    <n v="0"/>
    <n v="0"/>
    <n v="0"/>
    <n v="0"/>
    <n v="0"/>
    <n v="0"/>
    <n v="745597000"/>
    <n v="-745597000"/>
    <n v="-1"/>
    <m/>
    <m/>
    <m/>
    <n v="0"/>
    <n v="0"/>
    <n v="0"/>
    <n v="0"/>
    <n v="0"/>
    <n v="0"/>
    <n v="0"/>
    <n v="0"/>
    <n v="0"/>
    <n v="0"/>
    <n v="0"/>
    <n v="0"/>
    <n v="0"/>
    <n v="0"/>
    <n v="530000"/>
    <n v="530000"/>
    <n v="0"/>
    <n v="0"/>
    <n v="0"/>
    <n v="0"/>
    <n v="0"/>
    <n v="0"/>
    <n v="0"/>
    <n v="0"/>
    <n v="0"/>
    <n v="0"/>
    <n v="0"/>
    <n v="0"/>
    <n v="0"/>
    <n v="0"/>
    <n v="0"/>
    <n v="0"/>
    <n v="0"/>
    <n v="0"/>
    <n v="0"/>
    <n v="0"/>
    <n v="0"/>
    <n v="0"/>
    <n v="0"/>
    <n v="0"/>
    <n v="0"/>
    <n v="0"/>
    <n v="0"/>
    <m/>
    <m/>
    <m/>
    <m/>
    <n v="0"/>
    <n v="0"/>
    <n v="0"/>
    <n v="0"/>
    <n v="0"/>
    <n v="0"/>
    <n v="0"/>
    <n v="0"/>
    <n v="0"/>
    <n v="0"/>
    <n v="0"/>
    <n v="0"/>
    <n v="0"/>
  </r>
  <r>
    <n v="88"/>
    <s v="Quỳnh Anh"/>
    <s v="Quốc Anh"/>
    <s v="105324"/>
    <x v="54"/>
    <s v="NHỰA TRƯỜNG AN"/>
    <s v="Hiện hữu"/>
    <s v="Nội địa"/>
    <s v="Tây Ninh"/>
    <s v="Việt Nam"/>
    <s v="Châu Á"/>
    <s v="DDP"/>
    <s v="110000407"/>
    <s v="Vảy HD Ép Đỏ"/>
    <x v="3"/>
    <s v="Vảy HD ép"/>
    <x v="1"/>
    <x v="0"/>
    <x v="0"/>
    <s v="NHỰA TRƯỜNG AN"/>
    <s v="x"/>
    <n v="0.8"/>
    <m/>
    <m/>
    <m/>
    <m/>
    <m/>
    <m/>
    <m/>
    <m/>
    <m/>
    <m/>
    <m/>
    <m/>
    <n v="0"/>
    <n v="148.5"/>
    <n v="-148.5"/>
    <n v="-1"/>
    <n v="560"/>
    <n v="560"/>
    <n v="560"/>
    <n v="560"/>
    <n v="560"/>
    <n v="560"/>
    <n v="560"/>
    <n v="560"/>
    <n v="560"/>
    <n v="560"/>
    <n v="560"/>
    <n v="560"/>
    <n v="560"/>
    <m/>
    <n v="560"/>
    <n v="0"/>
    <m/>
    <n v="0"/>
    <n v="0"/>
    <n v="0"/>
    <n v="0"/>
    <n v="0"/>
    <n v="0"/>
    <n v="0"/>
    <n v="0"/>
    <n v="0"/>
    <n v="0"/>
    <n v="0"/>
    <n v="0"/>
    <n v="0"/>
    <n v="1919102376.6605599"/>
    <n v="-1919102376.6605599"/>
    <n v="-1"/>
    <m/>
    <m/>
    <m/>
    <n v="0"/>
    <n v="0"/>
    <n v="0"/>
    <n v="0"/>
    <n v="0"/>
    <n v="0"/>
    <n v="0"/>
    <n v="0"/>
    <n v="0"/>
    <n v="0"/>
    <n v="0"/>
    <n v="0"/>
    <n v="0"/>
    <n v="0"/>
    <n v="0"/>
    <n v="0"/>
    <n v="0"/>
    <n v="0"/>
    <n v="0"/>
    <n v="0"/>
    <n v="0"/>
    <n v="0"/>
    <n v="0"/>
    <n v="0"/>
    <n v="0"/>
    <n v="0"/>
    <n v="0"/>
    <n v="0"/>
    <n v="0"/>
    <n v="0"/>
    <n v="0"/>
    <n v="0"/>
    <n v="0"/>
    <n v="0"/>
    <n v="0"/>
    <n v="0"/>
    <n v="0"/>
    <n v="0"/>
    <n v="0"/>
    <n v="0"/>
    <n v="0"/>
    <n v="0"/>
    <n v="0"/>
    <m/>
    <m/>
    <m/>
    <m/>
    <n v="0"/>
    <n v="0"/>
    <n v="0"/>
    <n v="0"/>
    <n v="0"/>
    <n v="0"/>
    <n v="0"/>
    <n v="0"/>
    <n v="0"/>
    <n v="0"/>
    <n v="0"/>
    <n v="0"/>
    <n v="0"/>
  </r>
  <r>
    <n v="89"/>
    <s v="Quỳnh Anh"/>
    <s v="Quốc Anh"/>
    <s v="105339"/>
    <x v="38"/>
    <s v="HUY THÀNH"/>
    <s v="Hiện hữu"/>
    <s v="Nội địa"/>
    <s v="Tây Ninh"/>
    <s v="Việt Nam"/>
    <s v="Châu Á"/>
    <s v="DDP"/>
    <s v="110000361"/>
    <s v="rHDI3R01"/>
    <x v="3"/>
    <s v="Hạt HD ép"/>
    <x v="1"/>
    <x v="0"/>
    <x v="0"/>
    <s v="HUY THÀNH"/>
    <s v="x"/>
    <n v="0.8"/>
    <m/>
    <m/>
    <m/>
    <m/>
    <m/>
    <m/>
    <m/>
    <m/>
    <m/>
    <m/>
    <m/>
    <m/>
    <n v="0"/>
    <n v="66.125"/>
    <n v="-66.125"/>
    <n v="-1"/>
    <n v="695"/>
    <n v="695"/>
    <n v="695"/>
    <n v="695"/>
    <n v="695"/>
    <n v="695"/>
    <n v="695"/>
    <n v="695"/>
    <n v="695"/>
    <n v="695"/>
    <n v="695"/>
    <n v="695"/>
    <n v="695"/>
    <m/>
    <n v="695"/>
    <n v="0"/>
    <m/>
    <n v="0"/>
    <n v="0"/>
    <n v="0"/>
    <n v="0"/>
    <n v="0"/>
    <n v="0"/>
    <n v="0"/>
    <n v="0"/>
    <n v="0"/>
    <n v="0"/>
    <n v="0"/>
    <n v="0"/>
    <n v="0"/>
    <n v="598686951.91674662"/>
    <n v="-598686951.91674662"/>
    <n v="-1"/>
    <s v="SL"/>
    <m/>
    <n v="1000000"/>
    <n v="0"/>
    <n v="0"/>
    <n v="0"/>
    <n v="0"/>
    <n v="0"/>
    <n v="0"/>
    <n v="0"/>
    <n v="0"/>
    <n v="0"/>
    <n v="0"/>
    <n v="0"/>
    <n v="0"/>
    <n v="0"/>
    <n v="0"/>
    <n v="0"/>
    <n v="0"/>
    <n v="0"/>
    <n v="0"/>
    <n v="0"/>
    <n v="0"/>
    <n v="0"/>
    <n v="0"/>
    <n v="0"/>
    <n v="0"/>
    <n v="0"/>
    <n v="0"/>
    <n v="0"/>
    <n v="0"/>
    <n v="0"/>
    <n v="0"/>
    <n v="0"/>
    <n v="0"/>
    <n v="0"/>
    <n v="0"/>
    <n v="0"/>
    <n v="0"/>
    <n v="0"/>
    <n v="0"/>
    <n v="0"/>
    <n v="0"/>
    <n v="0"/>
    <n v="0"/>
    <n v="0"/>
    <m/>
    <m/>
    <m/>
    <m/>
    <n v="0"/>
    <n v="0"/>
    <n v="0"/>
    <n v="0"/>
    <n v="0"/>
    <n v="0"/>
    <n v="0"/>
    <n v="0"/>
    <n v="0"/>
    <n v="0"/>
    <n v="0"/>
    <n v="0"/>
    <n v="0"/>
  </r>
  <r>
    <n v="90"/>
    <s v="Quỳnh Anh"/>
    <s v="Quốc Anh"/>
    <s v="105339"/>
    <x v="38"/>
    <s v="HUY THÀNH"/>
    <s v="Hiện hữu"/>
    <s v="Nội địa"/>
    <s v="Tây Ninh"/>
    <s v="Việt Nam"/>
    <s v="Châu Á"/>
    <s v="DDP"/>
    <s v="110000364"/>
    <s v="rHDI3Y01"/>
    <x v="3"/>
    <s v="Hạt HD ép"/>
    <x v="1"/>
    <x v="0"/>
    <x v="0"/>
    <s v="HUY THÀNH"/>
    <s v="x"/>
    <n v="0.8"/>
    <m/>
    <m/>
    <m/>
    <m/>
    <m/>
    <m/>
    <m/>
    <m/>
    <m/>
    <m/>
    <m/>
    <m/>
    <n v="0"/>
    <n v="96.4"/>
    <n v="-96.4"/>
    <n v="-1"/>
    <n v="695"/>
    <n v="695"/>
    <n v="695"/>
    <n v="695"/>
    <n v="695"/>
    <n v="695"/>
    <n v="695"/>
    <n v="695"/>
    <n v="695"/>
    <n v="695"/>
    <n v="695"/>
    <n v="695"/>
    <n v="695"/>
    <m/>
    <n v="695"/>
    <n v="0"/>
    <m/>
    <n v="0"/>
    <n v="0"/>
    <n v="0"/>
    <n v="0"/>
    <n v="0"/>
    <n v="0"/>
    <n v="0"/>
    <n v="0"/>
    <n v="0"/>
    <n v="0"/>
    <n v="0"/>
    <n v="0"/>
    <n v="0"/>
    <n v="1236635694.0916803"/>
    <n v="-1236635694.0916803"/>
    <n v="-1"/>
    <s v="SL"/>
    <m/>
    <n v="1000000"/>
    <n v="0"/>
    <n v="0"/>
    <n v="0"/>
    <n v="0"/>
    <n v="0"/>
    <n v="0"/>
    <n v="0"/>
    <n v="0"/>
    <n v="0"/>
    <n v="0"/>
    <n v="0"/>
    <n v="0"/>
    <n v="0"/>
    <n v="0"/>
    <n v="0"/>
    <n v="0"/>
    <n v="0"/>
    <n v="0"/>
    <n v="0"/>
    <n v="0"/>
    <n v="0"/>
    <n v="0"/>
    <n v="0"/>
    <n v="0"/>
    <n v="0"/>
    <n v="0"/>
    <n v="0"/>
    <n v="0"/>
    <n v="0"/>
    <n v="0"/>
    <n v="0"/>
    <n v="0"/>
    <n v="0"/>
    <n v="0"/>
    <n v="0"/>
    <n v="0"/>
    <n v="0"/>
    <n v="0"/>
    <n v="0"/>
    <n v="0"/>
    <n v="0"/>
    <n v="0"/>
    <n v="0"/>
    <m/>
    <m/>
    <m/>
    <m/>
    <n v="0"/>
    <n v="0"/>
    <n v="0"/>
    <n v="0"/>
    <n v="0"/>
    <n v="0"/>
    <n v="0"/>
    <n v="0"/>
    <n v="0"/>
    <n v="0"/>
    <n v="0"/>
    <n v="0"/>
    <n v="0"/>
  </r>
  <r>
    <n v="91"/>
    <s v="Quỳnh Anh"/>
    <s v="Quốc Anh"/>
    <s v="200326"/>
    <x v="55"/>
    <s v="Resinex"/>
    <s v="Hiện hữu"/>
    <s v="Xuất khẩu"/>
    <s v="Haifa"/>
    <s v="Israel"/>
    <s v="Châu Á"/>
    <s v="FOB"/>
    <s v="110000332"/>
    <s v="iSS1084G"/>
    <x v="0"/>
    <s v="Hạt PET"/>
    <x v="3"/>
    <x v="0"/>
    <x v="0"/>
    <s v="KHÁCH HÀNG HIỆN HỮU CÒN LẠI"/>
    <s v="x"/>
    <n v="0.8"/>
    <m/>
    <n v="22"/>
    <m/>
    <m/>
    <m/>
    <n v="22"/>
    <m/>
    <m/>
    <m/>
    <n v="22"/>
    <m/>
    <m/>
    <n v="66"/>
    <n v="66"/>
    <n v="0"/>
    <n v="0"/>
    <n v="1250"/>
    <n v="1250"/>
    <n v="1250"/>
    <n v="1250"/>
    <n v="1250"/>
    <n v="1250"/>
    <n v="1250"/>
    <n v="1250"/>
    <n v="1250"/>
    <n v="1250"/>
    <n v="1250"/>
    <n v="1250"/>
    <n v="1250"/>
    <m/>
    <n v="1250"/>
    <n v="0"/>
    <m/>
    <n v="0"/>
    <n v="728750000"/>
    <n v="0"/>
    <n v="0"/>
    <n v="0"/>
    <n v="728750000"/>
    <n v="0"/>
    <n v="0"/>
    <n v="0"/>
    <n v="728750000"/>
    <n v="0"/>
    <n v="0"/>
    <n v="2186250000"/>
    <n v="2151991125.8846154"/>
    <n v="34258874.115384579"/>
    <n v="1.5919616815939164E-2"/>
    <m/>
    <m/>
    <m/>
    <n v="0"/>
    <n v="0"/>
    <n v="0"/>
    <n v="0"/>
    <n v="0"/>
    <n v="0"/>
    <n v="0"/>
    <n v="0"/>
    <n v="0"/>
    <n v="0"/>
    <n v="0"/>
    <n v="0"/>
    <n v="0"/>
    <n v="0"/>
    <n v="530000"/>
    <n v="530000"/>
    <n v="0"/>
    <n v="0"/>
    <n v="11660000"/>
    <n v="0"/>
    <n v="0"/>
    <n v="0"/>
    <n v="11660000"/>
    <n v="0"/>
    <n v="0"/>
    <n v="0"/>
    <n v="11660000"/>
    <n v="0"/>
    <n v="0"/>
    <n v="34980000"/>
    <n v="0"/>
    <n v="740410000"/>
    <n v="0"/>
    <n v="0"/>
    <n v="0"/>
    <n v="740410000"/>
    <n v="0"/>
    <n v="0"/>
    <n v="0"/>
    <n v="740410000"/>
    <n v="0"/>
    <n v="0"/>
    <n v="2221230000"/>
    <m/>
    <m/>
    <m/>
    <m/>
    <n v="0"/>
    <n v="0"/>
    <n v="0"/>
    <n v="0"/>
    <n v="0"/>
    <n v="0"/>
    <n v="0"/>
    <n v="0"/>
    <n v="0"/>
    <n v="0"/>
    <n v="0"/>
    <n v="0"/>
    <n v="0"/>
  </r>
  <r>
    <n v="92"/>
    <s v="Quỳnh Anh"/>
    <s v="Quốc Anh"/>
    <s v="105333"/>
    <x v="30"/>
    <s v="LƯỚI BẢO NÔNG"/>
    <s v="Hiện hữu"/>
    <s v="Nội địa"/>
    <s v="Tây Ninh"/>
    <s v="Việt Nam"/>
    <s v="Châu Á"/>
    <s v="EXW"/>
    <s v="160012611"/>
    <s v="PS HD Ép Hỗn Hợp Cuối ST"/>
    <x v="5"/>
    <s v="Vảy Phó sản HD ép"/>
    <x v="1"/>
    <x v="0"/>
    <x v="0"/>
    <m/>
    <s v="x"/>
    <n v="0.8"/>
    <n v="11"/>
    <m/>
    <n v="11"/>
    <m/>
    <n v="11"/>
    <m/>
    <n v="11"/>
    <m/>
    <n v="11"/>
    <m/>
    <n v="11"/>
    <m/>
    <n v="66"/>
    <n v="382.37099999999998"/>
    <n v="-316.37099999999998"/>
    <n v="-0.82739276775696902"/>
    <n v="500"/>
    <n v="500"/>
    <n v="500"/>
    <n v="500"/>
    <n v="500"/>
    <n v="500"/>
    <n v="500"/>
    <n v="500"/>
    <n v="500"/>
    <n v="500"/>
    <n v="500"/>
    <n v="500"/>
    <n v="500"/>
    <m/>
    <n v="500"/>
    <n v="0"/>
    <m/>
    <n v="145750000"/>
    <n v="0"/>
    <n v="145750000"/>
    <n v="0"/>
    <n v="145750000"/>
    <n v="0"/>
    <n v="145750000"/>
    <n v="0"/>
    <n v="145750000"/>
    <n v="0"/>
    <n v="145750000"/>
    <n v="0"/>
    <n v="874500000"/>
    <n v="2294998622.4838281"/>
    <n v="-1420498622.4838281"/>
    <n v="-0.61895401965272323"/>
    <m/>
    <m/>
    <m/>
    <n v="0"/>
    <n v="0"/>
    <n v="0"/>
    <n v="0"/>
    <n v="0"/>
    <n v="0"/>
    <n v="0"/>
    <n v="0"/>
    <n v="0"/>
    <n v="0"/>
    <n v="0"/>
    <n v="0"/>
    <n v="0"/>
    <n v="0"/>
    <n v="0"/>
    <n v="0"/>
    <n v="0"/>
    <n v="0"/>
    <n v="0"/>
    <n v="0"/>
    <n v="0"/>
    <n v="0"/>
    <n v="0"/>
    <n v="0"/>
    <n v="0"/>
    <n v="0"/>
    <n v="0"/>
    <n v="0"/>
    <n v="0"/>
    <n v="0"/>
    <n v="145750000"/>
    <n v="0"/>
    <n v="145750000"/>
    <n v="0"/>
    <n v="145750000"/>
    <n v="0"/>
    <n v="145750000"/>
    <n v="0"/>
    <n v="145750000"/>
    <n v="0"/>
    <n v="145750000"/>
    <n v="0"/>
    <n v="874500000"/>
    <m/>
    <m/>
    <m/>
    <m/>
    <n v="0"/>
    <n v="0"/>
    <n v="0"/>
    <n v="0"/>
    <n v="0"/>
    <n v="0"/>
    <n v="0"/>
    <n v="0"/>
    <n v="0"/>
    <n v="0"/>
    <n v="0"/>
    <n v="0"/>
    <n v="0"/>
  </r>
  <r>
    <n v="93"/>
    <s v="Quỳnh Anh"/>
    <s v="Quốc Anh"/>
    <s v="105333"/>
    <x v="30"/>
    <s v="LƯỚI BẢO NÔNG"/>
    <s v="Hiện hữu"/>
    <s v="Nội địa"/>
    <s v="Tây Ninh"/>
    <s v="Việt Nam"/>
    <s v="Châu Á"/>
    <s v="EXW"/>
    <s v="160012951"/>
    <s v="PS HD Ép Hỗn Hợp Cuối SSR"/>
    <x v="5"/>
    <s v="Vảy Phó sản HD ép"/>
    <x v="1"/>
    <x v="0"/>
    <x v="0"/>
    <m/>
    <s v="x"/>
    <n v="0.8"/>
    <m/>
    <n v="11"/>
    <m/>
    <n v="11"/>
    <m/>
    <n v="11"/>
    <m/>
    <n v="11"/>
    <m/>
    <n v="11"/>
    <m/>
    <n v="11"/>
    <n v="66"/>
    <n v="70"/>
    <n v="-4"/>
    <n v="-5.7142857142857141E-2"/>
    <n v="500"/>
    <n v="500"/>
    <n v="500"/>
    <n v="500"/>
    <n v="500"/>
    <n v="500"/>
    <n v="500"/>
    <n v="500"/>
    <n v="500"/>
    <n v="500"/>
    <n v="500"/>
    <n v="500"/>
    <n v="500"/>
    <m/>
    <n v="500"/>
    <n v="0"/>
    <m/>
    <n v="0"/>
    <n v="145750000"/>
    <n v="0"/>
    <n v="145750000"/>
    <n v="0"/>
    <n v="145750000"/>
    <n v="0"/>
    <n v="145750000"/>
    <n v="0"/>
    <n v="145750000"/>
    <n v="0"/>
    <n v="145750000"/>
    <n v="874500000"/>
    <n v="686522659.45632374"/>
    <n v="187977340.54367626"/>
    <n v="0.27381083195788569"/>
    <m/>
    <m/>
    <m/>
    <n v="0"/>
    <n v="0"/>
    <n v="0"/>
    <n v="0"/>
    <n v="0"/>
    <n v="0"/>
    <n v="0"/>
    <n v="0"/>
    <n v="0"/>
    <n v="0"/>
    <n v="0"/>
    <n v="0"/>
    <n v="0"/>
    <n v="0"/>
    <n v="0"/>
    <n v="0"/>
    <n v="0"/>
    <n v="0"/>
    <n v="0"/>
    <n v="0"/>
    <n v="0"/>
    <n v="0"/>
    <n v="0"/>
    <n v="0"/>
    <n v="0"/>
    <n v="0"/>
    <n v="0"/>
    <n v="0"/>
    <n v="0"/>
    <n v="0"/>
    <n v="0"/>
    <n v="145750000"/>
    <n v="0"/>
    <n v="145750000"/>
    <n v="0"/>
    <n v="145750000"/>
    <n v="0"/>
    <n v="145750000"/>
    <n v="0"/>
    <n v="145750000"/>
    <n v="0"/>
    <n v="145750000"/>
    <n v="874500000"/>
    <m/>
    <m/>
    <m/>
    <m/>
    <n v="0"/>
    <n v="0"/>
    <n v="0"/>
    <n v="0"/>
    <n v="0"/>
    <n v="0"/>
    <n v="0"/>
    <n v="0"/>
    <n v="0"/>
    <n v="0"/>
    <n v="0"/>
    <n v="0"/>
    <n v="0"/>
  </r>
  <r>
    <n v="94"/>
    <s v="Cường"/>
    <s v="Cường"/>
    <s v="1000"/>
    <x v="48"/>
    <s v="CPSX Nhựa Duy Tân"/>
    <s v="Hiện hữu"/>
    <s v="Nội địa"/>
    <s v="Tây Ninh"/>
    <s v="Việt Nam"/>
    <s v="Châu Á"/>
    <s v="DDP"/>
    <s v="110000361"/>
    <s v="rHDI3R01"/>
    <x v="3"/>
    <s v="Hạt HD ép"/>
    <x v="1"/>
    <x v="0"/>
    <x v="0"/>
    <s v="DTP"/>
    <s v="x"/>
    <n v="0.8"/>
    <m/>
    <m/>
    <m/>
    <m/>
    <m/>
    <m/>
    <m/>
    <m/>
    <m/>
    <m/>
    <m/>
    <m/>
    <n v="0"/>
    <n v="71.5"/>
    <n v="-71.5"/>
    <n v="-1"/>
    <n v="695"/>
    <n v="695"/>
    <n v="695"/>
    <n v="695"/>
    <n v="695"/>
    <n v="695"/>
    <n v="695"/>
    <n v="695"/>
    <n v="695"/>
    <n v="695"/>
    <n v="695"/>
    <n v="695"/>
    <n v="695"/>
    <m/>
    <n v="695"/>
    <n v="0"/>
    <m/>
    <n v="0"/>
    <n v="0"/>
    <n v="0"/>
    <n v="0"/>
    <n v="0"/>
    <n v="0"/>
    <n v="0"/>
    <n v="0"/>
    <n v="0"/>
    <n v="0"/>
    <n v="0"/>
    <n v="0"/>
    <n v="0"/>
    <n v="1103879795.2083018"/>
    <n v="-1103879795.2083018"/>
    <n v="-1"/>
    <m/>
    <m/>
    <m/>
    <n v="0"/>
    <n v="0"/>
    <n v="0"/>
    <n v="0"/>
    <n v="0"/>
    <n v="0"/>
    <n v="0"/>
    <n v="0"/>
    <n v="0"/>
    <n v="0"/>
    <n v="0"/>
    <n v="0"/>
    <n v="0"/>
    <n v="0"/>
    <n v="0"/>
    <n v="0"/>
    <n v="0"/>
    <n v="0"/>
    <n v="0"/>
    <n v="0"/>
    <n v="0"/>
    <n v="0"/>
    <n v="0"/>
    <n v="0"/>
    <n v="0"/>
    <n v="0"/>
    <n v="0"/>
    <n v="0"/>
    <n v="0"/>
    <n v="0"/>
    <n v="0"/>
    <n v="0"/>
    <n v="0"/>
    <n v="0"/>
    <n v="0"/>
    <n v="0"/>
    <n v="0"/>
    <n v="0"/>
    <n v="0"/>
    <n v="0"/>
    <n v="0"/>
    <n v="0"/>
    <n v="0"/>
    <m/>
    <m/>
    <m/>
    <m/>
    <n v="0"/>
    <n v="0"/>
    <n v="0"/>
    <n v="0"/>
    <n v="0"/>
    <n v="0"/>
    <n v="0"/>
    <n v="0"/>
    <n v="0"/>
    <n v="0"/>
    <n v="0"/>
    <n v="0"/>
    <n v="0"/>
  </r>
  <r>
    <n v="95"/>
    <s v="Quỳnh Anh"/>
    <s v="Quốc Anh"/>
    <s v="105272"/>
    <x v="56"/>
    <s v="LINH CHI"/>
    <s v="Hiện hữu"/>
    <s v="Nội địa"/>
    <s v="Hồ Chí Minh"/>
    <s v="Việt Nam"/>
    <s v="Châu Á"/>
    <s v="EXW"/>
    <s v="110000466"/>
    <s v="WSS05SB-2"/>
    <x v="1"/>
    <s v="Hạt Xơ sợi"/>
    <x v="4"/>
    <x v="0"/>
    <x v="0"/>
    <s v="LINH CHI"/>
    <s v="x"/>
    <n v="0.8"/>
    <m/>
    <m/>
    <m/>
    <m/>
    <m/>
    <m/>
    <m/>
    <m/>
    <m/>
    <m/>
    <m/>
    <m/>
    <n v="0"/>
    <n v="97.1"/>
    <n v="-97.1"/>
    <n v="-1"/>
    <n v="640"/>
    <n v="632"/>
    <n v="624"/>
    <n v="616"/>
    <n v="608"/>
    <n v="600"/>
    <n v="592"/>
    <n v="584"/>
    <n v="576"/>
    <n v="568"/>
    <n v="560"/>
    <n v="552"/>
    <n v="596"/>
    <m/>
    <n v="596"/>
    <n v="0"/>
    <m/>
    <n v="0"/>
    <n v="0"/>
    <n v="0"/>
    <n v="0"/>
    <n v="0"/>
    <n v="0"/>
    <n v="0"/>
    <n v="0"/>
    <n v="0"/>
    <n v="0"/>
    <n v="0"/>
    <n v="0"/>
    <n v="0"/>
    <n v="1724227285.0897503"/>
    <n v="-1724227285.0897503"/>
    <n v="-1"/>
    <m/>
    <m/>
    <m/>
    <n v="0"/>
    <n v="0"/>
    <n v="0"/>
    <n v="0"/>
    <n v="0"/>
    <n v="0"/>
    <n v="0"/>
    <n v="0"/>
    <n v="0"/>
    <n v="0"/>
    <n v="0"/>
    <n v="0"/>
    <n v="0"/>
    <n v="0"/>
    <n v="0"/>
    <n v="0"/>
    <n v="0"/>
    <n v="0"/>
    <n v="0"/>
    <n v="0"/>
    <n v="0"/>
    <n v="0"/>
    <n v="0"/>
    <n v="0"/>
    <n v="0"/>
    <n v="0"/>
    <n v="0"/>
    <n v="0"/>
    <n v="0"/>
    <n v="0"/>
    <n v="0"/>
    <n v="0"/>
    <n v="0"/>
    <n v="0"/>
    <n v="0"/>
    <n v="0"/>
    <n v="0"/>
    <n v="0"/>
    <n v="0"/>
    <n v="0"/>
    <n v="0"/>
    <n v="0"/>
    <n v="0"/>
    <m/>
    <m/>
    <m/>
    <m/>
    <n v="0"/>
    <n v="0"/>
    <n v="0"/>
    <n v="0"/>
    <n v="0"/>
    <n v="0"/>
    <n v="0"/>
    <n v="0"/>
    <n v="0"/>
    <n v="0"/>
    <n v="0"/>
    <n v="0"/>
    <n v="0"/>
  </r>
  <r>
    <n v="96"/>
    <s v="Quỳnh Anh"/>
    <s v="Quốc Anh"/>
    <s v="105248"/>
    <x v="57"/>
    <s v="ĐẠI NHẤT LONG"/>
    <s v="Hiện hữu"/>
    <s v="Nội địa"/>
    <s v="Tây Ninh"/>
    <s v="Việt Nam"/>
    <s v="Châu Á"/>
    <s v="DDP"/>
    <s v="110000389"/>
    <s v="rPP20R02"/>
    <x v="4"/>
    <s v="Hạt PP"/>
    <x v="1"/>
    <x v="0"/>
    <x v="0"/>
    <s v="ĐẠI NHẤT LONG"/>
    <s v="x"/>
    <n v="0.8"/>
    <n v="3"/>
    <n v="3"/>
    <n v="3"/>
    <n v="3"/>
    <n v="3"/>
    <n v="3"/>
    <n v="3"/>
    <n v="3"/>
    <n v="3"/>
    <n v="3"/>
    <n v="3"/>
    <n v="3"/>
    <n v="36"/>
    <n v="97"/>
    <n v="-61"/>
    <n v="-0.62886597938144329"/>
    <n v="700"/>
    <n v="700"/>
    <n v="700"/>
    <n v="700"/>
    <n v="700"/>
    <n v="700"/>
    <n v="700"/>
    <n v="700"/>
    <n v="700"/>
    <n v="700"/>
    <n v="700"/>
    <n v="700"/>
    <n v="700"/>
    <m/>
    <n v="700"/>
    <n v="0"/>
    <m/>
    <n v="55650000"/>
    <n v="55650000"/>
    <n v="55650000"/>
    <n v="55650000"/>
    <n v="55650000"/>
    <n v="55650000"/>
    <n v="55650000"/>
    <n v="55650000"/>
    <n v="55650000"/>
    <n v="55650000"/>
    <n v="55650000"/>
    <n v="55650000"/>
    <n v="667800000"/>
    <n v="1434248117.3000658"/>
    <n v="-766448117.30006576"/>
    <n v="-0.53439018539057537"/>
    <m/>
    <m/>
    <m/>
    <n v="0"/>
    <n v="0"/>
    <n v="0"/>
    <n v="0"/>
    <n v="0"/>
    <n v="0"/>
    <n v="0"/>
    <n v="0"/>
    <n v="0"/>
    <n v="0"/>
    <n v="0"/>
    <n v="0"/>
    <n v="0"/>
    <n v="0"/>
    <n v="0"/>
    <n v="0"/>
    <n v="0"/>
    <n v="0"/>
    <n v="0"/>
    <n v="0"/>
    <n v="0"/>
    <n v="0"/>
    <n v="0"/>
    <n v="0"/>
    <n v="0"/>
    <n v="0"/>
    <n v="0"/>
    <n v="0"/>
    <n v="0"/>
    <n v="0"/>
    <n v="55650000"/>
    <n v="55650000"/>
    <n v="55650000"/>
    <n v="55650000"/>
    <n v="55650000"/>
    <n v="55650000"/>
    <n v="55650000"/>
    <n v="55650000"/>
    <n v="55650000"/>
    <n v="55650000"/>
    <n v="55650000"/>
    <n v="55650000"/>
    <n v="667800000"/>
    <m/>
    <m/>
    <m/>
    <m/>
    <n v="0"/>
    <n v="0"/>
    <n v="0"/>
    <n v="0"/>
    <n v="0"/>
    <n v="0"/>
    <n v="0"/>
    <n v="0"/>
    <n v="0"/>
    <n v="0"/>
    <n v="0"/>
    <n v="0"/>
    <n v="0"/>
  </r>
  <r>
    <n v="97"/>
    <s v="Quỳnh Anh"/>
    <s v="Quốc Anh"/>
    <s v="105324"/>
    <x v="54"/>
    <s v="NHỰA TRƯỜNG AN"/>
    <s v="Hiện hữu"/>
    <s v="Nội địa"/>
    <s v="Tây Ninh"/>
    <s v="Việt Nam"/>
    <s v="Châu Á"/>
    <s v="DDP"/>
    <s v="110000409"/>
    <s v="Vảy HD Ép Vàng"/>
    <x v="3"/>
    <s v="Vảy HD ép"/>
    <x v="1"/>
    <x v="0"/>
    <x v="0"/>
    <s v="NHỰA TRƯỜNG AN"/>
    <s v="x"/>
    <n v="0.8"/>
    <m/>
    <m/>
    <m/>
    <m/>
    <m/>
    <m/>
    <m/>
    <m/>
    <m/>
    <m/>
    <m/>
    <m/>
    <n v="0"/>
    <n v="48"/>
    <n v="-48"/>
    <n v="-1"/>
    <n v="560"/>
    <n v="560"/>
    <n v="560"/>
    <n v="560"/>
    <n v="560"/>
    <n v="560"/>
    <n v="560"/>
    <n v="560"/>
    <n v="560"/>
    <n v="560"/>
    <n v="560"/>
    <n v="560"/>
    <n v="560"/>
    <m/>
    <n v="560"/>
    <n v="0"/>
    <m/>
    <n v="0"/>
    <n v="0"/>
    <n v="0"/>
    <n v="0"/>
    <n v="0"/>
    <n v="0"/>
    <n v="0"/>
    <n v="0"/>
    <n v="0"/>
    <n v="0"/>
    <n v="0"/>
    <n v="0"/>
    <n v="0"/>
    <n v="688720255.69571769"/>
    <n v="-688720255.69571769"/>
    <n v="-1"/>
    <m/>
    <m/>
    <m/>
    <n v="0"/>
    <n v="0"/>
    <n v="0"/>
    <n v="0"/>
    <n v="0"/>
    <n v="0"/>
    <n v="0"/>
    <n v="0"/>
    <n v="0"/>
    <n v="0"/>
    <n v="0"/>
    <n v="0"/>
    <n v="0"/>
    <n v="0"/>
    <n v="0"/>
    <n v="0"/>
    <n v="0"/>
    <n v="0"/>
    <n v="0"/>
    <n v="0"/>
    <n v="0"/>
    <n v="0"/>
    <n v="0"/>
    <n v="0"/>
    <n v="0"/>
    <n v="0"/>
    <n v="0"/>
    <n v="0"/>
    <n v="0"/>
    <n v="0"/>
    <n v="0"/>
    <n v="0"/>
    <n v="0"/>
    <n v="0"/>
    <n v="0"/>
    <n v="0"/>
    <n v="0"/>
    <n v="0"/>
    <n v="0"/>
    <n v="0"/>
    <n v="0"/>
    <n v="0"/>
    <n v="0"/>
    <m/>
    <m/>
    <m/>
    <m/>
    <n v="0"/>
    <n v="0"/>
    <n v="0"/>
    <n v="0"/>
    <n v="0"/>
    <n v="0"/>
    <n v="0"/>
    <n v="0"/>
    <n v="0"/>
    <n v="0"/>
    <n v="0"/>
    <n v="0"/>
    <n v="0"/>
  </r>
  <r>
    <n v="98"/>
    <s v="Quỳnh Anh"/>
    <s v="Quốc Anh"/>
    <s v="105333"/>
    <x v="30"/>
    <s v="LƯỚI BẢO NÔNG"/>
    <s v="Hiện hữu"/>
    <s v="Nội địa"/>
    <s v="Tây Ninh"/>
    <s v="Việt Nam"/>
    <s v="Châu Á"/>
    <s v="EXW"/>
    <s v="110000411"/>
    <s v="Vảy HD Ép Dương"/>
    <x v="3"/>
    <s v="Vảy HD ép"/>
    <x v="1"/>
    <x v="0"/>
    <x v="0"/>
    <s v="LƯỚI BẢO NÔNG"/>
    <s v="x"/>
    <n v="0.8"/>
    <m/>
    <m/>
    <m/>
    <m/>
    <m/>
    <m/>
    <m/>
    <m/>
    <m/>
    <m/>
    <m/>
    <m/>
    <n v="0"/>
    <n v="40.5"/>
    <n v="-40.5"/>
    <n v="-1"/>
    <n v="560"/>
    <n v="560"/>
    <n v="560"/>
    <n v="560"/>
    <n v="560"/>
    <n v="560"/>
    <n v="560"/>
    <n v="560"/>
    <n v="560"/>
    <n v="560"/>
    <n v="560"/>
    <n v="560"/>
    <n v="560"/>
    <m/>
    <n v="560"/>
    <n v="0"/>
    <m/>
    <n v="0"/>
    <n v="0"/>
    <n v="0"/>
    <n v="0"/>
    <n v="0"/>
    <n v="0"/>
    <n v="0"/>
    <n v="0"/>
    <n v="0"/>
    <n v="0"/>
    <n v="0"/>
    <n v="0"/>
    <n v="0"/>
    <n v="379210774.02954197"/>
    <n v="-379210774.02954197"/>
    <n v="-1"/>
    <m/>
    <m/>
    <m/>
    <n v="0"/>
    <n v="0"/>
    <n v="0"/>
    <n v="0"/>
    <n v="0"/>
    <n v="0"/>
    <n v="0"/>
    <n v="0"/>
    <n v="0"/>
    <n v="0"/>
    <n v="0"/>
    <n v="0"/>
    <n v="0"/>
    <n v="0"/>
    <n v="0"/>
    <n v="0"/>
    <n v="0"/>
    <n v="0"/>
    <n v="0"/>
    <n v="0"/>
    <n v="0"/>
    <n v="0"/>
    <n v="0"/>
    <n v="0"/>
    <n v="0"/>
    <n v="0"/>
    <n v="0"/>
    <n v="0"/>
    <n v="0"/>
    <n v="0"/>
    <n v="0"/>
    <n v="0"/>
    <n v="0"/>
    <n v="0"/>
    <n v="0"/>
    <n v="0"/>
    <n v="0"/>
    <n v="0"/>
    <n v="0"/>
    <n v="0"/>
    <n v="0"/>
    <n v="0"/>
    <n v="0"/>
    <m/>
    <m/>
    <m/>
    <m/>
    <n v="0"/>
    <n v="0"/>
    <n v="0"/>
    <n v="0"/>
    <n v="0"/>
    <n v="0"/>
    <n v="0"/>
    <n v="0"/>
    <n v="0"/>
    <n v="0"/>
    <n v="0"/>
    <n v="0"/>
    <n v="0"/>
  </r>
  <r>
    <n v="99"/>
    <s v="Quỳnh Anh"/>
    <s v="Quốc Anh"/>
    <s v="105339"/>
    <x v="38"/>
    <s v="HUY THÀNH"/>
    <s v="Hiện hữu"/>
    <s v="Nội địa"/>
    <s v="Tây Ninh"/>
    <s v="Việt Nam"/>
    <s v="Châu Á"/>
    <s v="DDP"/>
    <s v="110000407"/>
    <s v="Vảy HD Ép Đỏ"/>
    <x v="3"/>
    <s v="Vảy HD ép"/>
    <x v="1"/>
    <x v="0"/>
    <x v="0"/>
    <s v="HUY THÀNH"/>
    <s v="x"/>
    <n v="0.8"/>
    <m/>
    <m/>
    <m/>
    <m/>
    <m/>
    <m/>
    <m/>
    <m/>
    <m/>
    <m/>
    <m/>
    <m/>
    <n v="0"/>
    <n v="72.8"/>
    <n v="-72.8"/>
    <n v="-1"/>
    <n v="560"/>
    <n v="560"/>
    <n v="560"/>
    <n v="560"/>
    <n v="560"/>
    <n v="560"/>
    <n v="560"/>
    <n v="560"/>
    <n v="560"/>
    <n v="560"/>
    <n v="560"/>
    <n v="560"/>
    <n v="560"/>
    <m/>
    <n v="560"/>
    <n v="0"/>
    <m/>
    <n v="0"/>
    <n v="0"/>
    <n v="0"/>
    <n v="0"/>
    <n v="0"/>
    <n v="0"/>
    <n v="0"/>
    <n v="0"/>
    <n v="0"/>
    <n v="0"/>
    <n v="0"/>
    <n v="0"/>
    <n v="0"/>
    <n v="642203005.67725444"/>
    <n v="-642203005.67725444"/>
    <n v="-1"/>
    <s v="SL"/>
    <m/>
    <n v="1000000"/>
    <n v="0"/>
    <n v="0"/>
    <n v="0"/>
    <n v="0"/>
    <n v="0"/>
    <n v="0"/>
    <n v="0"/>
    <n v="0"/>
    <n v="0"/>
    <n v="0"/>
    <n v="0"/>
    <n v="0"/>
    <n v="0"/>
    <n v="0"/>
    <n v="0"/>
    <n v="0"/>
    <n v="0"/>
    <n v="0"/>
    <n v="0"/>
    <n v="0"/>
    <n v="0"/>
    <n v="0"/>
    <n v="0"/>
    <n v="0"/>
    <n v="0"/>
    <n v="0"/>
    <n v="0"/>
    <n v="0"/>
    <n v="0"/>
    <n v="0"/>
    <n v="0"/>
    <n v="0"/>
    <n v="0"/>
    <n v="0"/>
    <n v="0"/>
    <n v="0"/>
    <n v="0"/>
    <n v="0"/>
    <n v="0"/>
    <n v="0"/>
    <n v="0"/>
    <n v="0"/>
    <n v="0"/>
    <m/>
    <m/>
    <m/>
    <m/>
    <n v="0"/>
    <n v="0"/>
    <n v="0"/>
    <n v="0"/>
    <n v="0"/>
    <n v="0"/>
    <n v="0"/>
    <n v="0"/>
    <n v="0"/>
    <n v="0"/>
    <n v="0"/>
    <n v="0"/>
    <n v="0"/>
  </r>
  <r>
    <n v="100"/>
    <s v="Quỳnh Anh"/>
    <s v="Quốc Anh"/>
    <s v="105360"/>
    <x v="58"/>
    <s v="LỢI TƯỜNG"/>
    <s v="Hiện hữu"/>
    <s v="Nội địa"/>
    <s v="Hồ Chí Minh"/>
    <s v="Việt Nam"/>
    <s v="Châu Á"/>
    <s v="EXW"/>
    <s v="110000421"/>
    <s v="Vảy PP Đỏ Nhạt"/>
    <x v="4"/>
    <s v="Vảy PP"/>
    <x v="1"/>
    <x v="0"/>
    <x v="0"/>
    <s v="LỢI TƯỜNG"/>
    <s v="x"/>
    <n v="0.8"/>
    <n v="6"/>
    <m/>
    <n v="6"/>
    <m/>
    <n v="6"/>
    <m/>
    <n v="6"/>
    <m/>
    <n v="6"/>
    <m/>
    <n v="6"/>
    <m/>
    <n v="36"/>
    <n v="12"/>
    <n v="24"/>
    <n v="2"/>
    <n v="600"/>
    <n v="600"/>
    <n v="600"/>
    <n v="600"/>
    <n v="600"/>
    <n v="600"/>
    <n v="600"/>
    <n v="600"/>
    <n v="600"/>
    <n v="600"/>
    <n v="600"/>
    <n v="600"/>
    <n v="600"/>
    <m/>
    <n v="600"/>
    <n v="0"/>
    <m/>
    <n v="95400000"/>
    <n v="0"/>
    <n v="95400000"/>
    <n v="0"/>
    <n v="95400000"/>
    <n v="0"/>
    <n v="95400000"/>
    <n v="0"/>
    <n v="95400000"/>
    <n v="0"/>
    <n v="95400000"/>
    <n v="0"/>
    <n v="572400000"/>
    <n v="191780454.42418712"/>
    <n v="380619545.57581288"/>
    <n v="1.9846628621180782"/>
    <m/>
    <m/>
    <m/>
    <n v="0"/>
    <n v="0"/>
    <n v="0"/>
    <n v="0"/>
    <n v="0"/>
    <n v="0"/>
    <n v="0"/>
    <n v="0"/>
    <n v="0"/>
    <n v="0"/>
    <n v="0"/>
    <n v="0"/>
    <n v="0"/>
    <n v="0"/>
    <n v="0"/>
    <n v="0"/>
    <n v="0"/>
    <n v="0"/>
    <n v="0"/>
    <n v="0"/>
    <n v="0"/>
    <n v="0"/>
    <n v="0"/>
    <n v="0"/>
    <n v="0"/>
    <n v="0"/>
    <n v="0"/>
    <n v="0"/>
    <n v="0"/>
    <n v="0"/>
    <n v="95400000"/>
    <n v="0"/>
    <n v="95400000"/>
    <n v="0"/>
    <n v="95400000"/>
    <n v="0"/>
    <n v="95400000"/>
    <n v="0"/>
    <n v="95400000"/>
    <n v="0"/>
    <n v="95400000"/>
    <n v="0"/>
    <n v="572400000"/>
    <m/>
    <m/>
    <m/>
    <m/>
    <n v="0"/>
    <n v="0"/>
    <n v="0"/>
    <n v="0"/>
    <n v="0"/>
    <n v="0"/>
    <n v="0"/>
    <n v="0"/>
    <n v="0"/>
    <n v="0"/>
    <n v="0"/>
    <n v="0"/>
    <n v="0"/>
  </r>
  <r>
    <n v="101"/>
    <s v="Quỳnh Anh"/>
    <s v="Quốc Anh"/>
    <s v="105360"/>
    <x v="58"/>
    <s v="LỢI TƯỜNG"/>
    <s v="Hiện hữu"/>
    <s v="Nội địa"/>
    <s v="Hồ Chí Minh"/>
    <s v="Việt Nam"/>
    <s v="Châu Á"/>
    <s v="EXW"/>
    <s v="110000408"/>
    <s v="Vảy HD Ép Trắng"/>
    <x v="3"/>
    <s v="Vảy HD ép"/>
    <x v="1"/>
    <x v="0"/>
    <x v="0"/>
    <s v="LỢI TƯỜNG"/>
    <s v="x"/>
    <n v="0.8"/>
    <m/>
    <m/>
    <m/>
    <m/>
    <m/>
    <m/>
    <m/>
    <m/>
    <m/>
    <m/>
    <m/>
    <m/>
    <n v="0"/>
    <n v="9"/>
    <n v="-9"/>
    <n v="-1"/>
    <n v="560"/>
    <n v="560"/>
    <n v="560"/>
    <n v="560"/>
    <n v="560"/>
    <n v="560"/>
    <n v="560"/>
    <n v="560"/>
    <n v="560"/>
    <n v="560"/>
    <n v="560"/>
    <n v="560"/>
    <n v="560"/>
    <m/>
    <n v="560"/>
    <n v="0"/>
    <m/>
    <n v="0"/>
    <n v="0"/>
    <n v="0"/>
    <n v="0"/>
    <n v="0"/>
    <n v="0"/>
    <n v="0"/>
    <n v="0"/>
    <n v="0"/>
    <n v="0"/>
    <n v="0"/>
    <n v="0"/>
    <n v="0"/>
    <n v="133019878.84786785"/>
    <n v="-133019878.84786785"/>
    <n v="-1"/>
    <m/>
    <m/>
    <m/>
    <n v="0"/>
    <n v="0"/>
    <n v="0"/>
    <n v="0"/>
    <n v="0"/>
    <n v="0"/>
    <n v="0"/>
    <n v="0"/>
    <n v="0"/>
    <n v="0"/>
    <n v="0"/>
    <n v="0"/>
    <n v="0"/>
    <n v="0"/>
    <n v="0"/>
    <n v="0"/>
    <n v="0"/>
    <n v="0"/>
    <n v="0"/>
    <n v="0"/>
    <n v="0"/>
    <n v="0"/>
    <n v="0"/>
    <n v="0"/>
    <n v="0"/>
    <n v="0"/>
    <n v="0"/>
    <n v="0"/>
    <n v="0"/>
    <n v="0"/>
    <n v="0"/>
    <n v="0"/>
    <n v="0"/>
    <n v="0"/>
    <n v="0"/>
    <n v="0"/>
    <n v="0"/>
    <n v="0"/>
    <n v="0"/>
    <n v="0"/>
    <n v="0"/>
    <n v="0"/>
    <n v="0"/>
    <m/>
    <m/>
    <m/>
    <m/>
    <n v="0"/>
    <n v="0"/>
    <n v="0"/>
    <n v="0"/>
    <n v="0"/>
    <n v="0"/>
    <n v="0"/>
    <n v="0"/>
    <n v="0"/>
    <n v="0"/>
    <n v="0"/>
    <n v="0"/>
    <n v="0"/>
  </r>
  <r>
    <n v="102"/>
    <s v="Cường"/>
    <s v="Cường"/>
    <s v="1000"/>
    <x v="48"/>
    <s v="CPSX Nhựa Duy Tân"/>
    <s v="Hiện hữu"/>
    <s v="Nội địa"/>
    <s v="Tây Ninh"/>
    <s v="Việt Nam"/>
    <s v="Châu Á"/>
    <s v="DDP"/>
    <s v="110000364"/>
    <s v="rHDI3Y01"/>
    <x v="3"/>
    <s v="Hạt HD ép"/>
    <x v="1"/>
    <x v="0"/>
    <x v="0"/>
    <s v="DTP"/>
    <s v="x"/>
    <n v="0.8"/>
    <m/>
    <m/>
    <m/>
    <m/>
    <m/>
    <m/>
    <m/>
    <m/>
    <m/>
    <m/>
    <m/>
    <m/>
    <n v="0"/>
    <n v="42.625"/>
    <n v="-42.625"/>
    <n v="-1"/>
    <n v="695"/>
    <n v="695"/>
    <n v="695"/>
    <n v="695"/>
    <n v="695"/>
    <n v="695"/>
    <n v="695"/>
    <n v="695"/>
    <n v="695"/>
    <n v="695"/>
    <n v="695"/>
    <n v="695"/>
    <n v="695"/>
    <m/>
    <n v="695"/>
    <n v="0"/>
    <m/>
    <n v="0"/>
    <n v="0"/>
    <n v="0"/>
    <n v="0"/>
    <n v="0"/>
    <n v="0"/>
    <n v="0"/>
    <n v="0"/>
    <n v="0"/>
    <n v="0"/>
    <n v="0"/>
    <n v="0"/>
    <n v="0"/>
    <n v="614276986.0540812"/>
    <n v="-614276986.0540812"/>
    <n v="-1"/>
    <m/>
    <m/>
    <m/>
    <n v="0"/>
    <n v="0"/>
    <n v="0"/>
    <n v="0"/>
    <n v="0"/>
    <n v="0"/>
    <n v="0"/>
    <n v="0"/>
    <n v="0"/>
    <n v="0"/>
    <n v="0"/>
    <n v="0"/>
    <n v="0"/>
    <n v="0"/>
    <n v="0"/>
    <n v="0"/>
    <n v="0"/>
    <n v="0"/>
    <n v="0"/>
    <n v="0"/>
    <n v="0"/>
    <n v="0"/>
    <n v="0"/>
    <n v="0"/>
    <n v="0"/>
    <n v="0"/>
    <n v="0"/>
    <n v="0"/>
    <n v="0"/>
    <n v="0"/>
    <n v="0"/>
    <n v="0"/>
    <n v="0"/>
    <n v="0"/>
    <n v="0"/>
    <n v="0"/>
    <n v="0"/>
    <n v="0"/>
    <n v="0"/>
    <n v="0"/>
    <n v="0"/>
    <n v="0"/>
    <n v="0"/>
    <m/>
    <m/>
    <m/>
    <m/>
    <n v="0"/>
    <n v="0"/>
    <n v="0"/>
    <n v="0"/>
    <n v="0"/>
    <n v="0"/>
    <n v="0"/>
    <n v="0"/>
    <n v="0"/>
    <n v="0"/>
    <n v="0"/>
    <n v="0"/>
    <n v="0"/>
  </r>
  <r>
    <n v="103"/>
    <s v="Quỳnh Anh"/>
    <s v="Quốc Anh"/>
    <s v="105330"/>
    <x v="59"/>
    <s v="Việt Thành Plast"/>
    <s v="Hiện hữu"/>
    <s v="Nội địa"/>
    <s v="Tây Ninh"/>
    <s v="Việt Nam"/>
    <s v="Châu Á"/>
    <s v="DDP"/>
    <s v="110000359"/>
    <s v="WSS03G"/>
    <x v="0"/>
    <s v="Hạt PET"/>
    <x v="5"/>
    <x v="0"/>
    <x v="0"/>
    <s v="KHÁCH HÀNG HIỆN HỮU CÒN LẠI"/>
    <s v="x"/>
    <n v="0.8"/>
    <n v="5.5"/>
    <m/>
    <n v="5.5"/>
    <m/>
    <m/>
    <n v="5.5"/>
    <m/>
    <n v="5.5"/>
    <m/>
    <n v="5.5"/>
    <m/>
    <m/>
    <n v="27.5"/>
    <n v="1.1000000000000001"/>
    <n v="26.4"/>
    <n v="23.999999999999996"/>
    <n v="970"/>
    <n v="970"/>
    <n v="970"/>
    <n v="970"/>
    <n v="970"/>
    <n v="970"/>
    <n v="970"/>
    <n v="970"/>
    <n v="970"/>
    <n v="970"/>
    <n v="970"/>
    <n v="970"/>
    <n v="970"/>
    <m/>
    <n v="970"/>
    <n v="0"/>
    <m/>
    <n v="141377500"/>
    <n v="0"/>
    <n v="141377500"/>
    <n v="0"/>
    <n v="0"/>
    <n v="141377500"/>
    <n v="0"/>
    <n v="141377500"/>
    <n v="0"/>
    <n v="141377500"/>
    <n v="0"/>
    <n v="0"/>
    <n v="706887500"/>
    <n v="31505250.974885844"/>
    <n v="675382249.02511418"/>
    <n v="21.437132799338425"/>
    <s v="SL"/>
    <m/>
    <n v="900000"/>
    <n v="4950000"/>
    <n v="0"/>
    <n v="4950000"/>
    <n v="0"/>
    <n v="0"/>
    <n v="4950000"/>
    <n v="0"/>
    <n v="4950000"/>
    <n v="0"/>
    <n v="4950000"/>
    <n v="0"/>
    <n v="0"/>
    <n v="24750000"/>
    <n v="0"/>
    <n v="0"/>
    <n v="0"/>
    <n v="0"/>
    <n v="0"/>
    <n v="0"/>
    <n v="0"/>
    <n v="0"/>
    <n v="0"/>
    <n v="0"/>
    <n v="0"/>
    <n v="0"/>
    <n v="0"/>
    <n v="0"/>
    <n v="0"/>
    <n v="0"/>
    <n v="0"/>
    <n v="146327500"/>
    <n v="0"/>
    <n v="146327500"/>
    <n v="0"/>
    <n v="0"/>
    <n v="146327500"/>
    <n v="0"/>
    <n v="146327500"/>
    <n v="0"/>
    <n v="146327500"/>
    <n v="0"/>
    <n v="0"/>
    <n v="731637500"/>
    <m/>
    <m/>
    <m/>
    <m/>
    <n v="0"/>
    <n v="0"/>
    <n v="0"/>
    <n v="0"/>
    <n v="0"/>
    <n v="0"/>
    <n v="0"/>
    <n v="0"/>
    <n v="0"/>
    <n v="0"/>
    <n v="0"/>
    <n v="0"/>
    <n v="0"/>
  </r>
  <r>
    <n v="104"/>
    <s v="Quỳnh Anh"/>
    <s v="Quốc Anh"/>
    <s v="105324"/>
    <x v="54"/>
    <s v="NHỰA TRƯỜNG AN"/>
    <s v="Hiện hữu"/>
    <s v="Nội địa"/>
    <s v="Tây Ninh"/>
    <s v="Việt Nam"/>
    <s v="Châu Á"/>
    <s v="DDP"/>
    <s v="110000408"/>
    <s v="Vảy HD Ép Trắng"/>
    <x v="3"/>
    <s v="Vảy HD ép"/>
    <x v="1"/>
    <x v="0"/>
    <x v="0"/>
    <s v="NHỰA TRƯỜNG AN"/>
    <s v="x"/>
    <n v="0.8"/>
    <m/>
    <m/>
    <m/>
    <m/>
    <m/>
    <m/>
    <m/>
    <m/>
    <m/>
    <m/>
    <m/>
    <m/>
    <n v="0"/>
    <n v="30.024999999999999"/>
    <n v="-30.024999999999999"/>
    <n v="-1"/>
    <n v="560"/>
    <n v="560"/>
    <n v="560"/>
    <n v="560"/>
    <n v="560"/>
    <n v="560"/>
    <n v="560"/>
    <n v="560"/>
    <n v="560"/>
    <n v="560"/>
    <n v="560"/>
    <n v="560"/>
    <n v="560"/>
    <m/>
    <n v="560"/>
    <n v="0"/>
    <m/>
    <n v="0"/>
    <n v="0"/>
    <n v="0"/>
    <n v="0"/>
    <n v="0"/>
    <n v="0"/>
    <n v="0"/>
    <n v="0"/>
    <n v="0"/>
    <n v="0"/>
    <n v="0"/>
    <n v="0"/>
    <n v="0"/>
    <n v="445645322.56886888"/>
    <n v="-445645322.56886888"/>
    <n v="-1"/>
    <m/>
    <m/>
    <m/>
    <n v="0"/>
    <n v="0"/>
    <n v="0"/>
    <n v="0"/>
    <n v="0"/>
    <n v="0"/>
    <n v="0"/>
    <n v="0"/>
    <n v="0"/>
    <n v="0"/>
    <n v="0"/>
    <n v="0"/>
    <n v="0"/>
    <n v="0"/>
    <n v="0"/>
    <n v="0"/>
    <n v="0"/>
    <n v="0"/>
    <n v="0"/>
    <n v="0"/>
    <n v="0"/>
    <n v="0"/>
    <n v="0"/>
    <n v="0"/>
    <n v="0"/>
    <n v="0"/>
    <n v="0"/>
    <n v="0"/>
    <n v="0"/>
    <n v="0"/>
    <n v="0"/>
    <n v="0"/>
    <n v="0"/>
    <n v="0"/>
    <n v="0"/>
    <n v="0"/>
    <n v="0"/>
    <n v="0"/>
    <n v="0"/>
    <n v="0"/>
    <n v="0"/>
    <n v="0"/>
    <n v="0"/>
    <m/>
    <m/>
    <m/>
    <m/>
    <n v="0"/>
    <n v="0"/>
    <n v="0"/>
    <n v="0"/>
    <n v="0"/>
    <n v="0"/>
    <n v="0"/>
    <n v="0"/>
    <n v="0"/>
    <n v="0"/>
    <n v="0"/>
    <n v="0"/>
    <n v="0"/>
  </r>
  <r>
    <n v="105"/>
    <s v="Quỳnh Anh"/>
    <s v="Quốc Anh"/>
    <s v="200358"/>
    <x v="60"/>
    <s v="REYNERA"/>
    <s v="Hiện hữu"/>
    <s v="Xuất khẩu"/>
    <s v="Cadereyta"/>
    <s v="Mexico"/>
    <s v="Châu Mỹ"/>
    <s v="FOB"/>
    <s v="110000471"/>
    <s v="rPP20L05"/>
    <x v="4"/>
    <s v="Hạt PP"/>
    <x v="1"/>
    <x v="0"/>
    <x v="0"/>
    <s v="REYNERA"/>
    <s v="x"/>
    <n v="0.8"/>
    <m/>
    <m/>
    <m/>
    <m/>
    <m/>
    <n v="12"/>
    <m/>
    <m/>
    <m/>
    <n v="12"/>
    <m/>
    <m/>
    <n v="24"/>
    <n v="85"/>
    <n v="-61"/>
    <n v="-0.71764705882352942"/>
    <n v="700"/>
    <n v="700"/>
    <n v="700"/>
    <n v="700"/>
    <n v="700"/>
    <n v="700"/>
    <n v="700"/>
    <n v="700"/>
    <n v="700"/>
    <n v="700"/>
    <n v="700"/>
    <n v="700"/>
    <n v="700"/>
    <m/>
    <n v="700"/>
    <n v="0"/>
    <m/>
    <n v="0"/>
    <n v="0"/>
    <n v="0"/>
    <n v="0"/>
    <n v="0"/>
    <n v="222600000"/>
    <n v="0"/>
    <n v="0"/>
    <n v="0"/>
    <n v="222600000"/>
    <n v="0"/>
    <n v="0"/>
    <n v="445200000"/>
    <n v="1822320631.9399836"/>
    <n v="-1377120631.9399836"/>
    <n v="-0.75569612054161162"/>
    <m/>
    <m/>
    <m/>
    <n v="0"/>
    <n v="0"/>
    <n v="0"/>
    <n v="0"/>
    <n v="0"/>
    <n v="0"/>
    <n v="0"/>
    <n v="0"/>
    <n v="0"/>
    <n v="0"/>
    <n v="0"/>
    <n v="0"/>
    <n v="0"/>
    <n v="0"/>
    <n v="530000"/>
    <n v="530000"/>
    <n v="0"/>
    <n v="0"/>
    <n v="0"/>
    <n v="0"/>
    <n v="0"/>
    <n v="0"/>
    <n v="6360000"/>
    <n v="0"/>
    <n v="0"/>
    <n v="0"/>
    <n v="6360000"/>
    <n v="0"/>
    <n v="0"/>
    <n v="12720000"/>
    <n v="0"/>
    <n v="0"/>
    <n v="0"/>
    <n v="0"/>
    <n v="0"/>
    <n v="228960000"/>
    <n v="0"/>
    <n v="0"/>
    <n v="0"/>
    <n v="228960000"/>
    <n v="0"/>
    <n v="0"/>
    <n v="457920000"/>
    <m/>
    <m/>
    <m/>
    <m/>
    <n v="0"/>
    <n v="0"/>
    <n v="0"/>
    <n v="0"/>
    <n v="0"/>
    <n v="0"/>
    <n v="0"/>
    <n v="0"/>
    <n v="0"/>
    <n v="0"/>
    <n v="0"/>
    <n v="0"/>
    <n v="0"/>
  </r>
  <r>
    <n v="106"/>
    <s v="Quỳnh Anh"/>
    <s v="Quốc Anh"/>
    <s v="200358"/>
    <x v="60"/>
    <s v="REYNERA"/>
    <s v="Hiện hữu"/>
    <s v="Xuất khẩu"/>
    <s v="Cadereyta"/>
    <s v="Mexico"/>
    <s v="Châu Mỹ"/>
    <s v="FOB"/>
    <s v="110000472"/>
    <s v="rPP20Gy01"/>
    <x v="4"/>
    <s v="Hạt PP"/>
    <x v="1"/>
    <x v="0"/>
    <x v="0"/>
    <s v="REYNERA"/>
    <s v="x"/>
    <n v="0.8"/>
    <m/>
    <m/>
    <m/>
    <m/>
    <m/>
    <n v="12"/>
    <m/>
    <m/>
    <m/>
    <n v="12"/>
    <m/>
    <m/>
    <n v="24"/>
    <n v="35"/>
    <n v="-11"/>
    <n v="-0.31428571428571428"/>
    <n v="700"/>
    <n v="700"/>
    <n v="700"/>
    <n v="700"/>
    <n v="700"/>
    <n v="700"/>
    <n v="700"/>
    <n v="700"/>
    <n v="700"/>
    <n v="700"/>
    <n v="700"/>
    <n v="700"/>
    <n v="700"/>
    <m/>
    <n v="700"/>
    <n v="0"/>
    <m/>
    <n v="0"/>
    <n v="0"/>
    <n v="0"/>
    <n v="0"/>
    <n v="0"/>
    <n v="222600000"/>
    <n v="0"/>
    <n v="0"/>
    <n v="0"/>
    <n v="222600000"/>
    <n v="0"/>
    <n v="0"/>
    <n v="445200000"/>
    <n v="791272681.91504729"/>
    <n v="-346072681.91504729"/>
    <n v="-0.43736210010116638"/>
    <m/>
    <m/>
    <m/>
    <n v="0"/>
    <n v="0"/>
    <n v="0"/>
    <n v="0"/>
    <n v="0"/>
    <n v="0"/>
    <n v="0"/>
    <n v="0"/>
    <n v="0"/>
    <n v="0"/>
    <n v="0"/>
    <n v="0"/>
    <n v="0"/>
    <n v="0"/>
    <n v="530000"/>
    <n v="530000"/>
    <n v="0"/>
    <n v="0"/>
    <n v="0"/>
    <n v="0"/>
    <n v="0"/>
    <n v="0"/>
    <n v="6360000"/>
    <n v="0"/>
    <n v="0"/>
    <n v="0"/>
    <n v="6360000"/>
    <n v="0"/>
    <n v="0"/>
    <n v="12720000"/>
    <n v="0"/>
    <n v="0"/>
    <n v="0"/>
    <n v="0"/>
    <n v="0"/>
    <n v="228960000"/>
    <n v="0"/>
    <n v="0"/>
    <n v="0"/>
    <n v="228960000"/>
    <n v="0"/>
    <n v="0"/>
    <n v="457920000"/>
    <m/>
    <m/>
    <m/>
    <m/>
    <n v="0"/>
    <n v="0"/>
    <n v="0"/>
    <n v="0"/>
    <n v="0"/>
    <n v="0"/>
    <n v="0"/>
    <n v="0"/>
    <n v="0"/>
    <n v="0"/>
    <n v="0"/>
    <n v="0"/>
    <n v="0"/>
  </r>
  <r>
    <n v="107"/>
    <s v="Duy"/>
    <s v="Cường"/>
    <s v="105281"/>
    <x v="13"/>
    <s v="Plascene- DTP"/>
    <s v="Hiện hữu"/>
    <s v="Nội địa"/>
    <s v="Tây Ninh"/>
    <s v="Việt Nam"/>
    <s v="Châu Á"/>
    <s v="DDP"/>
    <s v="110000329"/>
    <s v="WSS01"/>
    <x v="0"/>
    <s v="Hạt PET"/>
    <x v="0"/>
    <x v="0"/>
    <x v="0"/>
    <s v="Plascene"/>
    <s v="x"/>
    <n v="0.8"/>
    <n v="22"/>
    <m/>
    <m/>
    <m/>
    <m/>
    <m/>
    <m/>
    <m/>
    <m/>
    <m/>
    <m/>
    <m/>
    <n v="22"/>
    <n v="22"/>
    <n v="0"/>
    <n v="0"/>
    <n v="1150"/>
    <n v="1150"/>
    <n v="1150"/>
    <n v="1150"/>
    <n v="1150"/>
    <n v="1150"/>
    <n v="1150"/>
    <n v="1150"/>
    <n v="1150"/>
    <n v="1150"/>
    <n v="1150"/>
    <n v="1150"/>
    <n v="1150"/>
    <m/>
    <n v="1150"/>
    <n v="0"/>
    <m/>
    <n v="670450000"/>
    <n v="0"/>
    <n v="0"/>
    <n v="0"/>
    <n v="0"/>
    <n v="0"/>
    <n v="0"/>
    <n v="0"/>
    <n v="0"/>
    <n v="0"/>
    <n v="0"/>
    <n v="0"/>
    <n v="670450000"/>
    <n v="714817625.18864775"/>
    <n v="-44367625.188647747"/>
    <n v="-6.2068454421417875E-2"/>
    <m/>
    <m/>
    <m/>
    <n v="0"/>
    <n v="0"/>
    <n v="0"/>
    <n v="0"/>
    <n v="0"/>
    <n v="0"/>
    <n v="0"/>
    <n v="0"/>
    <n v="0"/>
    <n v="0"/>
    <n v="0"/>
    <n v="0"/>
    <n v="0"/>
    <n v="0"/>
    <n v="0"/>
    <n v="0"/>
    <n v="0"/>
    <n v="0"/>
    <n v="0"/>
    <n v="0"/>
    <n v="0"/>
    <n v="0"/>
    <n v="0"/>
    <n v="0"/>
    <n v="0"/>
    <n v="0"/>
    <n v="0"/>
    <n v="0"/>
    <n v="0"/>
    <n v="0"/>
    <n v="670450000"/>
    <n v="0"/>
    <n v="0"/>
    <n v="0"/>
    <n v="0"/>
    <n v="0"/>
    <n v="0"/>
    <n v="0"/>
    <n v="0"/>
    <n v="0"/>
    <n v="0"/>
    <n v="0"/>
    <n v="670450000"/>
    <m/>
    <m/>
    <m/>
    <m/>
    <n v="0"/>
    <n v="0"/>
    <n v="0"/>
    <n v="0"/>
    <n v="0"/>
    <n v="0"/>
    <n v="0"/>
    <n v="0"/>
    <n v="0"/>
    <n v="0"/>
    <n v="0"/>
    <n v="0"/>
    <n v="0"/>
  </r>
  <r>
    <n v="108"/>
    <s v="Quỳnh Anh"/>
    <s v="Quốc Anh"/>
    <s v="105189"/>
    <x v="61"/>
    <s v="Công ty Chấn Thuận Thành"/>
    <s v="Hiện hữu"/>
    <s v="Nội địa"/>
    <s v="Hồ Chí Minh"/>
    <s v="Việt Nam"/>
    <s v="Châu Á"/>
    <s v="DDP"/>
    <s v="110000408"/>
    <s v="Vảy HD Ép Trắng"/>
    <x v="3"/>
    <s v="Vảy HD ép"/>
    <x v="1"/>
    <x v="0"/>
    <x v="0"/>
    <s v="KHÁCH HÀNG HIỆN HỮU CÒN LẠI"/>
    <s v="x"/>
    <n v="0.8"/>
    <m/>
    <m/>
    <m/>
    <m/>
    <m/>
    <m/>
    <m/>
    <m/>
    <m/>
    <m/>
    <m/>
    <m/>
    <n v="0"/>
    <n v="0.75"/>
    <n v="-0.75"/>
    <n v="-1"/>
    <n v="560"/>
    <n v="560"/>
    <n v="560"/>
    <n v="560"/>
    <n v="560"/>
    <n v="560"/>
    <n v="560"/>
    <n v="560"/>
    <n v="560"/>
    <n v="560"/>
    <n v="560"/>
    <n v="560"/>
    <n v="560"/>
    <m/>
    <n v="560"/>
    <n v="0"/>
    <m/>
    <n v="0"/>
    <n v="0"/>
    <n v="0"/>
    <n v="0"/>
    <n v="0"/>
    <n v="0"/>
    <n v="0"/>
    <n v="0"/>
    <n v="0"/>
    <n v="0"/>
    <n v="0"/>
    <n v="0"/>
    <n v="0"/>
    <n v="13000250.974885846"/>
    <n v="-13000250.974885846"/>
    <n v="-1"/>
    <m/>
    <m/>
    <m/>
    <n v="0"/>
    <n v="0"/>
    <n v="0"/>
    <n v="0"/>
    <n v="0"/>
    <n v="0"/>
    <n v="0"/>
    <n v="0"/>
    <n v="0"/>
    <n v="0"/>
    <n v="0"/>
    <n v="0"/>
    <n v="0"/>
    <n v="0"/>
    <n v="0"/>
    <n v="0"/>
    <n v="0"/>
    <n v="0"/>
    <n v="0"/>
    <n v="0"/>
    <n v="0"/>
    <n v="0"/>
    <n v="0"/>
    <n v="0"/>
    <n v="0"/>
    <n v="0"/>
    <n v="0"/>
    <n v="0"/>
    <n v="0"/>
    <n v="0"/>
    <n v="0"/>
    <n v="0"/>
    <n v="0"/>
    <n v="0"/>
    <n v="0"/>
    <n v="0"/>
    <n v="0"/>
    <n v="0"/>
    <n v="0"/>
    <n v="0"/>
    <n v="0"/>
    <n v="0"/>
    <n v="0"/>
    <m/>
    <m/>
    <m/>
    <m/>
    <n v="0"/>
    <n v="0"/>
    <n v="0"/>
    <n v="0"/>
    <n v="0"/>
    <n v="0"/>
    <n v="0"/>
    <n v="0"/>
    <n v="0"/>
    <n v="0"/>
    <n v="0"/>
    <n v="0"/>
    <n v="0"/>
  </r>
  <r>
    <n v="109"/>
    <s v="Quỳnh Anh"/>
    <s v="Quốc Anh"/>
    <s v="105189"/>
    <x v="61"/>
    <s v="Công ty Chấn Thuận Thành"/>
    <s v="Hiện hữu"/>
    <s v="Nội địa"/>
    <s v="Hồ Chí Minh"/>
    <s v="Việt Nam"/>
    <s v="Châu Á"/>
    <s v="DDP"/>
    <s v="110000407"/>
    <s v="Vảy HD Ép Đỏ"/>
    <x v="3"/>
    <s v="Vảy HD ép"/>
    <x v="1"/>
    <x v="0"/>
    <x v="0"/>
    <s v="Chấn Thuận Thành"/>
    <s v="x"/>
    <n v="0.8"/>
    <m/>
    <m/>
    <m/>
    <m/>
    <m/>
    <m/>
    <m/>
    <m/>
    <m/>
    <m/>
    <m/>
    <m/>
    <n v="0"/>
    <n v="0.75"/>
    <n v="-0.75"/>
    <n v="-1"/>
    <n v="560"/>
    <n v="560"/>
    <n v="560"/>
    <n v="560"/>
    <n v="560"/>
    <n v="560"/>
    <n v="560"/>
    <n v="560"/>
    <n v="560"/>
    <n v="560"/>
    <n v="560"/>
    <n v="560"/>
    <n v="560"/>
    <m/>
    <n v="560"/>
    <n v="0"/>
    <m/>
    <n v="0"/>
    <n v="0"/>
    <n v="0"/>
    <n v="0"/>
    <n v="0"/>
    <n v="0"/>
    <n v="0"/>
    <n v="0"/>
    <n v="0"/>
    <n v="0"/>
    <n v="0"/>
    <n v="0"/>
    <n v="0"/>
    <n v="13000250.974885846"/>
    <n v="-13000250.974885846"/>
    <n v="-1"/>
    <m/>
    <m/>
    <m/>
    <n v="0"/>
    <n v="0"/>
    <n v="0"/>
    <n v="0"/>
    <n v="0"/>
    <n v="0"/>
    <n v="0"/>
    <n v="0"/>
    <n v="0"/>
    <n v="0"/>
    <n v="0"/>
    <n v="0"/>
    <n v="0"/>
    <n v="0"/>
    <n v="0"/>
    <n v="0"/>
    <n v="0"/>
    <n v="0"/>
    <n v="0"/>
    <n v="0"/>
    <n v="0"/>
    <n v="0"/>
    <n v="0"/>
    <n v="0"/>
    <n v="0"/>
    <n v="0"/>
    <n v="0"/>
    <n v="0"/>
    <n v="0"/>
    <n v="0"/>
    <n v="0"/>
    <n v="0"/>
    <n v="0"/>
    <n v="0"/>
    <n v="0"/>
    <n v="0"/>
    <n v="0"/>
    <n v="0"/>
    <n v="0"/>
    <n v="0"/>
    <n v="0"/>
    <n v="0"/>
    <n v="0"/>
    <m/>
    <m/>
    <m/>
    <m/>
    <n v="0"/>
    <n v="0"/>
    <n v="0"/>
    <n v="0"/>
    <n v="0"/>
    <n v="0"/>
    <n v="0"/>
    <n v="0"/>
    <n v="0"/>
    <n v="0"/>
    <n v="0"/>
    <n v="0"/>
    <n v="0"/>
  </r>
  <r>
    <n v="110"/>
    <s v="Quỳnh Anh"/>
    <s v="Quốc Anh"/>
    <s v="105327"/>
    <x v="62"/>
    <s v="MEGA"/>
    <s v="Mới"/>
    <s v="Nội địa"/>
    <s v="Hồ Chí Minh"/>
    <s v="Việt Nam"/>
    <s v="Châu Á"/>
    <s v="EXW"/>
    <s v="110000392"/>
    <s v="rPP20B01"/>
    <x v="4"/>
    <s v="Hạt PP"/>
    <x v="1"/>
    <x v="0"/>
    <x v="0"/>
    <s v="MEGA"/>
    <s v="x"/>
    <n v="0.8"/>
    <n v="3"/>
    <m/>
    <n v="3"/>
    <m/>
    <n v="3"/>
    <m/>
    <n v="3"/>
    <m/>
    <n v="3"/>
    <m/>
    <n v="3"/>
    <m/>
    <n v="18"/>
    <n v="3.0000000000000002E-2"/>
    <n v="17.97"/>
    <n v="598.99999999999989"/>
    <n v="700"/>
    <n v="700"/>
    <n v="700"/>
    <n v="700"/>
    <n v="700"/>
    <n v="700"/>
    <n v="700"/>
    <n v="700"/>
    <n v="700"/>
    <n v="700"/>
    <n v="700"/>
    <n v="700"/>
    <n v="700"/>
    <m/>
    <n v="700"/>
    <n v="0"/>
    <m/>
    <n v="55650000"/>
    <n v="0"/>
    <n v="55650000"/>
    <n v="0"/>
    <n v="55650000"/>
    <n v="0"/>
    <n v="55650000"/>
    <n v="0"/>
    <n v="55650000"/>
    <n v="0"/>
    <n v="55650000"/>
    <n v="0"/>
    <n v="333900000"/>
    <n v="526750"/>
    <n v="333373250"/>
    <n v="632.8870431893688"/>
    <m/>
    <m/>
    <m/>
    <n v="0"/>
    <n v="0"/>
    <n v="0"/>
    <n v="0"/>
    <n v="0"/>
    <n v="0"/>
    <n v="0"/>
    <n v="0"/>
    <n v="0"/>
    <n v="0"/>
    <n v="0"/>
    <n v="0"/>
    <n v="0"/>
    <n v="0"/>
    <n v="0"/>
    <n v="0"/>
    <n v="0"/>
    <n v="0"/>
    <n v="0"/>
    <n v="0"/>
    <n v="0"/>
    <n v="0"/>
    <n v="0"/>
    <n v="0"/>
    <n v="0"/>
    <n v="0"/>
    <n v="0"/>
    <n v="0"/>
    <n v="0"/>
    <n v="0"/>
    <n v="55650000"/>
    <n v="0"/>
    <n v="55650000"/>
    <n v="0"/>
    <n v="55650000"/>
    <n v="0"/>
    <n v="55650000"/>
    <n v="0"/>
    <n v="55650000"/>
    <n v="0"/>
    <n v="55650000"/>
    <n v="0"/>
    <n v="333900000"/>
    <m/>
    <m/>
    <m/>
    <m/>
    <n v="0"/>
    <n v="0"/>
    <n v="0"/>
    <n v="0"/>
    <n v="0"/>
    <n v="0"/>
    <n v="0"/>
    <n v="0"/>
    <n v="0"/>
    <n v="0"/>
    <n v="0"/>
    <n v="0"/>
    <n v="0"/>
  </r>
  <r>
    <n v="111"/>
    <s v="Quỳnh Anh"/>
    <s v="Quốc Anh"/>
    <s v="105342"/>
    <x v="63"/>
    <s v="VIỆT NHẬT"/>
    <s v="Mới"/>
    <s v="Nội địa"/>
    <s v="Tây Ninh"/>
    <s v="Việt Nam"/>
    <s v="Châu Á"/>
    <s v="EXW"/>
    <s v="110000409"/>
    <s v="Vảy HD Ép Vàng"/>
    <x v="3"/>
    <s v="Vảy HD ép"/>
    <x v="1"/>
    <x v="0"/>
    <x v="0"/>
    <s v="VIỆT NHẬT"/>
    <s v="x"/>
    <n v="0.8"/>
    <m/>
    <m/>
    <m/>
    <m/>
    <m/>
    <m/>
    <m/>
    <m/>
    <m/>
    <m/>
    <m/>
    <m/>
    <n v="0"/>
    <n v="0.75"/>
    <n v="-0.75"/>
    <n v="-1"/>
    <n v="560"/>
    <n v="560"/>
    <n v="560"/>
    <n v="560"/>
    <n v="560"/>
    <n v="560"/>
    <n v="560"/>
    <n v="560"/>
    <n v="560"/>
    <n v="560"/>
    <n v="560"/>
    <n v="560"/>
    <n v="560"/>
    <m/>
    <n v="560"/>
    <n v="0"/>
    <m/>
    <n v="0"/>
    <n v="0"/>
    <n v="0"/>
    <n v="0"/>
    <n v="0"/>
    <n v="0"/>
    <n v="0"/>
    <n v="0"/>
    <n v="0"/>
    <n v="0"/>
    <n v="0"/>
    <n v="0"/>
    <n v="0"/>
    <n v="11637057.781321185"/>
    <n v="-11637057.781321185"/>
    <n v="-1"/>
    <m/>
    <m/>
    <m/>
    <n v="0"/>
    <n v="0"/>
    <n v="0"/>
    <n v="0"/>
    <n v="0"/>
    <n v="0"/>
    <n v="0"/>
    <n v="0"/>
    <n v="0"/>
    <n v="0"/>
    <n v="0"/>
    <n v="0"/>
    <n v="0"/>
    <n v="0"/>
    <n v="0"/>
    <n v="0"/>
    <n v="0"/>
    <n v="0"/>
    <n v="0"/>
    <n v="0"/>
    <n v="0"/>
    <n v="0"/>
    <n v="0"/>
    <n v="0"/>
    <n v="0"/>
    <n v="0"/>
    <n v="0"/>
    <n v="0"/>
    <n v="0"/>
    <n v="0"/>
    <n v="0"/>
    <n v="0"/>
    <n v="0"/>
    <n v="0"/>
    <n v="0"/>
    <n v="0"/>
    <n v="0"/>
    <n v="0"/>
    <n v="0"/>
    <n v="0"/>
    <n v="0"/>
    <n v="0"/>
    <n v="0"/>
    <m/>
    <m/>
    <m/>
    <m/>
    <n v="0"/>
    <n v="0"/>
    <n v="0"/>
    <n v="0"/>
    <n v="0"/>
    <n v="0"/>
    <n v="0"/>
    <n v="0"/>
    <n v="0"/>
    <n v="0"/>
    <n v="0"/>
    <n v="0"/>
    <n v="0"/>
  </r>
  <r>
    <n v="112"/>
    <s v="Quỳnh Anh"/>
    <s v="Quốc Anh"/>
    <s v="105342"/>
    <x v="63"/>
    <s v="VIỆT NHẬT"/>
    <s v="Mới"/>
    <s v="Nội địa"/>
    <s v="Tây Ninh"/>
    <s v="Việt Nam"/>
    <s v="Châu Á"/>
    <s v="EXW"/>
    <s v="110000410"/>
    <s v="Vảy HD Ép Lá"/>
    <x v="3"/>
    <s v="Vảy HD ép"/>
    <x v="1"/>
    <x v="0"/>
    <x v="0"/>
    <s v="VIỆT NHẬT"/>
    <s v="x"/>
    <n v="0.8"/>
    <m/>
    <m/>
    <m/>
    <m/>
    <m/>
    <m/>
    <m/>
    <m/>
    <m/>
    <m/>
    <m/>
    <m/>
    <n v="0"/>
    <n v="0.75"/>
    <n v="-0.75"/>
    <n v="-1"/>
    <n v="560"/>
    <n v="560"/>
    <n v="560"/>
    <n v="560"/>
    <n v="560"/>
    <n v="560"/>
    <n v="560"/>
    <n v="560"/>
    <n v="560"/>
    <n v="560"/>
    <n v="560"/>
    <n v="560"/>
    <n v="560"/>
    <m/>
    <n v="560"/>
    <n v="0"/>
    <m/>
    <n v="0"/>
    <n v="0"/>
    <n v="0"/>
    <n v="0"/>
    <n v="0"/>
    <n v="0"/>
    <n v="0"/>
    <n v="0"/>
    <n v="0"/>
    <n v="0"/>
    <n v="0"/>
    <n v="0"/>
    <n v="0"/>
    <n v="11637057.781321185"/>
    <n v="-11637057.781321185"/>
    <n v="-1"/>
    <m/>
    <m/>
    <m/>
    <n v="0"/>
    <n v="0"/>
    <n v="0"/>
    <n v="0"/>
    <n v="0"/>
    <n v="0"/>
    <n v="0"/>
    <n v="0"/>
    <n v="0"/>
    <n v="0"/>
    <n v="0"/>
    <n v="0"/>
    <n v="0"/>
    <n v="0"/>
    <n v="0"/>
    <n v="0"/>
    <n v="0"/>
    <n v="0"/>
    <n v="0"/>
    <n v="0"/>
    <n v="0"/>
    <n v="0"/>
    <n v="0"/>
    <n v="0"/>
    <n v="0"/>
    <n v="0"/>
    <n v="0"/>
    <n v="0"/>
    <n v="0"/>
    <n v="0"/>
    <n v="0"/>
    <n v="0"/>
    <n v="0"/>
    <n v="0"/>
    <n v="0"/>
    <n v="0"/>
    <n v="0"/>
    <n v="0"/>
    <n v="0"/>
    <n v="0"/>
    <n v="0"/>
    <n v="0"/>
    <n v="0"/>
    <m/>
    <m/>
    <m/>
    <m/>
    <n v="0"/>
    <n v="0"/>
    <n v="0"/>
    <n v="0"/>
    <n v="0"/>
    <n v="0"/>
    <n v="0"/>
    <n v="0"/>
    <n v="0"/>
    <n v="0"/>
    <n v="0"/>
    <n v="0"/>
    <n v="0"/>
  </r>
  <r>
    <n v="113"/>
    <s v="Long"/>
    <s v="Quốc Anh"/>
    <s v="105319"/>
    <x v="29"/>
    <s v="PHƯƠNG VI"/>
    <s v="Hiện hữu"/>
    <s v="Nội địa"/>
    <s v="Đồng Nai"/>
    <s v="Việt Nam"/>
    <s v="Châu Á"/>
    <s v="DDP"/>
    <s v="110000365"/>
    <s v="rHDI3W01"/>
    <x v="3"/>
    <s v="Hạt HD ép"/>
    <x v="1"/>
    <x v="0"/>
    <x v="0"/>
    <s v="Coca Cola Việt Nam"/>
    <s v="x"/>
    <n v="0.8"/>
    <m/>
    <m/>
    <m/>
    <m/>
    <m/>
    <m/>
    <m/>
    <m/>
    <m/>
    <m/>
    <m/>
    <m/>
    <n v="0"/>
    <n v="11"/>
    <n v="-11"/>
    <n v="-1"/>
    <n v="930"/>
    <n v="930"/>
    <n v="930"/>
    <n v="930"/>
    <n v="930"/>
    <n v="930"/>
    <n v="930"/>
    <n v="930"/>
    <n v="930"/>
    <n v="930"/>
    <n v="930"/>
    <n v="930"/>
    <n v="930"/>
    <m/>
    <n v="930"/>
    <n v="0"/>
    <m/>
    <n v="0"/>
    <n v="0"/>
    <n v="0"/>
    <n v="0"/>
    <n v="0"/>
    <n v="0"/>
    <n v="0"/>
    <n v="0"/>
    <n v="0"/>
    <n v="0"/>
    <n v="0"/>
    <n v="0"/>
    <n v="0"/>
    <n v="298480000"/>
    <n v="-298480000"/>
    <n v="-1"/>
    <s v="Dthu"/>
    <m/>
    <m/>
    <n v="0"/>
    <n v="0"/>
    <n v="0"/>
    <n v="0"/>
    <n v="0"/>
    <n v="0"/>
    <n v="0"/>
    <n v="0"/>
    <n v="0"/>
    <n v="0"/>
    <n v="0"/>
    <n v="0"/>
    <n v="0"/>
    <n v="0"/>
    <n v="0"/>
    <n v="0"/>
    <n v="0"/>
    <n v="0"/>
    <n v="0"/>
    <n v="0"/>
    <n v="0"/>
    <n v="0"/>
    <n v="0"/>
    <n v="0"/>
    <n v="0"/>
    <n v="0"/>
    <n v="0"/>
    <n v="0"/>
    <n v="0"/>
    <n v="0"/>
    <n v="0"/>
    <n v="0"/>
    <n v="0"/>
    <n v="0"/>
    <n v="0"/>
    <n v="0"/>
    <n v="0"/>
    <n v="0"/>
    <n v="0"/>
    <n v="0"/>
    <n v="0"/>
    <n v="0"/>
    <n v="0"/>
    <m/>
    <m/>
    <m/>
    <m/>
    <n v="0"/>
    <n v="0"/>
    <n v="0"/>
    <n v="0"/>
    <n v="0"/>
    <n v="0"/>
    <n v="0"/>
    <n v="0"/>
    <n v="0"/>
    <n v="0"/>
    <n v="0"/>
    <n v="0"/>
    <n v="0"/>
  </r>
  <r>
    <n v="114"/>
    <s v="Quỳnh Anh"/>
    <s v="Quốc Anh"/>
    <s v="105291"/>
    <x v="64"/>
    <s v="AN NHẬT"/>
    <s v="Hiện hữu"/>
    <s v="Nội địa"/>
    <s v="Hà Nội"/>
    <s v="Việt Nam"/>
    <s v="Châu Á"/>
    <s v="EXW"/>
    <s v="110000354"/>
    <s v="WSS01G 1"/>
    <x v="0"/>
    <s v="Hạt PET"/>
    <x v="0"/>
    <x v="0"/>
    <x v="0"/>
    <s v="KHÁCH HÀNG HIỆN HỮU CÒN LẠI"/>
    <s v="x"/>
    <n v="0.8"/>
    <n v="2.2000000000000002"/>
    <n v="2.2000000000000002"/>
    <n v="2.2000000000000002"/>
    <m/>
    <m/>
    <n v="2.2000000000000002"/>
    <m/>
    <m/>
    <n v="2.2000000000000002"/>
    <m/>
    <m/>
    <m/>
    <n v="11"/>
    <n v="20.9"/>
    <n v="-9.8999999999999986"/>
    <n v="-0.47368421052631576"/>
    <n v="1150"/>
    <n v="1150"/>
    <n v="1150"/>
    <n v="1150"/>
    <n v="1150"/>
    <n v="1150"/>
    <n v="1150"/>
    <n v="1150"/>
    <n v="1150"/>
    <n v="1150"/>
    <n v="1150"/>
    <n v="1150"/>
    <n v="1150"/>
    <m/>
    <n v="1150"/>
    <n v="0"/>
    <m/>
    <n v="67045000"/>
    <n v="67045000"/>
    <n v="67045000"/>
    <n v="0"/>
    <n v="0"/>
    <n v="67045000"/>
    <n v="0"/>
    <n v="0"/>
    <n v="67045000"/>
    <n v="0"/>
    <n v="0"/>
    <n v="0"/>
    <n v="335225000"/>
    <n v="681283135.9529748"/>
    <n v="-346058135.9529748"/>
    <n v="-0.50795053875641694"/>
    <m/>
    <m/>
    <m/>
    <n v="0"/>
    <n v="0"/>
    <n v="0"/>
    <n v="0"/>
    <n v="0"/>
    <n v="0"/>
    <n v="0"/>
    <n v="0"/>
    <n v="0"/>
    <n v="0"/>
    <n v="0"/>
    <n v="0"/>
    <n v="0"/>
    <n v="0"/>
    <n v="0"/>
    <n v="0"/>
    <n v="0"/>
    <n v="0"/>
    <n v="0"/>
    <n v="0"/>
    <n v="0"/>
    <n v="0"/>
    <n v="0"/>
    <n v="0"/>
    <n v="0"/>
    <n v="0"/>
    <n v="0"/>
    <n v="0"/>
    <n v="0"/>
    <n v="0"/>
    <n v="67045000"/>
    <n v="67045000"/>
    <n v="67045000"/>
    <n v="0"/>
    <n v="0"/>
    <n v="67045000"/>
    <n v="0"/>
    <n v="0"/>
    <n v="67045000"/>
    <n v="0"/>
    <n v="0"/>
    <n v="0"/>
    <n v="335225000"/>
    <m/>
    <m/>
    <m/>
    <m/>
    <n v="0"/>
    <n v="0"/>
    <n v="0"/>
    <n v="0"/>
    <n v="0"/>
    <n v="0"/>
    <n v="0"/>
    <n v="0"/>
    <n v="0"/>
    <n v="0"/>
    <n v="0"/>
    <n v="0"/>
    <n v="0"/>
  </r>
  <r>
    <n v="115"/>
    <s v="Quỳnh Anh"/>
    <s v="Quốc Anh"/>
    <s v="105248"/>
    <x v="57"/>
    <s v="ĐẠI NHẤT LONG"/>
    <s v="Hiện hữu"/>
    <s v="Nội địa"/>
    <s v="Tây Ninh"/>
    <s v="Việt Nam"/>
    <s v="Châu Á"/>
    <s v="DDP"/>
    <s v="110000407"/>
    <s v="Vảy HD Ép Đỏ"/>
    <x v="3"/>
    <s v="Vảy HD ép"/>
    <x v="1"/>
    <x v="0"/>
    <x v="0"/>
    <s v="KHÁCH HÀNG HIỆN HỮU CÒN LẠI"/>
    <s v="x"/>
    <n v="0.8"/>
    <m/>
    <m/>
    <m/>
    <m/>
    <m/>
    <m/>
    <m/>
    <m/>
    <m/>
    <m/>
    <m/>
    <m/>
    <n v="0"/>
    <n v="34.25"/>
    <n v="-34.25"/>
    <n v="-1"/>
    <n v="560"/>
    <n v="560"/>
    <n v="560"/>
    <n v="560"/>
    <n v="560"/>
    <n v="560"/>
    <n v="560"/>
    <n v="560"/>
    <n v="560"/>
    <n v="560"/>
    <n v="560"/>
    <n v="560"/>
    <n v="560"/>
    <m/>
    <n v="560"/>
    <n v="0"/>
    <m/>
    <n v="0"/>
    <n v="0"/>
    <n v="0"/>
    <n v="0"/>
    <n v="0"/>
    <n v="0"/>
    <n v="0"/>
    <n v="0"/>
    <n v="0"/>
    <n v="0"/>
    <n v="0"/>
    <n v="0"/>
    <n v="0"/>
    <n v="328928281.2477178"/>
    <n v="-328928281.2477178"/>
    <n v="-1"/>
    <m/>
    <m/>
    <m/>
    <n v="0"/>
    <n v="0"/>
    <n v="0"/>
    <n v="0"/>
    <n v="0"/>
    <n v="0"/>
    <n v="0"/>
    <n v="0"/>
    <n v="0"/>
    <n v="0"/>
    <n v="0"/>
    <n v="0"/>
    <n v="0"/>
    <n v="0"/>
    <n v="0"/>
    <n v="0"/>
    <n v="0"/>
    <n v="0"/>
    <n v="0"/>
    <n v="0"/>
    <n v="0"/>
    <n v="0"/>
    <n v="0"/>
    <n v="0"/>
    <n v="0"/>
    <n v="0"/>
    <n v="0"/>
    <n v="0"/>
    <n v="0"/>
    <n v="0"/>
    <n v="0"/>
    <n v="0"/>
    <n v="0"/>
    <n v="0"/>
    <n v="0"/>
    <n v="0"/>
    <n v="0"/>
    <n v="0"/>
    <n v="0"/>
    <n v="0"/>
    <n v="0"/>
    <n v="0"/>
    <n v="0"/>
    <m/>
    <m/>
    <m/>
    <m/>
    <n v="0"/>
    <n v="0"/>
    <n v="0"/>
    <n v="0"/>
    <n v="0"/>
    <n v="0"/>
    <n v="0"/>
    <n v="0"/>
    <n v="0"/>
    <n v="0"/>
    <n v="0"/>
    <n v="0"/>
    <n v="0"/>
  </r>
  <r>
    <n v="116"/>
    <s v="Quỳnh Anh"/>
    <s v="Quốc Anh"/>
    <s v="105339"/>
    <x v="38"/>
    <s v="HUY THÀNH"/>
    <s v="Hiện hữu"/>
    <s v="Nội địa"/>
    <s v="Tây Ninh"/>
    <s v="Việt Nam"/>
    <s v="Châu Á"/>
    <s v="DDP"/>
    <s v="110000411"/>
    <s v="Vảy HD Ép Dương"/>
    <x v="3"/>
    <s v="Vảy HD ép"/>
    <x v="1"/>
    <x v="0"/>
    <x v="0"/>
    <s v="HUY THÀNH"/>
    <s v="x"/>
    <n v="0.8"/>
    <m/>
    <m/>
    <m/>
    <m/>
    <m/>
    <m/>
    <m/>
    <m/>
    <m/>
    <m/>
    <m/>
    <m/>
    <n v="0"/>
    <n v="48.8"/>
    <n v="-48.8"/>
    <n v="-1"/>
    <n v="560"/>
    <n v="560"/>
    <n v="560"/>
    <n v="560"/>
    <n v="560"/>
    <n v="560"/>
    <n v="560"/>
    <n v="560"/>
    <n v="560"/>
    <n v="560"/>
    <n v="560"/>
    <n v="560"/>
    <n v="560"/>
    <m/>
    <n v="560"/>
    <n v="0"/>
    <m/>
    <n v="0"/>
    <n v="0"/>
    <n v="0"/>
    <n v="0"/>
    <n v="0"/>
    <n v="0"/>
    <n v="0"/>
    <n v="0"/>
    <n v="0"/>
    <n v="0"/>
    <n v="0"/>
    <n v="0"/>
    <n v="0"/>
    <n v="252644243.78180128"/>
    <n v="-252644243.78180128"/>
    <n v="-1"/>
    <s v="SL"/>
    <m/>
    <n v="1000000"/>
    <n v="0"/>
    <n v="0"/>
    <n v="0"/>
    <n v="0"/>
    <n v="0"/>
    <n v="0"/>
    <n v="0"/>
    <n v="0"/>
    <n v="0"/>
    <n v="0"/>
    <n v="0"/>
    <n v="0"/>
    <n v="0"/>
    <n v="0"/>
    <n v="0"/>
    <n v="0"/>
    <n v="0"/>
    <n v="0"/>
    <n v="0"/>
    <n v="0"/>
    <n v="0"/>
    <n v="0"/>
    <n v="0"/>
    <n v="0"/>
    <n v="0"/>
    <n v="0"/>
    <n v="0"/>
    <n v="0"/>
    <n v="0"/>
    <n v="0"/>
    <n v="0"/>
    <n v="0"/>
    <n v="0"/>
    <n v="0"/>
    <n v="0"/>
    <n v="0"/>
    <n v="0"/>
    <n v="0"/>
    <n v="0"/>
    <n v="0"/>
    <n v="0"/>
    <n v="0"/>
    <n v="0"/>
    <m/>
    <m/>
    <m/>
    <m/>
    <n v="0"/>
    <n v="0"/>
    <n v="0"/>
    <n v="0"/>
    <n v="0"/>
    <n v="0"/>
    <n v="0"/>
    <n v="0"/>
    <n v="0"/>
    <n v="0"/>
    <n v="0"/>
    <n v="0"/>
    <n v="0"/>
  </r>
  <r>
    <n v="117"/>
    <s v="Quỳnh Anh"/>
    <s v="Quốc Anh"/>
    <s v="105339"/>
    <x v="38"/>
    <s v="HUY THÀNH"/>
    <s v="Hiện hữu"/>
    <s v="Nội địa"/>
    <s v="Tây Ninh"/>
    <s v="Việt Nam"/>
    <s v="Châu Á"/>
    <s v="DDP"/>
    <s v="110000409"/>
    <s v="Vảy HD Ép Vàng"/>
    <x v="3"/>
    <s v="Vảy HD ép"/>
    <x v="1"/>
    <x v="0"/>
    <x v="0"/>
    <s v="HUY THÀNH"/>
    <s v="x"/>
    <n v="0.8"/>
    <m/>
    <m/>
    <m/>
    <m/>
    <m/>
    <m/>
    <m/>
    <m/>
    <m/>
    <m/>
    <m/>
    <m/>
    <n v="0"/>
    <n v="63.8"/>
    <n v="-63.8"/>
    <n v="-1"/>
    <n v="560"/>
    <n v="560"/>
    <n v="560"/>
    <n v="560"/>
    <n v="560"/>
    <n v="560"/>
    <n v="560"/>
    <n v="560"/>
    <n v="560"/>
    <n v="560"/>
    <n v="560"/>
    <n v="560"/>
    <n v="560"/>
    <m/>
    <n v="560"/>
    <n v="0"/>
    <m/>
    <n v="0"/>
    <n v="0"/>
    <n v="0"/>
    <n v="0"/>
    <n v="0"/>
    <n v="0"/>
    <n v="0"/>
    <n v="0"/>
    <n v="0"/>
    <n v="0"/>
    <n v="0"/>
    <n v="0"/>
    <n v="0"/>
    <n v="491264293.82901192"/>
    <n v="-491264293.82901192"/>
    <n v="-1"/>
    <s v="SL"/>
    <m/>
    <n v="1000000"/>
    <n v="0"/>
    <n v="0"/>
    <n v="0"/>
    <n v="0"/>
    <n v="0"/>
    <n v="0"/>
    <n v="0"/>
    <n v="0"/>
    <n v="0"/>
    <n v="0"/>
    <n v="0"/>
    <n v="0"/>
    <n v="0"/>
    <n v="0"/>
    <n v="0"/>
    <n v="0"/>
    <n v="0"/>
    <n v="0"/>
    <n v="0"/>
    <n v="0"/>
    <n v="0"/>
    <n v="0"/>
    <n v="0"/>
    <n v="0"/>
    <n v="0"/>
    <n v="0"/>
    <n v="0"/>
    <n v="0"/>
    <n v="0"/>
    <n v="0"/>
    <n v="0"/>
    <n v="0"/>
    <n v="0"/>
    <n v="0"/>
    <n v="0"/>
    <n v="0"/>
    <n v="0"/>
    <n v="0"/>
    <n v="0"/>
    <n v="0"/>
    <n v="0"/>
    <n v="0"/>
    <n v="0"/>
    <m/>
    <m/>
    <m/>
    <m/>
    <n v="0"/>
    <n v="0"/>
    <n v="0"/>
    <n v="0"/>
    <n v="0"/>
    <n v="0"/>
    <n v="0"/>
    <n v="0"/>
    <n v="0"/>
    <n v="0"/>
    <n v="0"/>
    <n v="0"/>
    <n v="0"/>
  </r>
  <r>
    <n v="118"/>
    <s v="Cường"/>
    <s v="Cường"/>
    <s v="200359"/>
    <x v="65"/>
    <s v="PREMIUM WATER"/>
    <s v="Hiện hữu"/>
    <s v="Xuất khẩu"/>
    <s v="Los Angeles"/>
    <s v="Mỹ"/>
    <s v="Châu Mỹ"/>
    <s v="FOB"/>
    <s v="110000359"/>
    <s v="WSS03G"/>
    <x v="0"/>
    <s v="Hạt PET"/>
    <x v="5"/>
    <x v="0"/>
    <x v="0"/>
    <s v="KHÁCH HÀNG HIỆN HỮU CÒN LẠI"/>
    <m/>
    <n v="0.8"/>
    <m/>
    <m/>
    <m/>
    <m/>
    <m/>
    <m/>
    <m/>
    <m/>
    <m/>
    <m/>
    <m/>
    <m/>
    <n v="0"/>
    <n v="440"/>
    <n v="-440"/>
    <n v="-1"/>
    <n v="970"/>
    <n v="970"/>
    <n v="970"/>
    <n v="970"/>
    <n v="970"/>
    <n v="970"/>
    <n v="970"/>
    <n v="970"/>
    <n v="970"/>
    <n v="970"/>
    <n v="970"/>
    <n v="970"/>
    <n v="970"/>
    <m/>
    <n v="970"/>
    <n v="0"/>
    <m/>
    <n v="0"/>
    <n v="0"/>
    <n v="0"/>
    <n v="0"/>
    <n v="0"/>
    <n v="0"/>
    <n v="0"/>
    <n v="0"/>
    <n v="0"/>
    <n v="0"/>
    <n v="0"/>
    <n v="0"/>
    <n v="0"/>
    <n v="11687247944.4688"/>
    <n v="-11687247944.4688"/>
    <n v="-1"/>
    <m/>
    <m/>
    <m/>
    <n v="0"/>
    <n v="0"/>
    <n v="0"/>
    <n v="0"/>
    <n v="0"/>
    <n v="0"/>
    <n v="0"/>
    <n v="0"/>
    <n v="0"/>
    <n v="0"/>
    <n v="0"/>
    <n v="0"/>
    <n v="0"/>
    <n v="0"/>
    <n v="530000"/>
    <n v="530000"/>
    <n v="0"/>
    <n v="0"/>
    <n v="0"/>
    <n v="0"/>
    <n v="0"/>
    <n v="0"/>
    <n v="0"/>
    <n v="0"/>
    <n v="0"/>
    <n v="0"/>
    <n v="0"/>
    <n v="0"/>
    <n v="0"/>
    <n v="0"/>
    <n v="0"/>
    <n v="0"/>
    <n v="0"/>
    <n v="0"/>
    <n v="0"/>
    <n v="0"/>
    <n v="0"/>
    <n v="0"/>
    <n v="0"/>
    <n v="0"/>
    <n v="0"/>
    <n v="0"/>
    <n v="0"/>
    <m/>
    <m/>
    <m/>
    <m/>
    <n v="0"/>
    <n v="0"/>
    <n v="0"/>
    <n v="0"/>
    <n v="0"/>
    <n v="0"/>
    <n v="0"/>
    <n v="0"/>
    <n v="0"/>
    <n v="0"/>
    <n v="0"/>
    <n v="0"/>
    <n v="0"/>
  </r>
  <r>
    <n v="119"/>
    <s v="Nghĩa"/>
    <s v="Cường"/>
    <s v="102865"/>
    <x v="2"/>
    <s v="Dynaplast Bình Dương"/>
    <s v="Hiện hữu"/>
    <s v="Nội địa"/>
    <s v="Bình Dương"/>
    <s v="Việt Nam"/>
    <s v="Châu Á"/>
    <s v="DDP"/>
    <s v="110000339"/>
    <s v="rHDPE MBF01"/>
    <x v="2"/>
    <s v="Hạt HD thổi"/>
    <x v="1"/>
    <x v="2"/>
    <x v="0"/>
    <s v="Unilever"/>
    <m/>
    <n v="0.8"/>
    <m/>
    <m/>
    <m/>
    <m/>
    <m/>
    <m/>
    <m/>
    <m/>
    <m/>
    <m/>
    <m/>
    <m/>
    <n v="0"/>
    <n v="21.975000000000001"/>
    <n v="-21.975000000000001"/>
    <n v="-1"/>
    <n v="1180"/>
    <n v="1180"/>
    <n v="1180"/>
    <n v="1180"/>
    <n v="1180"/>
    <n v="1180"/>
    <n v="1180"/>
    <n v="1180"/>
    <n v="1180"/>
    <n v="1180"/>
    <n v="1180"/>
    <n v="1180"/>
    <n v="1180"/>
    <m/>
    <n v="1180"/>
    <n v="0"/>
    <m/>
    <n v="0"/>
    <n v="0"/>
    <n v="0"/>
    <n v="0"/>
    <n v="0"/>
    <n v="0"/>
    <n v="0"/>
    <n v="0"/>
    <n v="0"/>
    <n v="0"/>
    <n v="0"/>
    <n v="0"/>
    <n v="0"/>
    <n v="777045000"/>
    <n v="-777045000"/>
    <n v="-1"/>
    <m/>
    <m/>
    <m/>
    <n v="0"/>
    <n v="0"/>
    <n v="0"/>
    <n v="0"/>
    <n v="0"/>
    <n v="0"/>
    <n v="0"/>
    <n v="0"/>
    <n v="0"/>
    <n v="0"/>
    <n v="0"/>
    <n v="0"/>
    <n v="0"/>
    <n v="0"/>
    <n v="0"/>
    <n v="0"/>
    <n v="0"/>
    <n v="0"/>
    <n v="0"/>
    <n v="0"/>
    <n v="0"/>
    <n v="0"/>
    <n v="0"/>
    <n v="0"/>
    <n v="0"/>
    <n v="0"/>
    <n v="0"/>
    <n v="0"/>
    <n v="0"/>
    <n v="0"/>
    <n v="0"/>
    <n v="0"/>
    <n v="0"/>
    <n v="0"/>
    <n v="0"/>
    <n v="0"/>
    <n v="0"/>
    <n v="0"/>
    <n v="0"/>
    <n v="0"/>
    <n v="0"/>
    <n v="0"/>
    <n v="0"/>
    <m/>
    <m/>
    <m/>
    <m/>
    <n v="0"/>
    <n v="0"/>
    <n v="0"/>
    <n v="0"/>
    <n v="0"/>
    <n v="0"/>
    <n v="0"/>
    <n v="0"/>
    <n v="0"/>
    <n v="0"/>
    <n v="0"/>
    <n v="0"/>
    <n v="0"/>
  </r>
  <r>
    <n v="120"/>
    <s v="Nghĩa"/>
    <s v="Cường"/>
    <s v="104894"/>
    <x v="2"/>
    <s v="UNILEVER-NGỌC NGHĨA"/>
    <s v="Hiện hữu"/>
    <s v="Nội địa"/>
    <s v="Hồ Chí Minh"/>
    <s v="Việt Nam"/>
    <s v="Châu Á"/>
    <s v="DDP"/>
    <s v="110000355"/>
    <s v="iSS01G 1"/>
    <x v="0"/>
    <s v="Hạt PET"/>
    <x v="2"/>
    <x v="0"/>
    <x v="0"/>
    <s v="KHÁCH HÀNG HIỆN HỮU CÒN LẠI"/>
    <m/>
    <n v="0.8"/>
    <n v="0"/>
    <n v="0"/>
    <n v="0"/>
    <n v="0"/>
    <n v="0"/>
    <n v="0"/>
    <n v="0"/>
    <n v="0"/>
    <n v="0"/>
    <n v="0"/>
    <n v="0"/>
    <n v="0"/>
    <n v="0"/>
    <n v="0"/>
    <n v="0"/>
    <n v="0"/>
    <m/>
    <m/>
    <m/>
    <m/>
    <m/>
    <m/>
    <m/>
    <m/>
    <m/>
    <m/>
    <m/>
    <m/>
    <n v="0"/>
    <m/>
    <n v="0"/>
    <n v="0"/>
    <m/>
    <n v="0"/>
    <n v="0"/>
    <n v="0"/>
    <n v="0"/>
    <n v="0"/>
    <n v="0"/>
    <n v="0"/>
    <n v="0"/>
    <n v="0"/>
    <n v="0"/>
    <n v="0"/>
    <n v="0"/>
    <n v="0"/>
    <n v="0"/>
    <n v="0"/>
    <n v="0"/>
    <m/>
    <m/>
    <m/>
    <n v="0"/>
    <n v="0"/>
    <n v="0"/>
    <n v="0"/>
    <n v="0"/>
    <n v="0"/>
    <n v="0"/>
    <n v="0"/>
    <n v="0"/>
    <n v="0"/>
    <n v="0"/>
    <n v="0"/>
    <n v="0"/>
    <n v="140000"/>
    <n v="0"/>
    <n v="0"/>
    <n v="0"/>
    <n v="0"/>
    <n v="0"/>
    <n v="0"/>
    <n v="0"/>
    <n v="0"/>
    <n v="0"/>
    <n v="0"/>
    <n v="0"/>
    <n v="0"/>
    <n v="0"/>
    <n v="0"/>
    <n v="0"/>
    <n v="0"/>
    <n v="0"/>
    <n v="0"/>
    <n v="0"/>
    <n v="0"/>
    <n v="0"/>
    <n v="0"/>
    <n v="0"/>
    <n v="0"/>
    <n v="0"/>
    <n v="0"/>
    <n v="0"/>
    <n v="0"/>
    <n v="0"/>
    <m/>
    <m/>
    <m/>
    <m/>
    <n v="0"/>
    <n v="0"/>
    <n v="0"/>
    <n v="0"/>
    <n v="0"/>
    <n v="0"/>
    <n v="0"/>
    <n v="0"/>
    <n v="0"/>
    <n v="0"/>
    <n v="0"/>
    <n v="0"/>
    <n v="0"/>
  </r>
  <r>
    <n v="121"/>
    <s v="Duy"/>
    <s v="Cường"/>
    <s v="104909"/>
    <x v="4"/>
    <s v="Công ty TNHH La Vie"/>
    <s v="Hiện hữu"/>
    <s v="Nội địa"/>
    <s v="Tây Ninh"/>
    <s v="Việt Nam"/>
    <s v="Châu Á"/>
    <s v="EXW"/>
    <s v="110000497"/>
    <s v="WSS01G-L"/>
    <x v="0"/>
    <s v="Hạt PET"/>
    <x v="0"/>
    <x v="0"/>
    <x v="0"/>
    <m/>
    <m/>
    <n v="0.8"/>
    <m/>
    <m/>
    <m/>
    <m/>
    <m/>
    <m/>
    <m/>
    <m/>
    <m/>
    <m/>
    <m/>
    <m/>
    <n v="0"/>
    <n v="6.0500000000000007"/>
    <n v="-6.0500000000000007"/>
    <n v="-1"/>
    <n v="1040"/>
    <n v="1040"/>
    <n v="1040"/>
    <n v="1040"/>
    <n v="1040"/>
    <n v="1040"/>
    <n v="1040"/>
    <n v="1040"/>
    <n v="1040"/>
    <n v="1040"/>
    <n v="1040"/>
    <n v="1040"/>
    <n v="1040"/>
    <m/>
    <n v="1040"/>
    <n v="0"/>
    <m/>
    <n v="0"/>
    <n v="0"/>
    <n v="0"/>
    <n v="0"/>
    <n v="0"/>
    <n v="0"/>
    <n v="0"/>
    <n v="0"/>
    <n v="0"/>
    <n v="0"/>
    <n v="0"/>
    <n v="0"/>
    <n v="0"/>
    <n v="211654815.10179615"/>
    <n v="-211654815.10179615"/>
    <n v="-1"/>
    <m/>
    <m/>
    <m/>
    <n v="0"/>
    <n v="0"/>
    <n v="0"/>
    <n v="0"/>
    <n v="0"/>
    <n v="0"/>
    <n v="0"/>
    <n v="0"/>
    <n v="0"/>
    <n v="0"/>
    <n v="0"/>
    <n v="0"/>
    <n v="0"/>
    <n v="0"/>
    <n v="0"/>
    <n v="0"/>
    <n v="0"/>
    <n v="0"/>
    <n v="0"/>
    <n v="0"/>
    <n v="0"/>
    <n v="0"/>
    <n v="0"/>
    <n v="0"/>
    <n v="0"/>
    <n v="0"/>
    <n v="0"/>
    <n v="0"/>
    <n v="0"/>
    <n v="0"/>
    <n v="0"/>
    <n v="0"/>
    <n v="0"/>
    <n v="0"/>
    <n v="0"/>
    <n v="0"/>
    <n v="0"/>
    <n v="0"/>
    <n v="0"/>
    <n v="0"/>
    <n v="0"/>
    <n v="0"/>
    <n v="0"/>
    <m/>
    <m/>
    <m/>
    <m/>
    <n v="0"/>
    <n v="0"/>
    <n v="0"/>
    <n v="0"/>
    <n v="0"/>
    <n v="0"/>
    <n v="0"/>
    <n v="0"/>
    <n v="0"/>
    <n v="0"/>
    <n v="0"/>
    <n v="0"/>
    <n v="0"/>
  </r>
  <r>
    <n v="122"/>
    <s v="Duy"/>
    <s v="Cường"/>
    <s v="104909"/>
    <x v="4"/>
    <s v="Công ty TNHH La Vie"/>
    <s v="Hiện hữu"/>
    <s v="Nội địa"/>
    <s v="Tây Ninh"/>
    <s v="Việt Nam"/>
    <s v="Châu Á"/>
    <s v="EXW"/>
    <s v="110000506"/>
    <s v="WSS01 &amp; WSS01G-L"/>
    <x v="0"/>
    <s v="Hạt PET"/>
    <x v="0"/>
    <x v="0"/>
    <x v="0"/>
    <m/>
    <m/>
    <n v="0.8"/>
    <m/>
    <m/>
    <m/>
    <m/>
    <m/>
    <m/>
    <m/>
    <m/>
    <m/>
    <m/>
    <m/>
    <m/>
    <n v="0"/>
    <n v="422.4"/>
    <n v="-422.4"/>
    <n v="-1"/>
    <n v="1250"/>
    <n v="1250"/>
    <n v="1250"/>
    <n v="1250"/>
    <n v="1250"/>
    <n v="1250"/>
    <n v="1250"/>
    <n v="1250"/>
    <n v="1250"/>
    <n v="1250"/>
    <n v="1250"/>
    <n v="1250"/>
    <n v="1250"/>
    <m/>
    <n v="1250"/>
    <n v="0"/>
    <m/>
    <n v="0"/>
    <n v="0"/>
    <n v="0"/>
    <n v="0"/>
    <n v="0"/>
    <n v="0"/>
    <n v="0"/>
    <n v="0"/>
    <n v="0"/>
    <n v="0"/>
    <n v="0"/>
    <n v="0"/>
    <n v="0"/>
    <n v="15462379232.604805"/>
    <n v="-15462379232.604805"/>
    <n v="-1"/>
    <m/>
    <m/>
    <m/>
    <n v="0"/>
    <n v="0"/>
    <n v="0"/>
    <n v="0"/>
    <n v="0"/>
    <n v="0"/>
    <n v="0"/>
    <n v="0"/>
    <n v="0"/>
    <n v="0"/>
    <n v="0"/>
    <n v="0"/>
    <n v="0"/>
    <n v="0"/>
    <n v="0"/>
    <n v="0"/>
    <n v="0"/>
    <n v="0"/>
    <n v="0"/>
    <n v="0"/>
    <n v="0"/>
    <n v="0"/>
    <n v="0"/>
    <n v="0"/>
    <n v="0"/>
    <n v="0"/>
    <n v="0"/>
    <n v="0"/>
    <n v="0"/>
    <n v="0"/>
    <n v="0"/>
    <n v="0"/>
    <n v="0"/>
    <n v="0"/>
    <n v="0"/>
    <n v="0"/>
    <n v="0"/>
    <n v="0"/>
    <n v="0"/>
    <n v="0"/>
    <n v="0"/>
    <n v="0"/>
    <n v="0"/>
    <m/>
    <m/>
    <m/>
    <m/>
    <n v="0"/>
    <n v="0"/>
    <n v="0"/>
    <n v="0"/>
    <n v="0"/>
    <n v="0"/>
    <n v="0"/>
    <n v="0"/>
    <n v="0"/>
    <n v="0"/>
    <n v="0"/>
    <n v="0"/>
    <n v="0"/>
  </r>
  <r>
    <n v="123"/>
    <s v="Quỳnh Anh"/>
    <s v="Quốc Anh"/>
    <s v="105189"/>
    <x v="61"/>
    <s v="Công ty Chấn Thuận Thành"/>
    <s v="Hiện hữu"/>
    <s v="Nội địa"/>
    <s v="Hồ Chí Minh"/>
    <s v="Việt Nam"/>
    <s v="Châu Á"/>
    <s v="DDP"/>
    <s v="110000410"/>
    <s v="Vảy HD Ép Lá"/>
    <x v="3"/>
    <s v="Vảy HD ép"/>
    <x v="1"/>
    <x v="0"/>
    <x v="0"/>
    <s v="KHÁCH HÀNG HIỆN HỮU CÒN LẠI"/>
    <m/>
    <n v="0.8"/>
    <m/>
    <m/>
    <m/>
    <m/>
    <m/>
    <m/>
    <m/>
    <m/>
    <m/>
    <m/>
    <m/>
    <m/>
    <n v="0"/>
    <n v="0.75"/>
    <n v="-0.75"/>
    <n v="-1"/>
    <n v="560"/>
    <n v="560"/>
    <n v="560"/>
    <n v="560"/>
    <n v="560"/>
    <n v="560"/>
    <n v="560"/>
    <n v="560"/>
    <n v="560"/>
    <n v="560"/>
    <n v="560"/>
    <n v="560"/>
    <n v="560"/>
    <m/>
    <n v="560"/>
    <n v="0"/>
    <m/>
    <n v="0"/>
    <n v="0"/>
    <n v="0"/>
    <n v="0"/>
    <n v="0"/>
    <n v="0"/>
    <n v="0"/>
    <n v="0"/>
    <n v="0"/>
    <n v="0"/>
    <n v="0"/>
    <n v="0"/>
    <n v="0"/>
    <n v="13000250.974885846"/>
    <n v="-13000250.974885846"/>
    <n v="-1"/>
    <m/>
    <m/>
    <m/>
    <n v="0"/>
    <n v="0"/>
    <n v="0"/>
    <n v="0"/>
    <n v="0"/>
    <n v="0"/>
    <n v="0"/>
    <n v="0"/>
    <n v="0"/>
    <n v="0"/>
    <n v="0"/>
    <n v="0"/>
    <n v="0"/>
    <n v="0"/>
    <n v="0"/>
    <n v="0"/>
    <n v="0"/>
    <n v="0"/>
    <n v="0"/>
    <n v="0"/>
    <n v="0"/>
    <n v="0"/>
    <n v="0"/>
    <n v="0"/>
    <n v="0"/>
    <n v="0"/>
    <n v="0"/>
    <n v="0"/>
    <n v="0"/>
    <n v="0"/>
    <n v="0"/>
    <n v="0"/>
    <n v="0"/>
    <n v="0"/>
    <n v="0"/>
    <n v="0"/>
    <n v="0"/>
    <n v="0"/>
    <n v="0"/>
    <n v="0"/>
    <n v="0"/>
    <n v="0"/>
    <n v="0"/>
    <m/>
    <m/>
    <m/>
    <m/>
    <n v="0"/>
    <n v="0"/>
    <n v="0"/>
    <n v="0"/>
    <n v="0"/>
    <n v="0"/>
    <n v="0"/>
    <n v="0"/>
    <n v="0"/>
    <n v="0"/>
    <n v="0"/>
    <n v="0"/>
    <n v="0"/>
  </r>
  <r>
    <n v="124"/>
    <s v="Quỳnh Anh"/>
    <s v="Quốc Anh"/>
    <s v="105214"/>
    <x v="66"/>
    <s v="Người mua hàng không lấy hóa đơn"/>
    <s v="Hiện hữu"/>
    <s v="Nội địa"/>
    <s v="Tây Ninh"/>
    <s v="Việt Nam"/>
    <s v="Châu Á"/>
    <s v="EXW"/>
    <s v="110000407"/>
    <s v="Vảy HD Ép Đỏ"/>
    <x v="3"/>
    <s v="Vảy HD ép"/>
    <x v="1"/>
    <x v="0"/>
    <x v="0"/>
    <s v="KHÁCH HÀNG HIỆN HỮU CÒN LẠI"/>
    <m/>
    <n v="0.8"/>
    <m/>
    <m/>
    <m/>
    <m/>
    <m/>
    <m/>
    <m/>
    <m/>
    <m/>
    <m/>
    <m/>
    <m/>
    <n v="0"/>
    <n v="2.5000000000000001E-2"/>
    <n v="-2.5000000000000001E-2"/>
    <n v="-1"/>
    <n v="560"/>
    <n v="560"/>
    <n v="560"/>
    <n v="560"/>
    <n v="560"/>
    <n v="560"/>
    <n v="560"/>
    <n v="560"/>
    <n v="560"/>
    <n v="560"/>
    <n v="560"/>
    <n v="560"/>
    <n v="560"/>
    <m/>
    <n v="560"/>
    <n v="0"/>
    <m/>
    <n v="0"/>
    <n v="0"/>
    <n v="0"/>
    <n v="0"/>
    <n v="0"/>
    <n v="0"/>
    <n v="0"/>
    <n v="0"/>
    <n v="0"/>
    <n v="0"/>
    <n v="0"/>
    <n v="0"/>
    <n v="0"/>
    <n v="375000"/>
    <n v="-375000"/>
    <n v="-1"/>
    <m/>
    <m/>
    <m/>
    <n v="0"/>
    <n v="0"/>
    <n v="0"/>
    <n v="0"/>
    <n v="0"/>
    <n v="0"/>
    <n v="0"/>
    <n v="0"/>
    <n v="0"/>
    <n v="0"/>
    <n v="0"/>
    <n v="0"/>
    <n v="0"/>
    <n v="0"/>
    <n v="0"/>
    <n v="0"/>
    <n v="0"/>
    <n v="0"/>
    <n v="0"/>
    <n v="0"/>
    <n v="0"/>
    <n v="0"/>
    <n v="0"/>
    <n v="0"/>
    <n v="0"/>
    <n v="0"/>
    <n v="0"/>
    <n v="0"/>
    <n v="0"/>
    <n v="0"/>
    <n v="0"/>
    <n v="0"/>
    <n v="0"/>
    <n v="0"/>
    <n v="0"/>
    <n v="0"/>
    <n v="0"/>
    <n v="0"/>
    <n v="0"/>
    <n v="0"/>
    <n v="0"/>
    <n v="0"/>
    <n v="0"/>
    <m/>
    <m/>
    <m/>
    <m/>
    <n v="0"/>
    <n v="0"/>
    <n v="0"/>
    <n v="0"/>
    <n v="0"/>
    <n v="0"/>
    <n v="0"/>
    <n v="0"/>
    <n v="0"/>
    <n v="0"/>
    <n v="0"/>
    <n v="0"/>
    <n v="0"/>
  </r>
  <r>
    <n v="125"/>
    <s v="Quỳnh Anh"/>
    <s v="Quốc Anh"/>
    <s v="105214"/>
    <x v="66"/>
    <s v="Người mua hàng không lấy hóa đơn"/>
    <s v="Hiện hữu"/>
    <s v="Nội địa"/>
    <s v="Tây Ninh"/>
    <s v="Việt Nam"/>
    <s v="Châu Á"/>
    <s v="EXW"/>
    <s v="110000408"/>
    <s v="Vảy HD Ép Trắng"/>
    <x v="3"/>
    <s v="Vảy HD ép"/>
    <x v="1"/>
    <x v="0"/>
    <x v="0"/>
    <s v="KHÁCH HÀNG HIỆN HỮU CÒN LẠI"/>
    <m/>
    <n v="0.8"/>
    <m/>
    <m/>
    <m/>
    <m/>
    <m/>
    <m/>
    <m/>
    <m/>
    <m/>
    <m/>
    <m/>
    <m/>
    <n v="0"/>
    <n v="2.5000000000000001E-2"/>
    <n v="-2.5000000000000001E-2"/>
    <n v="-1"/>
    <n v="560"/>
    <n v="560"/>
    <n v="560"/>
    <n v="560"/>
    <n v="560"/>
    <n v="560"/>
    <n v="560"/>
    <n v="560"/>
    <n v="560"/>
    <n v="560"/>
    <n v="560"/>
    <n v="560"/>
    <n v="560"/>
    <m/>
    <n v="560"/>
    <n v="0"/>
    <m/>
    <n v="0"/>
    <n v="0"/>
    <n v="0"/>
    <n v="0"/>
    <n v="0"/>
    <n v="0"/>
    <n v="0"/>
    <n v="0"/>
    <n v="0"/>
    <n v="0"/>
    <n v="0"/>
    <n v="0"/>
    <n v="0"/>
    <n v="375000"/>
    <n v="-375000"/>
    <n v="-1"/>
    <m/>
    <m/>
    <m/>
    <n v="0"/>
    <n v="0"/>
    <n v="0"/>
    <n v="0"/>
    <n v="0"/>
    <n v="0"/>
    <n v="0"/>
    <n v="0"/>
    <n v="0"/>
    <n v="0"/>
    <n v="0"/>
    <n v="0"/>
    <n v="0"/>
    <n v="0"/>
    <n v="0"/>
    <n v="0"/>
    <n v="0"/>
    <n v="0"/>
    <n v="0"/>
    <n v="0"/>
    <n v="0"/>
    <n v="0"/>
    <n v="0"/>
    <n v="0"/>
    <n v="0"/>
    <n v="0"/>
    <n v="0"/>
    <n v="0"/>
    <n v="0"/>
    <n v="0"/>
    <n v="0"/>
    <n v="0"/>
    <n v="0"/>
    <n v="0"/>
    <n v="0"/>
    <n v="0"/>
    <n v="0"/>
    <n v="0"/>
    <n v="0"/>
    <n v="0"/>
    <n v="0"/>
    <n v="0"/>
    <n v="0"/>
    <m/>
    <m/>
    <m/>
    <m/>
    <n v="0"/>
    <n v="0"/>
    <n v="0"/>
    <n v="0"/>
    <n v="0"/>
    <n v="0"/>
    <n v="0"/>
    <n v="0"/>
    <n v="0"/>
    <n v="0"/>
    <n v="0"/>
    <n v="0"/>
    <n v="0"/>
  </r>
  <r>
    <n v="126"/>
    <s v="Quỳnh Anh"/>
    <s v="Quốc Anh"/>
    <s v="105214"/>
    <x v="66"/>
    <s v="Người mua hàng không lấy hóa đơn"/>
    <s v="Hiện hữu"/>
    <s v="Nội địa"/>
    <s v="Tây Ninh"/>
    <s v="Việt Nam"/>
    <s v="Châu Á"/>
    <s v="EXW"/>
    <s v="110000409"/>
    <s v="Vảy HD Ép Vàng"/>
    <x v="3"/>
    <s v="Vảy HD ép"/>
    <x v="1"/>
    <x v="0"/>
    <x v="0"/>
    <s v="KHÁCH HÀNG HIỆN HỮU CÒN LẠI"/>
    <m/>
    <n v="0.8"/>
    <m/>
    <m/>
    <m/>
    <m/>
    <m/>
    <m/>
    <m/>
    <m/>
    <m/>
    <m/>
    <m/>
    <m/>
    <n v="0"/>
    <n v="2.5000000000000001E-2"/>
    <n v="-2.5000000000000001E-2"/>
    <n v="-1"/>
    <n v="560"/>
    <n v="560"/>
    <n v="560"/>
    <n v="560"/>
    <n v="560"/>
    <n v="560"/>
    <n v="560"/>
    <n v="560"/>
    <n v="560"/>
    <n v="560"/>
    <n v="560"/>
    <n v="560"/>
    <n v="560"/>
    <m/>
    <n v="560"/>
    <n v="0"/>
    <m/>
    <n v="0"/>
    <n v="0"/>
    <n v="0"/>
    <n v="0"/>
    <n v="0"/>
    <n v="0"/>
    <n v="0"/>
    <n v="0"/>
    <n v="0"/>
    <n v="0"/>
    <n v="0"/>
    <n v="0"/>
    <n v="0"/>
    <n v="375000"/>
    <n v="-375000"/>
    <n v="-1"/>
    <m/>
    <m/>
    <m/>
    <n v="0"/>
    <n v="0"/>
    <n v="0"/>
    <n v="0"/>
    <n v="0"/>
    <n v="0"/>
    <n v="0"/>
    <n v="0"/>
    <n v="0"/>
    <n v="0"/>
    <n v="0"/>
    <n v="0"/>
    <n v="0"/>
    <n v="0"/>
    <n v="0"/>
    <n v="0"/>
    <n v="0"/>
    <n v="0"/>
    <n v="0"/>
    <n v="0"/>
    <n v="0"/>
    <n v="0"/>
    <n v="0"/>
    <n v="0"/>
    <n v="0"/>
    <n v="0"/>
    <n v="0"/>
    <n v="0"/>
    <n v="0"/>
    <n v="0"/>
    <n v="0"/>
    <n v="0"/>
    <n v="0"/>
    <n v="0"/>
    <n v="0"/>
    <n v="0"/>
    <n v="0"/>
    <n v="0"/>
    <n v="0"/>
    <n v="0"/>
    <n v="0"/>
    <n v="0"/>
    <n v="0"/>
    <m/>
    <m/>
    <m/>
    <m/>
    <n v="0"/>
    <n v="0"/>
    <n v="0"/>
    <n v="0"/>
    <n v="0"/>
    <n v="0"/>
    <n v="0"/>
    <n v="0"/>
    <n v="0"/>
    <n v="0"/>
    <n v="0"/>
    <n v="0"/>
    <n v="0"/>
  </r>
  <r>
    <n v="127"/>
    <s v="Quỳnh Anh"/>
    <s v="Quốc Anh"/>
    <s v="105214"/>
    <x v="66"/>
    <s v="Người mua hàng không lấy hóa đơn"/>
    <s v="Hiện hữu"/>
    <s v="Nội địa"/>
    <s v="Tây Ninh"/>
    <s v="Việt Nam"/>
    <s v="Châu Á"/>
    <s v="EXW"/>
    <s v="110000410"/>
    <s v="Vảy HD Ép Lá"/>
    <x v="3"/>
    <s v="Vảy HD ép"/>
    <x v="1"/>
    <x v="0"/>
    <x v="0"/>
    <s v="KHÁCH HÀNG HIỆN HỮU CÒN LẠI"/>
    <m/>
    <n v="0.8"/>
    <m/>
    <m/>
    <m/>
    <m/>
    <m/>
    <m/>
    <m/>
    <m/>
    <m/>
    <m/>
    <m/>
    <m/>
    <n v="0"/>
    <n v="2.5000000000000001E-2"/>
    <n v="-2.5000000000000001E-2"/>
    <n v="-1"/>
    <n v="560"/>
    <n v="560"/>
    <n v="560"/>
    <n v="560"/>
    <n v="560"/>
    <n v="560"/>
    <n v="560"/>
    <n v="560"/>
    <n v="560"/>
    <n v="560"/>
    <n v="560"/>
    <n v="560"/>
    <n v="560"/>
    <m/>
    <n v="560"/>
    <n v="0"/>
    <m/>
    <n v="0"/>
    <n v="0"/>
    <n v="0"/>
    <n v="0"/>
    <n v="0"/>
    <n v="0"/>
    <n v="0"/>
    <n v="0"/>
    <n v="0"/>
    <n v="0"/>
    <n v="0"/>
    <n v="0"/>
    <n v="0"/>
    <n v="375000"/>
    <n v="-375000"/>
    <n v="-1"/>
    <m/>
    <m/>
    <m/>
    <n v="0"/>
    <n v="0"/>
    <n v="0"/>
    <n v="0"/>
    <n v="0"/>
    <n v="0"/>
    <n v="0"/>
    <n v="0"/>
    <n v="0"/>
    <n v="0"/>
    <n v="0"/>
    <n v="0"/>
    <n v="0"/>
    <n v="0"/>
    <n v="0"/>
    <n v="0"/>
    <n v="0"/>
    <n v="0"/>
    <n v="0"/>
    <n v="0"/>
    <n v="0"/>
    <n v="0"/>
    <n v="0"/>
    <n v="0"/>
    <n v="0"/>
    <n v="0"/>
    <n v="0"/>
    <n v="0"/>
    <n v="0"/>
    <n v="0"/>
    <n v="0"/>
    <n v="0"/>
    <n v="0"/>
    <n v="0"/>
    <n v="0"/>
    <n v="0"/>
    <n v="0"/>
    <n v="0"/>
    <n v="0"/>
    <n v="0"/>
    <n v="0"/>
    <n v="0"/>
    <n v="0"/>
    <m/>
    <m/>
    <m/>
    <m/>
    <n v="0"/>
    <n v="0"/>
    <n v="0"/>
    <n v="0"/>
    <n v="0"/>
    <n v="0"/>
    <n v="0"/>
    <n v="0"/>
    <n v="0"/>
    <n v="0"/>
    <n v="0"/>
    <n v="0"/>
    <n v="0"/>
  </r>
  <r>
    <n v="128"/>
    <s v="Quỳnh Anh"/>
    <s v="Quốc Anh"/>
    <s v="105214"/>
    <x v="66"/>
    <s v="Người mua hàng không lấy hóa đơn"/>
    <s v="Hiện hữu"/>
    <s v="Nội địa"/>
    <s v="Tây Ninh"/>
    <s v="Việt Nam"/>
    <s v="Châu Á"/>
    <s v="EXW"/>
    <s v="110000411"/>
    <s v="Vảy HD Ép Dương"/>
    <x v="3"/>
    <s v="Vảy HD ép"/>
    <x v="1"/>
    <x v="0"/>
    <x v="0"/>
    <s v="KHÁCH HÀNG HIỆN HỮU CÒN LẠI"/>
    <m/>
    <n v="0.8"/>
    <m/>
    <m/>
    <m/>
    <m/>
    <m/>
    <m/>
    <m/>
    <m/>
    <m/>
    <m/>
    <m/>
    <m/>
    <n v="0"/>
    <n v="2.5000000000000001E-2"/>
    <n v="-2.5000000000000001E-2"/>
    <n v="-1"/>
    <n v="560"/>
    <n v="560"/>
    <n v="560"/>
    <n v="560"/>
    <n v="560"/>
    <n v="560"/>
    <n v="560"/>
    <n v="560"/>
    <n v="560"/>
    <n v="560"/>
    <n v="560"/>
    <n v="560"/>
    <n v="560"/>
    <m/>
    <n v="560"/>
    <n v="0"/>
    <m/>
    <n v="0"/>
    <n v="0"/>
    <n v="0"/>
    <n v="0"/>
    <n v="0"/>
    <n v="0"/>
    <n v="0"/>
    <n v="0"/>
    <n v="0"/>
    <n v="0"/>
    <n v="0"/>
    <n v="0"/>
    <n v="0"/>
    <n v="375000"/>
    <n v="-375000"/>
    <n v="-1"/>
    <m/>
    <m/>
    <m/>
    <n v="0"/>
    <n v="0"/>
    <n v="0"/>
    <n v="0"/>
    <n v="0"/>
    <n v="0"/>
    <n v="0"/>
    <n v="0"/>
    <n v="0"/>
    <n v="0"/>
    <n v="0"/>
    <n v="0"/>
    <n v="0"/>
    <n v="0"/>
    <n v="0"/>
    <n v="0"/>
    <n v="0"/>
    <n v="0"/>
    <n v="0"/>
    <n v="0"/>
    <n v="0"/>
    <n v="0"/>
    <n v="0"/>
    <n v="0"/>
    <n v="0"/>
    <n v="0"/>
    <n v="0"/>
    <n v="0"/>
    <n v="0"/>
    <n v="0"/>
    <n v="0"/>
    <n v="0"/>
    <n v="0"/>
    <n v="0"/>
    <n v="0"/>
    <n v="0"/>
    <n v="0"/>
    <n v="0"/>
    <n v="0"/>
    <n v="0"/>
    <n v="0"/>
    <n v="0"/>
    <n v="0"/>
    <m/>
    <m/>
    <m/>
    <m/>
    <n v="0"/>
    <n v="0"/>
    <n v="0"/>
    <n v="0"/>
    <n v="0"/>
    <n v="0"/>
    <n v="0"/>
    <n v="0"/>
    <n v="0"/>
    <n v="0"/>
    <n v="0"/>
    <n v="0"/>
    <n v="0"/>
  </r>
  <r>
    <n v="129"/>
    <s v="Quỳnh Anh"/>
    <s v="Quốc Anh"/>
    <s v="105214"/>
    <x v="66"/>
    <s v="Người mua hàng không lấy hóa đơn"/>
    <s v="Hiện hữu"/>
    <s v="Nội địa"/>
    <s v="Tây Ninh"/>
    <s v="Việt Nam"/>
    <s v="Châu Á"/>
    <s v="EXW"/>
    <s v="110000412"/>
    <s v="Vảy HD Ép Đen"/>
    <x v="3"/>
    <s v="Vảy HD ép"/>
    <x v="1"/>
    <x v="0"/>
    <x v="0"/>
    <m/>
    <m/>
    <n v="0.8"/>
    <m/>
    <m/>
    <m/>
    <m/>
    <m/>
    <m/>
    <m/>
    <m/>
    <m/>
    <m/>
    <m/>
    <m/>
    <n v="0"/>
    <n v="2.5000000000000001E-2"/>
    <n v="-2.5000000000000001E-2"/>
    <n v="-1"/>
    <n v="560"/>
    <n v="560"/>
    <n v="560"/>
    <n v="560"/>
    <n v="560"/>
    <n v="560"/>
    <n v="560"/>
    <n v="560"/>
    <n v="560"/>
    <n v="560"/>
    <n v="560"/>
    <n v="560"/>
    <n v="560"/>
    <m/>
    <n v="560"/>
    <n v="0"/>
    <m/>
    <n v="0"/>
    <n v="0"/>
    <n v="0"/>
    <n v="0"/>
    <n v="0"/>
    <n v="0"/>
    <n v="0"/>
    <n v="0"/>
    <n v="0"/>
    <n v="0"/>
    <n v="0"/>
    <n v="0"/>
    <n v="0"/>
    <n v="375000"/>
    <n v="-375000"/>
    <n v="-1"/>
    <m/>
    <m/>
    <m/>
    <n v="0"/>
    <n v="0"/>
    <n v="0"/>
    <n v="0"/>
    <n v="0"/>
    <n v="0"/>
    <n v="0"/>
    <n v="0"/>
    <n v="0"/>
    <n v="0"/>
    <n v="0"/>
    <n v="0"/>
    <n v="0"/>
    <n v="0"/>
    <n v="0"/>
    <n v="0"/>
    <n v="0"/>
    <n v="0"/>
    <n v="0"/>
    <n v="0"/>
    <n v="0"/>
    <n v="0"/>
    <n v="0"/>
    <n v="0"/>
    <n v="0"/>
    <n v="0"/>
    <n v="0"/>
    <n v="0"/>
    <n v="0"/>
    <n v="0"/>
    <n v="0"/>
    <n v="0"/>
    <n v="0"/>
    <n v="0"/>
    <n v="0"/>
    <n v="0"/>
    <n v="0"/>
    <n v="0"/>
    <n v="0"/>
    <n v="0"/>
    <n v="0"/>
    <n v="0"/>
    <n v="0"/>
    <m/>
    <m/>
    <m/>
    <m/>
    <n v="0"/>
    <n v="0"/>
    <n v="0"/>
    <n v="0"/>
    <n v="0"/>
    <n v="0"/>
    <n v="0"/>
    <n v="0"/>
    <n v="0"/>
    <n v="0"/>
    <n v="0"/>
    <n v="0"/>
    <n v="0"/>
  </r>
  <r>
    <n v="130"/>
    <s v="Quỳnh Anh"/>
    <s v="Quốc Anh"/>
    <s v="105214"/>
    <x v="66"/>
    <s v="Người mua hàng không lấy hóa đơn"/>
    <s v="Hiện hữu"/>
    <s v="Nội địa"/>
    <s v="Tây Ninh"/>
    <s v="Việt Nam"/>
    <s v="Châu Á"/>
    <s v="EXW"/>
    <s v="110000413"/>
    <s v="Vảy HD Ép Đồng"/>
    <x v="3"/>
    <s v="Vảy HD ép"/>
    <x v="1"/>
    <x v="0"/>
    <x v="0"/>
    <m/>
    <m/>
    <n v="0.8"/>
    <m/>
    <m/>
    <m/>
    <m/>
    <m/>
    <m/>
    <m/>
    <m/>
    <m/>
    <m/>
    <m/>
    <m/>
    <n v="0"/>
    <n v="2.5000000000000001E-2"/>
    <n v="-2.5000000000000001E-2"/>
    <n v="-1"/>
    <n v="560"/>
    <n v="560"/>
    <n v="560"/>
    <n v="560"/>
    <n v="560"/>
    <n v="560"/>
    <n v="560"/>
    <n v="560"/>
    <n v="560"/>
    <n v="560"/>
    <n v="560"/>
    <n v="560"/>
    <n v="560"/>
    <m/>
    <n v="560"/>
    <n v="0"/>
    <m/>
    <n v="0"/>
    <n v="0"/>
    <n v="0"/>
    <n v="0"/>
    <n v="0"/>
    <n v="0"/>
    <n v="0"/>
    <n v="0"/>
    <n v="0"/>
    <n v="0"/>
    <n v="0"/>
    <n v="0"/>
    <n v="0"/>
    <n v="375000"/>
    <n v="-375000"/>
    <n v="-1"/>
    <m/>
    <m/>
    <m/>
    <n v="0"/>
    <n v="0"/>
    <n v="0"/>
    <n v="0"/>
    <n v="0"/>
    <n v="0"/>
    <n v="0"/>
    <n v="0"/>
    <n v="0"/>
    <n v="0"/>
    <n v="0"/>
    <n v="0"/>
    <n v="0"/>
    <n v="0"/>
    <n v="0"/>
    <n v="0"/>
    <n v="0"/>
    <n v="0"/>
    <n v="0"/>
    <n v="0"/>
    <n v="0"/>
    <n v="0"/>
    <n v="0"/>
    <n v="0"/>
    <n v="0"/>
    <n v="0"/>
    <n v="0"/>
    <n v="0"/>
    <n v="0"/>
    <n v="0"/>
    <n v="0"/>
    <n v="0"/>
    <n v="0"/>
    <n v="0"/>
    <n v="0"/>
    <n v="0"/>
    <n v="0"/>
    <n v="0"/>
    <n v="0"/>
    <n v="0"/>
    <n v="0"/>
    <n v="0"/>
    <n v="0"/>
    <m/>
    <m/>
    <m/>
    <m/>
    <n v="0"/>
    <n v="0"/>
    <n v="0"/>
    <n v="0"/>
    <n v="0"/>
    <n v="0"/>
    <n v="0"/>
    <n v="0"/>
    <n v="0"/>
    <n v="0"/>
    <n v="0"/>
    <n v="0"/>
    <n v="0"/>
  </r>
  <r>
    <n v="131"/>
    <s v="Quỳnh Anh"/>
    <s v="Quốc Anh"/>
    <s v="105219"/>
    <x v="67"/>
    <s v="CTY VÂN LONG"/>
    <s v="Mới"/>
    <s v="Nội địa"/>
    <s v="Hải Phòng"/>
    <s v="Việt Nam"/>
    <s v="Châu Á"/>
    <s v="EXW"/>
    <s v="110000374"/>
    <s v="rHDB03N02"/>
    <x v="2"/>
    <s v="Hạt HD thổi"/>
    <x v="1"/>
    <x v="2"/>
    <x v="0"/>
    <s v="CTY VÂN LONG"/>
    <m/>
    <n v="0.8"/>
    <m/>
    <m/>
    <m/>
    <m/>
    <m/>
    <m/>
    <m/>
    <m/>
    <m/>
    <m/>
    <m/>
    <m/>
    <n v="0"/>
    <n v="0.3"/>
    <n v="-0.3"/>
    <n v="-1"/>
    <n v="1150"/>
    <n v="1150"/>
    <n v="1150"/>
    <n v="1150"/>
    <n v="1150"/>
    <n v="1150"/>
    <n v="1150"/>
    <n v="1150"/>
    <n v="1150"/>
    <n v="1150"/>
    <n v="1150"/>
    <n v="1150"/>
    <n v="1150"/>
    <m/>
    <n v="1150"/>
    <n v="0"/>
    <m/>
    <n v="0"/>
    <n v="0"/>
    <n v="0"/>
    <n v="0"/>
    <n v="0"/>
    <n v="0"/>
    <n v="0"/>
    <n v="0"/>
    <n v="0"/>
    <n v="0"/>
    <n v="0"/>
    <n v="0"/>
    <n v="0"/>
    <n v="10019100"/>
    <n v="-10019100"/>
    <n v="-1"/>
    <m/>
    <m/>
    <m/>
    <n v="0"/>
    <n v="0"/>
    <n v="0"/>
    <n v="0"/>
    <n v="0"/>
    <n v="0"/>
    <n v="0"/>
    <n v="0"/>
    <n v="0"/>
    <n v="0"/>
    <n v="0"/>
    <n v="0"/>
    <n v="0"/>
    <n v="0"/>
    <n v="0"/>
    <n v="0"/>
    <n v="0"/>
    <n v="0"/>
    <n v="0"/>
    <n v="0"/>
    <n v="0"/>
    <n v="0"/>
    <n v="0"/>
    <n v="0"/>
    <n v="0"/>
    <n v="0"/>
    <n v="0"/>
    <n v="0"/>
    <n v="0"/>
    <n v="0"/>
    <n v="0"/>
    <n v="0"/>
    <n v="0"/>
    <n v="0"/>
    <n v="0"/>
    <n v="0"/>
    <n v="0"/>
    <n v="0"/>
    <n v="0"/>
    <n v="0"/>
    <n v="0"/>
    <n v="0"/>
    <n v="0"/>
    <m/>
    <m/>
    <m/>
    <m/>
    <n v="0"/>
    <n v="0"/>
    <n v="0"/>
    <n v="0"/>
    <n v="0"/>
    <n v="0"/>
    <n v="0"/>
    <n v="0"/>
    <n v="0"/>
    <n v="0"/>
    <n v="0"/>
    <n v="0"/>
    <n v="0"/>
  </r>
  <r>
    <n v="132"/>
    <s v="Quỳnh Anh"/>
    <s v="Quốc Anh"/>
    <s v="105248"/>
    <x v="57"/>
    <s v="ĐẠI NHẤT LONG"/>
    <s v="Hiện hữu"/>
    <s v="Nội địa"/>
    <s v="Tây Ninh"/>
    <s v="Việt Nam"/>
    <s v="Châu Á"/>
    <s v="DDP"/>
    <s v="110000364"/>
    <s v="rHDI3Y01"/>
    <x v="3"/>
    <s v="Hạt HD ép"/>
    <x v="1"/>
    <x v="0"/>
    <x v="0"/>
    <s v="KHÁCH HÀNG HIỆN HỮU CÒN LẠI"/>
    <m/>
    <n v="0.8"/>
    <m/>
    <m/>
    <m/>
    <m/>
    <m/>
    <m/>
    <m/>
    <m/>
    <m/>
    <m/>
    <m/>
    <m/>
    <n v="0"/>
    <n v="5.5"/>
    <n v="-5.5"/>
    <n v="-1"/>
    <n v="695"/>
    <n v="695"/>
    <n v="695"/>
    <n v="695"/>
    <n v="695"/>
    <n v="695"/>
    <n v="695"/>
    <n v="695"/>
    <n v="695"/>
    <n v="695"/>
    <n v="695"/>
    <n v="695"/>
    <n v="695"/>
    <m/>
    <n v="695"/>
    <n v="0"/>
    <m/>
    <n v="0"/>
    <n v="0"/>
    <n v="0"/>
    <n v="0"/>
    <n v="0"/>
    <n v="0"/>
    <n v="0"/>
    <n v="0"/>
    <n v="0"/>
    <n v="0"/>
    <n v="0"/>
    <n v="0"/>
    <n v="0"/>
    <n v="98749511.883688837"/>
    <n v="-98749511.883688837"/>
    <n v="-1"/>
    <m/>
    <m/>
    <m/>
    <n v="0"/>
    <n v="0"/>
    <n v="0"/>
    <n v="0"/>
    <n v="0"/>
    <n v="0"/>
    <n v="0"/>
    <n v="0"/>
    <n v="0"/>
    <n v="0"/>
    <n v="0"/>
    <n v="0"/>
    <n v="0"/>
    <n v="0"/>
    <n v="0"/>
    <n v="0"/>
    <n v="0"/>
    <n v="0"/>
    <n v="0"/>
    <n v="0"/>
    <n v="0"/>
    <n v="0"/>
    <n v="0"/>
    <n v="0"/>
    <n v="0"/>
    <n v="0"/>
    <n v="0"/>
    <n v="0"/>
    <n v="0"/>
    <n v="0"/>
    <n v="0"/>
    <n v="0"/>
    <n v="0"/>
    <n v="0"/>
    <n v="0"/>
    <n v="0"/>
    <n v="0"/>
    <n v="0"/>
    <n v="0"/>
    <n v="0"/>
    <n v="0"/>
    <n v="0"/>
    <n v="0"/>
    <m/>
    <m/>
    <m/>
    <m/>
    <n v="0"/>
    <n v="0"/>
    <n v="0"/>
    <n v="0"/>
    <n v="0"/>
    <n v="0"/>
    <n v="0"/>
    <n v="0"/>
    <n v="0"/>
    <n v="0"/>
    <n v="0"/>
    <n v="0"/>
    <n v="0"/>
  </r>
  <r>
    <n v="133"/>
    <s v="Quỳnh Anh"/>
    <s v="Quốc Anh"/>
    <s v="105248"/>
    <x v="57"/>
    <s v="ĐẠI NHẤT LONG"/>
    <s v="Hiện hữu"/>
    <s v="Nội địa"/>
    <s v="Tây Ninh"/>
    <s v="Việt Nam"/>
    <s v="Châu Á"/>
    <s v="DDP"/>
    <s v="110000421"/>
    <s v="Vảy PP Đỏ Nhạt"/>
    <x v="4"/>
    <s v="Vảy PP"/>
    <x v="1"/>
    <x v="0"/>
    <x v="0"/>
    <s v="KHÁCH HÀNG HIỆN HỮU CÒN LẠI"/>
    <m/>
    <n v="0.8"/>
    <m/>
    <m/>
    <m/>
    <m/>
    <m/>
    <m/>
    <m/>
    <m/>
    <m/>
    <m/>
    <m/>
    <m/>
    <n v="0"/>
    <n v="35.25"/>
    <n v="-35.25"/>
    <n v="-1"/>
    <n v="600"/>
    <n v="600"/>
    <n v="600"/>
    <n v="600"/>
    <n v="600"/>
    <n v="600"/>
    <n v="600"/>
    <n v="600"/>
    <n v="600"/>
    <n v="600"/>
    <n v="600"/>
    <n v="600"/>
    <n v="600"/>
    <m/>
    <n v="600"/>
    <n v="0"/>
    <m/>
    <n v="0"/>
    <n v="0"/>
    <n v="0"/>
    <n v="0"/>
    <n v="0"/>
    <n v="0"/>
    <n v="0"/>
    <n v="0"/>
    <n v="0"/>
    <n v="0"/>
    <n v="0"/>
    <n v="0"/>
    <n v="0"/>
    <n v="630954212.19018769"/>
    <n v="-630954212.19018769"/>
    <n v="-1"/>
    <m/>
    <m/>
    <m/>
    <n v="0"/>
    <n v="0"/>
    <n v="0"/>
    <n v="0"/>
    <n v="0"/>
    <n v="0"/>
    <n v="0"/>
    <n v="0"/>
    <n v="0"/>
    <n v="0"/>
    <n v="0"/>
    <n v="0"/>
    <n v="0"/>
    <n v="0"/>
    <n v="0"/>
    <n v="0"/>
    <n v="0"/>
    <n v="0"/>
    <n v="0"/>
    <n v="0"/>
    <n v="0"/>
    <n v="0"/>
    <n v="0"/>
    <n v="0"/>
    <n v="0"/>
    <n v="0"/>
    <n v="0"/>
    <n v="0"/>
    <n v="0"/>
    <n v="0"/>
    <n v="0"/>
    <n v="0"/>
    <n v="0"/>
    <n v="0"/>
    <n v="0"/>
    <n v="0"/>
    <n v="0"/>
    <n v="0"/>
    <n v="0"/>
    <n v="0"/>
    <n v="0"/>
    <n v="0"/>
    <n v="0"/>
    <m/>
    <m/>
    <m/>
    <m/>
    <n v="0"/>
    <n v="0"/>
    <n v="0"/>
    <n v="0"/>
    <n v="0"/>
    <n v="0"/>
    <n v="0"/>
    <n v="0"/>
    <n v="0"/>
    <n v="0"/>
    <n v="0"/>
    <n v="0"/>
    <n v="0"/>
  </r>
  <r>
    <n v="134"/>
    <s v="Nghĩa"/>
    <s v="Cường"/>
    <s v="105263"/>
    <x v="2"/>
    <s v="Unilever Duy Tân"/>
    <s v="Hiện hữu"/>
    <s v="Nội địa"/>
    <s v="Tây Ninh"/>
    <s v="Việt Nam"/>
    <s v="Châu Á"/>
    <s v="DDP"/>
    <s v="110000360"/>
    <s v="rHDI4L01"/>
    <x v="3"/>
    <s v="Hạt HD ép"/>
    <x v="1"/>
    <x v="0"/>
    <x v="0"/>
    <s v="KHÁCH HÀNG HIỆN HỮU CÒN LẠI"/>
    <m/>
    <n v="0.8"/>
    <m/>
    <m/>
    <m/>
    <m/>
    <m/>
    <m/>
    <m/>
    <m/>
    <m/>
    <m/>
    <m/>
    <m/>
    <n v="0"/>
    <n v="5.5"/>
    <n v="-5.5"/>
    <n v="-1"/>
    <n v="695"/>
    <n v="695"/>
    <n v="695"/>
    <n v="695"/>
    <n v="695"/>
    <n v="695"/>
    <n v="695"/>
    <n v="695"/>
    <n v="695"/>
    <n v="695"/>
    <n v="695"/>
    <n v="695"/>
    <n v="695"/>
    <m/>
    <n v="695"/>
    <n v="0"/>
    <m/>
    <n v="0"/>
    <n v="0"/>
    <n v="0"/>
    <n v="0"/>
    <n v="0"/>
    <n v="0"/>
    <n v="0"/>
    <n v="0"/>
    <n v="0"/>
    <n v="0"/>
    <n v="0"/>
    <n v="0"/>
    <n v="0"/>
    <n v="122476734"/>
    <n v="-122476734"/>
    <n v="-1"/>
    <m/>
    <m/>
    <m/>
    <n v="0"/>
    <n v="0"/>
    <n v="0"/>
    <n v="0"/>
    <n v="0"/>
    <n v="0"/>
    <n v="0"/>
    <n v="0"/>
    <n v="0"/>
    <n v="0"/>
    <n v="0"/>
    <n v="0"/>
    <n v="0"/>
    <n v="0"/>
    <n v="0"/>
    <n v="0"/>
    <n v="0"/>
    <n v="0"/>
    <n v="0"/>
    <n v="0"/>
    <n v="0"/>
    <n v="0"/>
    <n v="0"/>
    <n v="0"/>
    <n v="0"/>
    <n v="0"/>
    <n v="0"/>
    <n v="0"/>
    <n v="0"/>
    <n v="0"/>
    <n v="0"/>
    <n v="0"/>
    <n v="0"/>
    <n v="0"/>
    <n v="0"/>
    <n v="0"/>
    <n v="0"/>
    <n v="0"/>
    <n v="0"/>
    <n v="0"/>
    <n v="0"/>
    <n v="0"/>
    <n v="0"/>
    <m/>
    <m/>
    <m/>
    <m/>
    <n v="0"/>
    <n v="0"/>
    <n v="0"/>
    <n v="0"/>
    <n v="0"/>
    <n v="0"/>
    <n v="0"/>
    <n v="0"/>
    <n v="0"/>
    <n v="0"/>
    <n v="0"/>
    <n v="0"/>
    <n v="0"/>
  </r>
  <r>
    <n v="135"/>
    <s v="Quỳnh Anh"/>
    <s v="Quốc Anh"/>
    <s v="105265"/>
    <x v="68"/>
    <s v="Muji- DTP"/>
    <s v="Hiện hữu"/>
    <s v="Nội địa"/>
    <s v="Tây Ninh"/>
    <s v="Việt Nam"/>
    <s v="Châu Á"/>
    <s v="DDP"/>
    <s v="110000354"/>
    <s v="WSS01G 1"/>
    <x v="0"/>
    <s v="Hạt PET"/>
    <x v="0"/>
    <x v="0"/>
    <x v="0"/>
    <s v="KHÁCH HÀNG HIỆN HỮU CÒN LẠI"/>
    <m/>
    <n v="0.8"/>
    <m/>
    <m/>
    <m/>
    <m/>
    <m/>
    <m/>
    <m/>
    <m/>
    <m/>
    <m/>
    <m/>
    <m/>
    <n v="0"/>
    <n v="16.5"/>
    <n v="-16.5"/>
    <n v="-1"/>
    <n v="1150"/>
    <n v="1150"/>
    <n v="1150"/>
    <n v="1150"/>
    <n v="1150"/>
    <n v="1150"/>
    <n v="1150"/>
    <n v="1150"/>
    <n v="1150"/>
    <n v="1150"/>
    <n v="1150"/>
    <n v="1150"/>
    <n v="1150"/>
    <m/>
    <n v="1150"/>
    <n v="0"/>
    <m/>
    <n v="0"/>
    <n v="0"/>
    <n v="0"/>
    <n v="0"/>
    <n v="0"/>
    <n v="0"/>
    <n v="0"/>
    <n v="0"/>
    <n v="0"/>
    <n v="0"/>
    <n v="0"/>
    <n v="0"/>
    <n v="0"/>
    <n v="326454654.20983857"/>
    <n v="-326454654.20983857"/>
    <n v="-1"/>
    <m/>
    <m/>
    <m/>
    <n v="0"/>
    <n v="0"/>
    <n v="0"/>
    <n v="0"/>
    <n v="0"/>
    <n v="0"/>
    <n v="0"/>
    <n v="0"/>
    <n v="0"/>
    <n v="0"/>
    <n v="0"/>
    <n v="0"/>
    <n v="0"/>
    <n v="0"/>
    <n v="0"/>
    <n v="0"/>
    <n v="0"/>
    <n v="0"/>
    <n v="0"/>
    <n v="0"/>
    <n v="0"/>
    <n v="0"/>
    <n v="0"/>
    <n v="0"/>
    <n v="0"/>
    <n v="0"/>
    <n v="0"/>
    <n v="0"/>
    <n v="0"/>
    <n v="0"/>
    <n v="0"/>
    <n v="0"/>
    <n v="0"/>
    <n v="0"/>
    <n v="0"/>
    <n v="0"/>
    <n v="0"/>
    <n v="0"/>
    <n v="0"/>
    <n v="0"/>
    <n v="0"/>
    <n v="0"/>
    <n v="0"/>
    <m/>
    <m/>
    <m/>
    <m/>
    <n v="0"/>
    <n v="0"/>
    <n v="0"/>
    <n v="0"/>
    <n v="0"/>
    <n v="0"/>
    <n v="0"/>
    <n v="0"/>
    <n v="0"/>
    <n v="0"/>
    <n v="0"/>
    <n v="0"/>
    <n v="0"/>
  </r>
  <r>
    <n v="136"/>
    <s v="Quỳnh Anh"/>
    <s v="Quốc Anh"/>
    <s v="105291"/>
    <x v="64"/>
    <s v="AN NHẬT"/>
    <s v="Hiện hữu"/>
    <s v="Nội địa"/>
    <s v="Hà Nội"/>
    <s v="Việt Nam"/>
    <s v="Châu Á"/>
    <s v="EXW"/>
    <s v="110000392"/>
    <s v="rPP20B01"/>
    <x v="4"/>
    <s v="Hạt PP"/>
    <x v="1"/>
    <x v="0"/>
    <x v="0"/>
    <s v="KHÁCH HÀNG HIỆN HỮU CÒN LẠI"/>
    <m/>
    <n v="0.8"/>
    <m/>
    <m/>
    <m/>
    <m/>
    <m/>
    <m/>
    <m/>
    <m/>
    <m/>
    <m/>
    <m/>
    <m/>
    <n v="0"/>
    <n v="0.5"/>
    <n v="-0.5"/>
    <n v="-1"/>
    <n v="825"/>
    <n v="825"/>
    <n v="825"/>
    <n v="825"/>
    <n v="825"/>
    <n v="825"/>
    <n v="825"/>
    <n v="825"/>
    <n v="825"/>
    <n v="825"/>
    <n v="825"/>
    <n v="825"/>
    <n v="825"/>
    <m/>
    <n v="825"/>
    <n v="0"/>
    <m/>
    <n v="0"/>
    <n v="0"/>
    <n v="0"/>
    <n v="0"/>
    <n v="0"/>
    <n v="0"/>
    <n v="0"/>
    <n v="0"/>
    <n v="0"/>
    <n v="0"/>
    <n v="0"/>
    <n v="0"/>
    <n v="0"/>
    <n v="14532700.121665465"/>
    <n v="-14532700.121665465"/>
    <n v="-1"/>
    <m/>
    <m/>
    <m/>
    <n v="0"/>
    <n v="0"/>
    <n v="0"/>
    <n v="0"/>
    <n v="0"/>
    <n v="0"/>
    <n v="0"/>
    <n v="0"/>
    <n v="0"/>
    <n v="0"/>
    <n v="0"/>
    <n v="0"/>
    <n v="0"/>
    <n v="0"/>
    <n v="0"/>
    <n v="0"/>
    <n v="0"/>
    <n v="0"/>
    <n v="0"/>
    <n v="0"/>
    <n v="0"/>
    <n v="0"/>
    <n v="0"/>
    <n v="0"/>
    <n v="0"/>
    <n v="0"/>
    <n v="0"/>
    <n v="0"/>
    <n v="0"/>
    <n v="0"/>
    <n v="0"/>
    <n v="0"/>
    <n v="0"/>
    <n v="0"/>
    <n v="0"/>
    <n v="0"/>
    <n v="0"/>
    <n v="0"/>
    <n v="0"/>
    <n v="0"/>
    <n v="0"/>
    <n v="0"/>
    <n v="0"/>
    <m/>
    <m/>
    <m/>
    <m/>
    <n v="0"/>
    <n v="0"/>
    <n v="0"/>
    <n v="0"/>
    <n v="0"/>
    <n v="0"/>
    <n v="0"/>
    <n v="0"/>
    <n v="0"/>
    <n v="0"/>
    <n v="0"/>
    <n v="0"/>
    <n v="0"/>
  </r>
  <r>
    <n v="137"/>
    <s v="Duy"/>
    <s v="Cường"/>
    <s v="105301"/>
    <x v="69"/>
    <s v="TÂN TƯỜNG KHANG"/>
    <s v="Hiện hữu"/>
    <s v="Nội địa"/>
    <s v="Bình Dương"/>
    <s v="Việt Nam"/>
    <s v="Châu Á"/>
    <s v="DDP"/>
    <s v="110000359"/>
    <s v="WSS03G"/>
    <x v="0"/>
    <s v="Hạt PET"/>
    <x v="5"/>
    <x v="0"/>
    <x v="0"/>
    <s v="KHÁCH HÀNG HIỆN HỮU CÒN LẠI"/>
    <m/>
    <n v="0.8"/>
    <m/>
    <m/>
    <m/>
    <m/>
    <m/>
    <m/>
    <m/>
    <m/>
    <m/>
    <m/>
    <m/>
    <m/>
    <n v="0"/>
    <n v="33"/>
    <n v="-33"/>
    <n v="-1"/>
    <n v="970"/>
    <n v="970"/>
    <n v="970"/>
    <n v="970"/>
    <n v="970"/>
    <n v="970"/>
    <n v="970"/>
    <n v="970"/>
    <n v="970"/>
    <n v="970"/>
    <n v="970"/>
    <n v="970"/>
    <n v="970"/>
    <m/>
    <n v="970"/>
    <n v="0"/>
    <m/>
    <n v="0"/>
    <n v="0"/>
    <n v="0"/>
    <n v="0"/>
    <n v="0"/>
    <n v="0"/>
    <n v="0"/>
    <n v="0"/>
    <n v="0"/>
    <n v="0"/>
    <n v="0"/>
    <n v="0"/>
    <n v="0"/>
    <n v="647369203.15606499"/>
    <n v="-647369203.15606499"/>
    <n v="-1"/>
    <m/>
    <m/>
    <m/>
    <n v="0"/>
    <n v="0"/>
    <n v="0"/>
    <n v="0"/>
    <n v="0"/>
    <n v="0"/>
    <n v="0"/>
    <n v="0"/>
    <n v="0"/>
    <n v="0"/>
    <n v="0"/>
    <n v="0"/>
    <n v="0"/>
    <n v="0"/>
    <n v="0"/>
    <n v="0"/>
    <n v="0"/>
    <n v="0"/>
    <n v="0"/>
    <n v="0"/>
    <n v="0"/>
    <n v="0"/>
    <n v="0"/>
    <n v="0"/>
    <n v="0"/>
    <n v="0"/>
    <n v="0"/>
    <n v="0"/>
    <n v="0"/>
    <n v="0"/>
    <n v="0"/>
    <n v="0"/>
    <n v="0"/>
    <n v="0"/>
    <n v="0"/>
    <n v="0"/>
    <n v="0"/>
    <n v="0"/>
    <n v="0"/>
    <n v="0"/>
    <n v="0"/>
    <n v="0"/>
    <n v="0"/>
    <m/>
    <m/>
    <m/>
    <m/>
    <n v="0"/>
    <n v="0"/>
    <n v="0"/>
    <n v="0"/>
    <n v="0"/>
    <n v="0"/>
    <n v="0"/>
    <n v="0"/>
    <n v="0"/>
    <n v="0"/>
    <n v="0"/>
    <n v="0"/>
    <n v="0"/>
  </r>
  <r>
    <n v="138"/>
    <s v="Quỳnh Anh"/>
    <s v="Quốc Anh"/>
    <s v="105324"/>
    <x v="54"/>
    <s v="NHỰA TRƯỜNG AN"/>
    <s v="Hiện hữu"/>
    <s v="Nội địa"/>
    <s v="Tây Ninh"/>
    <s v="Việt Nam"/>
    <s v="Châu Á"/>
    <s v="DDP"/>
    <s v="110000411"/>
    <s v="Vảy HD Ép Dương"/>
    <x v="3"/>
    <s v="Vảy HD ép"/>
    <x v="1"/>
    <x v="0"/>
    <x v="0"/>
    <s v="KHÁCH HÀNG HIỆN HỮU CÒN LẠI"/>
    <m/>
    <n v="0.8"/>
    <m/>
    <m/>
    <m/>
    <m/>
    <m/>
    <m/>
    <m/>
    <m/>
    <m/>
    <m/>
    <m/>
    <m/>
    <n v="0"/>
    <n v="0.75"/>
    <n v="-0.75"/>
    <n v="-1"/>
    <n v="560"/>
    <n v="560"/>
    <n v="560"/>
    <n v="560"/>
    <n v="560"/>
    <n v="560"/>
    <n v="560"/>
    <n v="560"/>
    <n v="560"/>
    <n v="560"/>
    <n v="560"/>
    <n v="560"/>
    <n v="560"/>
    <m/>
    <n v="560"/>
    <n v="0"/>
    <m/>
    <n v="0"/>
    <n v="0"/>
    <n v="0"/>
    <n v="0"/>
    <n v="0"/>
    <n v="0"/>
    <n v="0"/>
    <n v="0"/>
    <n v="0"/>
    <n v="0"/>
    <n v="0"/>
    <n v="0"/>
    <n v="0"/>
    <n v="11805556"/>
    <n v="-11805556"/>
    <n v="-1"/>
    <m/>
    <m/>
    <m/>
    <n v="0"/>
    <n v="0"/>
    <n v="0"/>
    <n v="0"/>
    <n v="0"/>
    <n v="0"/>
    <n v="0"/>
    <n v="0"/>
    <n v="0"/>
    <n v="0"/>
    <n v="0"/>
    <n v="0"/>
    <n v="0"/>
    <n v="0"/>
    <n v="0"/>
    <n v="0"/>
    <n v="0"/>
    <n v="0"/>
    <n v="0"/>
    <n v="0"/>
    <n v="0"/>
    <n v="0"/>
    <n v="0"/>
    <n v="0"/>
    <n v="0"/>
    <n v="0"/>
    <n v="0"/>
    <n v="0"/>
    <n v="0"/>
    <n v="0"/>
    <n v="0"/>
    <n v="0"/>
    <n v="0"/>
    <n v="0"/>
    <n v="0"/>
    <n v="0"/>
    <n v="0"/>
    <n v="0"/>
    <n v="0"/>
    <n v="0"/>
    <n v="0"/>
    <n v="0"/>
    <n v="0"/>
    <m/>
    <m/>
    <m/>
    <m/>
    <n v="0"/>
    <n v="0"/>
    <n v="0"/>
    <n v="0"/>
    <n v="0"/>
    <n v="0"/>
    <n v="0"/>
    <n v="0"/>
    <n v="0"/>
    <n v="0"/>
    <n v="0"/>
    <n v="0"/>
    <n v="0"/>
  </r>
  <r>
    <n v="139"/>
    <s v="Quỳnh Anh"/>
    <s v="Quốc Anh"/>
    <s v="105324"/>
    <x v="54"/>
    <s v="NHỰA TRƯỜNG AN"/>
    <s v="Hiện hữu"/>
    <s v="Nội địa"/>
    <s v="Tây Ninh"/>
    <s v="Việt Nam"/>
    <s v="Châu Á"/>
    <s v="DDP"/>
    <s v="110000412"/>
    <s v="Vảy HD Ép Đen"/>
    <x v="3"/>
    <s v="Vảy HD ép"/>
    <x v="1"/>
    <x v="0"/>
    <x v="0"/>
    <m/>
    <m/>
    <n v="0.8"/>
    <m/>
    <m/>
    <m/>
    <m/>
    <m/>
    <m/>
    <m/>
    <m/>
    <m/>
    <m/>
    <m/>
    <m/>
    <n v="0"/>
    <n v="6"/>
    <n v="-6"/>
    <n v="-1"/>
    <n v="560"/>
    <n v="560"/>
    <n v="560"/>
    <n v="560"/>
    <n v="560"/>
    <n v="560"/>
    <n v="560"/>
    <n v="560"/>
    <n v="560"/>
    <n v="560"/>
    <n v="560"/>
    <n v="560"/>
    <n v="560"/>
    <m/>
    <n v="560"/>
    <n v="0"/>
    <m/>
    <n v="0"/>
    <n v="0"/>
    <n v="0"/>
    <n v="0"/>
    <n v="0"/>
    <n v="0"/>
    <n v="0"/>
    <n v="0"/>
    <n v="0"/>
    <n v="0"/>
    <n v="0"/>
    <n v="0"/>
    <n v="0"/>
    <n v="70854765.572998434"/>
    <n v="-70854765.572998434"/>
    <n v="-1"/>
    <m/>
    <m/>
    <m/>
    <n v="0"/>
    <n v="0"/>
    <n v="0"/>
    <n v="0"/>
    <n v="0"/>
    <n v="0"/>
    <n v="0"/>
    <n v="0"/>
    <n v="0"/>
    <n v="0"/>
    <n v="0"/>
    <n v="0"/>
    <n v="0"/>
    <n v="0"/>
    <n v="0"/>
    <n v="0"/>
    <n v="0"/>
    <n v="0"/>
    <n v="0"/>
    <n v="0"/>
    <n v="0"/>
    <n v="0"/>
    <n v="0"/>
    <n v="0"/>
    <n v="0"/>
    <n v="0"/>
    <n v="0"/>
    <n v="0"/>
    <n v="0"/>
    <n v="0"/>
    <n v="0"/>
    <n v="0"/>
    <n v="0"/>
    <n v="0"/>
    <n v="0"/>
    <n v="0"/>
    <n v="0"/>
    <n v="0"/>
    <n v="0"/>
    <n v="0"/>
    <n v="0"/>
    <n v="0"/>
    <n v="0"/>
    <m/>
    <m/>
    <m/>
    <m/>
    <n v="0"/>
    <n v="0"/>
    <n v="0"/>
    <n v="0"/>
    <n v="0"/>
    <n v="0"/>
    <n v="0"/>
    <n v="0"/>
    <n v="0"/>
    <n v="0"/>
    <n v="0"/>
    <n v="0"/>
    <n v="0"/>
  </r>
  <r>
    <n v="140"/>
    <s v="Quỳnh Anh"/>
    <s v="Quốc Anh"/>
    <s v="105327"/>
    <x v="62"/>
    <s v="MEGA"/>
    <s v="Mới"/>
    <s v="Nội địa"/>
    <s v="Hồ Chí Minh"/>
    <s v="Việt Nam"/>
    <s v="Châu Á"/>
    <s v="EXW"/>
    <s v="110000389"/>
    <s v="rPP20R02"/>
    <x v="4"/>
    <s v="Hạt PP"/>
    <x v="1"/>
    <x v="0"/>
    <x v="0"/>
    <s v="KHÁCH HÀNG HIỆN HỮU CÒN LẠI"/>
    <m/>
    <n v="0.8"/>
    <m/>
    <m/>
    <m/>
    <m/>
    <m/>
    <m/>
    <m/>
    <m/>
    <m/>
    <m/>
    <m/>
    <m/>
    <n v="0"/>
    <n v="5.0000000000000001E-3"/>
    <n v="-5.0000000000000001E-3"/>
    <n v="-1"/>
    <n v="700"/>
    <n v="700"/>
    <n v="700"/>
    <n v="700"/>
    <n v="700"/>
    <n v="700"/>
    <n v="700"/>
    <n v="700"/>
    <n v="700"/>
    <n v="700"/>
    <n v="700"/>
    <n v="700"/>
    <n v="700"/>
    <m/>
    <n v="700"/>
    <n v="0"/>
    <m/>
    <n v="0"/>
    <n v="0"/>
    <n v="0"/>
    <n v="0"/>
    <n v="0"/>
    <n v="0"/>
    <n v="0"/>
    <n v="0"/>
    <n v="0"/>
    <n v="0"/>
    <n v="0"/>
    <n v="0"/>
    <n v="0"/>
    <n v="105000"/>
    <n v="-105000"/>
    <n v="-1"/>
    <m/>
    <m/>
    <m/>
    <n v="0"/>
    <n v="0"/>
    <n v="0"/>
    <n v="0"/>
    <n v="0"/>
    <n v="0"/>
    <n v="0"/>
    <n v="0"/>
    <n v="0"/>
    <n v="0"/>
    <n v="0"/>
    <n v="0"/>
    <n v="0"/>
    <n v="0"/>
    <n v="0"/>
    <n v="0"/>
    <n v="0"/>
    <n v="0"/>
    <n v="0"/>
    <n v="0"/>
    <n v="0"/>
    <n v="0"/>
    <n v="0"/>
    <n v="0"/>
    <n v="0"/>
    <n v="0"/>
    <n v="0"/>
    <n v="0"/>
    <n v="0"/>
    <n v="0"/>
    <n v="0"/>
    <n v="0"/>
    <n v="0"/>
    <n v="0"/>
    <n v="0"/>
    <n v="0"/>
    <n v="0"/>
    <n v="0"/>
    <n v="0"/>
    <n v="0"/>
    <n v="0"/>
    <n v="0"/>
    <n v="0"/>
    <m/>
    <m/>
    <m/>
    <m/>
    <n v="0"/>
    <n v="0"/>
    <n v="0"/>
    <n v="0"/>
    <n v="0"/>
    <n v="0"/>
    <n v="0"/>
    <n v="0"/>
    <n v="0"/>
    <n v="0"/>
    <n v="0"/>
    <n v="0"/>
    <n v="0"/>
  </r>
  <r>
    <n v="141"/>
    <s v="Quỳnh Anh"/>
    <s v="Quốc Anh"/>
    <s v="105327"/>
    <x v="62"/>
    <s v="MEGA"/>
    <s v="Mới"/>
    <s v="Nội địa"/>
    <s v="Hồ Chí Minh"/>
    <s v="Việt Nam"/>
    <s v="Châu Á"/>
    <s v="EXW"/>
    <s v="110000435"/>
    <s v="rPP20L03"/>
    <x v="4"/>
    <s v="Hạt PP"/>
    <x v="1"/>
    <x v="0"/>
    <x v="0"/>
    <m/>
    <m/>
    <n v="0.8"/>
    <m/>
    <m/>
    <m/>
    <m/>
    <m/>
    <m/>
    <m/>
    <m/>
    <m/>
    <m/>
    <m/>
    <m/>
    <n v="0"/>
    <n v="5.0000000000000001E-3"/>
    <n v="-5.0000000000000001E-3"/>
    <n v="-1"/>
    <n v="700"/>
    <n v="700"/>
    <n v="700"/>
    <n v="700"/>
    <n v="700"/>
    <n v="700"/>
    <n v="700"/>
    <n v="700"/>
    <n v="700"/>
    <n v="700"/>
    <n v="700"/>
    <n v="700"/>
    <n v="700"/>
    <m/>
    <n v="700"/>
    <n v="0"/>
    <m/>
    <n v="0"/>
    <n v="0"/>
    <n v="0"/>
    <n v="0"/>
    <n v="0"/>
    <n v="0"/>
    <n v="0"/>
    <n v="0"/>
    <n v="0"/>
    <n v="0"/>
    <n v="0"/>
    <n v="0"/>
    <n v="0"/>
    <n v="105000"/>
    <n v="-105000"/>
    <n v="-1"/>
    <m/>
    <m/>
    <m/>
    <n v="0"/>
    <n v="0"/>
    <n v="0"/>
    <n v="0"/>
    <n v="0"/>
    <n v="0"/>
    <n v="0"/>
    <n v="0"/>
    <n v="0"/>
    <n v="0"/>
    <n v="0"/>
    <n v="0"/>
    <n v="0"/>
    <n v="0"/>
    <n v="0"/>
    <n v="0"/>
    <n v="0"/>
    <n v="0"/>
    <n v="0"/>
    <n v="0"/>
    <n v="0"/>
    <n v="0"/>
    <n v="0"/>
    <n v="0"/>
    <n v="0"/>
    <n v="0"/>
    <n v="0"/>
    <n v="0"/>
    <n v="0"/>
    <n v="0"/>
    <n v="0"/>
    <n v="0"/>
    <n v="0"/>
    <n v="0"/>
    <n v="0"/>
    <n v="0"/>
    <n v="0"/>
    <n v="0"/>
    <n v="0"/>
    <n v="0"/>
    <n v="0"/>
    <n v="0"/>
    <n v="0"/>
    <m/>
    <m/>
    <m/>
    <m/>
    <n v="0"/>
    <n v="0"/>
    <n v="0"/>
    <n v="0"/>
    <n v="0"/>
    <n v="0"/>
    <n v="0"/>
    <n v="0"/>
    <n v="0"/>
    <n v="0"/>
    <n v="0"/>
    <n v="0"/>
    <n v="0"/>
  </r>
  <r>
    <n v="142"/>
    <s v="Quỳnh Anh"/>
    <s v="Quốc Anh"/>
    <s v="105327"/>
    <x v="62"/>
    <s v="MEGA"/>
    <s v="Mới"/>
    <s v="Nội địa"/>
    <s v="Hồ Chí Minh"/>
    <s v="Việt Nam"/>
    <s v="Châu Á"/>
    <s v="EXW"/>
    <s v="110000472"/>
    <s v="rPP20Gy01"/>
    <x v="4"/>
    <s v="Hạt PP"/>
    <x v="1"/>
    <x v="0"/>
    <x v="0"/>
    <s v="KHÁCH HÀNG HIỆN HỮU CÒN LẠI"/>
    <m/>
    <n v="0.8"/>
    <m/>
    <m/>
    <m/>
    <m/>
    <m/>
    <m/>
    <m/>
    <m/>
    <m/>
    <m/>
    <m/>
    <m/>
    <n v="0"/>
    <n v="5.0000000000000001E-3"/>
    <n v="-5.0000000000000001E-3"/>
    <n v="-1"/>
    <n v="700"/>
    <n v="700"/>
    <n v="700"/>
    <n v="700"/>
    <n v="700"/>
    <n v="700"/>
    <n v="700"/>
    <n v="700"/>
    <n v="700"/>
    <n v="700"/>
    <n v="700"/>
    <n v="700"/>
    <n v="700"/>
    <m/>
    <n v="700"/>
    <n v="0"/>
    <m/>
    <n v="0"/>
    <n v="0"/>
    <n v="0"/>
    <n v="0"/>
    <n v="0"/>
    <n v="0"/>
    <n v="0"/>
    <n v="0"/>
    <n v="0"/>
    <n v="0"/>
    <n v="0"/>
    <n v="0"/>
    <n v="0"/>
    <n v="105000"/>
    <n v="-105000"/>
    <n v="-1"/>
    <m/>
    <m/>
    <m/>
    <n v="0"/>
    <n v="0"/>
    <n v="0"/>
    <n v="0"/>
    <n v="0"/>
    <n v="0"/>
    <n v="0"/>
    <n v="0"/>
    <n v="0"/>
    <n v="0"/>
    <n v="0"/>
    <n v="0"/>
    <n v="0"/>
    <n v="0"/>
    <n v="0"/>
    <n v="0"/>
    <n v="0"/>
    <n v="0"/>
    <n v="0"/>
    <n v="0"/>
    <n v="0"/>
    <n v="0"/>
    <n v="0"/>
    <n v="0"/>
    <n v="0"/>
    <n v="0"/>
    <n v="0"/>
    <n v="0"/>
    <n v="0"/>
    <n v="0"/>
    <n v="0"/>
    <n v="0"/>
    <n v="0"/>
    <n v="0"/>
    <n v="0"/>
    <n v="0"/>
    <n v="0"/>
    <n v="0"/>
    <n v="0"/>
    <n v="0"/>
    <n v="0"/>
    <n v="0"/>
    <n v="0"/>
    <m/>
    <m/>
    <m/>
    <m/>
    <n v="0"/>
    <n v="0"/>
    <n v="0"/>
    <n v="0"/>
    <n v="0"/>
    <n v="0"/>
    <n v="0"/>
    <n v="0"/>
    <n v="0"/>
    <n v="0"/>
    <n v="0"/>
    <n v="0"/>
    <n v="0"/>
  </r>
  <r>
    <n v="143"/>
    <s v="Quỳnh Anh"/>
    <s v="Quốc Anh"/>
    <s v="105327"/>
    <x v="62"/>
    <s v="MEGA"/>
    <s v="Mới"/>
    <s v="Nội địa"/>
    <s v="Hồ Chí Minh"/>
    <s v="Việt Nam"/>
    <s v="Châu Á"/>
    <s v="EXW"/>
    <s v="110000482"/>
    <s v="rPP20W01"/>
    <x v="4"/>
    <s v="Hạt PP"/>
    <x v="1"/>
    <x v="0"/>
    <x v="0"/>
    <m/>
    <m/>
    <n v="0.8"/>
    <m/>
    <m/>
    <m/>
    <m/>
    <m/>
    <m/>
    <m/>
    <m/>
    <m/>
    <m/>
    <m/>
    <m/>
    <n v="0"/>
    <n v="5.0000000000000001E-3"/>
    <n v="-5.0000000000000001E-3"/>
    <n v="-1"/>
    <n v="700"/>
    <n v="700"/>
    <n v="700"/>
    <n v="700"/>
    <n v="700"/>
    <n v="700"/>
    <n v="700"/>
    <n v="700"/>
    <n v="700"/>
    <n v="700"/>
    <n v="700"/>
    <n v="700"/>
    <n v="700"/>
    <m/>
    <n v="700"/>
    <n v="0"/>
    <m/>
    <n v="0"/>
    <n v="0"/>
    <n v="0"/>
    <n v="0"/>
    <n v="0"/>
    <n v="0"/>
    <n v="0"/>
    <n v="0"/>
    <n v="0"/>
    <n v="0"/>
    <n v="0"/>
    <n v="0"/>
    <n v="0"/>
    <n v="105000"/>
    <n v="-105000"/>
    <n v="-1"/>
    <m/>
    <m/>
    <m/>
    <n v="0"/>
    <n v="0"/>
    <n v="0"/>
    <n v="0"/>
    <n v="0"/>
    <n v="0"/>
    <n v="0"/>
    <n v="0"/>
    <n v="0"/>
    <n v="0"/>
    <n v="0"/>
    <n v="0"/>
    <n v="0"/>
    <n v="0"/>
    <n v="0"/>
    <n v="0"/>
    <n v="0"/>
    <n v="0"/>
    <n v="0"/>
    <n v="0"/>
    <n v="0"/>
    <n v="0"/>
    <n v="0"/>
    <n v="0"/>
    <n v="0"/>
    <n v="0"/>
    <n v="0"/>
    <n v="0"/>
    <n v="0"/>
    <n v="0"/>
    <n v="0"/>
    <n v="0"/>
    <n v="0"/>
    <n v="0"/>
    <n v="0"/>
    <n v="0"/>
    <n v="0"/>
    <n v="0"/>
    <n v="0"/>
    <n v="0"/>
    <n v="0"/>
    <n v="0"/>
    <n v="0"/>
    <m/>
    <m/>
    <m/>
    <m/>
    <n v="0"/>
    <n v="0"/>
    <n v="0"/>
    <n v="0"/>
    <n v="0"/>
    <n v="0"/>
    <n v="0"/>
    <n v="0"/>
    <n v="0"/>
    <n v="0"/>
    <n v="0"/>
    <n v="0"/>
    <n v="0"/>
  </r>
  <r>
    <n v="144"/>
    <s v="Quỳnh Anh"/>
    <s v="Quốc Anh"/>
    <s v="105329"/>
    <x v="70"/>
    <s v="DUROCOLOUR"/>
    <s v="Mới"/>
    <s v="Nội địa"/>
    <s v="Đồng Nai"/>
    <s v="Việt Nam"/>
    <s v="Châu Á"/>
    <s v="DDP"/>
    <s v="110000392"/>
    <s v="rPP20B01"/>
    <x v="4"/>
    <s v="Hạt PP"/>
    <x v="1"/>
    <x v="0"/>
    <x v="0"/>
    <s v="KHÁCH HÀNG HIỆN HỮU CÒN LẠI"/>
    <m/>
    <n v="0.8"/>
    <m/>
    <m/>
    <m/>
    <m/>
    <m/>
    <m/>
    <m/>
    <m/>
    <m/>
    <m/>
    <m/>
    <m/>
    <n v="0"/>
    <n v="0.1"/>
    <n v="-0.1"/>
    <n v="-1"/>
    <n v="825"/>
    <n v="825"/>
    <n v="825"/>
    <n v="825"/>
    <n v="825"/>
    <n v="825"/>
    <n v="825"/>
    <n v="825"/>
    <n v="825"/>
    <n v="825"/>
    <n v="825"/>
    <n v="825"/>
    <n v="825"/>
    <m/>
    <n v="825"/>
    <n v="0"/>
    <m/>
    <n v="0"/>
    <n v="0"/>
    <n v="0"/>
    <n v="0"/>
    <n v="0"/>
    <n v="0"/>
    <n v="0"/>
    <n v="0"/>
    <n v="0"/>
    <n v="0"/>
    <n v="0"/>
    <n v="0"/>
    <n v="0"/>
    <n v="1955000"/>
    <n v="-1955000"/>
    <n v="-1"/>
    <m/>
    <m/>
    <m/>
    <n v="0"/>
    <n v="0"/>
    <n v="0"/>
    <n v="0"/>
    <n v="0"/>
    <n v="0"/>
    <n v="0"/>
    <n v="0"/>
    <n v="0"/>
    <n v="0"/>
    <n v="0"/>
    <n v="0"/>
    <n v="0"/>
    <n v="0"/>
    <n v="0"/>
    <n v="0"/>
    <n v="0"/>
    <n v="0"/>
    <n v="0"/>
    <n v="0"/>
    <n v="0"/>
    <n v="0"/>
    <n v="0"/>
    <n v="0"/>
    <n v="0"/>
    <n v="0"/>
    <n v="0"/>
    <n v="0"/>
    <n v="0"/>
    <n v="0"/>
    <n v="0"/>
    <n v="0"/>
    <n v="0"/>
    <n v="0"/>
    <n v="0"/>
    <n v="0"/>
    <n v="0"/>
    <n v="0"/>
    <n v="0"/>
    <n v="0"/>
    <n v="0"/>
    <n v="0"/>
    <n v="0"/>
    <m/>
    <m/>
    <m/>
    <m/>
    <n v="0"/>
    <n v="0"/>
    <n v="0"/>
    <n v="0"/>
    <n v="0"/>
    <n v="0"/>
    <n v="0"/>
    <n v="0"/>
    <n v="0"/>
    <n v="0"/>
    <n v="0"/>
    <n v="0"/>
    <n v="0"/>
  </r>
  <r>
    <n v="145"/>
    <s v="Quỳnh Anh"/>
    <s v="Quốc Anh"/>
    <s v="105330"/>
    <x v="59"/>
    <s v="Việt Thành Plast"/>
    <s v="Hiện hữu"/>
    <s v="Nội địa"/>
    <s v="Tây Ninh"/>
    <s v="Việt Nam"/>
    <s v="Châu Á"/>
    <s v="DDP"/>
    <s v="110000355"/>
    <s v="iSS01G 1"/>
    <x v="0"/>
    <s v="Hạt PET"/>
    <x v="2"/>
    <x v="0"/>
    <x v="0"/>
    <s v="KHÁCH HÀNG HIỆN HỮU CÒN LẠI"/>
    <m/>
    <n v="0.8"/>
    <m/>
    <m/>
    <m/>
    <m/>
    <m/>
    <m/>
    <m/>
    <m/>
    <m/>
    <m/>
    <m/>
    <m/>
    <n v="0"/>
    <n v="5.5"/>
    <n v="-5.5"/>
    <n v="-1"/>
    <n v="1200"/>
    <n v="1200"/>
    <n v="1200"/>
    <n v="1200"/>
    <n v="1200"/>
    <n v="1200"/>
    <n v="1200"/>
    <n v="1200"/>
    <n v="1200"/>
    <n v="1200"/>
    <n v="1200"/>
    <n v="1200"/>
    <n v="1060"/>
    <m/>
    <n v="1060"/>
    <n v="0"/>
    <m/>
    <n v="0"/>
    <n v="0"/>
    <n v="0"/>
    <n v="0"/>
    <n v="0"/>
    <n v="0"/>
    <n v="0"/>
    <n v="0"/>
    <n v="0"/>
    <n v="0"/>
    <n v="0"/>
    <n v="0"/>
    <n v="0"/>
    <n v="180486499.73312402"/>
    <n v="-180486499.73312402"/>
    <n v="-1"/>
    <m/>
    <m/>
    <m/>
    <n v="0"/>
    <n v="0"/>
    <n v="0"/>
    <n v="0"/>
    <n v="0"/>
    <n v="0"/>
    <n v="0"/>
    <n v="0"/>
    <n v="0"/>
    <n v="0"/>
    <n v="0"/>
    <n v="0"/>
    <n v="0"/>
    <n v="0"/>
    <n v="0"/>
    <n v="0"/>
    <n v="0"/>
    <n v="0"/>
    <n v="0"/>
    <n v="0"/>
    <n v="0"/>
    <n v="0"/>
    <n v="0"/>
    <n v="0"/>
    <n v="0"/>
    <n v="0"/>
    <n v="0"/>
    <n v="0"/>
    <n v="0"/>
    <n v="0"/>
    <n v="0"/>
    <n v="0"/>
    <n v="0"/>
    <n v="0"/>
    <n v="0"/>
    <n v="0"/>
    <n v="0"/>
    <n v="0"/>
    <n v="0"/>
    <n v="0"/>
    <n v="0"/>
    <n v="0"/>
    <n v="0"/>
    <m/>
    <m/>
    <m/>
    <m/>
    <n v="0"/>
    <n v="0"/>
    <n v="0"/>
    <n v="0"/>
    <n v="0"/>
    <n v="0"/>
    <n v="0"/>
    <n v="0"/>
    <n v="0"/>
    <n v="0"/>
    <n v="0"/>
    <n v="0"/>
    <n v="0"/>
  </r>
  <r>
    <n v="146"/>
    <s v="Quỳnh Anh"/>
    <s v="Quốc Anh"/>
    <s v="105334"/>
    <x v="71"/>
    <s v="NHỰA BUYO"/>
    <s v="Mới"/>
    <s v="Nội địa"/>
    <s v="Hà Nội"/>
    <s v="Việt Nam"/>
    <s v="Châu Á"/>
    <s v="DDP"/>
    <s v="110000472"/>
    <s v="rPP20Gy01"/>
    <x v="4"/>
    <s v="Hạt PP"/>
    <x v="1"/>
    <x v="0"/>
    <x v="0"/>
    <s v="KHÁCH HÀNG HIỆN HỮU CÒN LẠI"/>
    <m/>
    <n v="0.8"/>
    <m/>
    <m/>
    <m/>
    <m/>
    <m/>
    <m/>
    <m/>
    <m/>
    <m/>
    <m/>
    <m/>
    <m/>
    <n v="0"/>
    <n v="0.05"/>
    <n v="-0.05"/>
    <n v="-1"/>
    <n v="700"/>
    <n v="700"/>
    <n v="700"/>
    <n v="700"/>
    <n v="700"/>
    <n v="700"/>
    <n v="700"/>
    <n v="700"/>
    <n v="700"/>
    <n v="700"/>
    <n v="700"/>
    <n v="700"/>
    <n v="700"/>
    <m/>
    <n v="700"/>
    <n v="0"/>
    <m/>
    <n v="0"/>
    <n v="0"/>
    <n v="0"/>
    <n v="0"/>
    <n v="0"/>
    <n v="0"/>
    <n v="0"/>
    <n v="0"/>
    <n v="0"/>
    <n v="0"/>
    <n v="0"/>
    <n v="0"/>
    <n v="0"/>
    <n v="1347700"/>
    <n v="-1347700"/>
    <n v="-1"/>
    <m/>
    <m/>
    <m/>
    <n v="0"/>
    <n v="0"/>
    <n v="0"/>
    <n v="0"/>
    <n v="0"/>
    <n v="0"/>
    <n v="0"/>
    <n v="0"/>
    <n v="0"/>
    <n v="0"/>
    <n v="0"/>
    <n v="0"/>
    <n v="0"/>
    <n v="0"/>
    <n v="0"/>
    <n v="0"/>
    <n v="0"/>
    <n v="0"/>
    <n v="0"/>
    <n v="0"/>
    <n v="0"/>
    <n v="0"/>
    <n v="0"/>
    <n v="0"/>
    <n v="0"/>
    <n v="0"/>
    <n v="0"/>
    <n v="0"/>
    <n v="0"/>
    <n v="0"/>
    <n v="0"/>
    <n v="0"/>
    <n v="0"/>
    <n v="0"/>
    <n v="0"/>
    <n v="0"/>
    <n v="0"/>
    <n v="0"/>
    <n v="0"/>
    <n v="0"/>
    <n v="0"/>
    <n v="0"/>
    <n v="0"/>
    <m/>
    <m/>
    <m/>
    <m/>
    <n v="0"/>
    <n v="0"/>
    <n v="0"/>
    <n v="0"/>
    <n v="0"/>
    <n v="0"/>
    <n v="0"/>
    <n v="0"/>
    <n v="0"/>
    <n v="0"/>
    <n v="0"/>
    <n v="0"/>
    <n v="0"/>
  </r>
  <r>
    <n v="147"/>
    <s v="Quỳnh Anh"/>
    <s v="Quốc Anh"/>
    <s v="105335"/>
    <x v="72"/>
    <s v="EATONE PRO"/>
    <s v="Hiện hữu"/>
    <s v="Nội địa"/>
    <s v="Đồng Nai"/>
    <s v="Việt Nam"/>
    <s v="Châu Á"/>
    <s v="EXW"/>
    <s v="110000341"/>
    <s v="rHDB04B01"/>
    <x v="2"/>
    <s v="Hạt HD thổi"/>
    <x v="1"/>
    <x v="1"/>
    <x v="0"/>
    <s v="KHÁCH HÀNG HIỆN HỮU CÒN LẠI"/>
    <m/>
    <n v="0.8"/>
    <m/>
    <m/>
    <m/>
    <m/>
    <m/>
    <m/>
    <m/>
    <m/>
    <m/>
    <m/>
    <m/>
    <m/>
    <n v="0"/>
    <n v="100.1"/>
    <n v="-100.1"/>
    <n v="-1"/>
    <n v="600"/>
    <n v="600"/>
    <n v="600"/>
    <n v="600"/>
    <n v="600"/>
    <n v="600"/>
    <n v="600"/>
    <n v="600"/>
    <n v="600"/>
    <n v="600"/>
    <n v="600"/>
    <n v="600"/>
    <n v="600"/>
    <m/>
    <n v="600"/>
    <n v="0"/>
    <m/>
    <n v="0"/>
    <n v="0"/>
    <n v="0"/>
    <n v="0"/>
    <n v="0"/>
    <n v="0"/>
    <n v="0"/>
    <n v="0"/>
    <n v="0"/>
    <n v="0"/>
    <n v="0"/>
    <n v="0"/>
    <n v="0"/>
    <n v="20419500.179708231"/>
    <n v="-20419500.179708231"/>
    <n v="-1"/>
    <m/>
    <m/>
    <m/>
    <n v="0"/>
    <n v="0"/>
    <n v="0"/>
    <n v="0"/>
    <n v="0"/>
    <n v="0"/>
    <n v="0"/>
    <n v="0"/>
    <n v="0"/>
    <n v="0"/>
    <n v="0"/>
    <n v="0"/>
    <n v="0"/>
    <n v="0"/>
    <n v="0"/>
    <n v="0"/>
    <n v="0"/>
    <n v="0"/>
    <n v="0"/>
    <n v="0"/>
    <n v="0"/>
    <n v="0"/>
    <n v="0"/>
    <n v="0"/>
    <n v="0"/>
    <n v="0"/>
    <n v="0"/>
    <n v="0"/>
    <n v="0"/>
    <n v="0"/>
    <n v="0"/>
    <n v="0"/>
    <n v="0"/>
    <n v="0"/>
    <n v="0"/>
    <n v="0"/>
    <n v="0"/>
    <n v="0"/>
    <n v="0"/>
    <n v="0"/>
    <n v="0"/>
    <n v="0"/>
    <n v="0"/>
    <m/>
    <m/>
    <m/>
    <m/>
    <n v="0"/>
    <n v="0"/>
    <n v="0"/>
    <n v="0"/>
    <n v="0"/>
    <n v="0"/>
    <n v="0"/>
    <n v="0"/>
    <n v="0"/>
    <n v="0"/>
    <n v="0"/>
    <n v="0"/>
    <n v="0"/>
  </r>
  <r>
    <n v="148"/>
    <s v="Quỳnh Anh"/>
    <s v="Quốc Anh"/>
    <s v="105336"/>
    <x v="73"/>
    <s v="Hailide Việt Nam"/>
    <s v="Hiện hữu"/>
    <s v="Nội địa"/>
    <s v="Tây Ninh"/>
    <s v="Việt Nam"/>
    <s v="Châu Á"/>
    <s v="DDP"/>
    <s v="110000382"/>
    <s v="WSS04SB"/>
    <x v="1"/>
    <s v="Hạt Xơ sợi"/>
    <x v="6"/>
    <x v="0"/>
    <x v="0"/>
    <m/>
    <m/>
    <n v="0.8"/>
    <m/>
    <m/>
    <m/>
    <m/>
    <m/>
    <m/>
    <m/>
    <m/>
    <m/>
    <m/>
    <m/>
    <m/>
    <n v="0"/>
    <n v="1"/>
    <n v="-1"/>
    <n v="-1"/>
    <n v="550"/>
    <n v="550"/>
    <n v="550"/>
    <n v="550"/>
    <n v="550"/>
    <n v="550"/>
    <n v="550"/>
    <n v="550"/>
    <n v="550"/>
    <n v="550"/>
    <n v="550"/>
    <n v="550"/>
    <n v="550"/>
    <m/>
    <n v="550"/>
    <n v="0"/>
    <m/>
    <n v="0"/>
    <n v="0"/>
    <n v="0"/>
    <n v="0"/>
    <n v="0"/>
    <n v="0"/>
    <n v="0"/>
    <n v="0"/>
    <n v="0"/>
    <n v="0"/>
    <n v="0"/>
    <n v="0"/>
    <n v="0"/>
    <n v="26819401.781321179"/>
    <n v="-26819401.781321179"/>
    <n v="-1"/>
    <m/>
    <m/>
    <m/>
    <n v="0"/>
    <n v="0"/>
    <n v="0"/>
    <n v="0"/>
    <n v="0"/>
    <n v="0"/>
    <n v="0"/>
    <n v="0"/>
    <n v="0"/>
    <n v="0"/>
    <n v="0"/>
    <n v="0"/>
    <n v="0"/>
    <n v="0"/>
    <n v="0"/>
    <n v="0"/>
    <n v="0"/>
    <n v="0"/>
    <n v="0"/>
    <n v="0"/>
    <n v="0"/>
    <n v="0"/>
    <n v="0"/>
    <n v="0"/>
    <n v="0"/>
    <n v="0"/>
    <n v="0"/>
    <n v="0"/>
    <n v="0"/>
    <n v="0"/>
    <n v="0"/>
    <n v="0"/>
    <n v="0"/>
    <n v="0"/>
    <n v="0"/>
    <n v="0"/>
    <n v="0"/>
    <n v="0"/>
    <n v="0"/>
    <n v="0"/>
    <n v="0"/>
    <n v="0"/>
    <n v="0"/>
    <m/>
    <m/>
    <m/>
    <m/>
    <n v="0"/>
    <n v="0"/>
    <n v="0"/>
    <n v="0"/>
    <n v="0"/>
    <n v="0"/>
    <n v="0"/>
    <n v="0"/>
    <n v="0"/>
    <n v="0"/>
    <n v="0"/>
    <n v="0"/>
    <n v="0"/>
  </r>
  <r>
    <n v="149"/>
    <s v="Quỳnh Anh"/>
    <s v="Quốc Anh"/>
    <s v="105339"/>
    <x v="38"/>
    <s v="HUY THÀNH"/>
    <s v="Hiện hữu"/>
    <s v="Nội địa"/>
    <s v="Tây Ninh"/>
    <s v="Việt Nam"/>
    <s v="Châu Á"/>
    <s v="DDP"/>
    <s v="110000363"/>
    <s v="rHDI3Gy01"/>
    <x v="3"/>
    <s v="Hạt HD ép"/>
    <x v="1"/>
    <x v="0"/>
    <x v="0"/>
    <m/>
    <m/>
    <n v="0.8"/>
    <m/>
    <m/>
    <m/>
    <m/>
    <m/>
    <m/>
    <m/>
    <m/>
    <m/>
    <m/>
    <m/>
    <m/>
    <n v="0"/>
    <n v="0.3"/>
    <n v="-0.3"/>
    <n v="-1"/>
    <n v="695"/>
    <n v="695"/>
    <n v="695"/>
    <n v="695"/>
    <n v="695"/>
    <n v="695"/>
    <n v="695"/>
    <n v="695"/>
    <n v="695"/>
    <n v="695"/>
    <n v="695"/>
    <n v="695"/>
    <n v="695"/>
    <m/>
    <n v="695"/>
    <n v="0"/>
    <m/>
    <n v="0"/>
    <n v="0"/>
    <n v="0"/>
    <n v="0"/>
    <n v="0"/>
    <n v="0"/>
    <n v="0"/>
    <n v="0"/>
    <n v="0"/>
    <n v="0"/>
    <n v="0"/>
    <n v="0"/>
    <n v="0"/>
    <n v="4518579.5451085102"/>
    <n v="-4518579.5451085102"/>
    <n v="-1"/>
    <m/>
    <m/>
    <m/>
    <n v="0"/>
    <n v="0"/>
    <n v="0"/>
    <n v="0"/>
    <n v="0"/>
    <n v="0"/>
    <n v="0"/>
    <n v="0"/>
    <n v="0"/>
    <n v="0"/>
    <n v="0"/>
    <n v="0"/>
    <n v="0"/>
    <n v="0"/>
    <n v="0"/>
    <n v="0"/>
    <n v="0"/>
    <n v="0"/>
    <n v="0"/>
    <n v="0"/>
    <n v="0"/>
    <n v="0"/>
    <n v="0"/>
    <n v="0"/>
    <n v="0"/>
    <n v="0"/>
    <n v="0"/>
    <n v="0"/>
    <n v="0"/>
    <n v="0"/>
    <n v="0"/>
    <n v="0"/>
    <n v="0"/>
    <n v="0"/>
    <n v="0"/>
    <n v="0"/>
    <n v="0"/>
    <n v="0"/>
    <n v="0"/>
    <n v="0"/>
    <n v="0"/>
    <n v="0"/>
    <n v="0"/>
    <m/>
    <m/>
    <m/>
    <m/>
    <n v="0"/>
    <n v="0"/>
    <n v="0"/>
    <n v="0"/>
    <n v="0"/>
    <n v="0"/>
    <n v="0"/>
    <n v="0"/>
    <n v="0"/>
    <n v="0"/>
    <n v="0"/>
    <n v="0"/>
    <n v="0"/>
  </r>
  <r>
    <n v="150"/>
    <s v="Quỳnh Anh"/>
    <s v="Quốc Anh"/>
    <s v="105339"/>
    <x v="38"/>
    <s v="HUY THÀNH"/>
    <s v="Hiện hữu"/>
    <s v="Nội địa"/>
    <s v="Tây Ninh"/>
    <s v="Việt Nam"/>
    <s v="Châu Á"/>
    <s v="DDP"/>
    <s v="110000408"/>
    <s v="Vảy HD Ép Trắng"/>
    <x v="3"/>
    <s v="Vảy HD ép"/>
    <x v="1"/>
    <x v="0"/>
    <x v="0"/>
    <s v="KHÁCH HÀNG HIỆN HỮU CÒN LẠI"/>
    <m/>
    <n v="0.8"/>
    <m/>
    <m/>
    <m/>
    <m/>
    <m/>
    <m/>
    <m/>
    <m/>
    <m/>
    <m/>
    <m/>
    <m/>
    <n v="0"/>
    <n v="0.05"/>
    <n v="-0.05"/>
    <n v="-1"/>
    <n v="560"/>
    <n v="560"/>
    <n v="560"/>
    <n v="560"/>
    <n v="560"/>
    <n v="560"/>
    <n v="560"/>
    <n v="560"/>
    <n v="560"/>
    <n v="560"/>
    <n v="560"/>
    <n v="560"/>
    <n v="560"/>
    <m/>
    <n v="560"/>
    <n v="0"/>
    <m/>
    <n v="0"/>
    <n v="0"/>
    <n v="0"/>
    <n v="0"/>
    <n v="0"/>
    <n v="0"/>
    <n v="0"/>
    <n v="0"/>
    <n v="0"/>
    <n v="0"/>
    <n v="0"/>
    <n v="0"/>
    <n v="0"/>
    <n v="856482"/>
    <n v="-856482"/>
    <n v="-1"/>
    <m/>
    <m/>
    <m/>
    <n v="0"/>
    <n v="0"/>
    <n v="0"/>
    <n v="0"/>
    <n v="0"/>
    <n v="0"/>
    <n v="0"/>
    <n v="0"/>
    <n v="0"/>
    <n v="0"/>
    <n v="0"/>
    <n v="0"/>
    <n v="0"/>
    <n v="0"/>
    <n v="0"/>
    <n v="0"/>
    <n v="0"/>
    <n v="0"/>
    <n v="0"/>
    <n v="0"/>
    <n v="0"/>
    <n v="0"/>
    <n v="0"/>
    <n v="0"/>
    <n v="0"/>
    <n v="0"/>
    <n v="0"/>
    <n v="0"/>
    <n v="0"/>
    <n v="0"/>
    <n v="0"/>
    <n v="0"/>
    <n v="0"/>
    <n v="0"/>
    <n v="0"/>
    <n v="0"/>
    <n v="0"/>
    <n v="0"/>
    <n v="0"/>
    <n v="0"/>
    <n v="0"/>
    <n v="0"/>
    <n v="0"/>
    <m/>
    <m/>
    <m/>
    <m/>
    <n v="0"/>
    <n v="0"/>
    <n v="0"/>
    <n v="0"/>
    <n v="0"/>
    <n v="0"/>
    <n v="0"/>
    <n v="0"/>
    <n v="0"/>
    <n v="0"/>
    <n v="0"/>
    <n v="0"/>
    <n v="0"/>
  </r>
  <r>
    <n v="151"/>
    <s v="Quỳnh Anh"/>
    <s v="Quốc Anh"/>
    <s v="105339"/>
    <x v="38"/>
    <s v="HUY THÀNH"/>
    <s v="Hiện hữu"/>
    <s v="Nội địa"/>
    <s v="Tây Ninh"/>
    <s v="Việt Nam"/>
    <s v="Châu Á"/>
    <s v="DDP"/>
    <s v="110000410"/>
    <s v="Vảy HD Ép Lá"/>
    <x v="3"/>
    <s v="Vảy HD ép"/>
    <x v="1"/>
    <x v="0"/>
    <x v="0"/>
    <s v="KHÁCH HÀNG HIỆN HỮU CÒN LẠI"/>
    <m/>
    <n v="0.8"/>
    <m/>
    <m/>
    <m/>
    <m/>
    <m/>
    <m/>
    <m/>
    <m/>
    <m/>
    <m/>
    <m/>
    <m/>
    <n v="0"/>
    <n v="0.05"/>
    <n v="-0.05"/>
    <n v="-1"/>
    <n v="560"/>
    <n v="560"/>
    <n v="560"/>
    <n v="560"/>
    <n v="560"/>
    <n v="560"/>
    <n v="560"/>
    <n v="560"/>
    <n v="560"/>
    <n v="560"/>
    <n v="560"/>
    <n v="560"/>
    <n v="560"/>
    <m/>
    <n v="560"/>
    <n v="0"/>
    <m/>
    <n v="0"/>
    <n v="0"/>
    <n v="0"/>
    <n v="0"/>
    <n v="0"/>
    <n v="0"/>
    <n v="0"/>
    <n v="0"/>
    <n v="0"/>
    <n v="0"/>
    <n v="0"/>
    <n v="0"/>
    <n v="0"/>
    <n v="856482"/>
    <n v="-856482"/>
    <n v="-1"/>
    <m/>
    <m/>
    <m/>
    <n v="0"/>
    <n v="0"/>
    <n v="0"/>
    <n v="0"/>
    <n v="0"/>
    <n v="0"/>
    <n v="0"/>
    <n v="0"/>
    <n v="0"/>
    <n v="0"/>
    <n v="0"/>
    <n v="0"/>
    <n v="0"/>
    <n v="0"/>
    <n v="0"/>
    <n v="0"/>
    <n v="0"/>
    <n v="0"/>
    <n v="0"/>
    <n v="0"/>
    <n v="0"/>
    <n v="0"/>
    <n v="0"/>
    <n v="0"/>
    <n v="0"/>
    <n v="0"/>
    <n v="0"/>
    <n v="0"/>
    <n v="0"/>
    <n v="0"/>
    <n v="0"/>
    <n v="0"/>
    <n v="0"/>
    <n v="0"/>
    <n v="0"/>
    <n v="0"/>
    <n v="0"/>
    <n v="0"/>
    <n v="0"/>
    <n v="0"/>
    <n v="0"/>
    <n v="0"/>
    <n v="0"/>
    <m/>
    <m/>
    <m/>
    <m/>
    <n v="0"/>
    <n v="0"/>
    <n v="0"/>
    <n v="0"/>
    <n v="0"/>
    <n v="0"/>
    <n v="0"/>
    <n v="0"/>
    <n v="0"/>
    <n v="0"/>
    <n v="0"/>
    <n v="0"/>
    <n v="0"/>
  </r>
  <r>
    <n v="152"/>
    <s v="Quỳnh Anh"/>
    <s v="Quốc Anh"/>
    <s v="105339"/>
    <x v="38"/>
    <s v="HUY THÀNH"/>
    <s v="Hiện hữu"/>
    <s v="Nội địa"/>
    <s v="Tây Ninh"/>
    <s v="Việt Nam"/>
    <s v="Châu Á"/>
    <s v="DDP"/>
    <s v="110000412"/>
    <s v="Vảy HD Ép Đen"/>
    <x v="3"/>
    <s v="Vảy HD ép"/>
    <x v="1"/>
    <x v="0"/>
    <x v="0"/>
    <m/>
    <m/>
    <n v="0.8"/>
    <m/>
    <m/>
    <m/>
    <m/>
    <m/>
    <m/>
    <m/>
    <m/>
    <m/>
    <m/>
    <m/>
    <m/>
    <n v="0"/>
    <n v="28"/>
    <n v="-28"/>
    <n v="-1"/>
    <n v="560"/>
    <n v="560"/>
    <n v="560"/>
    <n v="560"/>
    <n v="560"/>
    <n v="560"/>
    <n v="560"/>
    <n v="560"/>
    <n v="560"/>
    <n v="560"/>
    <n v="560"/>
    <n v="560"/>
    <n v="560"/>
    <m/>
    <n v="560"/>
    <n v="0"/>
    <m/>
    <n v="0"/>
    <n v="0"/>
    <n v="0"/>
    <n v="0"/>
    <n v="0"/>
    <n v="0"/>
    <n v="0"/>
    <n v="0"/>
    <n v="0"/>
    <n v="0"/>
    <n v="0"/>
    <n v="0"/>
    <n v="0"/>
    <n v="312018439.04914623"/>
    <n v="-312018439.04914623"/>
    <n v="-1"/>
    <m/>
    <m/>
    <m/>
    <n v="0"/>
    <n v="0"/>
    <n v="0"/>
    <n v="0"/>
    <n v="0"/>
    <n v="0"/>
    <n v="0"/>
    <n v="0"/>
    <n v="0"/>
    <n v="0"/>
    <n v="0"/>
    <n v="0"/>
    <n v="0"/>
    <n v="0"/>
    <n v="0"/>
    <n v="0"/>
    <n v="0"/>
    <n v="0"/>
    <n v="0"/>
    <n v="0"/>
    <n v="0"/>
    <n v="0"/>
    <n v="0"/>
    <n v="0"/>
    <n v="0"/>
    <n v="0"/>
    <n v="0"/>
    <n v="0"/>
    <n v="0"/>
    <n v="0"/>
    <n v="0"/>
    <n v="0"/>
    <n v="0"/>
    <n v="0"/>
    <n v="0"/>
    <n v="0"/>
    <n v="0"/>
    <n v="0"/>
    <n v="0"/>
    <n v="0"/>
    <n v="0"/>
    <n v="0"/>
    <n v="0"/>
    <m/>
    <m/>
    <m/>
    <m/>
    <n v="0"/>
    <n v="0"/>
    <n v="0"/>
    <n v="0"/>
    <n v="0"/>
    <n v="0"/>
    <n v="0"/>
    <n v="0"/>
    <n v="0"/>
    <n v="0"/>
    <n v="0"/>
    <n v="0"/>
    <n v="0"/>
  </r>
  <r>
    <n v="153"/>
    <s v="Quỳnh Anh"/>
    <s v="Quốc Anh"/>
    <s v="105339"/>
    <x v="38"/>
    <s v="HUY THÀNH"/>
    <s v="Hiện hữu"/>
    <s v="Nội địa"/>
    <s v="Tây Ninh"/>
    <s v="Việt Nam"/>
    <s v="Châu Á"/>
    <s v="DDP"/>
    <s v="110000413"/>
    <s v="Vảy HD Ép Đồng"/>
    <x v="3"/>
    <s v="Vảy HD ép"/>
    <x v="1"/>
    <x v="0"/>
    <x v="0"/>
    <m/>
    <m/>
    <n v="0.8"/>
    <m/>
    <m/>
    <m/>
    <m/>
    <m/>
    <m/>
    <m/>
    <m/>
    <m/>
    <m/>
    <m/>
    <m/>
    <n v="0"/>
    <n v="0.05"/>
    <n v="-0.05"/>
    <n v="-1"/>
    <n v="560"/>
    <n v="560"/>
    <n v="560"/>
    <n v="560"/>
    <n v="560"/>
    <n v="560"/>
    <n v="560"/>
    <n v="560"/>
    <n v="560"/>
    <n v="560"/>
    <n v="560"/>
    <n v="560"/>
    <n v="560"/>
    <m/>
    <n v="560"/>
    <n v="0"/>
    <m/>
    <n v="0"/>
    <n v="0"/>
    <n v="0"/>
    <n v="0"/>
    <n v="0"/>
    <n v="0"/>
    <n v="0"/>
    <n v="0"/>
    <n v="0"/>
    <n v="0"/>
    <n v="0"/>
    <n v="0"/>
    <n v="0"/>
    <n v="833331"/>
    <n v="-833331"/>
    <n v="-1"/>
    <m/>
    <m/>
    <m/>
    <n v="0"/>
    <n v="0"/>
    <n v="0"/>
    <n v="0"/>
    <n v="0"/>
    <n v="0"/>
    <n v="0"/>
    <n v="0"/>
    <n v="0"/>
    <n v="0"/>
    <n v="0"/>
    <n v="0"/>
    <n v="0"/>
    <n v="0"/>
    <n v="0"/>
    <n v="0"/>
    <n v="0"/>
    <n v="0"/>
    <n v="0"/>
    <n v="0"/>
    <n v="0"/>
    <n v="0"/>
    <n v="0"/>
    <n v="0"/>
    <n v="0"/>
    <n v="0"/>
    <n v="0"/>
    <n v="0"/>
    <n v="0"/>
    <n v="0"/>
    <n v="0"/>
    <n v="0"/>
    <n v="0"/>
    <n v="0"/>
    <n v="0"/>
    <n v="0"/>
    <n v="0"/>
    <n v="0"/>
    <n v="0"/>
    <n v="0"/>
    <n v="0"/>
    <n v="0"/>
    <n v="0"/>
    <m/>
    <m/>
    <m/>
    <m/>
    <n v="0"/>
    <n v="0"/>
    <n v="0"/>
    <n v="0"/>
    <n v="0"/>
    <n v="0"/>
    <n v="0"/>
    <n v="0"/>
    <n v="0"/>
    <n v="0"/>
    <n v="0"/>
    <n v="0"/>
    <n v="0"/>
  </r>
  <r>
    <n v="154"/>
    <s v="Quỳnh Anh"/>
    <s v="Quốc Anh"/>
    <s v="105341"/>
    <x v="74"/>
    <s v="TÂN HOA THỊNH"/>
    <s v="Mới"/>
    <s v="Nội địa"/>
    <s v="Tây Ninh"/>
    <s v="Việt Nam"/>
    <s v="Châu Á"/>
    <s v="DDP"/>
    <s v="110000409"/>
    <s v="Vảy HD Ép Vàng"/>
    <x v="3"/>
    <s v="Vảy HD ép"/>
    <x v="1"/>
    <x v="0"/>
    <x v="0"/>
    <s v="KHÁCH HÀNG HIỆN HỮU CÒN LẠI"/>
    <m/>
    <n v="0.8"/>
    <m/>
    <m/>
    <m/>
    <m/>
    <m/>
    <m/>
    <m/>
    <m/>
    <m/>
    <m/>
    <m/>
    <m/>
    <n v="0"/>
    <n v="10"/>
    <n v="-10"/>
    <n v="-1"/>
    <n v="560"/>
    <n v="560"/>
    <n v="560"/>
    <n v="560"/>
    <n v="560"/>
    <n v="560"/>
    <n v="560"/>
    <n v="560"/>
    <n v="560"/>
    <n v="560"/>
    <n v="560"/>
    <n v="560"/>
    <n v="560"/>
    <m/>
    <n v="560"/>
    <n v="0"/>
    <m/>
    <n v="0"/>
    <n v="0"/>
    <n v="0"/>
    <n v="0"/>
    <n v="0"/>
    <n v="0"/>
    <n v="0"/>
    <n v="0"/>
    <n v="0"/>
    <n v="0"/>
    <n v="0"/>
    <n v="0"/>
    <n v="0"/>
    <n v="143606951.25274724"/>
    <n v="-143606951.25274724"/>
    <n v="-1"/>
    <m/>
    <m/>
    <m/>
    <n v="0"/>
    <n v="0"/>
    <n v="0"/>
    <n v="0"/>
    <n v="0"/>
    <n v="0"/>
    <n v="0"/>
    <n v="0"/>
    <n v="0"/>
    <n v="0"/>
    <n v="0"/>
    <n v="0"/>
    <n v="0"/>
    <n v="0"/>
    <n v="0"/>
    <n v="0"/>
    <n v="0"/>
    <n v="0"/>
    <n v="0"/>
    <n v="0"/>
    <n v="0"/>
    <n v="0"/>
    <n v="0"/>
    <n v="0"/>
    <n v="0"/>
    <n v="0"/>
    <n v="0"/>
    <n v="0"/>
    <n v="0"/>
    <n v="0"/>
    <n v="0"/>
    <n v="0"/>
    <n v="0"/>
    <n v="0"/>
    <n v="0"/>
    <n v="0"/>
    <n v="0"/>
    <n v="0"/>
    <n v="0"/>
    <n v="0"/>
    <n v="0"/>
    <n v="0"/>
    <n v="0"/>
    <m/>
    <m/>
    <m/>
    <m/>
    <n v="0"/>
    <n v="0"/>
    <n v="0"/>
    <n v="0"/>
    <n v="0"/>
    <n v="0"/>
    <n v="0"/>
    <n v="0"/>
    <n v="0"/>
    <n v="0"/>
    <n v="0"/>
    <n v="0"/>
    <n v="0"/>
  </r>
  <r>
    <n v="155"/>
    <s v="Quỳnh Anh"/>
    <s v="Quốc Anh"/>
    <s v="105341"/>
    <x v="74"/>
    <s v="TÂN HOA THỊNH"/>
    <s v="Mới"/>
    <s v="Nội địa"/>
    <s v="Tây Ninh"/>
    <s v="Việt Nam"/>
    <s v="Châu Á"/>
    <s v="DDP"/>
    <s v="110000411"/>
    <s v="Vảy HD Ép Dương"/>
    <x v="3"/>
    <s v="Vảy HD ép"/>
    <x v="1"/>
    <x v="0"/>
    <x v="0"/>
    <s v="KHÁCH HÀNG HIỆN HỮU CÒN LẠI"/>
    <m/>
    <n v="0.8"/>
    <m/>
    <m/>
    <m/>
    <m/>
    <m/>
    <m/>
    <m/>
    <m/>
    <m/>
    <m/>
    <m/>
    <m/>
    <n v="0"/>
    <n v="10"/>
    <n v="-10"/>
    <n v="-1"/>
    <n v="560"/>
    <n v="560"/>
    <n v="560"/>
    <n v="560"/>
    <n v="560"/>
    <n v="560"/>
    <n v="560"/>
    <n v="560"/>
    <n v="560"/>
    <n v="560"/>
    <n v="560"/>
    <n v="560"/>
    <n v="560"/>
    <m/>
    <n v="560"/>
    <n v="0"/>
    <m/>
    <n v="0"/>
    <n v="0"/>
    <n v="0"/>
    <n v="0"/>
    <n v="0"/>
    <n v="0"/>
    <n v="0"/>
    <n v="0"/>
    <n v="0"/>
    <n v="0"/>
    <n v="0"/>
    <n v="0"/>
    <n v="0"/>
    <n v="143606951.25274724"/>
    <n v="-143606951.25274724"/>
    <n v="-1"/>
    <m/>
    <m/>
    <m/>
    <n v="0"/>
    <n v="0"/>
    <n v="0"/>
    <n v="0"/>
    <n v="0"/>
    <n v="0"/>
    <n v="0"/>
    <n v="0"/>
    <n v="0"/>
    <n v="0"/>
    <n v="0"/>
    <n v="0"/>
    <n v="0"/>
    <n v="0"/>
    <n v="0"/>
    <n v="0"/>
    <n v="0"/>
    <n v="0"/>
    <n v="0"/>
    <n v="0"/>
    <n v="0"/>
    <n v="0"/>
    <n v="0"/>
    <n v="0"/>
    <n v="0"/>
    <n v="0"/>
    <n v="0"/>
    <n v="0"/>
    <n v="0"/>
    <n v="0"/>
    <n v="0"/>
    <n v="0"/>
    <n v="0"/>
    <n v="0"/>
    <n v="0"/>
    <n v="0"/>
    <n v="0"/>
    <n v="0"/>
    <n v="0"/>
    <n v="0"/>
    <n v="0"/>
    <n v="0"/>
    <n v="0"/>
    <m/>
    <m/>
    <m/>
    <m/>
    <n v="0"/>
    <n v="0"/>
    <n v="0"/>
    <n v="0"/>
    <n v="0"/>
    <n v="0"/>
    <n v="0"/>
    <n v="0"/>
    <n v="0"/>
    <n v="0"/>
    <n v="0"/>
    <n v="0"/>
    <n v="0"/>
  </r>
  <r>
    <n v="156"/>
    <s v="Quỳnh Anh"/>
    <s v="Quốc Anh"/>
    <s v="105346"/>
    <x v="75"/>
    <s v="GUNICA"/>
    <s v="Mới"/>
    <s v="Nội địa"/>
    <s v="Đồng Nai"/>
    <s v="Việt Nam"/>
    <s v="Châu Á"/>
    <s v="EXW"/>
    <s v="110000392"/>
    <s v="rPP20B01"/>
    <x v="4"/>
    <s v="Hạt PP"/>
    <x v="1"/>
    <x v="0"/>
    <x v="0"/>
    <s v="KHÁCH HÀNG HIỆN HỮU CÒN LẠI"/>
    <m/>
    <n v="0.8"/>
    <m/>
    <m/>
    <m/>
    <m/>
    <m/>
    <m/>
    <m/>
    <m/>
    <m/>
    <m/>
    <m/>
    <m/>
    <n v="0"/>
    <n v="0.1"/>
    <n v="-0.1"/>
    <n v="-1"/>
    <n v="825"/>
    <n v="825"/>
    <n v="825"/>
    <n v="825"/>
    <n v="825"/>
    <n v="825"/>
    <n v="825"/>
    <n v="825"/>
    <n v="825"/>
    <n v="825"/>
    <n v="825"/>
    <n v="825"/>
    <n v="825"/>
    <m/>
    <n v="825"/>
    <n v="0"/>
    <m/>
    <n v="0"/>
    <n v="0"/>
    <n v="0"/>
    <n v="0"/>
    <n v="0"/>
    <n v="0"/>
    <n v="0"/>
    <n v="0"/>
    <n v="0"/>
    <n v="0"/>
    <n v="0"/>
    <n v="0"/>
    <n v="0"/>
    <n v="1906240.0000000002"/>
    <n v="-1906240.0000000002"/>
    <n v="-1"/>
    <m/>
    <m/>
    <m/>
    <n v="0"/>
    <n v="0"/>
    <n v="0"/>
    <n v="0"/>
    <n v="0"/>
    <n v="0"/>
    <n v="0"/>
    <n v="0"/>
    <n v="0"/>
    <n v="0"/>
    <n v="0"/>
    <n v="0"/>
    <n v="0"/>
    <n v="0"/>
    <n v="0"/>
    <n v="0"/>
    <n v="0"/>
    <n v="0"/>
    <n v="0"/>
    <n v="0"/>
    <n v="0"/>
    <n v="0"/>
    <n v="0"/>
    <n v="0"/>
    <n v="0"/>
    <n v="0"/>
    <n v="0"/>
    <n v="0"/>
    <n v="0"/>
    <n v="0"/>
    <n v="0"/>
    <n v="0"/>
    <n v="0"/>
    <n v="0"/>
    <n v="0"/>
    <n v="0"/>
    <n v="0"/>
    <n v="0"/>
    <n v="0"/>
    <n v="0"/>
    <n v="0"/>
    <n v="0"/>
    <n v="0"/>
    <m/>
    <m/>
    <m/>
    <m/>
    <n v="0"/>
    <n v="0"/>
    <n v="0"/>
    <n v="0"/>
    <n v="0"/>
    <n v="0"/>
    <n v="0"/>
    <n v="0"/>
    <n v="0"/>
    <n v="0"/>
    <n v="0"/>
    <n v="0"/>
    <n v="0"/>
  </r>
  <r>
    <n v="157"/>
    <s v="Quỳnh Anh"/>
    <s v="Quốc Anh"/>
    <s v="105346"/>
    <x v="75"/>
    <s v="GUNICA"/>
    <s v="Mới"/>
    <s v="Nội địa"/>
    <s v="Đồng Nai"/>
    <s v="Việt Nam"/>
    <s v="Châu Á"/>
    <s v="EXW"/>
    <s v="110000421"/>
    <s v="Vảy PP Đỏ Nhạt"/>
    <x v="4"/>
    <s v="Vảy PP"/>
    <x v="1"/>
    <x v="0"/>
    <x v="0"/>
    <s v="KHÁCH HÀNG HIỆN HỮU CÒN LẠI"/>
    <m/>
    <n v="0.8"/>
    <m/>
    <m/>
    <m/>
    <m/>
    <m/>
    <m/>
    <m/>
    <m/>
    <m/>
    <m/>
    <m/>
    <m/>
    <n v="0"/>
    <n v="0.1"/>
    <n v="-0.1"/>
    <n v="-1"/>
    <n v="600"/>
    <n v="600"/>
    <n v="600"/>
    <n v="600"/>
    <n v="600"/>
    <n v="600"/>
    <n v="600"/>
    <n v="600"/>
    <n v="600"/>
    <n v="600"/>
    <n v="600"/>
    <n v="600"/>
    <n v="600"/>
    <m/>
    <n v="600"/>
    <n v="0"/>
    <m/>
    <n v="0"/>
    <n v="0"/>
    <n v="0"/>
    <n v="0"/>
    <n v="0"/>
    <n v="0"/>
    <n v="0"/>
    <n v="0"/>
    <n v="0"/>
    <n v="0"/>
    <n v="0"/>
    <n v="0"/>
    <n v="0"/>
    <n v="2022159.9999999998"/>
    <n v="-2022159.9999999998"/>
    <n v="-1"/>
    <m/>
    <m/>
    <m/>
    <n v="0"/>
    <n v="0"/>
    <n v="0"/>
    <n v="0"/>
    <n v="0"/>
    <n v="0"/>
    <n v="0"/>
    <n v="0"/>
    <n v="0"/>
    <n v="0"/>
    <n v="0"/>
    <n v="0"/>
    <n v="0"/>
    <n v="0"/>
    <n v="0"/>
    <n v="0"/>
    <n v="0"/>
    <n v="0"/>
    <n v="0"/>
    <n v="0"/>
    <n v="0"/>
    <n v="0"/>
    <n v="0"/>
    <n v="0"/>
    <n v="0"/>
    <n v="0"/>
    <n v="0"/>
    <n v="0"/>
    <n v="0"/>
    <n v="0"/>
    <n v="0"/>
    <n v="0"/>
    <n v="0"/>
    <n v="0"/>
    <n v="0"/>
    <n v="0"/>
    <n v="0"/>
    <n v="0"/>
    <n v="0"/>
    <n v="0"/>
    <n v="0"/>
    <n v="0"/>
    <n v="0"/>
    <m/>
    <m/>
    <m/>
    <m/>
    <n v="0"/>
    <n v="0"/>
    <n v="0"/>
    <n v="0"/>
    <n v="0"/>
    <n v="0"/>
    <n v="0"/>
    <n v="0"/>
    <n v="0"/>
    <n v="0"/>
    <n v="0"/>
    <n v="0"/>
    <n v="0"/>
  </r>
  <r>
    <n v="158"/>
    <s v="Quỳnh Anh"/>
    <s v="Quốc Anh"/>
    <s v="105346"/>
    <x v="75"/>
    <s v="GUNICA"/>
    <s v="Mới"/>
    <s v="Nội địa"/>
    <s v="Đồng Nai"/>
    <s v="Việt Nam"/>
    <s v="Châu Á"/>
    <s v="EXW"/>
    <s v="110000423"/>
    <s v="Vảy PP Dương Nhạt"/>
    <x v="4"/>
    <s v="Vảy PP"/>
    <x v="1"/>
    <x v="0"/>
    <x v="0"/>
    <m/>
    <m/>
    <n v="0.8"/>
    <m/>
    <m/>
    <m/>
    <m/>
    <m/>
    <m/>
    <m/>
    <m/>
    <m/>
    <m/>
    <m/>
    <m/>
    <n v="0"/>
    <n v="0.1"/>
    <n v="-0.1"/>
    <n v="-1"/>
    <n v="600"/>
    <n v="600"/>
    <n v="600"/>
    <n v="600"/>
    <n v="600"/>
    <n v="600"/>
    <n v="600"/>
    <n v="600"/>
    <n v="600"/>
    <n v="600"/>
    <n v="600"/>
    <n v="600"/>
    <n v="600"/>
    <m/>
    <n v="600"/>
    <n v="0"/>
    <m/>
    <n v="0"/>
    <n v="0"/>
    <n v="0"/>
    <n v="0"/>
    <n v="0"/>
    <n v="0"/>
    <n v="0"/>
    <n v="0"/>
    <n v="0"/>
    <n v="0"/>
    <n v="0"/>
    <n v="0"/>
    <n v="0"/>
    <n v="2022159.9999999998"/>
    <n v="-2022159.9999999998"/>
    <n v="-1"/>
    <m/>
    <m/>
    <m/>
    <n v="0"/>
    <n v="0"/>
    <n v="0"/>
    <n v="0"/>
    <n v="0"/>
    <n v="0"/>
    <n v="0"/>
    <n v="0"/>
    <n v="0"/>
    <n v="0"/>
    <n v="0"/>
    <n v="0"/>
    <n v="0"/>
    <n v="0"/>
    <n v="0"/>
    <n v="0"/>
    <n v="0"/>
    <n v="0"/>
    <n v="0"/>
    <n v="0"/>
    <n v="0"/>
    <n v="0"/>
    <n v="0"/>
    <n v="0"/>
    <n v="0"/>
    <n v="0"/>
    <n v="0"/>
    <n v="0"/>
    <n v="0"/>
    <n v="0"/>
    <n v="0"/>
    <n v="0"/>
    <n v="0"/>
    <n v="0"/>
    <n v="0"/>
    <n v="0"/>
    <n v="0"/>
    <n v="0"/>
    <n v="0"/>
    <n v="0"/>
    <n v="0"/>
    <n v="0"/>
    <n v="0"/>
    <m/>
    <m/>
    <m/>
    <m/>
    <n v="0"/>
    <n v="0"/>
    <n v="0"/>
    <n v="0"/>
    <n v="0"/>
    <n v="0"/>
    <n v="0"/>
    <n v="0"/>
    <n v="0"/>
    <n v="0"/>
    <n v="0"/>
    <n v="0"/>
    <n v="0"/>
  </r>
  <r>
    <n v="159"/>
    <s v="Quỳnh Anh"/>
    <s v="Quốc Anh"/>
    <s v="105347"/>
    <x v="76"/>
    <s v="Kim Hòa"/>
    <s v="Mới"/>
    <s v="Nội địa"/>
    <s v="Hồ Chí Minh"/>
    <s v="Việt Nam"/>
    <s v="Châu Á"/>
    <s v="EXW"/>
    <s v="110000410"/>
    <s v="Vảy HD Ép Lá"/>
    <x v="3"/>
    <s v="Vảy HD ép"/>
    <x v="1"/>
    <x v="0"/>
    <x v="0"/>
    <s v="KHÁCH HÀNG HIỆN HỮU CÒN LẠI"/>
    <m/>
    <n v="0.8"/>
    <m/>
    <m/>
    <m/>
    <m/>
    <m/>
    <m/>
    <m/>
    <m/>
    <m/>
    <m/>
    <m/>
    <m/>
    <n v="0"/>
    <n v="0.05"/>
    <n v="-0.05"/>
    <n v="-1"/>
    <n v="560"/>
    <n v="560"/>
    <n v="560"/>
    <n v="560"/>
    <n v="560"/>
    <n v="560"/>
    <n v="560"/>
    <n v="560"/>
    <n v="560"/>
    <n v="560"/>
    <n v="560"/>
    <n v="560"/>
    <n v="560"/>
    <m/>
    <n v="560"/>
    <n v="0"/>
    <m/>
    <n v="0"/>
    <n v="0"/>
    <n v="0"/>
    <n v="0"/>
    <n v="0"/>
    <n v="0"/>
    <n v="0"/>
    <n v="0"/>
    <n v="0"/>
    <n v="0"/>
    <n v="0"/>
    <n v="0"/>
    <n v="0"/>
    <n v="750000"/>
    <n v="-750000"/>
    <n v="-1"/>
    <m/>
    <m/>
    <m/>
    <n v="0"/>
    <n v="0"/>
    <n v="0"/>
    <n v="0"/>
    <n v="0"/>
    <n v="0"/>
    <n v="0"/>
    <n v="0"/>
    <n v="0"/>
    <n v="0"/>
    <n v="0"/>
    <n v="0"/>
    <n v="0"/>
    <n v="0"/>
    <n v="0"/>
    <n v="0"/>
    <n v="0"/>
    <n v="0"/>
    <n v="0"/>
    <n v="0"/>
    <n v="0"/>
    <n v="0"/>
    <n v="0"/>
    <n v="0"/>
    <n v="0"/>
    <n v="0"/>
    <n v="0"/>
    <n v="0"/>
    <n v="0"/>
    <n v="0"/>
    <n v="0"/>
    <n v="0"/>
    <n v="0"/>
    <n v="0"/>
    <n v="0"/>
    <n v="0"/>
    <n v="0"/>
    <n v="0"/>
    <n v="0"/>
    <n v="0"/>
    <n v="0"/>
    <n v="0"/>
    <n v="0"/>
    <m/>
    <m/>
    <m/>
    <m/>
    <n v="0"/>
    <n v="0"/>
    <n v="0"/>
    <n v="0"/>
    <n v="0"/>
    <n v="0"/>
    <n v="0"/>
    <n v="0"/>
    <n v="0"/>
    <n v="0"/>
    <n v="0"/>
    <n v="0"/>
    <n v="0"/>
  </r>
  <r>
    <n v="160"/>
    <s v="Duy"/>
    <s v="Cường"/>
    <s v="105355"/>
    <x v="77"/>
    <s v="Nhựa Âu Lạc"/>
    <s v="Mới"/>
    <s v="Nội địa"/>
    <s v="Hồ Chí Minh"/>
    <s v="Việt Nam"/>
    <s v="Châu Á"/>
    <s v="EXW"/>
    <s v="110000354"/>
    <s v="WSS01G 1"/>
    <x v="0"/>
    <s v="Hạt PET"/>
    <x v="0"/>
    <x v="0"/>
    <x v="0"/>
    <s v="KHÁCH HÀNG HIỆN HỮU CÒN LẠI"/>
    <m/>
    <n v="0.8"/>
    <m/>
    <m/>
    <m/>
    <m/>
    <m/>
    <m/>
    <m/>
    <m/>
    <m/>
    <m/>
    <m/>
    <m/>
    <n v="0"/>
    <n v="1.125"/>
    <n v="-1.125"/>
    <n v="-1"/>
    <n v="1150"/>
    <n v="1150"/>
    <n v="1150"/>
    <n v="1150"/>
    <n v="1150"/>
    <n v="1150"/>
    <n v="1150"/>
    <n v="1150"/>
    <n v="1150"/>
    <n v="1150"/>
    <n v="1150"/>
    <n v="1150"/>
    <n v="1150"/>
    <m/>
    <n v="1150"/>
    <n v="0"/>
    <m/>
    <n v="0"/>
    <n v="0"/>
    <n v="0"/>
    <n v="0"/>
    <n v="0"/>
    <n v="0"/>
    <n v="0"/>
    <n v="0"/>
    <n v="0"/>
    <n v="0"/>
    <n v="0"/>
    <n v="0"/>
    <n v="0"/>
    <n v="37429138.417282127"/>
    <n v="-37429138.417282127"/>
    <n v="-1"/>
    <m/>
    <m/>
    <m/>
    <n v="0"/>
    <n v="0"/>
    <n v="0"/>
    <n v="0"/>
    <n v="0"/>
    <n v="0"/>
    <n v="0"/>
    <n v="0"/>
    <n v="0"/>
    <n v="0"/>
    <n v="0"/>
    <n v="0"/>
    <n v="0"/>
    <n v="0"/>
    <n v="0"/>
    <n v="0"/>
    <n v="0"/>
    <n v="0"/>
    <n v="0"/>
    <n v="0"/>
    <n v="0"/>
    <n v="0"/>
    <n v="0"/>
    <n v="0"/>
    <n v="0"/>
    <n v="0"/>
    <n v="0"/>
    <n v="0"/>
    <n v="0"/>
    <n v="0"/>
    <n v="0"/>
    <n v="0"/>
    <n v="0"/>
    <n v="0"/>
    <n v="0"/>
    <n v="0"/>
    <n v="0"/>
    <n v="0"/>
    <n v="0"/>
    <n v="0"/>
    <n v="0"/>
    <n v="0"/>
    <n v="0"/>
    <m/>
    <m/>
    <m/>
    <m/>
    <n v="0"/>
    <n v="0"/>
    <n v="0"/>
    <n v="0"/>
    <n v="0"/>
    <n v="0"/>
    <n v="0"/>
    <n v="0"/>
    <n v="0"/>
    <n v="0"/>
    <n v="0"/>
    <n v="0"/>
    <n v="0"/>
  </r>
  <r>
    <n v="161"/>
    <s v="Duy"/>
    <s v="Cường"/>
    <s v="105355"/>
    <x v="77"/>
    <s v="Nhựa Âu Lạc"/>
    <s v="Mới"/>
    <s v="Nội địa"/>
    <s v="Hồ Chí Minh"/>
    <s v="Việt Nam"/>
    <s v="Châu Á"/>
    <s v="EXW"/>
    <s v="110000355"/>
    <s v="iSS01G 1"/>
    <x v="0"/>
    <s v="Hạt PET"/>
    <x v="2"/>
    <x v="0"/>
    <x v="0"/>
    <s v="KHÁCH HÀNG HIỆN HỮU CÒN LẠI"/>
    <m/>
    <n v="0.8"/>
    <m/>
    <m/>
    <m/>
    <m/>
    <m/>
    <m/>
    <m/>
    <m/>
    <m/>
    <m/>
    <m/>
    <m/>
    <n v="0"/>
    <n v="2.5000000000000001E-2"/>
    <n v="-2.5000000000000001E-2"/>
    <n v="-1"/>
    <n v="1200"/>
    <n v="1200"/>
    <n v="1200"/>
    <n v="1200"/>
    <n v="1200"/>
    <n v="1200"/>
    <n v="1200"/>
    <n v="1200"/>
    <n v="1200"/>
    <n v="1200"/>
    <n v="1200"/>
    <n v="1200"/>
    <n v="1060"/>
    <m/>
    <n v="1060"/>
    <n v="0"/>
    <m/>
    <n v="0"/>
    <n v="0"/>
    <n v="0"/>
    <n v="0"/>
    <n v="0"/>
    <n v="0"/>
    <n v="0"/>
    <n v="0"/>
    <n v="0"/>
    <n v="0"/>
    <n v="0"/>
    <n v="0"/>
    <n v="0"/>
    <n v="855000"/>
    <n v="-855000"/>
    <n v="-1"/>
    <m/>
    <m/>
    <m/>
    <n v="0"/>
    <n v="0"/>
    <n v="0"/>
    <n v="0"/>
    <n v="0"/>
    <n v="0"/>
    <n v="0"/>
    <n v="0"/>
    <n v="0"/>
    <n v="0"/>
    <n v="0"/>
    <n v="0"/>
    <n v="0"/>
    <n v="0"/>
    <n v="0"/>
    <n v="0"/>
    <n v="0"/>
    <n v="0"/>
    <n v="0"/>
    <n v="0"/>
    <n v="0"/>
    <n v="0"/>
    <n v="0"/>
    <n v="0"/>
    <n v="0"/>
    <n v="0"/>
    <n v="0"/>
    <n v="0"/>
    <n v="0"/>
    <n v="0"/>
    <n v="0"/>
    <n v="0"/>
    <n v="0"/>
    <n v="0"/>
    <n v="0"/>
    <n v="0"/>
    <n v="0"/>
    <n v="0"/>
    <n v="0"/>
    <n v="0"/>
    <n v="0"/>
    <n v="0"/>
    <n v="0"/>
    <m/>
    <m/>
    <m/>
    <m/>
    <n v="0"/>
    <n v="0"/>
    <n v="0"/>
    <n v="0"/>
    <n v="0"/>
    <n v="0"/>
    <n v="0"/>
    <n v="0"/>
    <n v="0"/>
    <n v="0"/>
    <n v="0"/>
    <n v="0"/>
    <n v="0"/>
  </r>
  <r>
    <n v="162"/>
    <s v="Duy"/>
    <s v="Cường"/>
    <s v="105357"/>
    <x v="78"/>
    <s v="Minh Thông"/>
    <s v="Hiện hữu"/>
    <s v="Nội địa"/>
    <s v="Hồ Chí Minh"/>
    <s v="Việt Nam"/>
    <s v="Châu Á"/>
    <s v="EXW"/>
    <s v="110000483"/>
    <s v="iSS01G-S"/>
    <x v="0"/>
    <s v="Hạt PET"/>
    <x v="2"/>
    <x v="0"/>
    <x v="0"/>
    <m/>
    <m/>
    <n v="0.8"/>
    <m/>
    <m/>
    <m/>
    <m/>
    <m/>
    <m/>
    <m/>
    <m/>
    <m/>
    <m/>
    <m/>
    <m/>
    <n v="0"/>
    <n v="17.7"/>
    <n v="-17.7"/>
    <n v="-1"/>
    <n v="1060"/>
    <n v="1060"/>
    <n v="1060"/>
    <n v="1060"/>
    <n v="1060"/>
    <n v="1060"/>
    <n v="1060"/>
    <n v="1060"/>
    <n v="1060"/>
    <n v="1060"/>
    <n v="1060"/>
    <n v="1060"/>
    <n v="1060"/>
    <m/>
    <n v="1060"/>
    <n v="0"/>
    <m/>
    <n v="0"/>
    <n v="0"/>
    <n v="0"/>
    <n v="0"/>
    <n v="0"/>
    <n v="0"/>
    <n v="0"/>
    <n v="0"/>
    <n v="0"/>
    <n v="0"/>
    <n v="0"/>
    <n v="0"/>
    <n v="0"/>
    <n v="90244109.140149385"/>
    <n v="-90244109.140149385"/>
    <n v="-1"/>
    <m/>
    <m/>
    <m/>
    <n v="0"/>
    <n v="0"/>
    <n v="0"/>
    <n v="0"/>
    <n v="0"/>
    <n v="0"/>
    <n v="0"/>
    <n v="0"/>
    <n v="0"/>
    <n v="0"/>
    <n v="0"/>
    <n v="0"/>
    <n v="0"/>
    <n v="0"/>
    <n v="0"/>
    <n v="0"/>
    <n v="0"/>
    <n v="0"/>
    <n v="0"/>
    <n v="0"/>
    <n v="0"/>
    <n v="0"/>
    <n v="0"/>
    <n v="0"/>
    <n v="0"/>
    <n v="0"/>
    <n v="0"/>
    <n v="0"/>
    <n v="0"/>
    <n v="0"/>
    <n v="0"/>
    <n v="0"/>
    <n v="0"/>
    <n v="0"/>
    <n v="0"/>
    <n v="0"/>
    <n v="0"/>
    <n v="0"/>
    <n v="0"/>
    <n v="0"/>
    <n v="0"/>
    <n v="0"/>
    <n v="0"/>
    <m/>
    <m/>
    <m/>
    <m/>
    <n v="0"/>
    <n v="0"/>
    <n v="0"/>
    <n v="0"/>
    <n v="0"/>
    <n v="0"/>
    <n v="0"/>
    <n v="0"/>
    <n v="0"/>
    <n v="0"/>
    <n v="0"/>
    <n v="0"/>
    <n v="0"/>
  </r>
  <r>
    <n v="163"/>
    <s v="Long"/>
    <s v="Quốc Anh"/>
    <s v="105358"/>
    <x v="79"/>
    <s v="NGŨ KIM TẤN PHÁT"/>
    <s v="Hiện hữu"/>
    <s v="Nội địa"/>
    <s v="Bình Dương"/>
    <s v="Việt Nam"/>
    <s v="Châu Á"/>
    <s v="EXW"/>
    <s v="110000482"/>
    <s v="rPP20W01"/>
    <x v="4"/>
    <s v="Hạt PP"/>
    <x v="1"/>
    <x v="0"/>
    <x v="0"/>
    <m/>
    <m/>
    <n v="0.8"/>
    <m/>
    <m/>
    <m/>
    <m/>
    <m/>
    <m/>
    <m/>
    <m/>
    <m/>
    <m/>
    <m/>
    <m/>
    <n v="0"/>
    <n v="0.1"/>
    <n v="-0.1"/>
    <n v="-1"/>
    <n v="700"/>
    <n v="700"/>
    <n v="700"/>
    <n v="700"/>
    <n v="700"/>
    <n v="700"/>
    <n v="700"/>
    <n v="700"/>
    <n v="700"/>
    <n v="700"/>
    <n v="700"/>
    <n v="700"/>
    <n v="700"/>
    <m/>
    <n v="700"/>
    <n v="0"/>
    <m/>
    <n v="0"/>
    <n v="0"/>
    <n v="0"/>
    <n v="0"/>
    <n v="0"/>
    <n v="0"/>
    <n v="0"/>
    <n v="0"/>
    <n v="0"/>
    <n v="0"/>
    <n v="0"/>
    <n v="0"/>
    <n v="0"/>
    <n v="2100000"/>
    <n v="-2100000"/>
    <n v="-1"/>
    <m/>
    <m/>
    <m/>
    <n v="0"/>
    <n v="0"/>
    <n v="0"/>
    <n v="0"/>
    <n v="0"/>
    <n v="0"/>
    <n v="0"/>
    <n v="0"/>
    <n v="0"/>
    <n v="0"/>
    <n v="0"/>
    <n v="0"/>
    <n v="0"/>
    <n v="0"/>
    <n v="0"/>
    <n v="0"/>
    <n v="0"/>
    <n v="0"/>
    <n v="0"/>
    <n v="0"/>
    <n v="0"/>
    <n v="0"/>
    <n v="0"/>
    <n v="0"/>
    <n v="0"/>
    <n v="0"/>
    <n v="0"/>
    <n v="0"/>
    <n v="0"/>
    <n v="0"/>
    <n v="0"/>
    <n v="0"/>
    <n v="0"/>
    <n v="0"/>
    <n v="0"/>
    <n v="0"/>
    <n v="0"/>
    <n v="0"/>
    <n v="0"/>
    <n v="0"/>
    <n v="0"/>
    <n v="0"/>
    <n v="0"/>
    <m/>
    <m/>
    <m/>
    <m/>
    <n v="0"/>
    <n v="0"/>
    <n v="0"/>
    <n v="0"/>
    <n v="0"/>
    <n v="0"/>
    <n v="0"/>
    <n v="0"/>
    <n v="0"/>
    <n v="0"/>
    <n v="0"/>
    <n v="0"/>
    <n v="0"/>
  </r>
  <r>
    <n v="164"/>
    <s v="Duy"/>
    <s v="Cường"/>
    <s v="105361"/>
    <x v="80"/>
    <s v="THÀNH NGHĨA P.E.T"/>
    <s v="Mới"/>
    <s v="Nội địa"/>
    <s v="Hồ Chí Minh"/>
    <s v="Việt Nam"/>
    <s v="Châu Á"/>
    <s v="EXW"/>
    <s v="110000483"/>
    <s v="iSS01G-S"/>
    <x v="0"/>
    <s v="Hạt PET"/>
    <x v="2"/>
    <x v="0"/>
    <x v="0"/>
    <m/>
    <m/>
    <n v="0.8"/>
    <m/>
    <m/>
    <m/>
    <m/>
    <m/>
    <m/>
    <m/>
    <m/>
    <m/>
    <m/>
    <m/>
    <m/>
    <n v="0"/>
    <n v="0.03"/>
    <n v="-0.03"/>
    <n v="-1"/>
    <n v="1060"/>
    <n v="1060"/>
    <n v="1060"/>
    <n v="1060"/>
    <n v="1060"/>
    <n v="1060"/>
    <n v="1060"/>
    <n v="1060"/>
    <n v="1060"/>
    <n v="1060"/>
    <n v="1060"/>
    <n v="1060"/>
    <n v="1060"/>
    <m/>
    <n v="1060"/>
    <n v="0"/>
    <m/>
    <n v="0"/>
    <n v="0"/>
    <n v="0"/>
    <n v="0"/>
    <n v="0"/>
    <n v="0"/>
    <n v="0"/>
    <n v="0"/>
    <n v="0"/>
    <n v="0"/>
    <n v="0"/>
    <n v="0"/>
    <n v="0"/>
    <n v="1020000"/>
    <n v="-1020000"/>
    <n v="-1"/>
    <m/>
    <m/>
    <m/>
    <n v="0"/>
    <n v="0"/>
    <n v="0"/>
    <n v="0"/>
    <n v="0"/>
    <n v="0"/>
    <n v="0"/>
    <n v="0"/>
    <n v="0"/>
    <n v="0"/>
    <n v="0"/>
    <n v="0"/>
    <n v="0"/>
    <n v="0"/>
    <n v="0"/>
    <n v="0"/>
    <n v="0"/>
    <n v="0"/>
    <n v="0"/>
    <n v="0"/>
    <n v="0"/>
    <n v="0"/>
    <n v="0"/>
    <n v="0"/>
    <n v="0"/>
    <n v="0"/>
    <n v="0"/>
    <n v="0"/>
    <n v="0"/>
    <n v="0"/>
    <n v="0"/>
    <n v="0"/>
    <n v="0"/>
    <n v="0"/>
    <n v="0"/>
    <n v="0"/>
    <n v="0"/>
    <n v="0"/>
    <n v="0"/>
    <n v="0"/>
    <n v="0"/>
    <n v="0"/>
    <n v="0"/>
    <m/>
    <m/>
    <m/>
    <m/>
    <n v="0"/>
    <n v="0"/>
    <n v="0"/>
    <n v="0"/>
    <n v="0"/>
    <n v="0"/>
    <n v="0"/>
    <n v="0"/>
    <n v="0"/>
    <n v="0"/>
    <n v="0"/>
    <n v="0"/>
    <n v="0"/>
  </r>
  <r>
    <n v="165"/>
    <s v="Long"/>
    <s v="Cường"/>
    <s v="105367"/>
    <x v="81"/>
    <s v="NHỰA TC 2050"/>
    <s v="Mới"/>
    <s v="Nội địa"/>
    <s v="Đà Nẵng"/>
    <s v="Việt Nam"/>
    <s v="Châu Á"/>
    <s v="DDP"/>
    <s v="110000482"/>
    <s v="rPP20W01"/>
    <x v="4"/>
    <s v="Hạt PP"/>
    <x v="1"/>
    <x v="0"/>
    <x v="0"/>
    <m/>
    <m/>
    <n v="0.8"/>
    <m/>
    <m/>
    <m/>
    <m/>
    <m/>
    <m/>
    <m/>
    <m/>
    <m/>
    <m/>
    <m/>
    <m/>
    <n v="0"/>
    <n v="0.05"/>
    <n v="-0.05"/>
    <n v="-1"/>
    <n v="700"/>
    <n v="700"/>
    <n v="700"/>
    <n v="700"/>
    <n v="700"/>
    <n v="700"/>
    <n v="700"/>
    <n v="700"/>
    <n v="700"/>
    <n v="700"/>
    <n v="700"/>
    <n v="700"/>
    <n v="700"/>
    <m/>
    <n v="700"/>
    <n v="0"/>
    <m/>
    <n v="0"/>
    <n v="0"/>
    <n v="0"/>
    <n v="0"/>
    <n v="0"/>
    <n v="0"/>
    <n v="0"/>
    <n v="0"/>
    <n v="0"/>
    <n v="0"/>
    <n v="0"/>
    <n v="0"/>
    <n v="0"/>
    <n v="1772000"/>
    <n v="-1772000"/>
    <n v="-1"/>
    <m/>
    <m/>
    <m/>
    <n v="0"/>
    <n v="0"/>
    <n v="0"/>
    <n v="0"/>
    <n v="0"/>
    <n v="0"/>
    <n v="0"/>
    <n v="0"/>
    <n v="0"/>
    <n v="0"/>
    <n v="0"/>
    <n v="0"/>
    <n v="0"/>
    <n v="0"/>
    <n v="0"/>
    <n v="0"/>
    <n v="0"/>
    <n v="0"/>
    <n v="0"/>
    <n v="0"/>
    <n v="0"/>
    <n v="0"/>
    <n v="0"/>
    <n v="0"/>
    <n v="0"/>
    <n v="0"/>
    <n v="0"/>
    <n v="0"/>
    <n v="0"/>
    <n v="0"/>
    <n v="0"/>
    <n v="0"/>
    <n v="0"/>
    <n v="0"/>
    <n v="0"/>
    <n v="0"/>
    <n v="0"/>
    <n v="0"/>
    <n v="0"/>
    <n v="0"/>
    <n v="0"/>
    <n v="0"/>
    <n v="0"/>
    <m/>
    <m/>
    <m/>
    <m/>
    <n v="0"/>
    <n v="0"/>
    <n v="0"/>
    <n v="0"/>
    <n v="0"/>
    <n v="0"/>
    <n v="0"/>
    <n v="0"/>
    <n v="0"/>
    <n v="0"/>
    <n v="0"/>
    <n v="0"/>
    <n v="0"/>
  </r>
  <r>
    <n v="166"/>
    <s v="Long"/>
    <s v="Quốc Anh"/>
    <s v="200341"/>
    <x v="82"/>
    <s v="Pragmatrade"/>
    <s v="Hiện hữu"/>
    <s v="Xuất khẩu"/>
    <s v="Ý"/>
    <s v="Ý"/>
    <s v="Châu Âu"/>
    <s v="FOB"/>
    <s v="110000355"/>
    <s v="iSS01G 1"/>
    <x v="0"/>
    <s v="Hạt PET"/>
    <x v="2"/>
    <x v="0"/>
    <x v="0"/>
    <s v="KHÁCH HÀNG HIỆN HỮU CÒN LẠI"/>
    <m/>
    <n v="0.8"/>
    <m/>
    <m/>
    <m/>
    <m/>
    <m/>
    <m/>
    <m/>
    <m/>
    <m/>
    <m/>
    <m/>
    <m/>
    <n v="0"/>
    <n v="22"/>
    <n v="-22"/>
    <n v="-1"/>
    <n v="1200"/>
    <n v="1200"/>
    <n v="1200"/>
    <n v="1200"/>
    <n v="1200"/>
    <n v="1200"/>
    <n v="1200"/>
    <n v="1200"/>
    <n v="1200"/>
    <n v="1200"/>
    <n v="1200"/>
    <n v="1200"/>
    <n v="1200"/>
    <m/>
    <n v="1200"/>
    <n v="0"/>
    <s v="Đã bao gồm chi phí hỗ trợ tối đa 10% (giá sau hỗ trợ là 1080)"/>
    <n v="0"/>
    <n v="0"/>
    <n v="0"/>
    <n v="0"/>
    <n v="0"/>
    <n v="0"/>
    <n v="0"/>
    <n v="0"/>
    <n v="0"/>
    <n v="0"/>
    <n v="0"/>
    <n v="0"/>
    <n v="0"/>
    <n v="696034458.96153843"/>
    <n v="-696034458.96153843"/>
    <n v="-1"/>
    <m/>
    <m/>
    <m/>
    <n v="0"/>
    <n v="0"/>
    <n v="0"/>
    <n v="0"/>
    <n v="0"/>
    <n v="0"/>
    <n v="0"/>
    <n v="0"/>
    <n v="0"/>
    <n v="0"/>
    <n v="0"/>
    <n v="0"/>
    <n v="0"/>
    <n v="0"/>
    <n v="530000"/>
    <n v="530000"/>
    <n v="0"/>
    <n v="0"/>
    <n v="0"/>
    <n v="0"/>
    <n v="0"/>
    <n v="0"/>
    <n v="0"/>
    <n v="0"/>
    <n v="0"/>
    <n v="0"/>
    <n v="0"/>
    <n v="0"/>
    <n v="0"/>
    <n v="0"/>
    <n v="0"/>
    <n v="0"/>
    <n v="0"/>
    <n v="0"/>
    <n v="0"/>
    <n v="0"/>
    <n v="0"/>
    <n v="0"/>
    <n v="0"/>
    <n v="0"/>
    <n v="0"/>
    <n v="0"/>
    <n v="0"/>
    <m/>
    <m/>
    <m/>
    <n v="0.1"/>
    <n v="0"/>
    <n v="0"/>
    <n v="0"/>
    <n v="0"/>
    <n v="0"/>
    <n v="0"/>
    <n v="0"/>
    <n v="0"/>
    <n v="0"/>
    <n v="0"/>
    <n v="0"/>
    <n v="0"/>
    <n v="0"/>
  </r>
  <r>
    <n v="167"/>
    <s v="Quỳnh Anh"/>
    <s v="Quốc Anh"/>
    <s v="200358"/>
    <x v="60"/>
    <s v="REYNERA"/>
    <s v="Hiện hữu"/>
    <s v="Xuất khẩu"/>
    <s v="Cadereyta"/>
    <s v="Mexico"/>
    <s v="Châu Mỹ"/>
    <s v="FOB"/>
    <s v="110000470"/>
    <s v="rPP20L04"/>
    <x v="4"/>
    <s v="Hạt PP"/>
    <x v="1"/>
    <x v="0"/>
    <x v="0"/>
    <m/>
    <m/>
    <n v="0.8"/>
    <m/>
    <m/>
    <m/>
    <m/>
    <m/>
    <m/>
    <m/>
    <m/>
    <m/>
    <m/>
    <m/>
    <m/>
    <n v="0"/>
    <n v="0.05"/>
    <n v="-0.05"/>
    <n v="-1"/>
    <n v="700"/>
    <n v="700"/>
    <n v="700"/>
    <n v="700"/>
    <n v="700"/>
    <n v="700"/>
    <n v="700"/>
    <n v="700"/>
    <n v="700"/>
    <n v="700"/>
    <n v="700"/>
    <n v="700"/>
    <n v="700"/>
    <m/>
    <n v="700"/>
    <n v="0"/>
    <m/>
    <n v="0"/>
    <n v="0"/>
    <n v="0"/>
    <n v="0"/>
    <n v="0"/>
    <n v="0"/>
    <n v="0"/>
    <n v="0"/>
    <n v="0"/>
    <n v="0"/>
    <n v="0"/>
    <n v="0"/>
    <n v="0"/>
    <n v="1336136.8482328483"/>
    <n v="-1336136.8482328483"/>
    <n v="-1"/>
    <m/>
    <m/>
    <m/>
    <n v="0"/>
    <n v="0"/>
    <n v="0"/>
    <n v="0"/>
    <n v="0"/>
    <n v="0"/>
    <n v="0"/>
    <n v="0"/>
    <n v="0"/>
    <n v="0"/>
    <n v="0"/>
    <n v="0"/>
    <n v="0"/>
    <n v="0"/>
    <n v="530000"/>
    <n v="530000"/>
    <n v="0"/>
    <n v="0"/>
    <n v="0"/>
    <n v="0"/>
    <n v="0"/>
    <n v="0"/>
    <n v="0"/>
    <n v="0"/>
    <n v="0"/>
    <n v="0"/>
    <n v="0"/>
    <n v="0"/>
    <n v="0"/>
    <n v="0"/>
    <n v="0"/>
    <n v="0"/>
    <n v="0"/>
    <n v="0"/>
    <n v="0"/>
    <n v="0"/>
    <n v="0"/>
    <n v="0"/>
    <n v="0"/>
    <n v="0"/>
    <n v="0"/>
    <n v="0"/>
    <n v="0"/>
    <m/>
    <m/>
    <m/>
    <m/>
    <n v="0"/>
    <n v="0"/>
    <n v="0"/>
    <n v="0"/>
    <n v="0"/>
    <n v="0"/>
    <n v="0"/>
    <n v="0"/>
    <n v="0"/>
    <n v="0"/>
    <n v="0"/>
    <n v="0"/>
    <n v="0"/>
  </r>
  <r>
    <n v="168"/>
    <s v="Nghĩa"/>
    <s v="Cường"/>
    <s v="200370"/>
    <x v="19"/>
    <s v="KORYFES SA"/>
    <s v="Hiện hữu"/>
    <s v="Xuất khẩu"/>
    <s v="Varna"/>
    <s v="Bulgaria"/>
    <s v="Châu Âu"/>
    <s v="CFR"/>
    <s v="110000332"/>
    <s v="iSS1084G"/>
    <x v="0"/>
    <s v="Hạt PET"/>
    <x v="3"/>
    <x v="0"/>
    <x v="0"/>
    <s v="KHÁCH HÀNG HIỆN HỮU CÒN LẠI"/>
    <m/>
    <n v="0.8"/>
    <n v="0"/>
    <n v="0"/>
    <n v="0"/>
    <n v="0"/>
    <n v="0"/>
    <n v="0"/>
    <n v="0"/>
    <n v="0"/>
    <n v="0"/>
    <n v="0"/>
    <n v="0"/>
    <n v="0"/>
    <n v="0"/>
    <n v="22"/>
    <n v="-22"/>
    <n v="-1"/>
    <m/>
    <m/>
    <m/>
    <m/>
    <m/>
    <m/>
    <m/>
    <m/>
    <m/>
    <m/>
    <m/>
    <m/>
    <n v="0"/>
    <m/>
    <n v="0"/>
    <n v="0"/>
    <m/>
    <n v="0"/>
    <n v="0"/>
    <n v="0"/>
    <n v="0"/>
    <n v="0"/>
    <n v="0"/>
    <n v="0"/>
    <n v="0"/>
    <n v="0"/>
    <n v="0"/>
    <n v="0"/>
    <n v="0"/>
    <n v="0"/>
    <n v="755003639.13719022"/>
    <n v="-755003639.13719022"/>
    <n v="-1"/>
    <m/>
    <m/>
    <m/>
    <n v="0"/>
    <n v="0"/>
    <n v="0"/>
    <n v="0"/>
    <n v="0"/>
    <n v="0"/>
    <n v="0"/>
    <n v="0"/>
    <n v="0"/>
    <n v="0"/>
    <n v="0"/>
    <n v="0"/>
    <n v="0"/>
    <n v="0"/>
    <n v="3782272.7272727275"/>
    <n v="530000"/>
    <n v="3252272.7272727275"/>
    <n v="0"/>
    <n v="0"/>
    <n v="0"/>
    <n v="0"/>
    <n v="0"/>
    <n v="0"/>
    <n v="0"/>
    <n v="0"/>
    <n v="0"/>
    <n v="0"/>
    <n v="0"/>
    <n v="0"/>
    <n v="0"/>
    <n v="0"/>
    <n v="0"/>
    <n v="0"/>
    <n v="0"/>
    <n v="0"/>
    <n v="0"/>
    <n v="0"/>
    <n v="0"/>
    <n v="0"/>
    <n v="0"/>
    <n v="0"/>
    <n v="0"/>
    <n v="0"/>
    <m/>
    <m/>
    <m/>
    <m/>
    <n v="0"/>
    <n v="0"/>
    <n v="0"/>
    <n v="0"/>
    <n v="0"/>
    <n v="0"/>
    <n v="0"/>
    <n v="0"/>
    <n v="0"/>
    <n v="0"/>
    <n v="0"/>
    <n v="0"/>
    <n v="0"/>
  </r>
  <r>
    <n v="169"/>
    <s v="Long"/>
    <s v="Quốc Anh"/>
    <s v="200372"/>
    <x v="83"/>
    <s v="MERAXIS AG"/>
    <s v="Hiện hữu"/>
    <s v="Xuất khẩu"/>
    <s v="Đức"/>
    <s v="Đức"/>
    <s v="Châu Âu"/>
    <s v="FOB"/>
    <s v="110000355"/>
    <s v="iSS01G 1"/>
    <x v="0"/>
    <s v="Hạt PET"/>
    <x v="2"/>
    <x v="0"/>
    <x v="0"/>
    <s v="KHÁCH HÀNG HIỆN HỮU CÒN LẠI"/>
    <m/>
    <n v="0.8"/>
    <n v="22"/>
    <n v="22"/>
    <n v="22"/>
    <n v="22"/>
    <n v="22"/>
    <n v="22"/>
    <n v="22"/>
    <n v="22"/>
    <n v="22"/>
    <n v="22"/>
    <n v="22"/>
    <n v="22"/>
    <n v="264"/>
    <n v="220"/>
    <n v="44"/>
    <n v="0.2"/>
    <n v="1200"/>
    <n v="1200"/>
    <n v="1200"/>
    <n v="1200"/>
    <n v="1200"/>
    <n v="1200"/>
    <n v="1200"/>
    <n v="1200"/>
    <n v="1200"/>
    <n v="1200"/>
    <n v="1200"/>
    <n v="1200"/>
    <n v="1200"/>
    <m/>
    <n v="1200"/>
    <n v="0"/>
    <s v="Đã bao gồm chi phí hỗ trợ tối đa 10% (giá sau hỗ trợ là 1080)"/>
    <n v="699600000"/>
    <n v="699600000"/>
    <n v="699600000"/>
    <n v="699600000"/>
    <n v="699600000"/>
    <n v="699600000"/>
    <n v="699600000"/>
    <n v="699600000"/>
    <n v="699600000"/>
    <n v="699600000"/>
    <n v="699600000"/>
    <n v="699600000"/>
    <n v="8395200000"/>
    <n v="6798341570.615386"/>
    <n v="1596858429.384614"/>
    <n v="0.23488940836493838"/>
    <m/>
    <m/>
    <m/>
    <n v="0"/>
    <n v="0"/>
    <n v="0"/>
    <n v="0"/>
    <n v="0"/>
    <n v="0"/>
    <n v="0"/>
    <n v="0"/>
    <n v="0"/>
    <n v="0"/>
    <n v="0"/>
    <n v="0"/>
    <n v="0"/>
    <n v="0"/>
    <n v="530000"/>
    <n v="530000"/>
    <n v="0"/>
    <n v="11660000"/>
    <n v="11660000"/>
    <n v="11660000"/>
    <n v="11660000"/>
    <n v="11660000"/>
    <n v="11660000"/>
    <n v="11660000"/>
    <n v="11660000"/>
    <n v="11660000"/>
    <n v="11660000"/>
    <n v="11660000"/>
    <n v="11660000"/>
    <n v="139920000"/>
    <n v="711260000"/>
    <n v="711260000"/>
    <n v="711260000"/>
    <n v="711260000"/>
    <n v="711260000"/>
    <n v="711260000"/>
    <n v="711260000"/>
    <n v="711260000"/>
    <n v="711260000"/>
    <n v="711260000"/>
    <n v="711260000"/>
    <n v="711260000"/>
    <n v="8535120000"/>
    <m/>
    <m/>
    <m/>
    <n v="0.1"/>
    <n v="69960000"/>
    <n v="69960000"/>
    <n v="69960000"/>
    <n v="69960000"/>
    <n v="69960000"/>
    <n v="69960000"/>
    <n v="69960000"/>
    <n v="69960000"/>
    <n v="69960000"/>
    <n v="69960000"/>
    <n v="69960000"/>
    <n v="69960000"/>
    <n v="839520000"/>
  </r>
  <r>
    <n v="170"/>
    <s v="Duy"/>
    <s v="Cường"/>
    <s v="200375"/>
    <x v="84"/>
    <s v="Nu-pure"/>
    <s v="Mới"/>
    <s v="Xuất khẩu"/>
    <s v="Melbourne"/>
    <s v="Úc"/>
    <s v="Châu Úc"/>
    <s v="CIF"/>
    <s v="110000354"/>
    <s v="WSS01G 1"/>
    <x v="0"/>
    <s v="Hạt PET"/>
    <x v="0"/>
    <x v="0"/>
    <x v="0"/>
    <s v="KHÁCH HÀNG HIỆN HỮU CÒN LẠI"/>
    <m/>
    <n v="0.8"/>
    <m/>
    <m/>
    <m/>
    <m/>
    <m/>
    <m/>
    <m/>
    <m/>
    <m/>
    <m/>
    <m/>
    <m/>
    <n v="0"/>
    <n v="11"/>
    <n v="-11"/>
    <n v="-1"/>
    <n v="1150"/>
    <n v="1150"/>
    <n v="1150"/>
    <n v="1150"/>
    <n v="1150"/>
    <n v="1150"/>
    <n v="1150"/>
    <n v="1150"/>
    <n v="1150"/>
    <n v="1150"/>
    <n v="1150"/>
    <n v="1150"/>
    <n v="1150"/>
    <m/>
    <n v="1150"/>
    <n v="0"/>
    <m/>
    <n v="0"/>
    <n v="0"/>
    <n v="0"/>
    <n v="0"/>
    <n v="0"/>
    <n v="0"/>
    <n v="0"/>
    <n v="0"/>
    <n v="0"/>
    <n v="0"/>
    <n v="0"/>
    <n v="0"/>
    <n v="0"/>
    <n v="317530208.00000006"/>
    <n v="-317530208.00000006"/>
    <n v="-1"/>
    <m/>
    <m/>
    <m/>
    <n v="0"/>
    <n v="0"/>
    <n v="0"/>
    <n v="0"/>
    <n v="0"/>
    <n v="0"/>
    <n v="0"/>
    <n v="0"/>
    <n v="0"/>
    <n v="0"/>
    <n v="0"/>
    <n v="0"/>
    <n v="0"/>
    <n v="0"/>
    <n v="1734545.4545454546"/>
    <n v="530000"/>
    <n v="1204545.4545454546"/>
    <n v="0"/>
    <n v="0"/>
    <n v="0"/>
    <n v="0"/>
    <n v="0"/>
    <n v="0"/>
    <n v="0"/>
    <n v="0"/>
    <n v="0"/>
    <n v="0"/>
    <n v="0"/>
    <n v="0"/>
    <n v="0"/>
    <n v="0"/>
    <n v="0"/>
    <n v="0"/>
    <n v="0"/>
    <n v="0"/>
    <n v="0"/>
    <n v="0"/>
    <n v="0"/>
    <n v="0"/>
    <n v="0"/>
    <n v="0"/>
    <n v="0"/>
    <n v="0"/>
    <m/>
    <m/>
    <m/>
    <m/>
    <n v="0"/>
    <n v="0"/>
    <n v="0"/>
    <n v="0"/>
    <n v="0"/>
    <n v="0"/>
    <n v="0"/>
    <n v="0"/>
    <n v="0"/>
    <n v="0"/>
    <n v="0"/>
    <n v="0"/>
    <n v="0"/>
  </r>
  <r>
    <n v="171"/>
    <m/>
    <s v=""/>
    <s v="200344"/>
    <x v="24"/>
    <s v="Wiese"/>
    <s v="Mới"/>
    <s v="Xuất khẩu"/>
    <s v="Cadereyta"/>
    <s v="Mexico"/>
    <s v="Châu Mỹ"/>
    <s v="CIF"/>
    <s v="110000332"/>
    <s v="iSS1084G"/>
    <x v="0"/>
    <s v="Hạt PET"/>
    <x v="3"/>
    <x v="0"/>
    <x v="0"/>
    <s v="KHÁCH HÀNG MỚI CÒN LẠI"/>
    <s v="x"/>
    <n v="0.8"/>
    <n v="22"/>
    <n v="22"/>
    <n v="22"/>
    <n v="22"/>
    <n v="22"/>
    <n v="22"/>
    <n v="22"/>
    <n v="22"/>
    <n v="22"/>
    <n v="22"/>
    <n v="22"/>
    <n v="22"/>
    <n v="264"/>
    <n v="0"/>
    <n v="264"/>
    <n v="0"/>
    <n v="1250"/>
    <n v="1250"/>
    <n v="1250"/>
    <n v="1250"/>
    <n v="1250"/>
    <n v="1250"/>
    <n v="1250"/>
    <n v="1250"/>
    <n v="1250"/>
    <n v="1250"/>
    <n v="1250"/>
    <n v="1250"/>
    <n v="0"/>
    <m/>
    <n v="0"/>
    <n v="0"/>
    <m/>
    <n v="728750000"/>
    <n v="728750000"/>
    <n v="728750000"/>
    <n v="728750000"/>
    <n v="728750000"/>
    <n v="728750000"/>
    <n v="728750000"/>
    <n v="728750000"/>
    <n v="728750000"/>
    <n v="728750000"/>
    <n v="728750000"/>
    <n v="728750000"/>
    <n v="8745000000"/>
    <n v="0"/>
    <n v="8745000000"/>
    <n v="0"/>
    <m/>
    <m/>
    <m/>
    <n v="0"/>
    <n v="0"/>
    <n v="0"/>
    <n v="0"/>
    <n v="0"/>
    <n v="0"/>
    <n v="0"/>
    <n v="0"/>
    <n v="0"/>
    <n v="0"/>
    <n v="0"/>
    <n v="0"/>
    <n v="0"/>
    <n v="0"/>
    <n v="0"/>
    <n v="0"/>
    <n v="0"/>
    <n v="0"/>
    <n v="0"/>
    <n v="0"/>
    <n v="0"/>
    <n v="0"/>
    <n v="0"/>
    <n v="0"/>
    <n v="0"/>
    <n v="0"/>
    <n v="0"/>
    <n v="0"/>
    <n v="0"/>
    <n v="0"/>
    <n v="728750000"/>
    <n v="728750000"/>
    <n v="728750000"/>
    <n v="728750000"/>
    <n v="728750000"/>
    <n v="728750000"/>
    <n v="728750000"/>
    <n v="728750000"/>
    <n v="728750000"/>
    <n v="728750000"/>
    <n v="728750000"/>
    <n v="728750000"/>
    <n v="8745000000"/>
    <m/>
    <m/>
    <m/>
    <m/>
    <n v="0"/>
    <n v="0"/>
    <n v="0"/>
    <n v="0"/>
    <n v="0"/>
    <n v="0"/>
    <n v="0"/>
    <n v="0"/>
    <n v="0"/>
    <n v="0"/>
    <n v="0"/>
    <n v="0"/>
    <n v="0"/>
  </r>
  <r>
    <n v="172"/>
    <m/>
    <s v=""/>
    <s v="NS26-NEWCUS-023"/>
    <x v="85"/>
    <s v="New Developments - Hạt PET - NĐ (WSS03G)"/>
    <s v="Mới"/>
    <s v="Nội địa"/>
    <s v="Hồ Chí Minh"/>
    <s v="Việt Nam"/>
    <s v="Châu Á"/>
    <s v="EXW"/>
    <s v="110000359"/>
    <s v="WSS03G"/>
    <x v="0"/>
    <s v="Hạt PET"/>
    <x v="5"/>
    <x v="0"/>
    <x v="0"/>
    <s v="KHÁCH HÀNG MỚI CÒN LẠI"/>
    <s v="x"/>
    <n v="0.8"/>
    <n v="493.02947809494822"/>
    <n v="424.11766793202946"/>
    <n v="503.19593766135199"/>
    <n v="236.26697584414569"/>
    <n v="522.48972965366784"/>
    <n v="215.28697627800489"/>
    <n v="520.28214441582804"/>
    <n v="238.84352567090741"/>
    <n v="508.84283909247642"/>
    <n v="206.85801446079859"/>
    <n v="521.04352384139656"/>
    <n v="488.39938848537895"/>
    <n v="4878.6562014309338"/>
    <n v="0"/>
    <n v="4878.6562014309338"/>
    <n v="0"/>
    <n v="970"/>
    <n v="970"/>
    <n v="970"/>
    <n v="970"/>
    <n v="970"/>
    <n v="970"/>
    <n v="970"/>
    <n v="970"/>
    <n v="970"/>
    <n v="970"/>
    <n v="970"/>
    <n v="970"/>
    <n v="970"/>
    <m/>
    <n v="970"/>
    <n v="0"/>
    <m/>
    <n v="12673322734.430645"/>
    <n v="10901944654.192816"/>
    <n v="12934651577.585052"/>
    <n v="6073242614.0737648"/>
    <n v="13430598500.747532"/>
    <n v="5533951725.2261152"/>
    <n v="13373852522.20886"/>
    <n v="6139472827.3706751"/>
    <n v="13079805178.872107"/>
    <n v="5317285261.7148275"/>
    <n v="13393423780.3431"/>
    <n v="12554306281.016666"/>
    <n v="125405857657.78214"/>
    <n v="0"/>
    <n v="125405857657.78214"/>
    <n v="0"/>
    <m/>
    <m/>
    <m/>
    <n v="0"/>
    <n v="0"/>
    <n v="0"/>
    <n v="0"/>
    <n v="0"/>
    <n v="0"/>
    <n v="0"/>
    <n v="0"/>
    <n v="0"/>
    <n v="0"/>
    <n v="0"/>
    <n v="0"/>
    <n v="0"/>
    <n v="0"/>
    <n v="0"/>
    <n v="0"/>
    <n v="0"/>
    <n v="0"/>
    <n v="0"/>
    <n v="0"/>
    <n v="0"/>
    <n v="0"/>
    <n v="0"/>
    <n v="0"/>
    <n v="0"/>
    <n v="0"/>
    <n v="0"/>
    <n v="0"/>
    <n v="0"/>
    <n v="0"/>
    <n v="12673322734.430645"/>
    <n v="10901944654.192816"/>
    <n v="12934651577.585052"/>
    <n v="6073242614.0737648"/>
    <n v="13430598500.747532"/>
    <n v="5533951725.2261152"/>
    <n v="13373852522.20886"/>
    <n v="6139472827.3706751"/>
    <n v="13079805178.872107"/>
    <n v="5317285261.7148275"/>
    <n v="13393423780.3431"/>
    <n v="12554306281.016666"/>
    <n v="125405857657.78214"/>
    <m/>
    <m/>
    <m/>
    <m/>
    <n v="0"/>
    <n v="0"/>
    <n v="0"/>
    <n v="0"/>
    <n v="0"/>
    <n v="0"/>
    <n v="0"/>
    <n v="0"/>
    <n v="0"/>
    <n v="0"/>
    <n v="0"/>
    <n v="0"/>
    <n v="0"/>
  </r>
  <r>
    <n v="173"/>
    <m/>
    <s v=""/>
    <s v="NS26-NEWCUS-024"/>
    <x v="86"/>
    <s v="New Developments - Hạt PET - NĐ (iSS01G 1)"/>
    <s v="Mới"/>
    <s v="Nội địa"/>
    <s v="Hồ Chí Minh"/>
    <s v="Việt Nam"/>
    <s v="Châu Á"/>
    <s v="EXW"/>
    <s v="110000355"/>
    <s v="iSS01G 1"/>
    <x v="0"/>
    <s v="Hạt PET"/>
    <x v="2"/>
    <x v="0"/>
    <x v="0"/>
    <s v="KHÁCH HÀNG MỚI CÒN LẠI"/>
    <s v="x"/>
    <n v="0.8"/>
    <n v="232.70000000000005"/>
    <n v="172.20000000000005"/>
    <n v="194.20000000000005"/>
    <n v="252.5"/>
    <n v="197"/>
    <n v="139.20000000000005"/>
    <n v="162.89999999999998"/>
    <n v="313"/>
    <n v="34.200000000000045"/>
    <n v="181"/>
    <n v="175"/>
    <n v="214"/>
    <n v="2267.9000000000005"/>
    <n v="0"/>
    <n v="2267.9000000000005"/>
    <n v="0"/>
    <n v="1200"/>
    <n v="1200"/>
    <n v="1200"/>
    <n v="1200"/>
    <n v="1200"/>
    <n v="1200"/>
    <n v="1200"/>
    <n v="1200"/>
    <n v="1200"/>
    <n v="1200"/>
    <n v="1200"/>
    <n v="1200"/>
    <m/>
    <m/>
    <n v="0"/>
    <n v="0"/>
    <m/>
    <n v="7399860000.0000019"/>
    <n v="5475960000.0000019"/>
    <n v="6175560000.0000019"/>
    <n v="8029500000"/>
    <n v="6264600000"/>
    <n v="4426560000.0000019"/>
    <n v="5180219999.999999"/>
    <n v="9953400000"/>
    <n v="1087560000.0000014"/>
    <n v="5755800000"/>
    <n v="5565000000"/>
    <n v="6805200000"/>
    <n v="72119220000"/>
    <n v="0"/>
    <n v="72119220000"/>
    <n v="0"/>
    <m/>
    <m/>
    <m/>
    <n v="0"/>
    <n v="0"/>
    <n v="0"/>
    <n v="0"/>
    <n v="0"/>
    <n v="0"/>
    <n v="0"/>
    <n v="0"/>
    <n v="0"/>
    <n v="0"/>
    <n v="0"/>
    <n v="0"/>
    <n v="0"/>
    <n v="0"/>
    <n v="0"/>
    <n v="0"/>
    <n v="0"/>
    <n v="0"/>
    <n v="0"/>
    <n v="0"/>
    <n v="0"/>
    <n v="0"/>
    <n v="0"/>
    <n v="0"/>
    <n v="0"/>
    <n v="0"/>
    <n v="0"/>
    <n v="0"/>
    <n v="0"/>
    <n v="0"/>
    <n v="7399860000.0000019"/>
    <n v="5475960000.0000019"/>
    <n v="6175560000.0000019"/>
    <n v="8029500000"/>
    <n v="6264600000"/>
    <n v="4426560000.0000019"/>
    <n v="5180219999.999999"/>
    <n v="9953400000"/>
    <n v="1087560000.0000014"/>
    <n v="5755800000"/>
    <n v="5565000000"/>
    <n v="6805200000"/>
    <n v="72119220000"/>
    <m/>
    <m/>
    <m/>
    <m/>
    <n v="0"/>
    <n v="0"/>
    <n v="0"/>
    <n v="0"/>
    <n v="0"/>
    <n v="0"/>
    <n v="0"/>
    <n v="0"/>
    <n v="0"/>
    <n v="0"/>
    <n v="0"/>
    <n v="0"/>
    <n v="0"/>
  </r>
  <r>
    <m/>
    <m/>
    <s v=""/>
    <s v="NS26-NEWCUS-001"/>
    <x v="87"/>
    <s v="SANOFI"/>
    <s v="Mới"/>
    <s v="Nội địa"/>
    <s v="Hồ Chí Minh"/>
    <s v="Việt Nam"/>
    <s v="Châu Á"/>
    <s v="EXW"/>
    <s v="110000495"/>
    <s v="rHDA03W01"/>
    <x v="2"/>
    <s v="Hạt HD thổi"/>
    <x v="1"/>
    <x v="2"/>
    <x v="0"/>
    <s v="KHÁCH HÀNG MỚI CÒN LẠI"/>
    <s v="x"/>
    <n v="0.8"/>
    <n v="50"/>
    <n v="50"/>
    <n v="50"/>
    <n v="50"/>
    <n v="50"/>
    <n v="50"/>
    <n v="50"/>
    <n v="50"/>
    <n v="50"/>
    <n v="50"/>
    <n v="50"/>
    <n v="50"/>
    <n v="600"/>
    <n v="0"/>
    <n v="600"/>
    <n v="0"/>
    <n v="1210"/>
    <n v="1191"/>
    <n v="1172"/>
    <n v="1153"/>
    <n v="1134"/>
    <n v="1115"/>
    <n v="1096"/>
    <n v="1077"/>
    <n v="1058"/>
    <n v="1039"/>
    <n v="1020"/>
    <n v="1001"/>
    <m/>
    <m/>
    <n v="0"/>
    <n v="0"/>
    <m/>
    <n v="1603250000"/>
    <n v="1578075000"/>
    <n v="1552900000"/>
    <n v="1527725000"/>
    <n v="1502550000"/>
    <n v="1477375000"/>
    <n v="1452200000"/>
    <n v="1427025000"/>
    <n v="1401850000"/>
    <n v="1376675000"/>
    <n v="1351500000"/>
    <n v="1326325000"/>
    <n v="17577450000"/>
    <n v="0"/>
    <n v="17577450000"/>
    <n v="0"/>
    <m/>
    <m/>
    <m/>
    <n v="0"/>
    <n v="0"/>
    <n v="0"/>
    <n v="0"/>
    <n v="0"/>
    <n v="0"/>
    <n v="0"/>
    <n v="0"/>
    <n v="0"/>
    <n v="0"/>
    <n v="0"/>
    <n v="0"/>
    <n v="0"/>
    <n v="0"/>
    <n v="0"/>
    <n v="0"/>
    <n v="0"/>
    <n v="0"/>
    <n v="0"/>
    <n v="0"/>
    <n v="0"/>
    <n v="0"/>
    <n v="0"/>
    <n v="0"/>
    <n v="0"/>
    <n v="0"/>
    <n v="0"/>
    <n v="0"/>
    <n v="0"/>
    <n v="0"/>
    <n v="1603250000"/>
    <n v="1578075000"/>
    <n v="1552900000"/>
    <n v="1527725000"/>
    <n v="1502550000"/>
    <n v="1477375000"/>
    <n v="1452200000"/>
    <n v="1427025000"/>
    <n v="1401850000"/>
    <n v="1376675000"/>
    <n v="1351500000"/>
    <n v="1326325000"/>
    <n v="17577450000"/>
    <m/>
    <m/>
    <m/>
    <m/>
    <n v="0"/>
    <n v="0"/>
    <n v="0"/>
    <n v="0"/>
    <n v="0"/>
    <n v="0"/>
    <n v="0"/>
    <n v="0"/>
    <n v="0"/>
    <n v="0"/>
    <n v="0"/>
    <n v="0"/>
    <n v="0"/>
  </r>
  <r>
    <m/>
    <m/>
    <s v=""/>
    <s v="NS26-NEWCUS-025"/>
    <x v="88"/>
    <s v="SC JOHNSON"/>
    <s v="Mới"/>
    <s v="Nội địa"/>
    <s v="Hồ Chí Minh"/>
    <s v="Việt Nam"/>
    <s v="Châu Á"/>
    <s v="EXW"/>
    <s v="110000443"/>
    <s v="rHDA03N01"/>
    <x v="2"/>
    <s v="Hạt HD thổi"/>
    <x v="1"/>
    <x v="2"/>
    <x v="0"/>
    <s v="KHÁCH HÀNG MỚI CÒN LẠI"/>
    <s v="x"/>
    <n v="0.8"/>
    <n v="25"/>
    <n v="25"/>
    <n v="25"/>
    <n v="25"/>
    <n v="25"/>
    <n v="25"/>
    <n v="25"/>
    <n v="25"/>
    <n v="25"/>
    <n v="25"/>
    <n v="25"/>
    <n v="25"/>
    <n v="300"/>
    <n v="0"/>
    <n v="300"/>
    <n v="0"/>
    <n v="1260"/>
    <n v="1241"/>
    <n v="1222"/>
    <n v="1203"/>
    <n v="1184"/>
    <n v="1165"/>
    <n v="1146"/>
    <n v="1127"/>
    <n v="1108"/>
    <n v="1089"/>
    <n v="1070"/>
    <n v="1051"/>
    <m/>
    <m/>
    <n v="0"/>
    <n v="0"/>
    <m/>
    <n v="834750000"/>
    <n v="822162500"/>
    <n v="809575000"/>
    <n v="796987500"/>
    <n v="784400000"/>
    <n v="771812500"/>
    <n v="759225000"/>
    <n v="746637500"/>
    <n v="734050000"/>
    <n v="721462500"/>
    <n v="708875000"/>
    <n v="696287500"/>
    <n v="9186225000"/>
    <n v="0"/>
    <n v="9186225000"/>
    <n v="0"/>
    <m/>
    <m/>
    <m/>
    <n v="0"/>
    <n v="0"/>
    <n v="0"/>
    <n v="0"/>
    <n v="0"/>
    <n v="0"/>
    <n v="0"/>
    <n v="0"/>
    <n v="0"/>
    <n v="0"/>
    <n v="0"/>
    <n v="0"/>
    <n v="0"/>
    <n v="0"/>
    <n v="0"/>
    <n v="0"/>
    <n v="0"/>
    <n v="0"/>
    <n v="0"/>
    <n v="0"/>
    <n v="0"/>
    <n v="0"/>
    <n v="0"/>
    <n v="0"/>
    <n v="0"/>
    <n v="0"/>
    <n v="0"/>
    <n v="0"/>
    <n v="0"/>
    <n v="0"/>
    <n v="834750000"/>
    <n v="822162500"/>
    <n v="809575000"/>
    <n v="796987500"/>
    <n v="784400000"/>
    <n v="771812500"/>
    <n v="759225000"/>
    <n v="746637500"/>
    <n v="734050000"/>
    <n v="721462500"/>
    <n v="708875000"/>
    <n v="696287500"/>
    <n v="9186225000"/>
    <m/>
    <m/>
    <m/>
    <m/>
    <n v="0"/>
    <n v="0"/>
    <n v="0"/>
    <n v="0"/>
    <n v="0"/>
    <n v="0"/>
    <n v="0"/>
    <n v="0"/>
    <n v="0"/>
    <n v="0"/>
    <n v="0"/>
    <n v="0"/>
    <n v="0"/>
  </r>
  <r>
    <m/>
    <m/>
    <s v=""/>
    <s v="NS26-NEWCUS-026"/>
    <x v="89"/>
    <s v="NISHIN"/>
    <s v="Mới"/>
    <s v="Xuất khẩu"/>
    <s v="Tokyo"/>
    <s v="Nhật"/>
    <s v="Châu Á"/>
    <s v="EXW"/>
    <s v="110000443"/>
    <s v="rHDA03N01"/>
    <x v="2"/>
    <s v="Hạt HD thổi"/>
    <x v="1"/>
    <x v="2"/>
    <x v="0"/>
    <s v="KHÁCH HÀNG MỚI CÒN LẠI"/>
    <s v="x"/>
    <n v="0.8"/>
    <n v="25"/>
    <n v="25"/>
    <n v="25"/>
    <n v="25"/>
    <n v="25"/>
    <n v="25"/>
    <n v="25"/>
    <n v="25"/>
    <n v="25"/>
    <n v="25"/>
    <n v="25"/>
    <n v="25"/>
    <n v="300"/>
    <n v="0"/>
    <n v="300"/>
    <n v="0"/>
    <n v="1260"/>
    <n v="1241"/>
    <n v="1222"/>
    <n v="1203"/>
    <n v="1184"/>
    <n v="1165"/>
    <n v="1146"/>
    <n v="1127"/>
    <n v="1108"/>
    <n v="1089"/>
    <n v="1070"/>
    <n v="1051"/>
    <m/>
    <m/>
    <n v="0"/>
    <n v="0"/>
    <m/>
    <n v="834750000"/>
    <n v="822162500"/>
    <n v="809575000"/>
    <n v="796987500"/>
    <n v="784400000"/>
    <n v="771812500"/>
    <n v="759225000"/>
    <n v="746637500"/>
    <n v="734050000"/>
    <n v="721462500"/>
    <n v="708875000"/>
    <n v="696287500"/>
    <n v="9186225000"/>
    <n v="0"/>
    <n v="9186225000"/>
    <n v="0"/>
    <m/>
    <m/>
    <m/>
    <n v="0"/>
    <n v="0"/>
    <n v="0"/>
    <n v="0"/>
    <n v="0"/>
    <n v="0"/>
    <n v="0"/>
    <n v="0"/>
    <n v="0"/>
    <n v="0"/>
    <n v="0"/>
    <n v="0"/>
    <n v="0"/>
    <n v="0"/>
    <n v="0"/>
    <n v="0"/>
    <n v="0"/>
    <n v="0"/>
    <n v="0"/>
    <n v="0"/>
    <n v="0"/>
    <n v="0"/>
    <n v="0"/>
    <n v="0"/>
    <n v="0"/>
    <n v="0"/>
    <n v="0"/>
    <n v="0"/>
    <n v="0"/>
    <n v="0"/>
    <n v="834750000"/>
    <n v="822162500"/>
    <n v="809575000"/>
    <n v="796987500"/>
    <n v="784400000"/>
    <n v="771812500"/>
    <n v="759225000"/>
    <n v="746637500"/>
    <n v="734050000"/>
    <n v="721462500"/>
    <n v="708875000"/>
    <n v="696287500"/>
    <n v="9186225000"/>
    <m/>
    <m/>
    <m/>
    <m/>
    <n v="0"/>
    <n v="0"/>
    <n v="0"/>
    <n v="0"/>
    <n v="0"/>
    <n v="0"/>
    <n v="0"/>
    <n v="0"/>
    <n v="0"/>
    <n v="0"/>
    <n v="0"/>
    <n v="0"/>
    <n v="0"/>
  </r>
  <r>
    <m/>
    <m/>
    <s v=""/>
    <s v="NS26-NEWCUS-026"/>
    <x v="89"/>
    <s v="NISHIN"/>
    <s v="Mới"/>
    <s v="Xuất khẩu"/>
    <s v="Tokyo"/>
    <s v="Nhật"/>
    <s v="Châu Á"/>
    <s v="EXW"/>
    <s v="110000495"/>
    <s v="rHDA03W01"/>
    <x v="2"/>
    <s v="Hạt HD thổi"/>
    <x v="1"/>
    <x v="2"/>
    <x v="0"/>
    <s v="KHÁCH HÀNG MỚI CÒN LẠI"/>
    <s v="x"/>
    <n v="0.8"/>
    <n v="25"/>
    <n v="25"/>
    <n v="25"/>
    <n v="25"/>
    <n v="25"/>
    <n v="25"/>
    <n v="25"/>
    <n v="25"/>
    <n v="25"/>
    <n v="25"/>
    <n v="25"/>
    <n v="25"/>
    <n v="300"/>
    <n v="0"/>
    <n v="300"/>
    <n v="0"/>
    <n v="1210"/>
    <n v="1191"/>
    <n v="1172"/>
    <n v="1153"/>
    <n v="1134"/>
    <n v="1115"/>
    <n v="1096"/>
    <n v="1077"/>
    <n v="1058"/>
    <n v="1039"/>
    <n v="1020"/>
    <n v="1001"/>
    <m/>
    <m/>
    <n v="0"/>
    <n v="0"/>
    <m/>
    <n v="801625000"/>
    <n v="789037500"/>
    <n v="776450000"/>
    <n v="763862500"/>
    <n v="751275000"/>
    <n v="738687500"/>
    <n v="726100000"/>
    <n v="713512500"/>
    <n v="700925000"/>
    <n v="688337500"/>
    <n v="675750000"/>
    <n v="663162500"/>
    <n v="8788725000"/>
    <n v="0"/>
    <n v="8788725000"/>
    <n v="0"/>
    <m/>
    <m/>
    <m/>
    <n v="0"/>
    <n v="0"/>
    <n v="0"/>
    <n v="0"/>
    <n v="0"/>
    <n v="0"/>
    <n v="0"/>
    <n v="0"/>
    <n v="0"/>
    <n v="0"/>
    <n v="0"/>
    <n v="0"/>
    <n v="0"/>
    <n v="0"/>
    <n v="0"/>
    <n v="0"/>
    <n v="0"/>
    <n v="0"/>
    <n v="0"/>
    <n v="0"/>
    <n v="0"/>
    <n v="0"/>
    <n v="0"/>
    <n v="0"/>
    <n v="0"/>
    <n v="0"/>
    <n v="0"/>
    <n v="0"/>
    <n v="0"/>
    <n v="0"/>
    <n v="801625000"/>
    <n v="789037500"/>
    <n v="776450000"/>
    <n v="763862500"/>
    <n v="751275000"/>
    <n v="738687500"/>
    <n v="726100000"/>
    <n v="713512500"/>
    <n v="700925000"/>
    <n v="688337500"/>
    <n v="675750000"/>
    <n v="663162500"/>
    <n v="8788725000"/>
    <m/>
    <m/>
    <m/>
    <m/>
    <n v="0"/>
    <n v="0"/>
    <n v="0"/>
    <n v="0"/>
    <n v="0"/>
    <n v="0"/>
    <n v="0"/>
    <n v="0"/>
    <n v="0"/>
    <n v="0"/>
    <n v="0"/>
    <n v="0"/>
    <n v="0"/>
  </r>
  <r>
    <m/>
    <m/>
    <s v=""/>
    <s v="NS26-NEWCUS-027"/>
    <x v="90"/>
    <s v="New Developments - Hạt PET - NĐ (rHDPE thổi)"/>
    <s v="Mới"/>
    <s v="Nội địa"/>
    <s v="Hồ Chí Minh"/>
    <s v="Việt Nam"/>
    <s v="Châu Á"/>
    <s v="EXW"/>
    <s v="110000495"/>
    <s v="rHDA03W01"/>
    <x v="2"/>
    <s v="Hạt HD thổi"/>
    <x v="1"/>
    <x v="2"/>
    <x v="0"/>
    <s v="KHÁCH HÀNG MỚI CÒN LẠI"/>
    <s v="x"/>
    <n v="0.8"/>
    <n v="25"/>
    <n v="25"/>
    <n v="25"/>
    <n v="25"/>
    <n v="25"/>
    <n v="25"/>
    <n v="25"/>
    <n v="25"/>
    <n v="25"/>
    <n v="25"/>
    <n v="25"/>
    <n v="25"/>
    <n v="300"/>
    <n v="0"/>
    <n v="300"/>
    <n v="0"/>
    <n v="1210"/>
    <n v="1191"/>
    <n v="1172"/>
    <n v="1153"/>
    <n v="1134"/>
    <n v="1115"/>
    <n v="1096"/>
    <n v="1077"/>
    <n v="1058"/>
    <n v="1039"/>
    <n v="1020"/>
    <n v="1001"/>
    <m/>
    <m/>
    <n v="0"/>
    <n v="0"/>
    <m/>
    <n v="801625000"/>
    <n v="789037500"/>
    <n v="776450000"/>
    <n v="763862500"/>
    <n v="751275000"/>
    <n v="738687500"/>
    <n v="726100000"/>
    <n v="713512500"/>
    <n v="700925000"/>
    <n v="688337500"/>
    <n v="675750000"/>
    <n v="663162500"/>
    <n v="8788725000"/>
    <n v="0"/>
    <n v="8788725000"/>
    <n v="0"/>
    <m/>
    <m/>
    <m/>
    <n v="0"/>
    <n v="0"/>
    <n v="0"/>
    <n v="0"/>
    <n v="0"/>
    <n v="0"/>
    <n v="0"/>
    <n v="0"/>
    <n v="0"/>
    <n v="0"/>
    <n v="0"/>
    <n v="0"/>
    <n v="0"/>
    <n v="0"/>
    <n v="0"/>
    <n v="0"/>
    <n v="0"/>
    <n v="0"/>
    <n v="0"/>
    <n v="0"/>
    <n v="0"/>
    <n v="0"/>
    <n v="0"/>
    <n v="0"/>
    <n v="0"/>
    <n v="0"/>
    <n v="0"/>
    <n v="0"/>
    <n v="0"/>
    <n v="0"/>
    <n v="801625000"/>
    <n v="789037500"/>
    <n v="776450000"/>
    <n v="763862500"/>
    <n v="751275000"/>
    <n v="738687500"/>
    <n v="726100000"/>
    <n v="713512500"/>
    <n v="700925000"/>
    <n v="688337500"/>
    <n v="675750000"/>
    <n v="663162500"/>
    <n v="8788725000"/>
    <m/>
    <m/>
    <m/>
    <m/>
    <n v="0"/>
    <n v="0"/>
    <n v="0"/>
    <n v="0"/>
    <n v="0"/>
    <n v="0"/>
    <n v="0"/>
    <n v="0"/>
    <n v="0"/>
    <n v="0"/>
    <n v="0"/>
    <n v="0"/>
    <n v="0"/>
  </r>
  <r>
    <s v="&lt;&lt;Thêm dòng mới trên dòng này&gt;&gt;  "/>
    <m/>
    <m/>
    <m/>
    <x v="91"/>
    <m/>
    <m/>
    <m/>
    <m/>
    <m/>
    <m/>
    <m/>
    <m/>
    <m/>
    <x v="6"/>
    <m/>
    <x v="7"/>
    <x v="3"/>
    <x v="1"/>
    <m/>
    <m/>
    <m/>
    <m/>
    <m/>
    <m/>
    <m/>
    <m/>
    <m/>
    <m/>
    <m/>
    <m/>
    <m/>
    <m/>
    <m/>
    <m/>
    <m/>
    <m/>
    <m/>
    <m/>
    <m/>
    <m/>
    <m/>
    <m/>
    <m/>
    <m/>
    <m/>
    <m/>
    <m/>
    <m/>
    <m/>
    <m/>
    <m/>
    <m/>
    <m/>
    <m/>
    <m/>
    <m/>
    <m/>
    <m/>
    <m/>
    <m/>
    <m/>
    <m/>
    <m/>
    <m/>
    <m/>
    <m/>
    <m/>
    <m/>
    <m/>
    <m/>
    <m/>
    <m/>
    <m/>
    <m/>
    <m/>
    <m/>
    <m/>
    <m/>
    <m/>
    <m/>
    <m/>
    <m/>
    <m/>
    <m/>
    <m/>
    <m/>
    <m/>
    <m/>
    <m/>
    <m/>
    <m/>
    <m/>
    <m/>
    <m/>
    <m/>
    <m/>
    <m/>
    <m/>
    <m/>
    <m/>
    <m/>
    <m/>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BC4EFD-5427-486E-983A-A48ECD81347D}"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11" firstHeaderRow="1" firstDataRow="1" firstDataCol="1" rowPageCount="2" colPageCount="1"/>
  <pivotFields count="13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8">
        <item x="5"/>
        <item x="3"/>
        <item x="2"/>
        <item x="0"/>
        <item x="4"/>
        <item x="1"/>
        <item x="6"/>
        <item t="default"/>
      </items>
      <autoSortScope>
        <pivotArea dataOnly="0" outline="0" fieldPosition="0">
          <references count="1">
            <reference field="4294967294" count="1" selected="0">
              <x v="0"/>
            </reference>
          </references>
        </pivotArea>
      </autoSortScope>
    </pivotField>
    <pivotField showAll="0"/>
    <pivotField axis="axisPage" showAll="0">
      <items count="10">
        <item x="1"/>
        <item x="4"/>
        <item x="6"/>
        <item x="5"/>
        <item x="0"/>
        <item m="1" x="8"/>
        <item x="2"/>
        <item x="3"/>
        <item x="7"/>
        <item t="default"/>
      </items>
    </pivotField>
    <pivotField axis="axisPage" multipleItemSelectionAllowed="1" showAll="0">
      <items count="5">
        <item x="0"/>
        <item x="2"/>
        <item x="1"/>
        <item h="1" x="3"/>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7">
    <i>
      <x v="3"/>
    </i>
    <i>
      <x v="2"/>
    </i>
    <i>
      <x v="5"/>
    </i>
    <i>
      <x v="4"/>
    </i>
    <i>
      <x/>
    </i>
    <i>
      <x v="1"/>
    </i>
    <i t="grand">
      <x/>
    </i>
  </rowItems>
  <colItems count="1">
    <i/>
  </colItems>
  <pageFields count="2">
    <pageField fld="16" hier="-1"/>
    <pageField fld="17" hier="-1"/>
  </pageFields>
  <dataFields count="1">
    <dataField name="Sum of SL-KH26" fld="34" baseField="0" baseItem="0" numFmtId="165"/>
  </dataFields>
  <formats count="6">
    <format dxfId="302">
      <pivotArea type="all" dataOnly="0" outline="0" fieldPosition="0"/>
    </format>
    <format dxfId="301">
      <pivotArea outline="0" collapsedLevelsAreSubtotals="1" fieldPosition="0"/>
    </format>
    <format dxfId="300">
      <pivotArea field="14" type="button" dataOnly="0" labelOnly="1" outline="0" axis="axisRow" fieldPosition="0"/>
    </format>
    <format dxfId="299">
      <pivotArea dataOnly="0" labelOnly="1" fieldPosition="0">
        <references count="1">
          <reference field="14" count="6">
            <x v="0"/>
            <x v="1"/>
            <x v="2"/>
            <x v="3"/>
            <x v="4"/>
            <x v="5"/>
          </reference>
        </references>
      </pivotArea>
    </format>
    <format dxfId="298">
      <pivotArea dataOnly="0" labelOnly="1" grandRow="1" outline="0" fieldPosition="0"/>
    </format>
    <format dxfId="29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098FC3-B99B-4BDE-84DB-B65405BDE997}"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7:F33" firstHeaderRow="1" firstDataRow="1" firstDataCol="1" rowPageCount="2" colPageCount="1"/>
  <pivotFields count="134">
    <pivotField showAll="0"/>
    <pivotField showAll="0"/>
    <pivotField showAll="0"/>
    <pivotField showAll="0"/>
    <pivotField axis="axisRow" showAll="0" sortType="descending">
      <items count="93">
        <item x="91"/>
        <item x="64"/>
        <item x="49"/>
        <item x="61"/>
        <item x="29"/>
        <item x="67"/>
        <item x="40"/>
        <item x="57"/>
        <item x="53"/>
        <item x="48"/>
        <item x="70"/>
        <item x="72"/>
        <item x="43"/>
        <item x="34"/>
        <item x="31"/>
        <item x="75"/>
        <item x="73"/>
        <item x="51"/>
        <item x="14"/>
        <item x="38"/>
        <item x="52"/>
        <item x="35"/>
        <item x="76"/>
        <item x="19"/>
        <item x="4"/>
        <item x="56"/>
        <item x="21"/>
        <item x="58"/>
        <item x="30"/>
        <item x="36"/>
        <item x="62"/>
        <item x="83"/>
        <item x="9"/>
        <item x="78"/>
        <item x="50"/>
        <item x="46"/>
        <item x="18"/>
        <item x="23"/>
        <item x="68"/>
        <item x="15"/>
        <item x="86"/>
        <item x="90"/>
        <item x="85"/>
        <item x="8"/>
        <item x="27"/>
        <item x="7"/>
        <item x="26"/>
        <item x="79"/>
        <item x="66"/>
        <item x="77"/>
        <item x="71"/>
        <item x="10"/>
        <item x="28"/>
        <item x="42"/>
        <item x="81"/>
        <item x="54"/>
        <item x="0"/>
        <item x="89"/>
        <item x="84"/>
        <item x="1"/>
        <item x="25"/>
        <item x="33"/>
        <item x="13"/>
        <item x="20"/>
        <item x="37"/>
        <item x="44"/>
        <item x="82"/>
        <item x="65"/>
        <item x="45"/>
        <item x="6"/>
        <item x="55"/>
        <item x="60"/>
        <item x="87"/>
        <item x="88"/>
        <item x="17"/>
        <item x="5"/>
        <item x="32"/>
        <item x="3"/>
        <item x="16"/>
        <item x="74"/>
        <item x="39"/>
        <item x="69"/>
        <item x="41"/>
        <item x="80"/>
        <item x="47"/>
        <item x="2"/>
        <item x="11"/>
        <item x="63"/>
        <item x="59"/>
        <item x="12"/>
        <item x="22"/>
        <item x="2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axis="axisRow" showAll="0" sortType="descending">
      <items count="8">
        <item x="5"/>
        <item x="3"/>
        <item x="2"/>
        <item x="0"/>
        <item x="4"/>
        <item x="1"/>
        <item x="6"/>
        <item t="default"/>
      </items>
      <autoSortScope>
        <pivotArea dataOnly="0" outline="0" fieldPosition="0">
          <references count="1">
            <reference field="4294967294" count="1" selected="0">
              <x v="0"/>
            </reference>
          </references>
        </pivotArea>
      </autoSortScope>
    </pivotField>
    <pivotField showAll="0"/>
    <pivotField axis="axisPage" multipleItemSelectionAllowed="1" showAll="0">
      <items count="10">
        <item h="1" x="1"/>
        <item h="1" x="4"/>
        <item h="1" x="6"/>
        <item h="1" x="5"/>
        <item x="0"/>
        <item m="1" x="8"/>
        <item h="1" x="2"/>
        <item h="1" x="3"/>
        <item h="1" x="7"/>
        <item t="default"/>
      </items>
    </pivotField>
    <pivotField axis="axisPage" multipleItemSelectionAllowed="1" showAll="0">
      <items count="5">
        <item x="0"/>
        <item x="2"/>
        <item x="1"/>
        <item h="1" x="3"/>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4"/>
    <field x="4"/>
  </rowFields>
  <rowItems count="16">
    <i>
      <x v="3"/>
    </i>
    <i r="1">
      <x v="56"/>
    </i>
    <i r="1">
      <x v="85"/>
    </i>
    <i r="1">
      <x v="24"/>
    </i>
    <i r="1">
      <x v="63"/>
    </i>
    <i r="1">
      <x v="62"/>
    </i>
    <i r="1">
      <x v="61"/>
    </i>
    <i r="1">
      <x v="9"/>
    </i>
    <i r="1">
      <x v="80"/>
    </i>
    <i r="1">
      <x v="84"/>
    </i>
    <i r="1">
      <x v="8"/>
    </i>
    <i r="1">
      <x v="1"/>
    </i>
    <i r="1">
      <x v="38"/>
    </i>
    <i r="1">
      <x v="49"/>
    </i>
    <i r="1">
      <x v="58"/>
    </i>
    <i t="grand">
      <x/>
    </i>
  </rowItems>
  <colItems count="1">
    <i/>
  </colItems>
  <pageFields count="2">
    <pageField fld="17" hier="-1"/>
    <pageField fld="16" hier="-1"/>
  </pageFields>
  <dataFields count="1">
    <dataField name="Sum of SL-KH26" fld="34" baseField="0" baseItem="0" numFmtId="165"/>
  </dataFields>
  <formats count="6">
    <format dxfId="308">
      <pivotArea type="all" dataOnly="0" outline="0" fieldPosition="0"/>
    </format>
    <format dxfId="307">
      <pivotArea outline="0" collapsedLevelsAreSubtotals="1" fieldPosition="0"/>
    </format>
    <format dxfId="306">
      <pivotArea field="14" type="button" dataOnly="0" labelOnly="1" outline="0" axis="axisRow" fieldPosition="0"/>
    </format>
    <format dxfId="305">
      <pivotArea dataOnly="0" labelOnly="1" fieldPosition="0">
        <references count="1">
          <reference field="14" count="6">
            <x v="0"/>
            <x v="1"/>
            <x v="2"/>
            <x v="3"/>
            <x v="4"/>
            <x v="5"/>
          </reference>
        </references>
      </pivotArea>
    </format>
    <format dxfId="304">
      <pivotArea dataOnly="0" labelOnly="1" grandRow="1" outline="0" fieldPosition="0"/>
    </format>
    <format dxfId="30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DAF1DF-6C33-4267-9081-80E96F0238D1}"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4:I7" firstHeaderRow="1" firstDataRow="1" firstDataCol="1" rowPageCount="2" colPageCount="1"/>
  <pivotFields count="13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sortType="descending">
      <items count="8">
        <item h="1" x="5"/>
        <item h="1" x="3"/>
        <item x="2"/>
        <item h="1" x="0"/>
        <item h="1" x="4"/>
        <item h="1" x="1"/>
        <item h="1" x="6"/>
        <item t="default"/>
      </items>
      <autoSortScope>
        <pivotArea dataOnly="0" outline="0" fieldPosition="0">
          <references count="1">
            <reference field="4294967294" count="1" selected="0">
              <x v="0"/>
            </reference>
          </references>
        </pivotArea>
      </autoSortScope>
    </pivotField>
    <pivotField showAll="0"/>
    <pivotField multipleItemSelectionAllowed="1" showAll="0">
      <items count="10">
        <item h="1" x="1"/>
        <item x="4"/>
        <item x="6"/>
        <item x="5"/>
        <item x="0"/>
        <item m="1" x="8"/>
        <item x="2"/>
        <item x="3"/>
        <item x="7"/>
        <item t="default"/>
      </items>
    </pivotField>
    <pivotField axis="axisRow" multipleItemSelectionAllowed="1" showAll="0">
      <items count="5">
        <item x="0"/>
        <item x="2"/>
        <item x="1"/>
        <item x="3"/>
        <item t="default"/>
      </items>
    </pivotField>
    <pivotField axis="axisPage"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7"/>
  </rowFields>
  <rowItems count="3">
    <i>
      <x v="1"/>
    </i>
    <i>
      <x v="2"/>
    </i>
    <i t="grand">
      <x/>
    </i>
  </rowItems>
  <colItems count="1">
    <i/>
  </colItems>
  <pageFields count="2">
    <pageField fld="14" hier="-1"/>
    <pageField fld="18" hier="-1"/>
  </pageFields>
  <dataFields count="1">
    <dataField name="Sum of SL-KH26" fld="34" baseField="0" baseItem="0" numFmtId="165"/>
  </dataFields>
  <formats count="6">
    <format dxfId="314">
      <pivotArea type="all" dataOnly="0" outline="0" fieldPosition="0"/>
    </format>
    <format dxfId="313">
      <pivotArea outline="0" collapsedLevelsAreSubtotals="1" fieldPosition="0"/>
    </format>
    <format dxfId="312">
      <pivotArea field="14" type="button" dataOnly="0" labelOnly="1" outline="0" axis="axisPage" fieldPosition="0"/>
    </format>
    <format dxfId="311">
      <pivotArea dataOnly="0" labelOnly="1" fieldPosition="0">
        <references count="1">
          <reference field="14" count="6">
            <x v="0"/>
            <x v="1"/>
            <x v="2"/>
            <x v="3"/>
            <x v="4"/>
            <x v="5"/>
          </reference>
        </references>
      </pivotArea>
    </format>
    <format dxfId="310">
      <pivotArea dataOnly="0" labelOnly="1" grandRow="1" outline="0" fieldPosition="0"/>
    </format>
    <format dxfId="30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FED08FD-C74F-410D-9920-04D54856914D}"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12" firstHeaderRow="1" firstDataRow="1" firstDataCol="1" rowPageCount="1" colPageCount="1"/>
  <pivotFields count="13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8">
        <item x="5"/>
        <item x="3"/>
        <item x="2"/>
        <item x="0"/>
        <item x="4"/>
        <item x="1"/>
        <item x="6"/>
        <item t="default"/>
      </items>
      <autoSortScope>
        <pivotArea dataOnly="0" outline="0" fieldPosition="0">
          <references count="1">
            <reference field="4294967294" count="1" selected="0">
              <x v="0"/>
            </reference>
          </references>
        </pivotArea>
      </autoSortScope>
    </pivotField>
    <pivotField showAll="0"/>
    <pivotField axis="axisRow" showAll="0">
      <items count="10">
        <item h="1" x="1"/>
        <item x="4"/>
        <item x="6"/>
        <item x="5"/>
        <item x="0"/>
        <item m="1" x="8"/>
        <item x="2"/>
        <item x="3"/>
        <item x="7"/>
        <item t="default"/>
      </items>
    </pivotField>
    <pivotField axis="axisPage" multipleItemSelectionAllowed="1" showAll="0">
      <items count="5">
        <item x="0"/>
        <item x="2"/>
        <item x="1"/>
        <item h="1" x="3"/>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4"/>
    <field x="16"/>
  </rowFields>
  <rowItems count="9">
    <i>
      <x v="3"/>
    </i>
    <i r="1">
      <x v="3"/>
    </i>
    <i r="1">
      <x v="4"/>
    </i>
    <i r="1">
      <x v="6"/>
    </i>
    <i r="1">
      <x v="7"/>
    </i>
    <i>
      <x v="5"/>
    </i>
    <i r="1">
      <x v="1"/>
    </i>
    <i r="1">
      <x v="2"/>
    </i>
    <i t="grand">
      <x/>
    </i>
  </rowItems>
  <colItems count="1">
    <i/>
  </colItems>
  <pageFields count="1">
    <pageField fld="17" hier="-1"/>
  </pageFields>
  <dataFields count="1">
    <dataField name="Sum of SL-KH26" fld="34" baseField="0" baseItem="0" numFmtId="165"/>
  </dataFields>
  <formats count="6">
    <format dxfId="320">
      <pivotArea type="all" dataOnly="0" outline="0" fieldPosition="0"/>
    </format>
    <format dxfId="319">
      <pivotArea outline="0" collapsedLevelsAreSubtotals="1" fieldPosition="0"/>
    </format>
    <format dxfId="318">
      <pivotArea field="14" type="button" dataOnly="0" labelOnly="1" outline="0" axis="axisRow" fieldPosition="0"/>
    </format>
    <format dxfId="317">
      <pivotArea dataOnly="0" labelOnly="1" fieldPosition="0">
        <references count="1">
          <reference field="14" count="6">
            <x v="0"/>
            <x v="1"/>
            <x v="2"/>
            <x v="3"/>
            <x v="4"/>
            <x v="5"/>
          </reference>
        </references>
      </pivotArea>
    </format>
    <format dxfId="316">
      <pivotArea dataOnly="0" labelOnly="1" grandRow="1" outline="0" fieldPosition="0"/>
    </format>
    <format dxfId="31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ABDA51-42DF-4A23-8AE7-64519CFF51B5}" name="PivotTable5" cacheId="0" dataPosition="0"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4:AA12" firstHeaderRow="1" firstDataRow="4" firstDataCol="3" rowPageCount="1" colPageCount="1"/>
  <pivotFields count="35">
    <pivotField axis="axisCol" compact="0" outline="0" multipleItemSelectionAllowed="1" showAll="0" defaultSubtotal="0">
      <items count="2">
        <item x="0"/>
        <item x="1"/>
      </items>
      <extLst>
        <ext xmlns:x14="http://schemas.microsoft.com/office/spreadsheetml/2009/9/main" uri="{2946ED86-A175-432a-8AC1-64E0C546D7DE}">
          <x14:pivotField fillDownLabels="1"/>
        </ext>
      </extLst>
    </pivotField>
    <pivotField axis="axisCol" compact="0" outline="0" showAll="0" defaultSubtotal="0">
      <items count="12">
        <item x="0"/>
        <item x="1"/>
        <item x="2"/>
        <item x="3"/>
        <item x="4"/>
        <item x="5"/>
        <item x="6"/>
        <item x="7"/>
        <item x="8"/>
        <item x="9"/>
        <item x="10"/>
        <item x="1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31">
        <item x="10"/>
        <item x="8"/>
        <item x="70"/>
        <item x="0"/>
        <item x="1"/>
        <item x="87"/>
        <item x="54"/>
        <item x="55"/>
        <item x="9"/>
        <item x="33"/>
        <item x="81"/>
        <item x="58"/>
        <item x="2"/>
        <item x="3"/>
        <item x="43"/>
        <item x="4"/>
        <item x="80"/>
        <item x="5"/>
        <item x="49"/>
        <item x="95"/>
        <item x="61"/>
        <item x="63"/>
        <item x="53"/>
        <item x="34"/>
        <item x="45"/>
        <item x="32"/>
        <item x="109"/>
        <item x="84"/>
        <item x="11"/>
        <item x="51"/>
        <item x="107"/>
        <item x="46"/>
        <item x="30"/>
        <item x="52"/>
        <item x="114"/>
        <item x="115"/>
        <item x="12"/>
        <item x="13"/>
        <item x="14"/>
        <item x="15"/>
        <item x="16"/>
        <item x="91"/>
        <item x="92"/>
        <item x="31"/>
        <item x="118"/>
        <item x="6"/>
        <item x="50"/>
        <item x="44"/>
        <item x="56"/>
        <item x="57"/>
        <item x="62"/>
        <item x="69"/>
        <item x="74"/>
        <item x="98"/>
        <item x="71"/>
        <item x="72"/>
        <item x="73"/>
        <item x="104"/>
        <item x="88"/>
        <item x="116"/>
        <item x="85"/>
        <item x="86"/>
        <item x="83"/>
        <item x="90"/>
        <item x="120"/>
        <item x="113"/>
        <item x="111"/>
        <item x="103"/>
        <item x="117"/>
        <item x="119"/>
        <item x="123"/>
        <item x="121"/>
        <item x="124"/>
        <item x="28"/>
        <item x="105"/>
        <item x="64"/>
        <item x="29"/>
        <item x="65"/>
        <item x="66"/>
        <item x="67"/>
        <item x="17"/>
        <item x="18"/>
        <item x="19"/>
        <item x="125"/>
        <item x="20"/>
        <item x="21"/>
        <item x="22"/>
        <item x="23"/>
        <item x="75"/>
        <item x="76"/>
        <item x="77"/>
        <item x="78"/>
        <item x="79"/>
        <item x="96"/>
        <item x="106"/>
        <item x="122"/>
        <item x="126"/>
        <item x="108"/>
        <item x="24"/>
        <item x="25"/>
        <item x="94"/>
        <item x="102"/>
        <item x="82"/>
        <item x="42"/>
        <item x="38"/>
        <item x="68"/>
        <item x="47"/>
        <item x="110"/>
        <item x="112"/>
        <item x="59"/>
        <item x="39"/>
        <item x="48"/>
        <item x="40"/>
        <item x="89"/>
        <item x="100"/>
        <item x="37"/>
        <item x="60"/>
        <item x="27"/>
        <item x="97"/>
        <item x="26"/>
        <item x="36"/>
        <item x="7"/>
        <item x="101"/>
        <item x="93"/>
        <item x="35"/>
        <item x="99"/>
        <item x="41"/>
        <item x="127"/>
        <item x="128"/>
        <item x="129"/>
        <item x="130"/>
      </items>
      <extLst>
        <ext xmlns:x14="http://schemas.microsoft.com/office/spreadsheetml/2009/9/main" uri="{2946ED86-A175-432a-8AC1-64E0C546D7DE}">
          <x14:pivotField fillDownLabels="1"/>
        </ext>
      </extLst>
    </pivotField>
    <pivotField axis="axisRow" compact="0" outline="0" showAll="0" defaultSubtotal="0">
      <items count="129">
        <item x="39"/>
        <item x="35"/>
        <item x="80"/>
        <item x="40"/>
        <item x="42"/>
        <item x="36"/>
        <item x="66"/>
        <item x="100"/>
        <item x="108"/>
        <item x="45"/>
        <item x="110"/>
        <item x="57"/>
        <item x="37"/>
        <item x="46"/>
        <item x="38"/>
        <item x="69"/>
        <item x="70"/>
        <item x="11"/>
        <item x="71"/>
        <item x="23"/>
        <item x="18"/>
        <item x="19"/>
        <item x="20"/>
        <item x="21"/>
        <item x="17"/>
        <item x="89"/>
        <item x="12"/>
        <item x="90"/>
        <item x="16"/>
        <item x="15"/>
        <item x="13"/>
        <item x="14"/>
        <item x="22"/>
        <item x="98"/>
        <item x="6"/>
        <item x="48"/>
        <item x="67"/>
        <item x="72"/>
        <item x="96"/>
        <item x="111"/>
        <item x="52"/>
        <item x="54"/>
        <item x="61"/>
        <item x="0"/>
        <item x="53"/>
        <item x="85"/>
        <item x="5"/>
        <item x="41"/>
        <item x="3"/>
        <item x="78"/>
        <item x="4"/>
        <item x="59"/>
        <item x="2"/>
        <item x="109"/>
        <item x="1"/>
        <item x="81"/>
        <item x="117"/>
        <item x="8"/>
        <item x="31"/>
        <item x="118"/>
        <item x="51"/>
        <item x="30"/>
        <item x="10"/>
        <item x="122"/>
        <item x="9"/>
        <item x="101"/>
        <item x="115"/>
        <item x="121"/>
        <item x="79"/>
        <item x="68"/>
        <item x="56"/>
        <item x="43"/>
        <item x="32"/>
        <item x="60"/>
        <item x="102"/>
        <item x="47"/>
        <item x="82"/>
        <item x="84"/>
        <item x="55"/>
        <item x="114"/>
        <item x="83"/>
        <item x="107"/>
        <item x="88"/>
        <item x="93"/>
        <item x="25"/>
        <item x="58"/>
        <item x="106"/>
        <item x="124"/>
        <item x="123"/>
        <item x="63"/>
        <item x="64"/>
        <item x="65"/>
        <item x="62"/>
        <item x="94"/>
        <item x="73"/>
        <item x="74"/>
        <item x="75"/>
        <item x="76"/>
        <item x="77"/>
        <item x="27"/>
        <item x="95"/>
        <item x="24"/>
        <item x="91"/>
        <item x="34"/>
        <item x="7"/>
        <item x="99"/>
        <item x="33"/>
        <item x="97"/>
        <item x="112"/>
        <item x="49"/>
        <item x="113"/>
        <item x="50"/>
        <item x="86"/>
        <item x="120"/>
        <item x="28"/>
        <item x="105"/>
        <item x="44"/>
        <item x="26"/>
        <item x="119"/>
        <item x="29"/>
        <item x="116"/>
        <item x="103"/>
        <item x="104"/>
        <item x="92"/>
        <item x="87"/>
        <item x="125"/>
        <item x="126"/>
        <item x="127"/>
        <item x="128"/>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subtotalTop="0" multipleItemSelectionAllowed="1" showAll="0" defaultSubtotal="0">
      <items count="8">
        <item x="5"/>
        <item h="1" x="7"/>
        <item h="1" x="1"/>
        <item x="0"/>
        <item h="1" x="4"/>
        <item x="6"/>
        <item h="1" x="3"/>
        <item h="1" x="2"/>
      </items>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axis="axisRow" compact="0" outline="0" subtotalTop="0" showAll="0" defaultSubtotal="0">
      <items count="206">
        <item h="1" x="22"/>
        <item h="1" x="16"/>
        <item h="1" x="67"/>
        <item h="1" x="179"/>
        <item h="1" x="21"/>
        <item h="1" x="159"/>
        <item h="1" x="48"/>
        <item h="1" x="157"/>
        <item h="1" x="62"/>
        <item h="1" x="77"/>
        <item h="1" x="136"/>
        <item h="1" x="163"/>
        <item h="1" x="103"/>
        <item h="1" x="102"/>
        <item h="1" x="40"/>
        <item h="1" x="80"/>
        <item h="1" x="81"/>
        <item h="1" x="150"/>
        <item h="1" x="19"/>
        <item h="1" x="64"/>
        <item h="1" x="135"/>
        <item h="1" x="149"/>
        <item h="1" x="99"/>
        <item h="1" x="118"/>
        <item h="1" x="112"/>
        <item h="1" x="26"/>
        <item h="1" x="3"/>
        <item h="1" x="69"/>
        <item h="1" x="147"/>
        <item h="1" x="29"/>
        <item h="1" x="6"/>
        <item h="1" x="8"/>
        <item h="1" x="17"/>
        <item h="1" x="18"/>
        <item h="1" x="164"/>
        <item h="1" x="46"/>
        <item h="1" x="171"/>
        <item h="1" x="146"/>
        <item h="1" x="101"/>
        <item h="1" x="198"/>
        <item h="1" x="75"/>
        <item h="1" x="119"/>
        <item h="1" x="113"/>
        <item h="1" x="199"/>
        <item h="1" x="1"/>
        <item h="1" x="25"/>
        <item h="1" x="47"/>
        <item h="1" x="45"/>
        <item h="1" x="120"/>
        <item h="1" x="27"/>
        <item h="1" x="68"/>
        <item h="1" x="165"/>
        <item h="1" x="0"/>
        <item h="1" x="12"/>
        <item h="1" x="123"/>
        <item h="1" x="137"/>
        <item h="1" x="30"/>
        <item x="178"/>
        <item x="57"/>
        <item h="1" x="24"/>
        <item h="1" x="141"/>
        <item h="1" x="155"/>
        <item h="1" x="134"/>
        <item h="1" x="153"/>
        <item h="1" x="66"/>
        <item h="1" x="36"/>
        <item h="1" x="170"/>
        <item h="1" x="114"/>
        <item h="1" x="65"/>
        <item h="1" x="138"/>
        <item h="1" x="39"/>
        <item h="1" x="51"/>
        <item h="1" x="161"/>
        <item h="1" x="43"/>
        <item h="1" x="92"/>
        <item h="1" x="20"/>
        <item h="1" x="186"/>
        <item h="1" x="156"/>
        <item h="1" x="121"/>
        <item h="1" x="15"/>
        <item h="1" x="131"/>
        <item h="1" x="4"/>
        <item h="1" x="42"/>
        <item h="1" x="160"/>
        <item h="1" x="174"/>
        <item h="1" x="33"/>
        <item h="1" x="184"/>
        <item h="1" x="97"/>
        <item h="1" x="125"/>
        <item h="1" x="72"/>
        <item h="1" x="195"/>
        <item h="1" x="94"/>
        <item h="1" x="203"/>
        <item h="1" x="202"/>
        <item h="1" x="201"/>
        <item h="1" x="204"/>
        <item h="1" x="71"/>
        <item h="1" x="122"/>
        <item h="1" x="140"/>
        <item h="1" x="200"/>
        <item h="1" x="132"/>
        <item h="1" x="194"/>
        <item h="1" x="35"/>
        <item h="1" x="23"/>
        <item h="1" x="10"/>
        <item h="1" x="173"/>
        <item h="1" x="88"/>
        <item h="1" x="168"/>
        <item h="1" x="59"/>
        <item h="1" x="158"/>
        <item h="1" x="34"/>
        <item h="1" x="32"/>
        <item h="1" x="82"/>
        <item h="1" x="49"/>
        <item h="1" x="5"/>
        <item h="1" x="182"/>
        <item h="1" x="9"/>
        <item h="1" x="166"/>
        <item h="1" x="109"/>
        <item h="1" x="167"/>
        <item h="1" x="172"/>
        <item h="1" x="126"/>
        <item h="1" x="61"/>
        <item h="1" x="73"/>
        <item h="1" x="76"/>
        <item h="1" x="187"/>
        <item h="1" x="90"/>
        <item h="1" x="189"/>
        <item h="1" x="106"/>
        <item h="1" x="78"/>
        <item h="1" x="14"/>
        <item h="1" x="31"/>
        <item h="1" x="145"/>
        <item h="1" x="60"/>
        <item h="1" x="44"/>
        <item h="1" x="86"/>
        <item h="1" x="55"/>
        <item h="1" x="128"/>
        <item h="1" x="98"/>
        <item h="1" x="79"/>
        <item h="1" x="148"/>
        <item h="1" x="105"/>
        <item h="1" x="169"/>
        <item h="1" x="54"/>
        <item h="1" x="13"/>
        <item h="1" x="188"/>
        <item h="1" x="133"/>
        <item h="1" x="38"/>
        <item h="1" x="87"/>
        <item h="1" x="129"/>
        <item h="1" x="63"/>
        <item h="1" x="117"/>
        <item h="1" x="116"/>
        <item h="1" x="130"/>
        <item h="1" x="151"/>
        <item h="1" x="53"/>
        <item h="1" x="100"/>
        <item h="1" x="115"/>
        <item h="1" x="37"/>
        <item h="1" x="58"/>
        <item h="1" x="28"/>
        <item h="1" x="193"/>
        <item h="1" x="190"/>
        <item h="1" x="181"/>
        <item h="1" x="111"/>
        <item h="1" x="108"/>
        <item h="1" x="7"/>
        <item h="1" x="41"/>
        <item h="1" x="192"/>
        <item h="1" x="180"/>
        <item h="1" x="197"/>
        <item h="1" x="139"/>
        <item h="1" x="84"/>
        <item h="1" x="83"/>
        <item h="1" x="74"/>
        <item h="1" x="183"/>
        <item h="1" x="185"/>
        <item h="1" x="107"/>
        <item h="1" x="85"/>
        <item h="1" x="142"/>
        <item h="1" x="205"/>
        <item h="1" x="11"/>
        <item h="1" x="95"/>
        <item h="1" x="110"/>
        <item h="1" x="191"/>
        <item h="1" x="127"/>
        <item h="1" x="176"/>
        <item h="1" x="152"/>
        <item h="1" x="162"/>
        <item h="1" x="2"/>
        <item h="1" x="89"/>
        <item h="1" x="52"/>
        <item h="1" x="96"/>
        <item h="1" x="104"/>
        <item h="1" x="143"/>
        <item h="1" x="91"/>
        <item h="1" x="154"/>
        <item h="1" x="124"/>
        <item h="1" x="93"/>
        <item h="1" x="177"/>
        <item h="1" x="70"/>
        <item h="1" x="175"/>
        <item h="1" x="56"/>
        <item h="1" x="50"/>
        <item h="1" x="196"/>
        <item h="1" x="144"/>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dataField="1" compact="0" outline="0" subtotalTop="0" dragToRow="0" dragToCol="0" dragToPage="0" showAll="0" defaultSubtotal="0">
      <extLst>
        <ext xmlns:x14="http://schemas.microsoft.com/office/spreadsheetml/2009/9/main" uri="{2946ED86-A175-432a-8AC1-64E0C546D7DE}">
          <x14:pivotField fillDownLabels="1"/>
        </ext>
      </extLst>
    </pivotField>
  </pivotFields>
  <rowFields count="3">
    <field x="32"/>
    <field x="5"/>
    <field x="6"/>
  </rowFields>
  <rowItems count="5">
    <i>
      <x v="57"/>
      <x v="1"/>
      <x v="57"/>
    </i>
    <i>
      <x v="58"/>
      <x v="1"/>
      <x v="57"/>
    </i>
    <i r="1">
      <x v="9"/>
      <x v="58"/>
    </i>
    <i r="1">
      <x v="110"/>
      <x v="12"/>
    </i>
    <i t="grand">
      <x/>
    </i>
  </rowItems>
  <colFields count="3">
    <field x="-2"/>
    <field x="0"/>
    <field x="1"/>
  </colFields>
  <colItems count="24">
    <i>
      <x/>
      <x/>
      <x v="5"/>
    </i>
    <i r="2">
      <x v="8"/>
    </i>
    <i r="1">
      <x v="1"/>
      <x v="4"/>
    </i>
    <i r="2">
      <x v="5"/>
    </i>
    <i r="2">
      <x v="7"/>
    </i>
    <i i="1">
      <x v="1"/>
      <x/>
      <x v="5"/>
    </i>
    <i r="2" i="1">
      <x v="8"/>
    </i>
    <i r="1" i="1">
      <x v="1"/>
      <x v="4"/>
    </i>
    <i r="2" i="1">
      <x v="5"/>
    </i>
    <i r="2" i="1">
      <x v="7"/>
    </i>
    <i i="2">
      <x v="2"/>
      <x/>
      <x v="5"/>
    </i>
    <i r="2" i="2">
      <x v="8"/>
    </i>
    <i r="1" i="2">
      <x v="1"/>
      <x v="4"/>
    </i>
    <i r="2" i="2">
      <x v="5"/>
    </i>
    <i r="2" i="2">
      <x v="7"/>
    </i>
    <i i="3">
      <x v="3"/>
      <x/>
      <x v="5"/>
    </i>
    <i r="2" i="3">
      <x v="8"/>
    </i>
    <i r="1" i="3">
      <x v="1"/>
      <x v="4"/>
    </i>
    <i r="2" i="3">
      <x v="5"/>
    </i>
    <i r="2" i="3">
      <x v="7"/>
    </i>
    <i t="grand">
      <x/>
    </i>
    <i t="grand" i="1">
      <x/>
    </i>
    <i t="grand" i="2">
      <x/>
    </i>
    <i t="grand" i="3">
      <x/>
    </i>
  </colItems>
  <pageFields count="1">
    <pageField fld="12" hier="-1"/>
  </pageFields>
  <dataFields count="4">
    <dataField name="Sum of SL" fld="13" baseField="0" baseItem="0" numFmtId="3"/>
    <dataField name="Sum of Doanh thu EXW (USD)" fld="30" baseField="0" baseItem="0" numFmtId="3"/>
    <dataField name="Sum of Doanh thu EXW (VND)" fld="18" baseField="0" baseItem="0" numFmtId="3"/>
    <dataField name="Sum of Price EXW (USD/ton)" fld="34"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8750434-54FD-49E8-9343-F4B0FBD7C0DB}" name="PivotTable5" cacheId="0" dataPosition="0" applyNumberFormats="0" applyBorderFormats="0" applyFontFormats="0" applyPatternFormats="0" applyAlignmentFormats="0" applyWidthHeightFormats="1" dataCaption="Values" updatedVersion="8" minRefreshableVersion="3" itemPrintTitles="1" createdVersion="8" indent="0" compact="0" outline="1" outlineData="1" compactData="0" multipleFieldFilters="0">
  <location ref="A4:O620" firstHeaderRow="1" firstDataRow="3" firstDataCol="3" rowPageCount="1" colPageCount="1"/>
  <pivotFields count="35">
    <pivotField axis="axisCol" compact="0" multipleItemSelectionAllowed="1" showAll="0">
      <items count="3">
        <item x="0"/>
        <item x="1"/>
        <item t="default"/>
      </items>
    </pivotField>
    <pivotField compact="0" showAll="0"/>
    <pivotField compact="0" showAll="0"/>
    <pivotField compact="0" showAll="0"/>
    <pivotField compact="0" showAll="0"/>
    <pivotField compact="0" showAll="0"/>
    <pivotField compact="0" showAll="0"/>
    <pivotField compact="0" showAll="0"/>
    <pivotField compact="0" showAll="0"/>
    <pivotField axis="axisRow" compact="0" showAll="0" sortType="descending">
      <items count="18">
        <item x="4"/>
        <item x="10"/>
        <item x="15"/>
        <item x="2"/>
        <item x="11"/>
        <item x="16"/>
        <item x="13"/>
        <item x="8"/>
        <item x="12"/>
        <item x="9"/>
        <item x="5"/>
        <item x="1"/>
        <item x="0"/>
        <item x="14"/>
        <item x="3"/>
        <item x="6"/>
        <item x="7"/>
        <item t="default"/>
      </items>
      <autoSortScope>
        <pivotArea dataOnly="0" outline="0" fieldPosition="0">
          <references count="1">
            <reference field="4294967294" count="1" selected="0">
              <x v="0"/>
            </reference>
          </references>
        </pivotArea>
      </autoSortScope>
    </pivotField>
    <pivotField compact="0" showAll="0"/>
    <pivotField compact="0" showAll="0"/>
    <pivotField axis="axisPage" compact="0" multipleItemSelectionAllowed="1" showAll="0">
      <items count="9">
        <item x="5"/>
        <item h="1" x="7"/>
        <item h="1" x="1"/>
        <item x="0"/>
        <item h="1" x="4"/>
        <item x="6"/>
        <item h="1" x="3"/>
        <item h="1" x="2"/>
        <item t="default"/>
      </items>
    </pivotField>
    <pivotField dataField="1" compact="0" numFmtId="3" showAll="0"/>
    <pivotField compact="0" numFmtId="3" showAll="0"/>
    <pivotField compact="0" numFmtId="3" showAll="0"/>
    <pivotField compact="0" numFmtId="3" showAll="0"/>
    <pivotField compact="0" numFmtId="3" showAll="0"/>
    <pivotField dataField="1" compact="0" numFmtId="3" showAll="0"/>
    <pivotField compact="0" numFmtId="3" showAll="0"/>
    <pivotField compact="0" numFmtId="3" showAll="0"/>
    <pivotField compact="0" numFmtId="3" showAll="0"/>
    <pivotField compact="0" numFmtId="3" showAll="0"/>
    <pivotField compact="0" numFmtId="3" showAll="0"/>
    <pivotField compact="0" numFmtId="3" showAll="0"/>
    <pivotField compact="0" numFmtId="3" showAll="0"/>
    <pivotField compact="0" numFmtId="3" showAll="0"/>
    <pivotField compact="0" numFmtId="3" showAll="0"/>
    <pivotField compact="0" numFmtId="3" showAll="0"/>
    <pivotField compact="0" numFmtId="3" showAll="0"/>
    <pivotField dataField="1" compact="0" numFmtId="3" showAll="0"/>
    <pivotField compact="0" numFmtId="3" showAll="0"/>
    <pivotField axis="axisRow" compact="0" showAll="0" sortType="descending">
      <items count="207">
        <item x="22"/>
        <item x="16"/>
        <item x="67"/>
        <item x="179"/>
        <item x="21"/>
        <item x="159"/>
        <item x="48"/>
        <item x="157"/>
        <item x="62"/>
        <item x="77"/>
        <item x="136"/>
        <item x="163"/>
        <item x="103"/>
        <item x="102"/>
        <item x="40"/>
        <item x="80"/>
        <item x="81"/>
        <item x="150"/>
        <item x="19"/>
        <item x="64"/>
        <item x="135"/>
        <item x="149"/>
        <item x="99"/>
        <item x="118"/>
        <item x="112"/>
        <item x="26"/>
        <item x="3"/>
        <item x="69"/>
        <item x="147"/>
        <item x="29"/>
        <item x="6"/>
        <item x="8"/>
        <item x="17"/>
        <item x="18"/>
        <item x="164"/>
        <item x="46"/>
        <item x="171"/>
        <item x="146"/>
        <item x="101"/>
        <item x="198"/>
        <item x="75"/>
        <item x="119"/>
        <item x="113"/>
        <item x="199"/>
        <item x="1"/>
        <item x="25"/>
        <item x="47"/>
        <item x="45"/>
        <item x="120"/>
        <item x="27"/>
        <item x="68"/>
        <item x="165"/>
        <item x="0"/>
        <item x="12"/>
        <item x="123"/>
        <item x="137"/>
        <item x="30"/>
        <item x="178"/>
        <item x="57"/>
        <item x="24"/>
        <item x="141"/>
        <item x="155"/>
        <item x="134"/>
        <item x="153"/>
        <item x="66"/>
        <item x="36"/>
        <item x="170"/>
        <item x="114"/>
        <item x="65"/>
        <item x="138"/>
        <item x="39"/>
        <item x="51"/>
        <item x="161"/>
        <item x="43"/>
        <item x="92"/>
        <item x="20"/>
        <item x="186"/>
        <item x="156"/>
        <item x="121"/>
        <item x="15"/>
        <item x="131"/>
        <item x="4"/>
        <item x="42"/>
        <item x="160"/>
        <item x="174"/>
        <item x="33"/>
        <item x="184"/>
        <item x="97"/>
        <item x="125"/>
        <item x="72"/>
        <item x="195"/>
        <item x="94"/>
        <item x="203"/>
        <item x="202"/>
        <item x="201"/>
        <item x="204"/>
        <item x="71"/>
        <item x="122"/>
        <item x="140"/>
        <item x="200"/>
        <item x="132"/>
        <item x="194"/>
        <item x="35"/>
        <item x="23"/>
        <item x="10"/>
        <item x="173"/>
        <item x="88"/>
        <item x="168"/>
        <item x="59"/>
        <item x="158"/>
        <item x="34"/>
        <item x="32"/>
        <item x="82"/>
        <item x="49"/>
        <item x="5"/>
        <item x="182"/>
        <item x="9"/>
        <item x="166"/>
        <item x="109"/>
        <item x="167"/>
        <item x="172"/>
        <item x="126"/>
        <item x="61"/>
        <item x="73"/>
        <item x="76"/>
        <item x="187"/>
        <item x="90"/>
        <item x="189"/>
        <item x="106"/>
        <item x="78"/>
        <item x="14"/>
        <item x="31"/>
        <item x="145"/>
        <item x="60"/>
        <item x="44"/>
        <item x="86"/>
        <item x="55"/>
        <item x="128"/>
        <item x="98"/>
        <item x="79"/>
        <item x="148"/>
        <item x="105"/>
        <item x="169"/>
        <item x="54"/>
        <item x="13"/>
        <item x="188"/>
        <item x="133"/>
        <item x="38"/>
        <item x="87"/>
        <item x="129"/>
        <item x="63"/>
        <item x="117"/>
        <item x="116"/>
        <item x="130"/>
        <item x="151"/>
        <item x="53"/>
        <item x="100"/>
        <item x="115"/>
        <item x="37"/>
        <item x="58"/>
        <item x="28"/>
        <item x="193"/>
        <item x="190"/>
        <item x="181"/>
        <item x="111"/>
        <item x="108"/>
        <item x="7"/>
        <item x="41"/>
        <item x="192"/>
        <item x="180"/>
        <item x="197"/>
        <item x="139"/>
        <item x="84"/>
        <item x="83"/>
        <item x="74"/>
        <item x="183"/>
        <item x="185"/>
        <item x="107"/>
        <item x="85"/>
        <item x="142"/>
        <item x="205"/>
        <item x="11"/>
        <item x="95"/>
        <item x="110"/>
        <item x="191"/>
        <item x="127"/>
        <item x="176"/>
        <item x="152"/>
        <item x="162"/>
        <item x="2"/>
        <item x="89"/>
        <item x="52"/>
        <item x="96"/>
        <item x="104"/>
        <item x="143"/>
        <item x="91"/>
        <item x="154"/>
        <item x="124"/>
        <item x="93"/>
        <item x="177"/>
        <item x="70"/>
        <item x="175"/>
        <item x="56"/>
        <item x="50"/>
        <item x="196"/>
        <item x="144"/>
        <item t="default"/>
      </items>
      <autoSortScope>
        <pivotArea dataOnly="0" outline="0" fieldPosition="0">
          <references count="1">
            <reference field="4294967294" count="1" selected="0">
              <x v="0"/>
            </reference>
          </references>
        </pivotArea>
      </autoSortScope>
    </pivotField>
    <pivotField axis="axisRow" compact="0" showAll="0">
      <items count="132">
        <item x="10"/>
        <item x="8"/>
        <item x="70"/>
        <item x="130"/>
        <item x="0"/>
        <item x="1"/>
        <item x="87"/>
        <item x="54"/>
        <item x="55"/>
        <item x="9"/>
        <item x="33"/>
        <item x="81"/>
        <item x="58"/>
        <item x="2"/>
        <item x="3"/>
        <item x="43"/>
        <item x="4"/>
        <item x="80"/>
        <item x="5"/>
        <item x="49"/>
        <item x="95"/>
        <item x="61"/>
        <item x="63"/>
        <item x="53"/>
        <item x="34"/>
        <item x="45"/>
        <item x="32"/>
        <item x="109"/>
        <item x="84"/>
        <item x="11"/>
        <item x="51"/>
        <item x="107"/>
        <item x="46"/>
        <item x="30"/>
        <item x="52"/>
        <item x="114"/>
        <item x="115"/>
        <item x="12"/>
        <item x="13"/>
        <item x="14"/>
        <item x="15"/>
        <item x="16"/>
        <item x="91"/>
        <item x="92"/>
        <item x="31"/>
        <item x="118"/>
        <item x="6"/>
        <item x="50"/>
        <item x="44"/>
        <item x="56"/>
        <item x="57"/>
        <item x="62"/>
        <item x="69"/>
        <item x="74"/>
        <item x="98"/>
        <item x="71"/>
        <item x="72"/>
        <item x="73"/>
        <item x="104"/>
        <item x="88"/>
        <item x="116"/>
        <item x="85"/>
        <item x="86"/>
        <item x="83"/>
        <item x="90"/>
        <item x="120"/>
        <item x="113"/>
        <item x="111"/>
        <item x="103"/>
        <item x="117"/>
        <item x="119"/>
        <item x="123"/>
        <item x="121"/>
        <item x="124"/>
        <item x="128"/>
        <item x="28"/>
        <item x="105"/>
        <item x="64"/>
        <item x="29"/>
        <item x="65"/>
        <item x="66"/>
        <item x="67"/>
        <item x="17"/>
        <item x="18"/>
        <item x="19"/>
        <item x="127"/>
        <item x="125"/>
        <item x="20"/>
        <item x="21"/>
        <item x="22"/>
        <item x="23"/>
        <item x="75"/>
        <item x="76"/>
        <item x="77"/>
        <item x="78"/>
        <item x="79"/>
        <item x="129"/>
        <item x="96"/>
        <item x="106"/>
        <item x="122"/>
        <item x="126"/>
        <item x="108"/>
        <item x="24"/>
        <item x="25"/>
        <item x="94"/>
        <item x="102"/>
        <item x="82"/>
        <item x="42"/>
        <item x="38"/>
        <item x="68"/>
        <item x="47"/>
        <item x="110"/>
        <item x="112"/>
        <item x="59"/>
        <item x="39"/>
        <item x="48"/>
        <item x="40"/>
        <item x="89"/>
        <item x="100"/>
        <item x="37"/>
        <item x="60"/>
        <item x="27"/>
        <item x="97"/>
        <item x="26"/>
        <item x="36"/>
        <item x="7"/>
        <item x="101"/>
        <item x="93"/>
        <item x="35"/>
        <item x="99"/>
        <item x="41"/>
        <item t="default"/>
      </items>
    </pivotField>
    <pivotField dataField="1" compact="0" dragToRow="0" dragToCol="0" dragToPage="0" showAll="0" defaultSubtotal="0"/>
  </pivotFields>
  <rowFields count="3">
    <field x="9"/>
    <field x="33"/>
    <field x="32"/>
  </rowFields>
  <rowItems count="614">
    <i>
      <x v="14"/>
    </i>
    <i r="1">
      <x/>
    </i>
    <i r="2">
      <x v="81"/>
    </i>
    <i r="2">
      <x v="52"/>
    </i>
    <i r="2">
      <x v="143"/>
    </i>
    <i r="2">
      <x v="112"/>
    </i>
    <i r="2">
      <x v="172"/>
    </i>
    <i r="2">
      <x v="53"/>
    </i>
    <i r="1">
      <x v="1"/>
    </i>
    <i r="2">
      <x v="166"/>
    </i>
    <i r="2">
      <x v="26"/>
    </i>
    <i r="2">
      <x v="58"/>
    </i>
    <i r="2">
      <x v="202"/>
    </i>
    <i r="2">
      <x v="114"/>
    </i>
    <i r="2">
      <x v="158"/>
    </i>
    <i r="2">
      <x v="164"/>
    </i>
    <i r="2">
      <x v="57"/>
    </i>
    <i r="2">
      <x v="80"/>
    </i>
    <i r="2">
      <x v="96"/>
    </i>
    <i r="2">
      <x v="116"/>
    </i>
    <i r="2">
      <x v="37"/>
    </i>
    <i r="2">
      <x v="136"/>
    </i>
    <i r="2">
      <x v="53"/>
    </i>
    <i r="1">
      <x v="2"/>
    </i>
    <i r="2">
      <x v="203"/>
    </i>
    <i r="1">
      <x v="3"/>
    </i>
    <i r="2">
      <x v="197"/>
    </i>
    <i r="2">
      <x v="99"/>
    </i>
    <i r="1">
      <x v="9"/>
    </i>
    <i r="2">
      <x v="130"/>
    </i>
    <i r="2">
      <x v="189"/>
    </i>
    <i r="2">
      <x v="144"/>
    </i>
    <i r="2">
      <x v="143"/>
    </i>
    <i r="2">
      <x v="114"/>
    </i>
    <i r="2">
      <x v="131"/>
    </i>
    <i r="2">
      <x v="52"/>
    </i>
    <i r="2">
      <x v="147"/>
    </i>
    <i r="2">
      <x v="142"/>
    </i>
    <i r="2">
      <x v="172"/>
    </i>
    <i r="2">
      <x v="135"/>
    </i>
    <i r="2">
      <x v="110"/>
    </i>
    <i r="2">
      <x v="2"/>
    </i>
    <i r="2">
      <x v="186"/>
    </i>
    <i r="2">
      <x v="43"/>
    </i>
    <i r="2">
      <x v="132"/>
    </i>
    <i r="2">
      <x v="37"/>
    </i>
    <i r="2">
      <x v="45"/>
    </i>
    <i r="2">
      <x v="51"/>
    </i>
    <i r="2">
      <x v="120"/>
    </i>
    <i r="2">
      <x v="116"/>
    </i>
    <i r="2">
      <x v="183"/>
    </i>
    <i r="2">
      <x v="50"/>
    </i>
    <i r="2">
      <x v="166"/>
    </i>
    <i r="2">
      <x v="102"/>
    </i>
    <i r="2">
      <x v="174"/>
    </i>
    <i r="2">
      <x v="161"/>
    </i>
    <i r="2">
      <x v="85"/>
    </i>
    <i r="1">
      <x v="10"/>
    </i>
    <i r="2">
      <x v="134"/>
    </i>
    <i r="2">
      <x v="198"/>
    </i>
    <i r="2">
      <x/>
    </i>
    <i r="2">
      <x v="80"/>
    </i>
    <i r="2">
      <x v="130"/>
    </i>
    <i r="2">
      <x v="91"/>
    </i>
    <i r="2">
      <x v="168"/>
    </i>
    <i r="2">
      <x v="71"/>
    </i>
    <i r="2">
      <x v="166"/>
    </i>
    <i r="2">
      <x v="100"/>
    </i>
    <i r="2">
      <x v="83"/>
    </i>
    <i r="2">
      <x v="106"/>
    </i>
    <i r="2">
      <x v="148"/>
    </i>
    <i r="2">
      <x v="56"/>
    </i>
    <i r="2">
      <x v="146"/>
    </i>
    <i r="2">
      <x v="58"/>
    </i>
    <i r="2">
      <x v="89"/>
    </i>
    <i r="2">
      <x v="153"/>
    </i>
    <i r="2">
      <x v="149"/>
    </i>
    <i r="2">
      <x v="107"/>
    </i>
    <i r="2">
      <x v="172"/>
    </i>
    <i r="2">
      <x v="37"/>
    </i>
    <i r="2">
      <x v="114"/>
    </i>
    <i r="2">
      <x v="197"/>
    </i>
    <i r="2">
      <x v="35"/>
    </i>
    <i r="2">
      <x v="73"/>
    </i>
    <i r="2">
      <x v="167"/>
    </i>
    <i r="2">
      <x v="27"/>
    </i>
    <i r="2">
      <x v="116"/>
    </i>
    <i r="2">
      <x v="74"/>
    </i>
    <i r="2">
      <x v="120"/>
    </i>
    <i r="2">
      <x v="189"/>
    </i>
    <i r="1">
      <x v="11"/>
    </i>
    <i r="2">
      <x v="2"/>
    </i>
    <i r="2">
      <x v="122"/>
    </i>
    <i r="1">
      <x v="12"/>
    </i>
    <i r="2">
      <x v="150"/>
    </i>
    <i r="2">
      <x v="103"/>
    </i>
    <i r="2">
      <x v="191"/>
    </i>
    <i r="2">
      <x v="72"/>
    </i>
    <i r="2">
      <x v="56"/>
    </i>
    <i r="2">
      <x v="148"/>
    </i>
    <i r="2">
      <x v="173"/>
    </i>
    <i r="2">
      <x v="68"/>
    </i>
    <i r="2">
      <x v="73"/>
    </i>
    <i r="2">
      <x v="142"/>
    </i>
    <i r="2">
      <x v="197"/>
    </i>
    <i r="2">
      <x v="116"/>
    </i>
    <i r="1">
      <x v="23"/>
    </i>
    <i r="2">
      <x v="102"/>
    </i>
    <i r="2">
      <x v="111"/>
    </i>
    <i r="1">
      <x v="26"/>
    </i>
    <i r="2">
      <x v="1"/>
    </i>
    <i r="2">
      <x v="144"/>
    </i>
    <i r="2">
      <x v="53"/>
    </i>
    <i r="1">
      <x v="65"/>
    </i>
    <i r="2">
      <x v="105"/>
    </i>
    <i r="2">
      <x v="176"/>
    </i>
    <i r="1">
      <x v="68"/>
    </i>
    <i r="2">
      <x v="81"/>
    </i>
    <i r="1">
      <x v="69"/>
    </i>
    <i r="2">
      <x v="28"/>
    </i>
    <i r="1">
      <x v="71"/>
    </i>
    <i r="2">
      <x v="28"/>
    </i>
    <i r="1">
      <x v="72"/>
    </i>
    <i r="2">
      <x v="163"/>
    </i>
    <i r="1">
      <x v="73"/>
    </i>
    <i r="2">
      <x v="81"/>
    </i>
    <i>
      <x v="12"/>
    </i>
    <i r="1">
      <x v="4"/>
    </i>
    <i r="2">
      <x v="52"/>
    </i>
    <i r="2">
      <x v="85"/>
    </i>
    <i r="2">
      <x v="195"/>
    </i>
    <i r="2">
      <x v="124"/>
    </i>
    <i r="1">
      <x v="5"/>
    </i>
    <i r="2">
      <x v="189"/>
    </i>
    <i r="2">
      <x v="52"/>
    </i>
    <i r="2">
      <x v="108"/>
    </i>
    <i r="2">
      <x v="158"/>
    </i>
    <i r="2">
      <x v="14"/>
    </i>
    <i r="1">
      <x v="6"/>
    </i>
    <i r="2">
      <x v="109"/>
    </i>
    <i r="2">
      <x v="123"/>
    </i>
    <i r="2">
      <x v="101"/>
    </i>
    <i r="2">
      <x v="175"/>
    </i>
    <i r="2">
      <x v="55"/>
    </i>
    <i r="1">
      <x v="7"/>
    </i>
    <i r="2">
      <x v="85"/>
    </i>
    <i r="1">
      <x v="8"/>
    </i>
    <i r="2">
      <x v="85"/>
    </i>
    <i r="1">
      <x v="22"/>
    </i>
    <i r="2">
      <x v="108"/>
    </i>
    <i r="2">
      <x v="46"/>
    </i>
    <i r="1">
      <x v="46"/>
    </i>
    <i r="2">
      <x v="189"/>
    </i>
    <i r="2">
      <x v="52"/>
    </i>
    <i r="1">
      <x v="47"/>
    </i>
    <i r="2">
      <x v="189"/>
    </i>
    <i r="2">
      <x v="52"/>
    </i>
    <i r="1">
      <x v="49"/>
    </i>
    <i r="2">
      <x v="85"/>
    </i>
    <i r="1">
      <x v="54"/>
    </i>
    <i r="2">
      <x v="80"/>
    </i>
    <i r="2">
      <x v="199"/>
    </i>
    <i r="2">
      <x v="7"/>
    </i>
    <i r="2">
      <x v="192"/>
    </i>
    <i r="1">
      <x v="63"/>
    </i>
    <i r="2">
      <x v="189"/>
    </i>
    <i r="2">
      <x v="195"/>
    </i>
    <i r="1">
      <x v="66"/>
    </i>
    <i r="2">
      <x v="52"/>
    </i>
    <i>
      <x v="10"/>
    </i>
    <i r="1">
      <x v="75"/>
    </i>
    <i r="2">
      <x v="104"/>
    </i>
    <i r="1">
      <x v="76"/>
    </i>
    <i r="2">
      <x v="141"/>
    </i>
    <i r="1">
      <x v="77"/>
    </i>
    <i r="2">
      <x v="104"/>
    </i>
    <i r="1">
      <x v="78"/>
    </i>
    <i r="2">
      <x v="104"/>
    </i>
    <i r="2">
      <x v="160"/>
    </i>
    <i r="2">
      <x v="141"/>
    </i>
    <i r="1">
      <x v="79"/>
    </i>
    <i r="2">
      <x v="104"/>
    </i>
    <i r="1">
      <x v="80"/>
    </i>
    <i r="2">
      <x v="104"/>
    </i>
    <i r="1">
      <x v="81"/>
    </i>
    <i r="2">
      <x v="104"/>
    </i>
    <i r="1">
      <x v="85"/>
    </i>
    <i r="2">
      <x v="116"/>
    </i>
    <i r="1">
      <x v="86"/>
    </i>
    <i r="2">
      <x v="88"/>
    </i>
    <i r="2">
      <x v="128"/>
    </i>
    <i r="1">
      <x v="91"/>
    </i>
    <i r="2">
      <x v="64"/>
    </i>
    <i r="2">
      <x v="116"/>
    </i>
    <i r="1">
      <x v="92"/>
    </i>
    <i r="2">
      <x v="64"/>
    </i>
    <i r="2">
      <x v="116"/>
    </i>
    <i r="1">
      <x v="93"/>
    </i>
    <i r="2">
      <x v="64"/>
    </i>
    <i r="2">
      <x v="116"/>
    </i>
    <i r="1">
      <x v="94"/>
    </i>
    <i r="2">
      <x v="64"/>
    </i>
    <i r="2">
      <x v="116"/>
    </i>
    <i r="1">
      <x v="95"/>
    </i>
    <i r="2">
      <x v="104"/>
    </i>
    <i r="2">
      <x v="160"/>
    </i>
    <i r="2">
      <x v="141"/>
    </i>
    <i r="1">
      <x v="96"/>
    </i>
    <i r="2">
      <x v="141"/>
    </i>
    <i r="1">
      <x v="97"/>
    </i>
    <i r="2">
      <x v="64"/>
    </i>
    <i r="2">
      <x v="116"/>
    </i>
    <i r="1">
      <x v="98"/>
    </i>
    <i r="2">
      <x v="141"/>
    </i>
    <i r="2">
      <x v="160"/>
    </i>
    <i r="2">
      <x v="104"/>
    </i>
    <i r="1">
      <x v="99"/>
    </i>
    <i r="2">
      <x v="141"/>
    </i>
    <i r="1">
      <x v="100"/>
    </i>
    <i r="2">
      <x v="88"/>
    </i>
    <i r="2">
      <x v="128"/>
    </i>
    <i r="1">
      <x v="101"/>
    </i>
    <i r="2">
      <x v="78"/>
    </i>
    <i r="2">
      <x v="116"/>
    </i>
    <i>
      <x v="1"/>
    </i>
    <i r="1">
      <x v="48"/>
    </i>
    <i r="2">
      <x v="59"/>
    </i>
    <i>
      <x v="16"/>
    </i>
    <i r="1">
      <x v="24"/>
    </i>
    <i r="2">
      <x v="79"/>
    </i>
    <i r="2">
      <x v="70"/>
    </i>
    <i r="1">
      <x v="25"/>
    </i>
    <i r="2">
      <x v="63"/>
    </i>
    <i r="2">
      <x v="25"/>
    </i>
    <i r="1">
      <x v="51"/>
    </i>
    <i r="2">
      <x v="47"/>
    </i>
    <i r="2">
      <x v="68"/>
    </i>
    <i r="2">
      <x v="154"/>
    </i>
    <i r="2">
      <x v="113"/>
    </i>
    <i r="2">
      <x v="82"/>
    </i>
    <i r="2">
      <x v="125"/>
    </i>
    <i r="2">
      <x v="3"/>
    </i>
    <i r="2">
      <x v="48"/>
    </i>
    <i r="1">
      <x v="58"/>
    </i>
    <i r="2">
      <x v="68"/>
    </i>
    <i r="2">
      <x v="82"/>
    </i>
    <i r="2">
      <x v="169"/>
    </i>
    <i>
      <x v="11"/>
    </i>
    <i r="1">
      <x v="13"/>
    </i>
    <i r="2">
      <x v="52"/>
    </i>
    <i r="2">
      <x v="189"/>
    </i>
    <i r="1">
      <x v="14"/>
    </i>
    <i r="2">
      <x v="52"/>
    </i>
    <i r="2">
      <x v="69"/>
    </i>
    <i r="2">
      <x v="137"/>
    </i>
    <i r="1">
      <x v="15"/>
    </i>
    <i r="2">
      <x v="52"/>
    </i>
    <i r="2">
      <x v="69"/>
    </i>
    <i r="1">
      <x v="16"/>
    </i>
    <i r="2">
      <x v="69"/>
    </i>
    <i r="2">
      <x v="52"/>
    </i>
    <i r="2">
      <x v="49"/>
    </i>
    <i r="1">
      <x v="17"/>
    </i>
    <i r="2">
      <x v="26"/>
    </i>
    <i r="2">
      <x v="200"/>
    </i>
    <i r="2">
      <x v="126"/>
    </i>
    <i r="2">
      <x v="133"/>
    </i>
    <i r="1">
      <x v="18"/>
    </i>
    <i r="2">
      <x v="69"/>
    </i>
    <i r="2">
      <x v="52"/>
    </i>
    <i r="1">
      <x v="21"/>
    </i>
    <i r="2">
      <x v="52"/>
    </i>
    <i r="1">
      <x v="30"/>
    </i>
    <i r="2">
      <x v="128"/>
    </i>
    <i r="2">
      <x v="49"/>
    </i>
    <i r="2">
      <x v="69"/>
    </i>
    <i r="2">
      <x v="181"/>
    </i>
    <i r="2">
      <x v="8"/>
    </i>
    <i r="2">
      <x v="14"/>
    </i>
    <i r="2">
      <x v="116"/>
    </i>
    <i r="1">
      <x v="31"/>
    </i>
    <i r="2">
      <x v="88"/>
    </i>
    <i r="2">
      <x v="128"/>
    </i>
    <i r="2">
      <x v="86"/>
    </i>
    <i r="2">
      <x v="14"/>
    </i>
    <i r="2">
      <x v="69"/>
    </i>
    <i r="2">
      <x v="116"/>
    </i>
    <i r="1">
      <x v="32"/>
    </i>
    <i r="2">
      <x v="128"/>
    </i>
    <i r="2">
      <x v="69"/>
    </i>
    <i r="2">
      <x v="49"/>
    </i>
    <i r="2">
      <x v="171"/>
    </i>
    <i r="2">
      <x v="181"/>
    </i>
    <i r="2">
      <x v="129"/>
    </i>
    <i r="2">
      <x v="196"/>
    </i>
    <i r="2">
      <x v="116"/>
    </i>
    <i r="1">
      <x v="33"/>
    </i>
    <i r="2">
      <x v="88"/>
    </i>
    <i r="2">
      <x v="49"/>
    </i>
    <i r="2">
      <x v="181"/>
    </i>
    <i r="2">
      <x v="196"/>
    </i>
    <i r="2">
      <x v="14"/>
    </i>
    <i r="2">
      <x v="190"/>
    </i>
    <i r="2">
      <x v="69"/>
    </i>
    <i r="2">
      <x v="77"/>
    </i>
    <i r="2">
      <x v="116"/>
    </i>
    <i r="1">
      <x v="34"/>
    </i>
    <i r="2">
      <x v="88"/>
    </i>
    <i r="2">
      <x v="69"/>
    </i>
    <i r="2">
      <x v="181"/>
    </i>
    <i r="2">
      <x v="171"/>
    </i>
    <i r="2">
      <x v="49"/>
    </i>
    <i r="2">
      <x v="128"/>
    </i>
    <i r="2">
      <x v="116"/>
    </i>
    <i r="1">
      <x v="35"/>
    </i>
    <i r="2">
      <x v="69"/>
    </i>
    <i r="2">
      <x v="128"/>
    </i>
    <i r="2">
      <x v="116"/>
    </i>
    <i r="1">
      <x v="36"/>
    </i>
    <i r="2">
      <x v="69"/>
    </i>
    <i r="2">
      <x v="116"/>
    </i>
    <i r="1">
      <x v="59"/>
    </i>
    <i r="2">
      <x v="9"/>
    </i>
    <i r="1">
      <x v="67"/>
    </i>
    <i r="2">
      <x v="134"/>
    </i>
    <i>
      <x v="3"/>
    </i>
    <i r="1">
      <x v="104"/>
    </i>
    <i r="2">
      <x v="4"/>
    </i>
    <i r="1">
      <x v="105"/>
    </i>
    <i r="2">
      <x v="38"/>
    </i>
    <i r="1">
      <x v="106"/>
    </i>
    <i r="2">
      <x v="4"/>
    </i>
    <i r="1">
      <x v="107"/>
    </i>
    <i r="2">
      <x v="103"/>
    </i>
    <i r="2">
      <x/>
    </i>
    <i r="2">
      <x v="130"/>
    </i>
    <i r="2">
      <x v="144"/>
    </i>
    <i r="2">
      <x v="4"/>
    </i>
    <i r="1">
      <x v="108"/>
    </i>
    <i r="2">
      <x v="81"/>
    </i>
    <i r="2">
      <x v="4"/>
    </i>
    <i r="1">
      <x v="109"/>
    </i>
    <i r="2">
      <x v="4"/>
    </i>
    <i r="2">
      <x v="166"/>
    </i>
    <i r="2">
      <x v="114"/>
    </i>
    <i r="1">
      <x v="111"/>
    </i>
    <i r="2">
      <x v="185"/>
    </i>
    <i r="1">
      <x v="117"/>
    </i>
    <i r="2">
      <x v="4"/>
    </i>
    <i r="1">
      <x v="119"/>
    </i>
    <i r="2">
      <x v="4"/>
    </i>
    <i r="2">
      <x v="75"/>
    </i>
    <i r="2">
      <x v="44"/>
    </i>
    <i r="1">
      <x v="120"/>
    </i>
    <i r="2">
      <x v="4"/>
    </i>
    <i r="2">
      <x v="177"/>
    </i>
    <i r="2">
      <x v="139"/>
    </i>
    <i r="2">
      <x v="5"/>
    </i>
    <i r="2">
      <x v="188"/>
    </i>
    <i r="2">
      <x v="15"/>
    </i>
    <i r="2">
      <x v="16"/>
    </i>
    <i r="1">
      <x v="121"/>
    </i>
    <i r="2">
      <x v="130"/>
    </i>
    <i r="2">
      <x v="170"/>
    </i>
    <i r="2">
      <x v="152"/>
    </i>
    <i r="2">
      <x v="17"/>
    </i>
    <i r="2">
      <x v="204"/>
    </i>
    <i r="2">
      <x v="19"/>
    </i>
    <i r="2">
      <x v="140"/>
    </i>
    <i r="2">
      <x v="20"/>
    </i>
    <i r="2">
      <x v="162"/>
    </i>
    <i r="2">
      <x v="23"/>
    </i>
    <i r="2">
      <x v="182"/>
    </i>
    <i r="2">
      <x v="24"/>
    </i>
    <i r="2">
      <x v="4"/>
    </i>
    <i r="2">
      <x v="32"/>
    </i>
    <i r="2">
      <x v="138"/>
    </i>
    <i r="2">
      <x v="33"/>
    </i>
    <i r="2">
      <x v="145"/>
    </i>
    <i r="2">
      <x v="39"/>
    </i>
    <i r="2">
      <x v="157"/>
    </i>
    <i r="2">
      <x v="44"/>
    </i>
    <i r="2">
      <x v="166"/>
    </i>
    <i r="2">
      <x v="75"/>
    </i>
    <i r="2">
      <x v="180"/>
    </i>
    <i r="2">
      <x v="76"/>
    </i>
    <i r="2">
      <x v="184"/>
    </i>
    <i r="2">
      <x v="81"/>
    </i>
    <i r="2">
      <x v="205"/>
    </i>
    <i r="2">
      <x v="112"/>
    </i>
    <i r="2">
      <x v="116"/>
    </i>
    <i r="1">
      <x v="123"/>
    </i>
    <i r="2">
      <x v="93"/>
    </i>
    <i r="2">
      <x v="189"/>
    </i>
    <i r="2">
      <x v="95"/>
    </i>
    <i r="2">
      <x v="31"/>
    </i>
    <i r="2">
      <x v="92"/>
    </i>
    <i r="2">
      <x v="40"/>
    </i>
    <i r="2">
      <x v="94"/>
    </i>
    <i r="2">
      <x v="60"/>
    </i>
    <i r="2">
      <x v="98"/>
    </i>
    <i r="2">
      <x v="87"/>
    </i>
    <i r="2">
      <x v="26"/>
    </i>
    <i r="2">
      <x v="90"/>
    </i>
    <i r="1">
      <x v="124"/>
    </i>
    <i r="2">
      <x v="4"/>
    </i>
    <i r="2">
      <x v="19"/>
    </i>
    <i r="2">
      <x v="18"/>
    </i>
    <i r="1">
      <x v="125"/>
    </i>
    <i r="2">
      <x v="44"/>
    </i>
    <i r="2">
      <x v="21"/>
    </i>
    <i r="2">
      <x v="4"/>
    </i>
    <i r="2">
      <x v="18"/>
    </i>
    <i r="1">
      <x v="126"/>
    </i>
    <i r="2">
      <x v="156"/>
    </i>
    <i r="2">
      <x v="22"/>
    </i>
    <i r="1">
      <x v="127"/>
    </i>
    <i r="2">
      <x v="189"/>
    </i>
    <i r="1">
      <x v="128"/>
    </i>
    <i r="2">
      <x v="159"/>
    </i>
    <i r="2">
      <x v="33"/>
    </i>
    <i r="2">
      <x v="30"/>
    </i>
    <i r="2">
      <x v="32"/>
    </i>
    <i r="1">
      <x v="129"/>
    </i>
    <i r="2">
      <x v="24"/>
    </i>
    <i r="2">
      <x v="179"/>
    </i>
    <i r="2">
      <x v="138"/>
    </i>
    <i r="1">
      <x v="130"/>
    </i>
    <i r="2">
      <x v="4"/>
    </i>
    <i r="2">
      <x v="157"/>
    </i>
    <i r="2">
      <x v="119"/>
    </i>
    <i r="2">
      <x v="5"/>
    </i>
    <i r="2">
      <x v="193"/>
    </i>
    <i r="2">
      <x v="10"/>
    </i>
    <i r="2">
      <x v="117"/>
    </i>
    <i r="2">
      <x v="11"/>
    </i>
    <i r="2">
      <x v="152"/>
    </i>
    <i r="2">
      <x v="12"/>
    </i>
    <i r="2">
      <x v="177"/>
    </i>
    <i r="2">
      <x v="13"/>
    </i>
    <i r="2">
      <x v="201"/>
    </i>
    <i r="2">
      <x v="15"/>
    </i>
    <i r="2">
      <x v="84"/>
    </i>
    <i r="2">
      <x v="16"/>
    </i>
    <i r="2">
      <x v="118"/>
    </i>
    <i r="2">
      <x v="20"/>
    </i>
    <i r="2">
      <x v="151"/>
    </i>
    <i r="2">
      <x v="34"/>
    </i>
    <i r="2">
      <x v="154"/>
    </i>
    <i r="2">
      <x v="36"/>
    </i>
    <i r="2">
      <x v="165"/>
    </i>
    <i r="2">
      <x v="41"/>
    </i>
    <i r="2">
      <x v="187"/>
    </i>
    <i r="2">
      <x v="42"/>
    </i>
    <i r="2">
      <x v="194"/>
    </i>
    <i r="2">
      <x v="62"/>
    </i>
    <i r="2">
      <x v="205"/>
    </i>
    <i r="2">
      <x v="66"/>
    </i>
    <i r="2">
      <x v="67"/>
    </i>
    <i>
      <x v="15"/>
    </i>
    <i r="1">
      <x v="19"/>
    </i>
    <i r="2">
      <x v="52"/>
    </i>
    <i r="1">
      <x v="20"/>
    </i>
    <i r="2">
      <x v="102"/>
    </i>
    <i r="1">
      <x v="27"/>
    </i>
    <i r="2">
      <x v="49"/>
    </i>
    <i r="2">
      <x v="97"/>
    </i>
    <i r="1">
      <x v="28"/>
    </i>
    <i r="2">
      <x v="2"/>
    </i>
    <i r="2">
      <x v="61"/>
    </i>
    <i r="2">
      <x v="54"/>
    </i>
    <i r="2">
      <x v="97"/>
    </i>
    <i r="1">
      <x v="44"/>
    </i>
    <i r="2">
      <x v="49"/>
    </i>
    <i r="2">
      <x v="181"/>
    </i>
    <i r="2">
      <x v="86"/>
    </i>
    <i r="2">
      <x v="61"/>
    </i>
    <i r="1">
      <x v="45"/>
    </i>
    <i r="2">
      <x v="61"/>
    </i>
    <i r="1">
      <x v="50"/>
    </i>
    <i r="2">
      <x v="65"/>
    </i>
    <i r="2">
      <x v="97"/>
    </i>
    <i r="1">
      <x v="53"/>
    </i>
    <i r="2">
      <x v="52"/>
    </i>
    <i r="2">
      <x v="124"/>
    </i>
    <i r="1">
      <x v="60"/>
    </i>
    <i r="2">
      <x v="159"/>
    </i>
    <i r="1">
      <x v="61"/>
    </i>
    <i r="2">
      <x v="159"/>
    </i>
    <i r="1">
      <x v="62"/>
    </i>
    <i r="2">
      <x v="159"/>
    </i>
    <i r="2">
      <x v="121"/>
    </i>
    <i r="2">
      <x v="52"/>
    </i>
    <i r="2">
      <x v="97"/>
    </i>
    <i r="1">
      <x v="64"/>
    </i>
    <i r="2">
      <x v="52"/>
    </i>
    <i r="2">
      <x v="115"/>
    </i>
    <i r="2">
      <x v="127"/>
    </i>
    <i r="2">
      <x v="178"/>
    </i>
    <i r="2">
      <x v="97"/>
    </i>
    <i r="1">
      <x v="74"/>
    </i>
    <i r="2">
      <x v="65"/>
    </i>
    <i>
      <x/>
    </i>
    <i r="1">
      <x v="29"/>
    </i>
    <i r="2">
      <x v="30"/>
    </i>
    <i r="1">
      <x v="37"/>
    </i>
    <i r="2">
      <x v="30"/>
    </i>
    <i r="1">
      <x v="38"/>
    </i>
    <i r="2">
      <x v="30"/>
    </i>
    <i r="1">
      <x v="39"/>
    </i>
    <i r="2">
      <x v="30"/>
    </i>
    <i r="1">
      <x v="40"/>
    </i>
    <i r="2">
      <x v="30"/>
    </i>
    <i r="1">
      <x v="41"/>
    </i>
    <i r="2">
      <x v="30"/>
    </i>
    <i r="1">
      <x v="42"/>
    </i>
    <i r="2">
      <x v="30"/>
    </i>
    <i r="1">
      <x v="43"/>
    </i>
    <i r="2">
      <x v="30"/>
    </i>
    <i r="1">
      <x v="55"/>
    </i>
    <i r="2">
      <x v="155"/>
    </i>
    <i r="1">
      <x v="56"/>
    </i>
    <i r="2">
      <x v="155"/>
    </i>
    <i r="1">
      <x v="57"/>
    </i>
    <i r="2">
      <x v="155"/>
    </i>
    <i r="1">
      <x v="82"/>
    </i>
    <i r="2">
      <x v="30"/>
    </i>
    <i r="1">
      <x v="83"/>
    </i>
    <i r="2">
      <x v="30"/>
    </i>
    <i r="1">
      <x v="84"/>
    </i>
    <i r="2">
      <x v="30"/>
    </i>
    <i r="1">
      <x v="87"/>
    </i>
    <i r="2">
      <x v="30"/>
    </i>
    <i r="1">
      <x v="88"/>
    </i>
    <i r="2">
      <x v="30"/>
    </i>
    <i r="1">
      <x v="89"/>
    </i>
    <i r="2">
      <x v="30"/>
    </i>
    <i r="1">
      <x v="90"/>
    </i>
    <i r="2">
      <x v="30"/>
    </i>
    <i r="1">
      <x v="102"/>
    </i>
    <i r="2">
      <x v="30"/>
    </i>
    <i r="1">
      <x v="103"/>
    </i>
    <i r="2">
      <x v="30"/>
    </i>
    <i>
      <x v="13"/>
    </i>
    <i r="1">
      <x v="52"/>
    </i>
    <i r="2">
      <x v="6"/>
    </i>
    <i r="1">
      <x v="70"/>
    </i>
    <i r="2">
      <x v="116"/>
    </i>
    <i r="2">
      <x v="64"/>
    </i>
    <i>
      <x v="6"/>
    </i>
    <i r="1">
      <x v="113"/>
    </i>
    <i r="2">
      <x v="189"/>
    </i>
    <i r="2">
      <x v="80"/>
    </i>
    <i r="2">
      <x v="4"/>
    </i>
    <i r="2">
      <x v="37"/>
    </i>
    <i>
      <x v="4"/>
    </i>
    <i r="1">
      <x v="110"/>
    </i>
    <i r="2">
      <x v="4"/>
    </i>
    <i>
      <x v="2"/>
    </i>
    <i r="1">
      <x v="118"/>
    </i>
    <i r="2">
      <x v="150"/>
    </i>
    <i>
      <x v="5"/>
    </i>
    <i r="1">
      <x v="112"/>
    </i>
    <i r="2">
      <x v="149"/>
    </i>
    <i r="2">
      <x v="69"/>
    </i>
    <i>
      <x v="9"/>
    </i>
    <i r="1">
      <x v="116"/>
    </i>
    <i r="2">
      <x v="4"/>
    </i>
    <i>
      <x v="7"/>
    </i>
    <i r="1">
      <x v="114"/>
    </i>
    <i r="2">
      <x v="164"/>
    </i>
    <i r="2">
      <x v="142"/>
    </i>
    <i r="2">
      <x v="130"/>
    </i>
    <i r="2">
      <x v="26"/>
    </i>
    <i r="2">
      <x v="149"/>
    </i>
    <i r="2">
      <x v="28"/>
    </i>
    <i r="2">
      <x v="191"/>
    </i>
    <i r="2">
      <x v="37"/>
    </i>
    <i r="2">
      <x v="134"/>
    </i>
    <i r="2">
      <x v="56"/>
    </i>
    <i r="2">
      <x v="146"/>
    </i>
    <i r="2">
      <x v="58"/>
    </i>
    <i r="2">
      <x v="159"/>
    </i>
    <i r="2">
      <x v="63"/>
    </i>
    <i r="2">
      <x v="183"/>
    </i>
    <i r="2">
      <x v="71"/>
    </i>
    <i r="2">
      <x v="198"/>
    </i>
    <i r="2">
      <x v="72"/>
    </i>
    <i r="2">
      <x v="132"/>
    </i>
    <i r="2">
      <x v="80"/>
    </i>
    <i r="2">
      <x v="137"/>
    </i>
    <i r="2">
      <x v="81"/>
    </i>
    <i r="2">
      <x v="144"/>
    </i>
    <i r="2">
      <x v="83"/>
    </i>
    <i r="2">
      <x v="148"/>
    </i>
    <i r="2">
      <x v="91"/>
    </i>
    <i r="2">
      <x v="158"/>
    </i>
    <i r="2">
      <x v="99"/>
    </i>
    <i r="2">
      <x v="163"/>
    </i>
    <i r="2">
      <x v="100"/>
    </i>
    <i r="2">
      <x v="166"/>
    </i>
    <i r="2">
      <x v="103"/>
    </i>
    <i r="2">
      <x v="189"/>
    </i>
    <i r="2">
      <x v="106"/>
    </i>
    <i r="2">
      <x v="197"/>
    </i>
    <i r="2">
      <x v="107"/>
    </i>
    <i r="2">
      <x v="4"/>
    </i>
    <i r="2">
      <x v="114"/>
    </i>
    <i>
      <x v="8"/>
    </i>
    <i r="1">
      <x v="115"/>
    </i>
    <i r="2">
      <x v="4"/>
    </i>
    <i r="2">
      <x v="159"/>
    </i>
    <i r="2">
      <x v="37"/>
    </i>
    <i t="grand">
      <x/>
    </i>
  </rowItems>
  <colFields count="2">
    <field x="-2"/>
    <field x="0"/>
  </colFields>
  <colItems count="12">
    <i>
      <x/>
      <x/>
    </i>
    <i r="1">
      <x v="1"/>
    </i>
    <i i="1">
      <x v="1"/>
      <x/>
    </i>
    <i r="1" i="1">
      <x v="1"/>
    </i>
    <i i="2">
      <x v="2"/>
      <x/>
    </i>
    <i r="1" i="2">
      <x v="1"/>
    </i>
    <i i="3">
      <x v="3"/>
      <x/>
    </i>
    <i r="1" i="3">
      <x v="1"/>
    </i>
    <i t="grand">
      <x/>
    </i>
    <i t="grand" i="1">
      <x/>
    </i>
    <i t="grand" i="2">
      <x/>
    </i>
    <i t="grand" i="3">
      <x/>
    </i>
  </colItems>
  <pageFields count="1">
    <pageField fld="12" hier="-1"/>
  </pageFields>
  <dataFields count="4">
    <dataField name="Sum of SL" fld="13" baseField="0" baseItem="0" numFmtId="3"/>
    <dataField name="Sum of Doanh thu EXW (USD)" fld="30" baseField="0" baseItem="0" numFmtId="3"/>
    <dataField name="Sum of Doanh thu EXW (VND)" fld="18" baseField="0" baseItem="0" numFmtId="3"/>
    <dataField name="Sum of Price EXW (USD/ton)" fld="34" baseField="0" baseItem="0" numFmtId="3"/>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EFAFA48-6D89-4E2E-87CC-2C4754EA9A3A}" name="KH_26_OPT4_KTQT_v4" displayName="KH_26_OPT4_KTQT_v4" ref="A5:ED184" totalsRowShown="0" headerRowDxfId="296">
  <autoFilter ref="A5:ED184" xr:uid="{24697A15-55A1-4CCB-B993-08F5B99CBE98}">
    <filterColumn colId="5">
      <filters>
        <filter val="Plascene, Inc."/>
      </filters>
    </filterColumn>
  </autoFilter>
  <tableColumns count="134">
    <tableColumn id="1" xr3:uid="{07771975-2DE4-4461-AC68-BEAB1B993D31}" name="STT" dataDxfId="295"/>
    <tableColumn id="109" xr3:uid="{63BBB700-7218-4E0C-BCAC-06B3A368B17E}" name="Salesman" dataDxfId="294"/>
    <tableColumn id="110" xr3:uid="{4F4B20B2-C902-42CB-A977-6738D3F4052C}" name="SalesManager" dataDxfId="293">
      <calculatedColumnFormula>IFERROR(_xlfn.XLOOKUP(KH_26_OPT4_KTQT_v4[[#This Row],[Salesman]],MD_Salesman[Salesman],MD_Salesman[SalesManager]),"")</calculatedColumnFormula>
    </tableColumn>
    <tableColumn id="2" xr3:uid="{873CCA60-6D30-4CDF-BBF0-DF36744BE113}" name="Mã khách" dataDxfId="292">
      <calculatedColumnFormula>IFERROR(INDEX(MD_Customer[Mã khách],MATCH(KH_26_OPT4_KTQT_v4[[#This Row],[Tên khách]],MD_Customer[Tên khách-rút gọn],0)),"")</calculatedColumnFormula>
    </tableColumn>
    <tableColumn id="115" xr3:uid="{AED33C45-71DF-4380-A2AD-F5CAD7F9A78C}" name="Parent Account" dataDxfId="291">
      <calculatedColumnFormula>IFERROR(INDEX(MD_Customer[Parent Account],MATCH(KH_26_OPT4_KTQT_v4[[#This Row],[Tên khách]],MD_Customer[Tên khách-rút gọn],0)),"")</calculatedColumnFormula>
    </tableColumn>
    <tableColumn id="3" xr3:uid="{0F1D4167-A523-402A-A99F-C0435942CA7B}" name="Tên khách" dataDxfId="290"/>
    <tableColumn id="4" xr3:uid="{11A26EAE-70D9-49F1-85A6-7217016893D9}" name="Phân loại khách" dataDxfId="289">
      <calculatedColumnFormula>IFERROR(INDEX(MD_Customer[Phân loại],MATCH(KH_26_OPT4_KTQT_v4[[#This Row],[Tên khách]],MD_Customer[Tên khách-rút gọn],0)),"")</calculatedColumnFormula>
    </tableColumn>
    <tableColumn id="5" xr3:uid="{17929143-0C56-41C0-B0EB-F762DBA0775F}" name="Kênh bán hàng" dataDxfId="288">
      <calculatedColumnFormula>IFERROR(INDEX(MD_Customer[Kênh bán hàng],MATCH(KH_26_OPT4_KTQT_v4[[#This Row],[Tên khách]],MD_Customer[Tên khách-rút gọn],0)),"")</calculatedColumnFormula>
    </tableColumn>
    <tableColumn id="6" xr3:uid="{8B100012-5B54-4686-BAC6-142334CD9B59}" name="Địa điểm đến" dataDxfId="287"/>
    <tableColumn id="59" xr3:uid="{ED78F2CD-231F-499E-BE0C-6AA83E0EAFAE}" name="Nước đến" dataDxfId="286">
      <calculatedColumnFormula>IFERROR(INDEX(MD_Destination[Nước],MATCH(KH_26_OPT4_KTQT_v4[[#This Row],[Địa điểm đến]],MD_Destination[Địa điểm đến],0)),"")</calculatedColumnFormula>
    </tableColumn>
    <tableColumn id="113" xr3:uid="{A1FB0EC4-E8F1-4E99-B3FB-7A8847BE84A1}" name="Khu vực" dataDxfId="285">
      <calculatedColumnFormula>IFERROR(INDEX(MD_Destination[Khu vực],MATCH(KH_26_OPT4_KTQT_v4[[#This Row],[Địa điểm đến]],MD_Destination[Địa điểm đến],0)),"")</calculatedColumnFormula>
    </tableColumn>
    <tableColumn id="7" xr3:uid="{8AAB6141-21F3-483E-A2FB-4E025B63E45F}" name="Incoterm" dataDxfId="284"/>
    <tableColumn id="8" xr3:uid="{500AA222-27B3-4FD4-A71B-DFDE1BD94EA4}" name="Mã sản phẩm" dataDxfId="283">
      <calculatedColumnFormula>IFERROR(INDEX(MD_SKU[Mã SKU],MATCH(KH_26_OPT4_KTQT_v4[[#This Row],[Tên sản phẩm]],MD_SKU[Tên SKU-rút gọn],0)),"")</calculatedColumnFormula>
    </tableColumn>
    <tableColumn id="9" xr3:uid="{A97B5F8F-C755-4A44-B7B0-DA6766455843}" name="Tên sản phẩm" dataDxfId="282"/>
    <tableColumn id="65" xr3:uid="{675B455D-D3C2-465E-8A62-3EFA4FE52EFF}" name="Ngành hàng" dataDxfId="281">
      <calculatedColumnFormula>IFERROR(INDEX(MD_SKU[Ngành hàng],MATCH(KH_26_OPT4_KTQT_v4[[#This Row],[Tên sản phẩm]],MD_SKU[Tên SKU-rút gọn],0)),"")</calculatedColumnFormula>
    </tableColumn>
    <tableColumn id="10" xr3:uid="{C255EA53-F2F3-404B-97CD-286A8BB25565}" name="Nhóm sản phẩm" dataDxfId="280">
      <calculatedColumnFormula>IFERROR(INDEX(MD_SKU[Nhóm ngành],MATCH(KH_26_OPT4_KTQT_v4[[#This Row],[Tên sản phẩm]],MD_SKU[Tên SKU-rút gọn],0)),"")</calculatedColumnFormula>
    </tableColumn>
    <tableColumn id="114" xr3:uid="{F1F504BC-9F40-42DC-B4D3-F9A835F6BF95}" name="IV/IM" dataDxfId="279">
      <calculatedColumnFormula>IFERROR(
   IF(INDEX(MD_SKU[IV/IM],MATCH(KH_26_OPT4_KTQT_v4[[#This Row],[Tên sản phẩm]],MD_SKU[Tên SKU-rút gọn],0))=0,
      "",
      INDEX(MD_SKU[IV/IM],MATCH(KH_26_OPT4_KTQT_v4[[#This Row],[Tên sản phẩm]],MD_SKU[Tên SKU-rút gọn],0))
   ),
"")</calculatedColumnFormula>
    </tableColumn>
    <tableColumn id="112" xr3:uid="{7373F4E1-C94F-4B75-860F-E66449508CA4}" name="Application" dataDxfId="278">
      <calculatedColumnFormula>IFERROR(INDEX(MD_SKU[Application],MATCH(KH_26_OPT4_KTQT_v4[[#This Row],[Tên sản phẩm]],MD_SKU[Tên SKU-rút gọn],0)),"")</calculatedColumnFormula>
    </tableColumn>
    <tableColumn id="60" xr3:uid="{EF3799EB-DF4F-49F4-80F1-6A70ACD5C873}" name="Phân loại sản phẩm" dataDxfId="277">
      <calculatedColumnFormula>IFERROR(INDEX(MD_SKU[Phân loại],MATCH(KH_26_OPT4_KTQT_v4[[#This Row],[Tên sản phẩm]],MD_SKU[Tên SKU-rút gọn],0)),"")</calculatedColumnFormula>
    </tableColumn>
    <tableColumn id="133" xr3:uid="{A53711C0-A632-488C-ABCA-83B42B036542}" name="Price_Sheme" dataDxfId="276"/>
    <tableColumn id="134" xr3:uid="{C698FC77-84E8-4F7C-A902-7B224C73E885}" name="Lấy" dataDxfId="275"/>
    <tableColumn id="111" xr3:uid="{1EE3559B-F18A-4728-ABE1-C7B011E2439B}" name="Mức độ khả thi" dataDxfId="274"/>
    <tableColumn id="11" xr3:uid="{9EBB23E7-C12C-4C56-B07C-CA2D6975BA00}" name="SL-01" dataDxfId="273"/>
    <tableColumn id="12" xr3:uid="{8111275C-DB61-46C2-859F-0482A670B38E}" name="SL-02" dataDxfId="272"/>
    <tableColumn id="13" xr3:uid="{3C45B736-8936-4A6C-BA3C-90F33DA82D22}" name="SL-03" dataDxfId="271"/>
    <tableColumn id="14" xr3:uid="{F6FE9A40-E849-4996-A7DA-B7F89CEC5CA2}" name="SL-04" dataDxfId="270"/>
    <tableColumn id="15" xr3:uid="{C5B49917-9BAE-4B15-8A88-019FD67F9466}" name="SL-05" dataDxfId="269"/>
    <tableColumn id="16" xr3:uid="{3D7FA4E4-1F74-46F0-8CBA-8ED8E84D5B91}" name="SL-06" dataDxfId="268"/>
    <tableColumn id="17" xr3:uid="{3F7BCDF3-5242-4A3D-AEC9-11E7BD13DD23}" name="SL-07" dataDxfId="267"/>
    <tableColumn id="18" xr3:uid="{450D767E-164C-44F2-9822-A23BFC8CD745}" name="SL-08" dataDxfId="266"/>
    <tableColumn id="19" xr3:uid="{26905CC7-77EE-40FB-B6BC-692C2D1A6B77}" name="SL-09" dataDxfId="265"/>
    <tableColumn id="20" xr3:uid="{0A294C80-6743-4FA0-867C-0CF25F60A477}" name="SL-10" dataDxfId="264"/>
    <tableColumn id="21" xr3:uid="{6DE4CB9E-B13A-49AC-9BA0-744F877051E4}" name="SL-11" dataDxfId="263"/>
    <tableColumn id="22" xr3:uid="{98E2828E-8D47-4EBE-812C-D2E90DF31829}" name="SL-12" dataDxfId="262"/>
    <tableColumn id="23" xr3:uid="{D4472E99-B9F2-46BC-85A2-1C40B90AAFF3}" name="SL-KH26" dataDxfId="261">
      <calculatedColumnFormula>SUM(KH_26_OPT4_KTQT_v4[[#This Row],[SL-01]:[SL-12]])</calculatedColumnFormula>
    </tableColumn>
    <tableColumn id="24" xr3:uid="{8096EAA6-5AD3-4AF4-BC86-1A6A666D64AF}" name="SL-DB25" dataDxfId="260">
      <calculatedColumnFormula>SUMIFS(DB_25[SL-DB25],DB_25[Mã khách],KH_26_OPT4_KTQT_v4[[#This Row],[Mã khách]],DB_25[Mã sản phẩm],KH_26_OPT4_KTQT_v4[[#This Row],[Mã sản phẩm]])</calculatedColumnFormula>
    </tableColumn>
    <tableColumn id="25" xr3:uid="{24424FB5-47F2-4EA4-93F5-69383D3C4F0A}" name="SL-+/-" dataDxfId="259">
      <calculatedColumnFormula>KH_26_OPT4_KTQT_v4[[#This Row],[SL-KH26]]-KH_26_OPT4_KTQT_v4[[#This Row],[SL-DB25]]</calculatedColumnFormula>
    </tableColumn>
    <tableColumn id="26" xr3:uid="{577EA056-5F8E-43B7-BF17-EDA952B88D3B}" name="SL-%+/-" dataDxfId="258">
      <calculatedColumnFormula>IFERROR(KH_26_OPT4_KTQT_v4[[#This Row],[SL-+/-]]/KH_26_OPT4_KTQT_v4[[#This Row],[SL-DB25]],0)</calculatedColumnFormula>
    </tableColumn>
    <tableColumn id="27" xr3:uid="{27D0A465-E13F-41D1-B140-6C7B8491F8EE}" name="GB-01" dataDxfId="257"/>
    <tableColumn id="28" xr3:uid="{D0A6FC56-219B-45AD-9BD1-B130106E2DB1}" name="GB-02" dataDxfId="256"/>
    <tableColumn id="29" xr3:uid="{A80A24E9-A5EE-43CA-8A0F-77F7D1A1E669}" name="GB-03" dataDxfId="255"/>
    <tableColumn id="30" xr3:uid="{437144FC-8D45-4CA3-9332-A1EDB58ED62B}" name="GB-04" dataDxfId="254"/>
    <tableColumn id="31" xr3:uid="{8CADC880-6DAD-4CD1-99C6-751C1FAB8D31}" name="GB-05" dataDxfId="253"/>
    <tableColumn id="32" xr3:uid="{1CF683E2-43B6-4DBD-9A0C-62BE61AF6960}" name="GB-06" dataDxfId="252"/>
    <tableColumn id="33" xr3:uid="{5E94B6CF-1B1C-429E-89D7-0B884FDCA7B4}" name="GB-07" dataDxfId="251"/>
    <tableColumn id="34" xr3:uid="{9C93786A-942C-4A0E-B8EA-EB1132447A33}" name="GB-08" dataDxfId="250"/>
    <tableColumn id="35" xr3:uid="{E4549554-105D-47DF-B0B8-EDBBB85B1753}" name="GB-09" dataDxfId="249"/>
    <tableColumn id="36" xr3:uid="{04AF47E9-623E-4EE9-9873-2FE2D741F654}" name="GB-10" dataDxfId="248"/>
    <tableColumn id="37" xr3:uid="{074B0D12-C2A3-449F-9A20-003D71517BCC}" name="GB-11" dataDxfId="247"/>
    <tableColumn id="38" xr3:uid="{13AE9C87-A64E-4B32-BA22-072FB547BC1A}" name="GB-12" dataDxfId="246"/>
    <tableColumn id="39" xr3:uid="{EDB11062-27FA-4419-A146-2CFB7503B4B5}" name="GB-DB25" dataDxfId="245"/>
    <tableColumn id="40" xr3:uid="{6D1083FC-0B72-4401-89CD-2CAA978245EE}" name="GB-KH25" dataDxfId="244"/>
    <tableColumn id="41" xr3:uid="{B3135DCF-108B-41E6-9B0F-38F9C3802915}" name="GB-+/-" dataDxfId="243">
      <calculatedColumnFormula>KH_26_OPT4_KTQT_v4[[#This Row],[GB-DB25]]-KH_26_OPT4_KTQT_v4[[#This Row],[GB-KH25]]</calculatedColumnFormula>
    </tableColumn>
    <tableColumn id="42" xr3:uid="{00721633-77EA-4E3C-8756-1BA08C2568ED}" name="GB-%+/-" dataDxfId="242">
      <calculatedColumnFormula>IFERROR(KH_26_OPT4_KTQT_v4[[#This Row],[GB-+/-]]/KH_26_OPT4_KTQT_v4[[#This Row],[GB-KH25]],0)</calculatedColumnFormula>
    </tableColumn>
    <tableColumn id="116" xr3:uid="{DA2E643E-78D8-4C8D-89A3-581EB824BDB6}" name="Ghi chú" dataDxfId="241"/>
    <tableColumn id="43" xr3:uid="{53436D09-FDB0-4F2C-8D8E-8178B8E33391}" name="DT-EXW-01" dataDxfId="240">
      <calculatedColumnFormula>KH_26_OPT4_KTQT_v4[[#This Row],[SL-01]]*KH_26_OPT4_KTQT_v4[[#This Row],[GB-01]]*EXR</calculatedColumnFormula>
    </tableColumn>
    <tableColumn id="44" xr3:uid="{047EA41C-05FB-40BF-844F-34CBF4E6915D}" name="DT-EXW-02" dataDxfId="239">
      <calculatedColumnFormula>KH_26_OPT4_KTQT_v4[[#This Row],[SL-02]]*KH_26_OPT4_KTQT_v4[[#This Row],[GB-02]]*EXR</calculatedColumnFormula>
    </tableColumn>
    <tableColumn id="45" xr3:uid="{79EABDC6-D7F5-49D7-AF4A-961303886E84}" name="DT-EXW-03" dataDxfId="238">
      <calculatedColumnFormula>KH_26_OPT4_KTQT_v4[[#This Row],[SL-03]]*KH_26_OPT4_KTQT_v4[[#This Row],[GB-03]]*EXR</calculatedColumnFormula>
    </tableColumn>
    <tableColumn id="46" xr3:uid="{5CDA4F38-E434-47F0-93AB-65FBC93E9A59}" name="DT-EXW-04" dataDxfId="237">
      <calculatedColumnFormula>KH_26_OPT4_KTQT_v4[[#This Row],[SL-04]]*KH_26_OPT4_KTQT_v4[[#This Row],[GB-04]]*EXR</calculatedColumnFormula>
    </tableColumn>
    <tableColumn id="47" xr3:uid="{DECCF9F4-1B6B-4F9B-9E3F-F14FFCC10C9A}" name="DT-EXW-05" dataDxfId="236">
      <calculatedColumnFormula>KH_26_OPT4_KTQT_v4[[#This Row],[SL-05]]*KH_26_OPT4_KTQT_v4[[#This Row],[GB-05]]*EXR</calculatedColumnFormula>
    </tableColumn>
    <tableColumn id="48" xr3:uid="{A7553C26-16D5-4125-963A-49A40835577E}" name="DT-EXW-06" dataDxfId="235">
      <calculatedColumnFormula>KH_26_OPT4_KTQT_v4[[#This Row],[SL-06]]*KH_26_OPT4_KTQT_v4[[#This Row],[GB-06]]*EXR</calculatedColumnFormula>
    </tableColumn>
    <tableColumn id="49" xr3:uid="{E2EF8B15-E5A5-4040-8C20-82CEBBCD16B6}" name="DT-EXW-07" dataDxfId="234">
      <calculatedColumnFormula>KH_26_OPT4_KTQT_v4[[#This Row],[SL-07]]*KH_26_OPT4_KTQT_v4[[#This Row],[GB-07]]*EXR</calculatedColumnFormula>
    </tableColumn>
    <tableColumn id="50" xr3:uid="{3EE973A1-3C4C-4A37-A8F6-E5A6FC72BBED}" name="DT-EXW-08" dataDxfId="233">
      <calculatedColumnFormula>KH_26_OPT4_KTQT_v4[[#This Row],[SL-08]]*KH_26_OPT4_KTQT_v4[[#This Row],[GB-08]]*EXR</calculatedColumnFormula>
    </tableColumn>
    <tableColumn id="51" xr3:uid="{411DD4CA-9504-4E22-81B9-02D0859E1B1C}" name="DT-EXW-09" dataDxfId="232">
      <calculatedColumnFormula>KH_26_OPT4_KTQT_v4[[#This Row],[SL-09]]*KH_26_OPT4_KTQT_v4[[#This Row],[GB-09]]*EXR</calculatedColumnFormula>
    </tableColumn>
    <tableColumn id="52" xr3:uid="{315EDA70-3E5D-46FB-9455-632CA797E8BB}" name="DT-EXW-10" dataDxfId="231">
      <calculatedColumnFormula>KH_26_OPT4_KTQT_v4[[#This Row],[SL-10]]*KH_26_OPT4_KTQT_v4[[#This Row],[GB-10]]*EXR</calculatedColumnFormula>
    </tableColumn>
    <tableColumn id="53" xr3:uid="{D92B8098-1EB2-47A7-A34E-BA433E0D1964}" name="DT-EXW-11" dataDxfId="230">
      <calculatedColumnFormula>KH_26_OPT4_KTQT_v4[[#This Row],[SL-11]]*KH_26_OPT4_KTQT_v4[[#This Row],[GB-11]]*EXR</calculatedColumnFormula>
    </tableColumn>
    <tableColumn id="54" xr3:uid="{A99153B4-FC67-415F-84B0-68F30D0DABC0}" name="DT-EXW-12" dataDxfId="229">
      <calculatedColumnFormula>KH_26_OPT4_KTQT_v4[[#This Row],[SL-12]]*KH_26_OPT4_KTQT_v4[[#This Row],[GB-12]]*EXR</calculatedColumnFormula>
    </tableColumn>
    <tableColumn id="55" xr3:uid="{156A3DD6-3ABA-4619-B5BF-5B300175B789}" name="DT-EXW-KH26" dataDxfId="228">
      <calculatedColumnFormula>SUM(KH_26_OPT4_KTQT_v4[[#This Row],[DT-EXW-01]:[DT-EXW-12]])</calculatedColumnFormula>
    </tableColumn>
    <tableColumn id="56" xr3:uid="{97EA3D5E-8374-4E0B-A4FD-57418A2975B4}" name="DT-EXW-DB25" dataDxfId="227">
      <calculatedColumnFormula>SUMIFS(DB_25[DT-DB25],DB_25[Mã khách],KH_26_OPT4_KTQT_v4[[#This Row],[Mã khách]],DB_25[Mã sản phẩm],KH_26_OPT4_KTQT_v4[[#This Row],[Mã sản phẩm]])</calculatedColumnFormula>
    </tableColumn>
    <tableColumn id="57" xr3:uid="{B440BBAA-90C5-49FD-B5F3-097C0D59BAE2}" name="DT-EXW-+/-" dataDxfId="226">
      <calculatedColumnFormula>KH_26_OPT4_KTQT_v4[[#This Row],[DT-EXW-KH26]]-KH_26_OPT4_KTQT_v4[[#This Row],[DT-EXW-DB25]]</calculatedColumnFormula>
    </tableColumn>
    <tableColumn id="58" xr3:uid="{DBEA8B00-D1E6-4A53-81A9-D85BA4878467}" name="DT-EXW-%+/-" dataDxfId="225">
      <calculatedColumnFormula>IFERROR(KH_26_OPT4_KTQT_v4[[#This Row],[DT-EXW-+/-]]/KH_26_OPT4_KTQT_v4[[#This Row],[DT-EXW-DB25]],0)</calculatedColumnFormula>
    </tableColumn>
    <tableColumn id="132" xr3:uid="{B68FCBA0-5CF6-48C1-A158-FBD921220491}" name="CPHH-%-SL" dataDxfId="224" dataCellStyle="Comma"/>
    <tableColumn id="92" xr3:uid="{98C47FD4-9D66-49D3-9524-1A3C14A3FA37}" name="%HH" dataDxfId="223"/>
    <tableColumn id="131" xr3:uid="{EF41B8D9-78CF-43BE-8C03-52A5A397A81E}" name="HH-SL" dataDxfId="222" dataCellStyle="Comma"/>
    <tableColumn id="79" xr3:uid="{13C73674-5BFA-43D0-8701-002CC62487CF}" name="CPHH-01" dataDxfId="221">
      <calculatedColumnFormula>IF(KH_26_OPT4_KTQT_v4[[#This Row],[CPHH-%-SL]]="Dthu",KH_26_OPT4_KTQT_v4[[#This Row],[%HH]]*KH_26_OPT4_KTQT_v4[[#This Row],[DT-EXW-01]],KH_26_OPT4_KTQT_v4[[#This Row],[HH-SL]]*KH_26_OPT4_KTQT_v4[[#This Row],[SL-01]])</calculatedColumnFormula>
    </tableColumn>
    <tableColumn id="80" xr3:uid="{4D466D39-C445-48C5-A4CB-E87483128D25}" name="CPHH-02" dataDxfId="220">
      <calculatedColumnFormula>IF(KH_26_OPT4_KTQT_v4[[#This Row],[CPHH-%-SL]]="Dthu",KH_26_OPT4_KTQT_v4[[#This Row],[%HH]]*KH_26_OPT4_KTQT_v4[[#This Row],[DT-EXW-02]],KH_26_OPT4_KTQT_v4[[#This Row],[HH-SL]]*KH_26_OPT4_KTQT_v4[[#This Row],[SL-02]])</calculatedColumnFormula>
    </tableColumn>
    <tableColumn id="81" xr3:uid="{7A41FA25-0E8F-4B95-BDA8-0F29EE18AE71}" name="CPHH-03" dataDxfId="219">
      <calculatedColumnFormula>IF(KH_26_OPT4_KTQT_v4[[#This Row],[CPHH-%-SL]]="Dthu",KH_26_OPT4_KTQT_v4[[#This Row],[%HH]]*KH_26_OPT4_KTQT_v4[[#This Row],[DT-EXW-03]],KH_26_OPT4_KTQT_v4[[#This Row],[HH-SL]]*KH_26_OPT4_KTQT_v4[[#This Row],[SL-03]])</calculatedColumnFormula>
    </tableColumn>
    <tableColumn id="82" xr3:uid="{6AF43E2B-8E96-4C19-B4A7-A1938FBD3B0C}" name="CPHH-04" dataDxfId="218">
      <calculatedColumnFormula>IF(KH_26_OPT4_KTQT_v4[[#This Row],[CPHH-%-SL]]="Dthu",KH_26_OPT4_KTQT_v4[[#This Row],[%HH]]*KH_26_OPT4_KTQT_v4[[#This Row],[DT-EXW-04]],KH_26_OPT4_KTQT_v4[[#This Row],[HH-SL]]*KH_26_OPT4_KTQT_v4[[#This Row],[SL-04]])</calculatedColumnFormula>
    </tableColumn>
    <tableColumn id="83" xr3:uid="{3580242E-3F65-49C7-9239-721C6E1C226C}" name="CPHH-05" dataDxfId="217">
      <calculatedColumnFormula>IF(KH_26_OPT4_KTQT_v4[[#This Row],[CPHH-%-SL]]="Dthu",KH_26_OPT4_KTQT_v4[[#This Row],[%HH]]*KH_26_OPT4_KTQT_v4[[#This Row],[DT-EXW-05]],KH_26_OPT4_KTQT_v4[[#This Row],[HH-SL]]*KH_26_OPT4_KTQT_v4[[#This Row],[SL-05]])</calculatedColumnFormula>
    </tableColumn>
    <tableColumn id="84" xr3:uid="{991AD3B7-95B6-4CB4-8D75-001DF1309540}" name="CPHH-06" dataDxfId="216">
      <calculatedColumnFormula>IF(KH_26_OPT4_KTQT_v4[[#This Row],[CPHH-%-SL]]="Dthu",KH_26_OPT4_KTQT_v4[[#This Row],[%HH]]*KH_26_OPT4_KTQT_v4[[#This Row],[DT-EXW-06]],KH_26_OPT4_KTQT_v4[[#This Row],[HH-SL]]*KH_26_OPT4_KTQT_v4[[#This Row],[SL-06]])</calculatedColumnFormula>
    </tableColumn>
    <tableColumn id="85" xr3:uid="{870CB9F1-CD9F-4DAA-BB07-BB10D7C7C698}" name="CPHH-07" dataDxfId="215">
      <calculatedColumnFormula>IF(KH_26_OPT4_KTQT_v4[[#This Row],[CPHH-%-SL]]="Dthu",KH_26_OPT4_KTQT_v4[[#This Row],[%HH]]*KH_26_OPT4_KTQT_v4[[#This Row],[DT-EXW-07]],KH_26_OPT4_KTQT_v4[[#This Row],[HH-SL]]*KH_26_OPT4_KTQT_v4[[#This Row],[SL-07]])</calculatedColumnFormula>
    </tableColumn>
    <tableColumn id="86" xr3:uid="{FA45512A-2C46-45AD-AEBF-E1E64D7122F1}" name="CPHH-08" dataDxfId="214">
      <calculatedColumnFormula>IF(KH_26_OPT4_KTQT_v4[[#This Row],[CPHH-%-SL]]="Dthu",KH_26_OPT4_KTQT_v4[[#This Row],[%HH]]*KH_26_OPT4_KTQT_v4[[#This Row],[DT-EXW-08]],KH_26_OPT4_KTQT_v4[[#This Row],[HH-SL]]*KH_26_OPT4_KTQT_v4[[#This Row],[SL-08]])</calculatedColumnFormula>
    </tableColumn>
    <tableColumn id="87" xr3:uid="{137BD69D-6F75-4E5B-8958-D1B0A6C65285}" name="CPHH-09" dataDxfId="213">
      <calculatedColumnFormula>IF(KH_26_OPT4_KTQT_v4[[#This Row],[CPHH-%-SL]]="Dthu",KH_26_OPT4_KTQT_v4[[#This Row],[%HH]]*KH_26_OPT4_KTQT_v4[[#This Row],[DT-EXW-09]],KH_26_OPT4_KTQT_v4[[#This Row],[HH-SL]]*KH_26_OPT4_KTQT_v4[[#This Row],[SL-09]])</calculatedColumnFormula>
    </tableColumn>
    <tableColumn id="88" xr3:uid="{682737F1-1D64-4554-8125-39C3ACB06A47}" name="CPHH-10" dataDxfId="212">
      <calculatedColumnFormula>IF(KH_26_OPT4_KTQT_v4[[#This Row],[CPHH-%-SL]]="Dthu",KH_26_OPT4_KTQT_v4[[#This Row],[%HH]]*KH_26_OPT4_KTQT_v4[[#This Row],[DT-EXW-10]],KH_26_OPT4_KTQT_v4[[#This Row],[HH-SL]]*KH_26_OPT4_KTQT_v4[[#This Row],[SL-10]])</calculatedColumnFormula>
    </tableColumn>
    <tableColumn id="89" xr3:uid="{8D7CC75C-4BE0-4458-BDC5-79ABE5CFD25A}" name="CPHH-11" dataDxfId="211">
      <calculatedColumnFormula>IF(KH_26_OPT4_KTQT_v4[[#This Row],[CPHH-%-SL]]="Dthu",KH_26_OPT4_KTQT_v4[[#This Row],[%HH]]*KH_26_OPT4_KTQT_v4[[#This Row],[DT-EXW-11]],KH_26_OPT4_KTQT_v4[[#This Row],[HH-SL]]*KH_26_OPT4_KTQT_v4[[#This Row],[SL-11]])</calculatedColumnFormula>
    </tableColumn>
    <tableColumn id="90" xr3:uid="{D99E7EC1-8D92-42A0-9878-3AEF84653AF8}" name="CPHH-12" dataDxfId="210">
      <calculatedColumnFormula>IF(KH_26_OPT4_KTQT_v4[[#This Row],[CPHH-%-SL]]="Dthu",KH_26_OPT4_KTQT_v4[[#This Row],[%HH]]*KH_26_OPT4_KTQT_v4[[#This Row],[DT-EXW-12]],KH_26_OPT4_KTQT_v4[[#This Row],[HH-SL]]*KH_26_OPT4_KTQT_v4[[#This Row],[SL-12]])</calculatedColumnFormula>
    </tableColumn>
    <tableColumn id="91" xr3:uid="{3A09A66A-7406-449D-8EAB-5CA167472F55}" name="CPHH-KH26" dataDxfId="209">
      <calculatedColumnFormula>SUM(KH_26_OPT4_KTQT_v4[[#This Row],[CPHH-01]:[CPHH-12]])</calculatedColumnFormula>
    </tableColumn>
    <tableColumn id="61" xr3:uid="{4DC16272-2CC0-4FE0-AF9B-3AC37054E048}" name="ĐGVC-KNĐ" dataDxfId="208">
      <calculatedColumnFormula array="1">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calculatedColumnFormula>
    </tableColumn>
    <tableColumn id="62" xr3:uid="{3E9B184F-D2D8-427E-A701-2D680664AD9A}" name="ĐGVC-KXK" dataDxfId="207">
      <calculatedColumnFormula>SUM(KH_26_OPT4_KTQT_v4[[#This Row],[ĐGVCNĐ-KXK]:[ĐGVCCT-KXK]])</calculatedColumnFormula>
    </tableColumn>
    <tableColumn id="63" xr3:uid="{2E26AA94-6325-4903-B073-50B8014FB25F}" name="ĐGVCNĐ-KXK" dataDxfId="206">
      <calculatedColumnFormula array="1">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calculatedColumnFormula>
    </tableColumn>
    <tableColumn id="64" xr3:uid="{231DBEB6-99B6-4F17-A46B-02544FB6CDA2}" name="ĐGVCCT-KXK" dataDxfId="205">
      <calculatedColumnFormula array="1">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calculatedColumnFormula>
    </tableColumn>
    <tableColumn id="66" xr3:uid="{CD6C38B3-40D0-41C1-B594-BC9A43656C34}" name="CPVC-01" dataDxfId="204">
      <calculatedColumnFormula>(KH_26_OPT4_KTQT_v4[[#This Row],[ĐGVC-KNĐ]]+KH_26_OPT4_KTQT_v4[[#This Row],[ĐGVC-KXK]])*KH_26_OPT4_KTQT_v4[[#This Row],[SL-01]]</calculatedColumnFormula>
    </tableColumn>
    <tableColumn id="67" xr3:uid="{CBCA44DD-0C8C-4563-A5CF-3B1B5CC9FF05}" name="CPVC-02" dataDxfId="203">
      <calculatedColumnFormula>(KH_26_OPT4_KTQT_v4[[#This Row],[ĐGVC-KNĐ]]+KH_26_OPT4_KTQT_v4[[#This Row],[ĐGVC-KXK]])*KH_26_OPT4_KTQT_v4[[#This Row],[SL-02]]</calculatedColumnFormula>
    </tableColumn>
    <tableColumn id="68" xr3:uid="{A19A4C21-A9EC-484E-93A3-A56C46EE1C7F}" name="CPVC-03" dataDxfId="202">
      <calculatedColumnFormula>(KH_26_OPT4_KTQT_v4[[#This Row],[ĐGVC-KNĐ]]+KH_26_OPT4_KTQT_v4[[#This Row],[ĐGVC-KXK]])*KH_26_OPT4_KTQT_v4[[#This Row],[SL-03]]</calculatedColumnFormula>
    </tableColumn>
    <tableColumn id="69" xr3:uid="{499EEE38-84CC-4F25-9898-6CCBF5EE09BB}" name="CPVC-04" dataDxfId="201">
      <calculatedColumnFormula>(KH_26_OPT4_KTQT_v4[[#This Row],[ĐGVC-KNĐ]]+KH_26_OPT4_KTQT_v4[[#This Row],[ĐGVC-KXK]])*KH_26_OPT4_KTQT_v4[[#This Row],[SL-04]]</calculatedColumnFormula>
    </tableColumn>
    <tableColumn id="70" xr3:uid="{3E7175BB-3FBA-4AFC-844A-C10F4946BF2A}" name="CPVC-05" dataDxfId="200">
      <calculatedColumnFormula>(KH_26_OPT4_KTQT_v4[[#This Row],[ĐGVC-KNĐ]]+KH_26_OPT4_KTQT_v4[[#This Row],[ĐGVC-KXK]])*KH_26_OPT4_KTQT_v4[[#This Row],[SL-05]]</calculatedColumnFormula>
    </tableColumn>
    <tableColumn id="71" xr3:uid="{BB5AAB99-9E72-4946-BCE5-82B2B2AA9E49}" name="CPVC-06" dataDxfId="199">
      <calculatedColumnFormula>(KH_26_OPT4_KTQT_v4[[#This Row],[ĐGVC-KNĐ]]+KH_26_OPT4_KTQT_v4[[#This Row],[ĐGVC-KXK]])*KH_26_OPT4_KTQT_v4[[#This Row],[SL-06]]</calculatedColumnFormula>
    </tableColumn>
    <tableColumn id="72" xr3:uid="{B1E754EB-2270-44EB-9CF3-42BC6CBC171C}" name="CPVC-07" dataDxfId="198">
      <calculatedColumnFormula>(KH_26_OPT4_KTQT_v4[[#This Row],[ĐGVC-KNĐ]]+KH_26_OPT4_KTQT_v4[[#This Row],[ĐGVC-KXK]])*KH_26_OPT4_KTQT_v4[[#This Row],[SL-07]]</calculatedColumnFormula>
    </tableColumn>
    <tableColumn id="73" xr3:uid="{EDC03472-CCBF-4888-8F86-5CDE61E42129}" name="CPVC-08" dataDxfId="197">
      <calculatedColumnFormula>(KH_26_OPT4_KTQT_v4[[#This Row],[ĐGVC-KNĐ]]+KH_26_OPT4_KTQT_v4[[#This Row],[ĐGVC-KXK]])*KH_26_OPT4_KTQT_v4[[#This Row],[SL-08]]</calculatedColumnFormula>
    </tableColumn>
    <tableColumn id="74" xr3:uid="{3A5D19CE-869F-42FF-A780-DF150FF43086}" name="CPVC-09" dataDxfId="196">
      <calculatedColumnFormula>(KH_26_OPT4_KTQT_v4[[#This Row],[ĐGVC-KNĐ]]+KH_26_OPT4_KTQT_v4[[#This Row],[ĐGVC-KXK]])*KH_26_OPT4_KTQT_v4[[#This Row],[SL-09]]</calculatedColumnFormula>
    </tableColumn>
    <tableColumn id="75" xr3:uid="{E3642947-49E4-4680-96D8-5065A69622CC}" name="CPVC-10" dataDxfId="195">
      <calculatedColumnFormula>(KH_26_OPT4_KTQT_v4[[#This Row],[ĐGVC-KNĐ]]+KH_26_OPT4_KTQT_v4[[#This Row],[ĐGVC-KXK]])*KH_26_OPT4_KTQT_v4[[#This Row],[SL-10]]</calculatedColumnFormula>
    </tableColumn>
    <tableColumn id="76" xr3:uid="{C14C3621-E52B-4BEB-A6B8-30CFA78CD864}" name="CPVC-11" dataDxfId="194">
      <calculatedColumnFormula>(KH_26_OPT4_KTQT_v4[[#This Row],[ĐGVC-KNĐ]]+KH_26_OPT4_KTQT_v4[[#This Row],[ĐGVC-KXK]])*KH_26_OPT4_KTQT_v4[[#This Row],[SL-11]]</calculatedColumnFormula>
    </tableColumn>
    <tableColumn id="77" xr3:uid="{B67C9DBF-106B-4389-AC4D-0A45BBC58515}" name="CPVC-12" dataDxfId="193">
      <calculatedColumnFormula>(KH_26_OPT4_KTQT_v4[[#This Row],[ĐGVC-KNĐ]]+KH_26_OPT4_KTQT_v4[[#This Row],[ĐGVC-KXK]])*KH_26_OPT4_KTQT_v4[[#This Row],[SL-12]]</calculatedColumnFormula>
    </tableColumn>
    <tableColumn id="78" xr3:uid="{12C3E2E2-D670-4FEC-B494-5E488C06B939}" name="CPVC-KH26" dataDxfId="192">
      <calculatedColumnFormula>SUM(KH_26_OPT4_KTQT_v4[[#This Row],[CPVC-01]:[CPVC-12]])</calculatedColumnFormula>
    </tableColumn>
    <tableColumn id="93" xr3:uid="{6EA04146-0420-45D9-B3B4-176CBA2F7E81}" name="DT-01" dataDxfId="191">
      <calculatedColumnFormula>KH_26_OPT4_KTQT_v4[[#This Row],[DT-EXW-01]]+KH_26_OPT4_KTQT_v4[[#This Row],[CPVC-01]]+KH_26_OPT4_KTQT_v4[[#This Row],[CPHH-01]]</calculatedColumnFormula>
    </tableColumn>
    <tableColumn id="94" xr3:uid="{919080A4-5D5F-4E8C-8AB9-6290990D5B26}" name="DT-02" dataDxfId="190">
      <calculatedColumnFormula>KH_26_OPT4_KTQT_v4[[#This Row],[DT-EXW-02]]+KH_26_OPT4_KTQT_v4[[#This Row],[CPVC-02]]+KH_26_OPT4_KTQT_v4[[#This Row],[CPHH-02]]</calculatedColumnFormula>
    </tableColumn>
    <tableColumn id="95" xr3:uid="{FC3B6AF5-F22A-4418-AEBB-8F2096A4532E}" name="DT-03" dataDxfId="189">
      <calculatedColumnFormula>KH_26_OPT4_KTQT_v4[[#This Row],[DT-EXW-03]]+KH_26_OPT4_KTQT_v4[[#This Row],[CPVC-03]]+KH_26_OPT4_KTQT_v4[[#This Row],[CPHH-03]]</calculatedColumnFormula>
    </tableColumn>
    <tableColumn id="96" xr3:uid="{61ACCD10-88DD-4809-86A6-E94C230BAAF7}" name="DT-04" dataDxfId="188">
      <calculatedColumnFormula>KH_26_OPT4_KTQT_v4[[#This Row],[DT-EXW-04]]+KH_26_OPT4_KTQT_v4[[#This Row],[CPVC-04]]+KH_26_OPT4_KTQT_v4[[#This Row],[CPHH-04]]</calculatedColumnFormula>
    </tableColumn>
    <tableColumn id="97" xr3:uid="{D3D5C5DC-3326-488E-81E2-49231AB15DA3}" name="DT-05" dataDxfId="187">
      <calculatedColumnFormula>KH_26_OPT4_KTQT_v4[[#This Row],[DT-EXW-05]]+KH_26_OPT4_KTQT_v4[[#This Row],[CPVC-05]]+KH_26_OPT4_KTQT_v4[[#This Row],[CPHH-05]]</calculatedColumnFormula>
    </tableColumn>
    <tableColumn id="98" xr3:uid="{384ECE17-F22A-4B59-A2BF-7BF5B2A20000}" name="DT-06" dataDxfId="186">
      <calculatedColumnFormula>KH_26_OPT4_KTQT_v4[[#This Row],[DT-EXW-06]]+KH_26_OPT4_KTQT_v4[[#This Row],[CPVC-06]]+KH_26_OPT4_KTQT_v4[[#This Row],[CPHH-06]]</calculatedColumnFormula>
    </tableColumn>
    <tableColumn id="99" xr3:uid="{010519D1-1E07-4D75-B661-FE77608EA455}" name="DT-07" dataDxfId="185">
      <calculatedColumnFormula>KH_26_OPT4_KTQT_v4[[#This Row],[DT-EXW-07]]+KH_26_OPT4_KTQT_v4[[#This Row],[CPVC-07]]+KH_26_OPT4_KTQT_v4[[#This Row],[CPHH-07]]</calculatedColumnFormula>
    </tableColumn>
    <tableColumn id="100" xr3:uid="{A4AF18E8-5A28-4AFD-AD16-573DDCDDEEAD}" name="DT-08" dataDxfId="184">
      <calculatedColumnFormula>KH_26_OPT4_KTQT_v4[[#This Row],[DT-EXW-08]]+KH_26_OPT4_KTQT_v4[[#This Row],[CPVC-08]]+KH_26_OPT4_KTQT_v4[[#This Row],[CPHH-08]]</calculatedColumnFormula>
    </tableColumn>
    <tableColumn id="101" xr3:uid="{98154F6B-D4D0-4F25-B204-31209A83CD5B}" name="DT-09" dataDxfId="183">
      <calculatedColumnFormula>KH_26_OPT4_KTQT_v4[[#This Row],[DT-EXW-09]]+KH_26_OPT4_KTQT_v4[[#This Row],[CPVC-09]]+KH_26_OPT4_KTQT_v4[[#This Row],[CPHH-09]]</calculatedColumnFormula>
    </tableColumn>
    <tableColumn id="102" xr3:uid="{020849C1-7DB3-4D52-91A4-54294D5C5745}" name="DT-10" dataDxfId="182">
      <calculatedColumnFormula>KH_26_OPT4_KTQT_v4[[#This Row],[DT-EXW-10]]+KH_26_OPT4_KTQT_v4[[#This Row],[CPVC-10]]+KH_26_OPT4_KTQT_v4[[#This Row],[CPHH-10]]</calculatedColumnFormula>
    </tableColumn>
    <tableColumn id="103" xr3:uid="{00CA4D7B-205D-432C-A4F0-8CEE5DC79E73}" name="DT-11" dataDxfId="181">
      <calculatedColumnFormula>KH_26_OPT4_KTQT_v4[[#This Row],[DT-EXW-11]]+KH_26_OPT4_KTQT_v4[[#This Row],[CPVC-11]]+KH_26_OPT4_KTQT_v4[[#This Row],[CPHH-11]]</calculatedColumnFormula>
    </tableColumn>
    <tableColumn id="104" xr3:uid="{80B98C27-1E79-42BF-8CB7-98705D6CDC65}" name="DT-12" dataDxfId="180">
      <calculatedColumnFormula>KH_26_OPT4_KTQT_v4[[#This Row],[DT-EXW-12]]+KH_26_OPT4_KTQT_v4[[#This Row],[CPVC-12]]+KH_26_OPT4_KTQT_v4[[#This Row],[CPHH-12]]</calculatedColumnFormula>
    </tableColumn>
    <tableColumn id="105" xr3:uid="{6280B108-27CE-4B9D-A561-3D47C29BEA42}" name="DT-KH26" dataDxfId="179">
      <calculatedColumnFormula>SUM(KH_26_OPT4_KTQT_v4[[#This Row],[DT-01]:[DT-12]])</calculatedColumnFormula>
    </tableColumn>
    <tableColumn id="106" xr3:uid="{A5DBCCE3-1555-4E11-904C-D8C3CFF13E52}" name="DT-DB25" dataDxfId="178"/>
    <tableColumn id="107" xr3:uid="{ECC0C6F2-BD76-4206-8902-FB8D9B826A3F}" name="DT-+/-" dataDxfId="177"/>
    <tableColumn id="108" xr3:uid="{0530E79B-7102-415C-A002-03F442954819}" name="DT-%+/-" dataDxfId="176"/>
    <tableColumn id="117" xr3:uid="{5E99C220-2719-493C-A517-CCB55327B59A}" name="%CPDP" dataDxfId="175"/>
    <tableColumn id="130" xr3:uid="{4D493740-6E36-472B-9EF7-0DBA54FC3CF1}" name="CPDP-01" dataDxfId="174" dataCellStyle="Comma">
      <calculatedColumnFormula>IFERROR(KH_26_OPT4_KTQT_v4[[#This Row],[DT-EXW-01]]*KH_26_OPT4_KTQT_v4[[#This Row],[%CPDP]],0)</calculatedColumnFormula>
    </tableColumn>
    <tableColumn id="118" xr3:uid="{794B1BE3-8913-4D75-A11D-D78F6FE3D9DF}" name="CPDP-02" dataDxfId="173" dataCellStyle="Comma">
      <calculatedColumnFormula>IFERROR(KH_26_OPT4_KTQT_v4[[#This Row],[DT-EXW-02]]*KH_26_OPT4_KTQT_v4[[#This Row],[%CPDP]],0)</calculatedColumnFormula>
    </tableColumn>
    <tableColumn id="119" xr3:uid="{E11FEA1D-CC91-4E9E-9BF3-661F7E854707}" name="CPDP-03" dataDxfId="172" dataCellStyle="Comma">
      <calculatedColumnFormula>IFERROR(KH_26_OPT4_KTQT_v4[[#This Row],[DT-EXW-03]]*KH_26_OPT4_KTQT_v4[[#This Row],[%CPDP]],0)</calculatedColumnFormula>
    </tableColumn>
    <tableColumn id="120" xr3:uid="{DEEE02C1-2B17-414F-B611-73C7CA6FA979}" name="CPDP-04" dataDxfId="171" dataCellStyle="Comma">
      <calculatedColumnFormula>IFERROR(KH_26_OPT4_KTQT_v4[[#This Row],[DT-EXW-04]]*KH_26_OPT4_KTQT_v4[[#This Row],[%CPDP]],0)</calculatedColumnFormula>
    </tableColumn>
    <tableColumn id="121" xr3:uid="{1AF05F50-E0D3-435F-990E-C17E70F29DD7}" name="CPDP-05" dataDxfId="170" dataCellStyle="Comma">
      <calculatedColumnFormula>IFERROR(KH_26_OPT4_KTQT_v4[[#This Row],[DT-EXW-05]]*KH_26_OPT4_KTQT_v4[[#This Row],[%CPDP]],0)</calculatedColumnFormula>
    </tableColumn>
    <tableColumn id="122" xr3:uid="{CE76651D-CA7E-4B90-9A7A-5847898D0121}" name="CPDP-06" dataDxfId="169" dataCellStyle="Comma">
      <calculatedColumnFormula>IFERROR(KH_26_OPT4_KTQT_v4[[#This Row],[DT-EXW-06]]*KH_26_OPT4_KTQT_v4[[#This Row],[%CPDP]],0)</calculatedColumnFormula>
    </tableColumn>
    <tableColumn id="123" xr3:uid="{CD9DE182-F651-4B6E-B228-31A8CE5C2EE5}" name="CPDP-07" dataDxfId="168" dataCellStyle="Comma">
      <calculatedColumnFormula>IFERROR(KH_26_OPT4_KTQT_v4[[#This Row],[DT-EXW-07]]*KH_26_OPT4_KTQT_v4[[#This Row],[%CPDP]],0)</calculatedColumnFormula>
    </tableColumn>
    <tableColumn id="124" xr3:uid="{8B9AECA9-DA89-4BA7-A49B-E3CEB9089037}" name="CPDP-08" dataDxfId="167" dataCellStyle="Comma">
      <calculatedColumnFormula>IFERROR(KH_26_OPT4_KTQT_v4[[#This Row],[DT-EXW-08]]*KH_26_OPT4_KTQT_v4[[#This Row],[%CPDP]],0)</calculatedColumnFormula>
    </tableColumn>
    <tableColumn id="125" xr3:uid="{F01C41E3-C673-467A-8DFF-7348835A059C}" name="CPDP-09" dataDxfId="166" dataCellStyle="Comma">
      <calculatedColumnFormula>IFERROR(KH_26_OPT4_KTQT_v4[[#This Row],[DT-EXW-09]]*KH_26_OPT4_KTQT_v4[[#This Row],[%CPDP]],0)</calculatedColumnFormula>
    </tableColumn>
    <tableColumn id="126" xr3:uid="{B4D56D62-51B9-4D41-A0FE-B5BC58F21934}" name="CPDP-10" dataDxfId="165" dataCellStyle="Comma">
      <calculatedColumnFormula>IFERROR(KH_26_OPT4_KTQT_v4[[#This Row],[DT-EXW-10]]*KH_26_OPT4_KTQT_v4[[#This Row],[%CPDP]],0)</calculatedColumnFormula>
    </tableColumn>
    <tableColumn id="127" xr3:uid="{40756294-D4CE-4126-96FB-1444E23A675C}" name="CPDP-11" dataDxfId="164" dataCellStyle="Comma">
      <calculatedColumnFormula>IFERROR(KH_26_OPT4_KTQT_v4[[#This Row],[DT-EXW-11]]*KH_26_OPT4_KTQT_v4[[#This Row],[%CPDP]],0)</calculatedColumnFormula>
    </tableColumn>
    <tableColumn id="128" xr3:uid="{9AA1EE72-F79C-4F91-8ECB-99B539A0FCC4}" name="CPDP-12" dataDxfId="163" dataCellStyle="Comma">
      <calculatedColumnFormula>IFERROR(KH_26_OPT4_KTQT_v4[[#This Row],[DT-EXW-12]]*KH_26_OPT4_KTQT_v4[[#This Row],[%CPDP]],0)</calculatedColumnFormula>
    </tableColumn>
    <tableColumn id="129" xr3:uid="{9D1193DC-A47B-433A-8534-49DC4C3B376A}" name="CPDP-KH26" dataDxfId="162" dataCellStyle="Comma">
      <calculatedColumnFormula>SUM(KH_26_OPT4_KTQT_v4[[#This Row],[CPDP-01]:[CPDP-12]])</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0B01D7A-1CB3-4EDC-AA62-1042F82B7295}" name="DB_25" displayName="DB_25" ref="A5:BW186" totalsRowShown="0" headerRowDxfId="161">
  <autoFilter ref="A5:BW186" xr:uid="{C0B01D7A-1CB3-4EDC-AA62-1042F82B7295}"/>
  <tableColumns count="75">
    <tableColumn id="1" xr3:uid="{8BD7E8DD-B2EC-4AFB-A74D-D910B144AFE3}" name="STT" dataDxfId="160">
      <calculatedColumnFormula>ROWS($A$6:A6)</calculatedColumnFormula>
    </tableColumn>
    <tableColumn id="59" xr3:uid="{0906FA63-156D-4862-B068-F7B2D7D50000}" name="Salesman" dataDxfId="159"/>
    <tableColumn id="62" xr3:uid="{2E22AA67-01F7-431E-B382-FB4EDB3F5D06}" name="Sales Manager" dataDxfId="158"/>
    <tableColumn id="2" xr3:uid="{06058694-EF91-4589-BEBA-DD62CC320378}" name="Mã khách" dataDxfId="157"/>
    <tableColumn id="3" xr3:uid="{88F987DA-C601-40D5-B8AF-5321A24F33AA}" name="Tên khách" dataDxfId="156"/>
    <tableColumn id="4" xr3:uid="{11EBEF89-54A5-499E-8364-772FCDEFC88A}" name="Phân loại khách" dataDxfId="155"/>
    <tableColumn id="5" xr3:uid="{FBCE21F2-DAE2-4926-ADC5-E69A4E133B37}" name="Kênh bán hàng" dataDxfId="154">
      <calculatedColumnFormula>_xlfn.XLOOKUP(DB_25[[#This Row],[Mã khách]],MD_Customer[Mã khách],MD_Customer[Kênh bán hàng])</calculatedColumnFormula>
    </tableColumn>
    <tableColumn id="6" xr3:uid="{54AFFE11-8221-4338-BC14-4B7C87548C24}" name="Địa điểm đến" dataDxfId="153"/>
    <tableColumn id="60" xr3:uid="{AB7ECC1B-BF19-4DF0-8009-D155B7D3D3C8}" name="Nước đến" dataDxfId="152"/>
    <tableColumn id="7" xr3:uid="{5530E26E-49D0-40B4-8C10-1C0CD98B2EBD}" name="Incoterm" dataDxfId="151"/>
    <tableColumn id="8" xr3:uid="{C0C06CD5-A31A-4BA0-AF74-F8648F28D6D5}" name="Mã sản phẩm" dataDxfId="150"/>
    <tableColumn id="9" xr3:uid="{6270428C-D226-47BD-BBE4-D888E5874E2D}" name="Tên sản phẩm" dataDxfId="149">
      <calculatedColumnFormula>_xlfn.XLOOKUP(DB_25[[#This Row],[Mã sản phẩm]],MD_SKU[Mã SKU],MD_SKU[Tên SKU-rút gọn])</calculatedColumnFormula>
    </tableColumn>
    <tableColumn id="10" xr3:uid="{4860ACBC-B7CD-45BC-A0E4-B7943A3432B8}" name="Nhóm sản phẩm" dataDxfId="148">
      <calculatedColumnFormula>_xlfn.XLOOKUP(DB_25[[#This Row],[Mã sản phẩm]],MD_SKU[Mã SKU],MD_SKU[Nhóm ngành])</calculatedColumnFormula>
    </tableColumn>
    <tableColumn id="61" xr3:uid="{3D97050A-C8A3-4F6C-B707-4361A075B650}" name="Phân loại sản phẩm" dataDxfId="147"/>
    <tableColumn id="11" xr3:uid="{C5286F3C-4A10-49D2-BB14-50CC2928D0F3}" name="SL-01" dataDxfId="146"/>
    <tableColumn id="12" xr3:uid="{6BA23620-2A63-47BD-909A-DB2AE1E83636}" name="SL-02" dataDxfId="145"/>
    <tableColumn id="13" xr3:uid="{282213BE-B26B-4B01-92AE-2E05805DA890}" name="SL-03" dataDxfId="144"/>
    <tableColumn id="14" xr3:uid="{6A571563-BF57-4527-A9F4-B32C913A9A73}" name="SL-04" dataDxfId="143"/>
    <tableColumn id="15" xr3:uid="{5174E0F0-D935-4792-BDAD-720F14CA727D}" name="SL-05" dataDxfId="142"/>
    <tableColumn id="16" xr3:uid="{B8321F34-AB65-4C9A-B727-10ED8B6E5E73}" name="SL-06" dataDxfId="141"/>
    <tableColumn id="17" xr3:uid="{9410C1EA-58C0-4D3B-AD6D-EE631CF4C140}" name="SL-07" dataDxfId="140"/>
    <tableColumn id="18" xr3:uid="{55BE6A66-63D5-481D-9B83-87124F9F5747}" name="SL-08" dataDxfId="139"/>
    <tableColumn id="19" xr3:uid="{CA2C166D-FDCB-4595-B2F8-B934C9403585}" name="SL-09" dataDxfId="138">
      <calculatedColumnFormula>SUMIFS(Data_Actual_LG_EXW[SL],Data_Actual_LG_EXW[Year],2025,Data_Actual_LG_EXW[Month],'DB 2025'!W$1,Data_Actual_LG_EXW[Mã KH],DB_25[[#This Row],[Mã khách]],Data_Actual_LG_EXW[Mã SKU],DB_25[[#This Row],[Mã sản phẩm]])/10^3</calculatedColumnFormula>
    </tableColumn>
    <tableColumn id="20" xr3:uid="{6017ACF1-1833-4043-9691-2336B2BBCA77}" name="SL-10" dataDxfId="137"/>
    <tableColumn id="21" xr3:uid="{7C757105-8F1C-4C8D-9BEE-11573880B7F8}" name="SL-11" dataDxfId="136"/>
    <tableColumn id="22" xr3:uid="{383BDFE1-D71B-42FA-94F0-595FA354A9EB}" name="SL-12" dataDxfId="135"/>
    <tableColumn id="23" xr3:uid="{F9556FE8-2220-4D79-A8D6-6A06C36449AC}" name="SL-DB25" dataDxfId="134">
      <calculatedColumnFormula>SUM(DB_25[[#This Row],[SL-01]:[SL-12]])</calculatedColumnFormula>
    </tableColumn>
    <tableColumn id="24" xr3:uid="{BD66312D-BDB4-4745-B5E1-BCE56B0052ED}" name="SL-KH25" dataDxfId="133"/>
    <tableColumn id="25" xr3:uid="{9B4FEF58-C591-43F4-A944-46CD810F746D}" name="SL-+/-" dataDxfId="132">
      <calculatedColumnFormula>DB_25[[#This Row],[SL-DB25]]-DB_25[[#This Row],[SL-KH25]]</calculatedColumnFormula>
    </tableColumn>
    <tableColumn id="26" xr3:uid="{BEDBBF48-3B0F-4662-A269-89A2FF74B8F1}" name="SL-%+/-" dataDxfId="131">
      <calculatedColumnFormula>IFERROR(DB_25[[#This Row],[SL-+/-]]/DB_25[[#This Row],[SL-KH25]],0)</calculatedColumnFormula>
    </tableColumn>
    <tableColumn id="27" xr3:uid="{81FC837E-0986-436B-B363-1B1394CAB9D5}" name="GB-01" dataDxfId="130"/>
    <tableColumn id="28" xr3:uid="{D24E3A3F-9092-4968-97B6-1264EDD00475}" name="GB-02" dataDxfId="129"/>
    <tableColumn id="29" xr3:uid="{F180D163-9463-445C-A4BE-BCD7F9D5FACE}" name="GB-03" dataDxfId="128"/>
    <tableColumn id="30" xr3:uid="{C158EDD5-A7BF-47D4-8E1A-F1CE47869F1F}" name="GB-04" dataDxfId="127"/>
    <tableColumn id="31" xr3:uid="{BCDB231B-C452-47DD-917C-1ACA0D146278}" name="GB-05" dataDxfId="126"/>
    <tableColumn id="32" xr3:uid="{87CC9BCD-9EED-4C5E-AB50-B44B30448A9D}" name="GB-06" dataDxfId="125"/>
    <tableColumn id="33" xr3:uid="{C38F29CD-AE5F-4C01-9B87-893325FAE368}" name="GB-07" dataDxfId="124"/>
    <tableColumn id="34" xr3:uid="{04459BD2-1482-44CF-97EE-E9BCC656975B}" name="GB-08" dataDxfId="123"/>
    <tableColumn id="35" xr3:uid="{9058F26F-0E39-48B5-8351-391CF21D4E87}" name="GB-09" dataDxfId="122"/>
    <tableColumn id="36" xr3:uid="{040B089E-3E73-42CB-BB7C-4229360BECDC}" name="GB-10" dataDxfId="121"/>
    <tableColumn id="37" xr3:uid="{D51FE2BF-324E-4A4D-856C-C5033F1A3A6A}" name="GB-11" dataDxfId="120"/>
    <tableColumn id="38" xr3:uid="{7AFD1360-BBB0-4669-866D-67220D579D35}" name="GB-12" dataDxfId="119"/>
    <tableColumn id="39" xr3:uid="{502EE519-7BC1-431A-B0B9-9BC2BA2B9331}" name="GB-DB25" dataDxfId="118"/>
    <tableColumn id="40" xr3:uid="{A54EEF8B-3BB1-4924-9024-66232DD70F2B}" name="GB-KH25" dataDxfId="117"/>
    <tableColumn id="41" xr3:uid="{A735A800-FF12-488C-8CA7-B11451654FEC}" name="GB-+/-" dataDxfId="116"/>
    <tableColumn id="42" xr3:uid="{0B1E05C8-715D-4054-8E9B-1388855D3A2A}" name="GB-%+/-" dataDxfId="115"/>
    <tableColumn id="43" xr3:uid="{7BB0CC69-2639-46AB-A322-CDDACCB8B961}" name="DT-01" dataDxfId="114"/>
    <tableColumn id="44" xr3:uid="{D1C5BBA0-FF89-419C-8374-EFE6DC710FD7}" name="DT-02" dataDxfId="113"/>
    <tableColumn id="45" xr3:uid="{59E0EA08-B5B4-454F-B223-BBE948EE113D}" name="DT-03" dataDxfId="112"/>
    <tableColumn id="46" xr3:uid="{DC7C281F-D4AA-4AA0-B974-9956FC46C2CB}" name="DT-04" dataDxfId="111"/>
    <tableColumn id="47" xr3:uid="{4954BD38-1F97-4265-8F1A-21B8B3EE4EBC}" name="DT-05" dataDxfId="110"/>
    <tableColumn id="48" xr3:uid="{7828E759-3779-448F-BAFA-E0FE86F02C32}" name="DT-06" dataDxfId="109"/>
    <tableColumn id="49" xr3:uid="{60256E7B-0E39-4D3F-8AB2-5A850A97D1E8}" name="DT-07" dataDxfId="108"/>
    <tableColumn id="50" xr3:uid="{2FB828C8-9656-421A-8640-54680205A5BD}" name="DT-08" dataDxfId="107"/>
    <tableColumn id="51" xr3:uid="{B14FB7B6-B093-470B-9C0C-9944E8B6FD81}" name="DT-09" dataDxfId="106"/>
    <tableColumn id="52" xr3:uid="{A25A2C70-2334-40E2-A42A-350890DAE94E}" name="DT-10" dataDxfId="105">
      <calculatedColumnFormula>DB_25[[#This Row],[SL-10]]*DB_25[[#This Row],[GB-10]]*BD$2/10^3</calculatedColumnFormula>
    </tableColumn>
    <tableColumn id="53" xr3:uid="{CBF0E148-7349-46A2-86D8-4ACD1DAB9F7E}" name="DT-11" dataDxfId="104">
      <calculatedColumnFormula>DB_25[[#This Row],[SL-11]]*DB_25[[#This Row],[GB-11]]*BE$2/10^3</calculatedColumnFormula>
    </tableColumn>
    <tableColumn id="54" xr3:uid="{AFD4F5DE-BC1B-4A0B-A38B-46BEE35CAEB8}" name="DT-12" dataDxfId="103">
      <calculatedColumnFormula>DB_25[[#This Row],[SL-12]]*DB_25[[#This Row],[GB-12]]*BF$2/10^3</calculatedColumnFormula>
    </tableColumn>
    <tableColumn id="55" xr3:uid="{ACC3E02E-C801-4262-9114-C0E7D5361A7D}" name="DT-DB25" dataDxfId="102">
      <calculatedColumnFormula>SUM(DB_25[[#This Row],[DT-01]:[DT-12]])</calculatedColumnFormula>
    </tableColumn>
    <tableColumn id="56" xr3:uid="{C6FA7054-E8CD-48DC-BA4F-F71741207FA5}" name="DT-KH25" dataDxfId="101"/>
    <tableColumn id="57" xr3:uid="{C112C9B2-E424-435F-B28E-7A6047EC0F77}" name="DT-+/-" dataDxfId="100"/>
    <tableColumn id="58" xr3:uid="{673E9F4A-7D63-4D1E-873F-352DBB1BCED8}" name="DT-%+/-" dataDxfId="99"/>
    <tableColumn id="63" xr3:uid="{CDD221C7-A10B-4E49-8A97-9FCEC9F6EAE3}" name="DT-01-USD" dataDxfId="98"/>
    <tableColumn id="64" xr3:uid="{4885ADE0-C975-404B-B7CF-0BCAE2AA1AD4}" name="DT-02-USD" dataDxfId="97"/>
    <tableColumn id="65" xr3:uid="{F2428569-A2C3-4519-9947-1E0C3D0CC950}" name="DT-03-USD" dataDxfId="96"/>
    <tableColumn id="66" xr3:uid="{44DCEF13-A8AD-4F27-AEEF-C809F7FDE6B2}" name="DT-04-USD" dataDxfId="95"/>
    <tableColumn id="67" xr3:uid="{004B5A8D-EE72-45CA-B896-FED6921AEB49}" name="DT-05-USD" dataDxfId="94"/>
    <tableColumn id="68" xr3:uid="{3F93ADBE-EA4C-4C7F-8528-CBD828EB05D4}" name="DT-06-USD" dataDxfId="93"/>
    <tableColumn id="69" xr3:uid="{1786C1AD-CCCA-4CE8-8560-58C05DB6877C}" name="DT-07-USD" dataDxfId="92"/>
    <tableColumn id="70" xr3:uid="{B166EEEA-9CAC-4FBB-9E88-157164A6E756}" name="DT-08-USD" dataDxfId="91"/>
    <tableColumn id="71" xr3:uid="{A1CF1917-88F7-4F09-AFF7-448D6D220621}" name="DT-09-USD" dataDxfId="90"/>
    <tableColumn id="72" xr3:uid="{6F59E970-4C60-49B4-AB19-1ECA09329DC6}" name="DT-10-USD" dataDxfId="89">
      <calculatedColumnFormula>DB_25[[#This Row],[SL-10]]*DB_25[[#This Row],[GB-10]]</calculatedColumnFormula>
    </tableColumn>
    <tableColumn id="73" xr3:uid="{25CC2C29-D68E-4690-AD09-B00F25165FF4}" name="DT-11-USD" dataDxfId="88">
      <calculatedColumnFormula>DB_25[[#This Row],[SL-11]]*DB_25[[#This Row],[GB-11]]</calculatedColumnFormula>
    </tableColumn>
    <tableColumn id="74" xr3:uid="{F266DACE-B2BE-4785-9142-F36304CEF04F}" name="DT-12-USD" dataDxfId="87">
      <calculatedColumnFormula>DB_25[[#This Row],[SL-12]]*DB_25[[#This Row],[GB-12]]</calculatedColumnFormula>
    </tableColumn>
    <tableColumn id="75" xr3:uid="{C5FFFB23-90E5-463B-9A8C-9AC725B58B1A}" name="DT-DB25-USD" dataDxfId="86">
      <calculatedColumnFormula>SUM(DB_25[[#This Row],[DT-01-USD]:[DT-12-USD]])</calculatedColumnFormula>
    </tableColum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BCF303-238A-4C49-8A55-ED71F2B5EB7A}" name="MD_Channel" displayName="MD_Channel" ref="M3:M6" totalsRowShown="0" headerRowDxfId="85">
  <autoFilter ref="M3:M6" xr:uid="{C7BCF303-238A-4C49-8A55-ED71F2B5EB7A}"/>
  <tableColumns count="1">
    <tableColumn id="1" xr3:uid="{C2DA9693-3176-4DF0-BBF1-24946CCCBAA9}" name="Kênh bán hàng" dataDxfId="8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91C833B-7735-4422-9721-AC6AE2C4432D}" name="MD_SKU" displayName="MD_SKU" ref="A3:K94" totalsRowShown="0" headerRowDxfId="83" headerRowBorderDxfId="82" tableBorderDxfId="81" totalsRowBorderDxfId="80">
  <autoFilter ref="A3:K94" xr:uid="{C91C833B-7735-4422-9721-AC6AE2C4432D}"/>
  <tableColumns count="11">
    <tableColumn id="1" xr3:uid="{D8AB4244-FBBC-43A4-B0FF-BDF752C7E073}" name="Mã SKU" dataDxfId="79"/>
    <tableColumn id="2" xr3:uid="{E46E7C1F-DAB2-4E0A-A2AF-8AC43144D8DF}" name="Tên SKU-SAP" dataDxfId="78"/>
    <tableColumn id="3" xr3:uid="{20D6A321-4A1B-43A0-94D2-EBA65F39F05F}" name="Tên SKU-rút gọn" dataDxfId="77"/>
    <tableColumn id="5" xr3:uid="{6AC08F9E-B023-4559-84EA-3CB23C6AE7CC}" name="Hạt/Vảy" dataDxfId="76"/>
    <tableColumn id="4" xr3:uid="{FCB8FA8D-3E97-45C8-8076-BAF62D1F7F19}" name="Ngành hàng" dataDxfId="75"/>
    <tableColumn id="6" xr3:uid="{07311E26-FF1B-4779-8626-E58AC2AA59FB}" name="Nhóm ngành" dataDxfId="74"/>
    <tableColumn id="8" xr3:uid="{A940B671-D835-48B0-9342-86E2F9F7B44F}" name="IV/IM" dataDxfId="73"/>
    <tableColumn id="9" xr3:uid="{090B6E7A-611D-49AB-AC53-A1CF5B056084}" name="Application" dataDxfId="72"/>
    <tableColumn id="7" xr3:uid="{8923E72E-FE5D-4976-B580-7C70EA20C721}" name="Phân loại" dataDxfId="71"/>
    <tableColumn id="10" xr3:uid="{118B8841-6296-4C18-B850-AF90C9278DF8}" name="STT-Nhom nganh" dataDxfId="70"/>
    <tableColumn id="11" xr3:uid="{69456E70-F7F4-424A-9A2C-17037836D711}" name="STT-Ngành hàng" dataDxfId="69"/>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D6B8C10-5A30-4C00-8D9D-9340B0E7C185}" name="MD_Customer" displayName="MD_Customer" ref="Q3:V135" totalsRowShown="0" headerRowDxfId="68">
  <autoFilter ref="Q3:V135" xr:uid="{9D6B8C10-5A30-4C00-8D9D-9340B0E7C185}"/>
  <tableColumns count="6">
    <tableColumn id="1" xr3:uid="{5A074EDA-3B58-4098-8C16-03FE0D83F9FD}" name="Mã khách" dataDxfId="67"/>
    <tableColumn id="6" xr3:uid="{22C33A24-76E0-4D65-9F8A-D1FF77E58022}" name="Parent Account" dataDxfId="66"/>
    <tableColumn id="5" xr3:uid="{58FD8967-7655-44A7-897A-FC879EBA3625}" name="Tên khách" dataDxfId="65"/>
    <tableColumn id="2" xr3:uid="{687D85E0-0EEA-4246-9060-932D25EB6870}" name="Tên khách-rút gọn" dataDxfId="64"/>
    <tableColumn id="3" xr3:uid="{9C6CB900-B5AA-470C-B394-CEECF6D1CEEE}" name="Phân loại" dataDxfId="63"/>
    <tableColumn id="4" xr3:uid="{BB27D319-AD08-4C0A-9DF5-06D2EA05CF9E}" name="Kênh bán hàng" dataDxfId="62"/>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B0922AB-4010-4D35-8D78-CC88F4D30528}" name="MD_Incoterm" displayName="MD_Incoterm" ref="O3:O11" totalsRowShown="0" headerRowDxfId="61" dataDxfId="60">
  <autoFilter ref="O3:O11" xr:uid="{8B0922AB-4010-4D35-8D78-CC88F4D30528}"/>
  <tableColumns count="1">
    <tableColumn id="1" xr3:uid="{00755061-4614-459D-8482-3BC6740098A7}" name="Incoterm" dataDxfId="59"/>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9BDC9BD-EB5F-4F57-A5E1-DD7B11215843}" name="MD_Destination" displayName="MD_Destination" ref="AE3:AH49" totalsRowShown="0" headerRowDxfId="58">
  <autoFilter ref="AE3:AH49" xr:uid="{E9BDC9BD-EB5F-4F57-A5E1-DD7B11215843}"/>
  <tableColumns count="4">
    <tableColumn id="1" xr3:uid="{5266917A-F5E9-4001-97F0-37E82D247BD5}" name="Địa điểm đến" dataDxfId="57"/>
    <tableColumn id="2" xr3:uid="{717232BA-3C9C-42CE-B2D2-A0561B69014A}" name="Nước" dataDxfId="56"/>
    <tableColumn id="3" xr3:uid="{F084B66D-5803-4265-96B4-9BC81F5AED7B}" name="Địa điểm đến_Rút gọn" dataDxfId="55"/>
    <tableColumn id="4" xr3:uid="{1C28089D-1677-4A06-855A-9EDE1E461361}" name="Khu vực" dataDxfId="54"/>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EFE7DD0-60D5-462A-850A-C2140135771F}" name="MD_Possible" displayName="MD_Possible" ref="AC3:AC7" totalsRowShown="0" headerRowDxfId="53">
  <autoFilter ref="AC3:AC7" xr:uid="{0EFE7DD0-60D5-462A-850A-C2140135771F}"/>
  <tableColumns count="1">
    <tableColumn id="1" xr3:uid="{7EC13901-43F6-4BD3-81B8-A588B6DCDDE2}" name="Mức độ khả thi" dataDxfId="52"/>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5CEF3E2-8403-4019-AEB9-EF7E11E09C20}" name="MD_Salesman" displayName="MD_Salesman" ref="X3:AA12" totalsRowShown="0" headerRowDxfId="51">
  <autoFilter ref="X3:AA12" xr:uid="{C5CEF3E2-8403-4019-AEB9-EF7E11E09C20}"/>
  <sortState xmlns:xlrd2="http://schemas.microsoft.com/office/spreadsheetml/2017/richdata2" ref="X4:AA9">
    <sortCondition ref="AA3:AA9"/>
  </sortState>
  <tableColumns count="4">
    <tableColumn id="1" xr3:uid="{E5EAD47F-C0A5-4B09-A32B-EBF50DF7F248}" name="ZE" dataDxfId="50"/>
    <tableColumn id="2" xr3:uid="{59C5FF1B-5395-4B93-BCC6-CD60EC2FE478}" name="Salesman" dataDxfId="49"/>
    <tableColumn id="3" xr3:uid="{133E3E83-D10D-4825-9C83-1E4149E3F7DB}" name="Z4" dataDxfId="48"/>
    <tableColumn id="4" xr3:uid="{20379948-248D-4099-8913-4DACACC2860E}" name="SalesManager" dataDxfId="47"/>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257166A-BADE-4A11-BF93-6FFFBC3598F2}" name="Data_Actual_LG_EXW" displayName="Data_Actual_LG_EXW" ref="A3:AH1755" totalsRowShown="0" headerRowDxfId="46" headerRowBorderDxfId="45">
  <autoFilter ref="A3:AH1755" xr:uid="{C257166A-BADE-4A11-BF93-6FFFBC3598F2}"/>
  <tableColumns count="34">
    <tableColumn id="1" xr3:uid="{306641BE-1CEA-4C87-A68D-53FEEA63147E}" name="Year" dataDxfId="44"/>
    <tableColumn id="2" xr3:uid="{1E2491E3-717E-4A7D-83DA-E052358A0509}" name="Month" dataDxfId="43"/>
    <tableColumn id="3" xr3:uid="{F2968186-9B89-4004-A005-6CF042A28F8C}" name="Kỳ"/>
    <tableColumn id="4" xr3:uid="{4BC6A640-0155-4065-B0D9-A77D95D3CDA8}" name="Mã KH" dataDxfId="42"/>
    <tableColumn id="5" xr3:uid="{E6B89EAC-CCBD-4735-928B-B6DD5E7B1761}" name="Tên KH"/>
    <tableColumn id="6" xr3:uid="{04A67D08-FFAD-4796-A882-AE188D335BBB}" name="Mã SKU" dataDxfId="41"/>
    <tableColumn id="7" xr3:uid="{65345369-8B1A-4B7D-8082-86B3FA8CB078}" name="Tên SKU"/>
    <tableColumn id="8" xr3:uid="{D45AA464-561D-498B-9681-B6B399BC7A37}" name="Nhóm SP 1" dataDxfId="40"/>
    <tableColumn id="9" xr3:uid="{70BCE550-428F-4D73-8413-C90CBA7235DE}" name="Nhóm SP 2"/>
    <tableColumn id="10" xr3:uid="{0A187D9B-1CAE-4FEE-9A0D-F621B3AA8EF8}" name="Nhóm SP 3" dataDxfId="39"/>
    <tableColumn id="11" xr3:uid="{257250E0-CC8F-47BC-B48E-6DF44CB98957}" name="XK/NĐ"/>
    <tableColumn id="12" xr3:uid="{9756825D-EA08-4D72-8A2B-0C0E30273FD7}" name="Country"/>
    <tableColumn id="32" xr3:uid="{39D544A3-689F-4C1B-9327-B9CAD6EF4204}" name="Hàng bán trả lại"/>
    <tableColumn id="13" xr3:uid="{19744341-1C34-4C6A-B54B-6D840D5A82AF}" name="SL" dataDxfId="38"/>
    <tableColumn id="14" xr3:uid="{F6AB1129-BD18-464E-96B0-2BE3C8C1BBDC}" name="Doanh thu KT (VND)" dataDxfId="37"/>
    <tableColumn id="15" xr3:uid="{2B166DE6-29E7-444B-8E21-1534FCA1B9FF}" name="Cp Pallet (VND)" dataDxfId="36"/>
    <tableColumn id="16" xr3:uid="{EF426ADC-0397-4EB8-917E-9184D8C030CD}" name="Cp hoa hồng (VND)" dataDxfId="35"/>
    <tableColumn id="17" xr3:uid="{78AFB7C6-19BD-4FC0-A554-12904CB1E224}" name="Cp vận chuyển (VND)" dataDxfId="34"/>
    <tableColumn id="18" xr3:uid="{D3382E8E-918F-425F-8D2F-BA2344B99861}" name="Doanh thu EXW (VND)" dataDxfId="33"/>
    <tableColumn id="19" xr3:uid="{C00D01C1-EE6F-406D-8485-D7475C87F279}" name="Cp chai/vảy nhựa phế (VND)" dataDxfId="32"/>
    <tableColumn id="20" xr3:uid="{833AE1C8-A258-4F11-BF11-DC2C25433BD8}" name="Cp màu, hóa chất (VND)" dataDxfId="31"/>
    <tableColumn id="21" xr3:uid="{8DAC8192-786E-4B29-9119-47CF478CB525}" name="Cp NVL phụ, bao  bì (VND)" dataDxfId="30"/>
    <tableColumn id="22" xr3:uid="{83E80E6D-5618-4568-84AA-A1D7889DB3A8}" name="Cp NC TT (VND)" dataDxfId="29"/>
    <tableColumn id="23" xr3:uid="{F66DBE5A-E148-486D-8F9C-7DF82705DCB4}" name="Cp NC GT (VND)" dataDxfId="28"/>
    <tableColumn id="24" xr3:uid="{676755EF-7DCA-4344-9521-60701DF952C2}" name="CPSX chung (VND)" dataDxfId="27"/>
    <tableColumn id="25" xr3:uid="{14127624-6C4E-4420-9B05-2603F3B87866}" name="GV Khác (VND)" dataDxfId="26"/>
    <tableColumn id="26" xr3:uid="{ACB7B764-7CAE-40FE-80AF-D18DB5F80D02}" name="Cp điện (VND)" dataDxfId="25"/>
    <tableColumn id="27" xr3:uid="{A9B3C410-6E0C-418E-9393-334230074157}" name="Cp KH SX (VND)" dataDxfId="24"/>
    <tableColumn id="28" xr3:uid="{96CB43D4-D610-4F73-86A3-1A0225EDC165}" name="Cp gia công (VND)" dataDxfId="23"/>
    <tableColumn id="29" xr3:uid="{7A3129D7-E501-4647-89D5-CD33A039069F}" name="LG EXW (VND)" dataDxfId="22"/>
    <tableColumn id="30" xr3:uid="{44D9FADA-6285-47B5-84EB-03B84F00ACCD}" name="Doanh thu EXW (USD)" dataDxfId="21"/>
    <tableColumn id="31" xr3:uid="{30802350-9992-49A2-A2DB-C85CEE6D0145}" name="Doanh thu KT (USD)" dataDxfId="20"/>
    <tableColumn id="33" xr3:uid="{F3243852-6C5B-4B4A-8C7B-29B160A433B9}" name="Parent Company" dataDxfId="19"/>
    <tableColumn id="34" xr3:uid="{D2F4A1BE-F25C-4A74-BB6D-0236A16989DC}" name="SKU | SKU name" dataDxfId="18"/>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5.xml"/><Relationship Id="rId7" Type="http://schemas.openxmlformats.org/officeDocument/2006/relationships/table" Target="../tables/table9.xml"/><Relationship Id="rId2" Type="http://schemas.openxmlformats.org/officeDocument/2006/relationships/table" Target="../tables/table4.xml"/><Relationship Id="rId1" Type="http://schemas.openxmlformats.org/officeDocument/2006/relationships/table" Target="../tables/table3.xml"/><Relationship Id="rId6" Type="http://schemas.openxmlformats.org/officeDocument/2006/relationships/table" Target="../tables/table8.xml"/><Relationship Id="rId5" Type="http://schemas.openxmlformats.org/officeDocument/2006/relationships/table" Target="../tables/table7.xml"/><Relationship Id="rId4" Type="http://schemas.openxmlformats.org/officeDocument/2006/relationships/table" Target="../tables/table6.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AB5B5-10AF-4178-B678-C3F701168830}">
  <sheetPr>
    <tabColor rgb="FFC00000"/>
  </sheetPr>
  <dimension ref="A1:C34"/>
  <sheetViews>
    <sheetView workbookViewId="0">
      <selection activeCell="C30" sqref="C30"/>
    </sheetView>
  </sheetViews>
  <sheetFormatPr defaultRowHeight="14.5" x14ac:dyDescent="0.35"/>
  <cols>
    <col min="1" max="1" width="4.33203125" customWidth="1"/>
    <col min="2" max="2" width="13" customWidth="1"/>
    <col min="3" max="3" width="114.25" bestFit="1" customWidth="1"/>
  </cols>
  <sheetData>
    <row r="1" spans="1:3" ht="19.5" x14ac:dyDescent="0.45">
      <c r="A1" s="30" t="s">
        <v>222</v>
      </c>
    </row>
    <row r="3" spans="1:3" ht="29" x14ac:dyDescent="0.35">
      <c r="A3" s="5" t="s">
        <v>223</v>
      </c>
      <c r="B3" s="5" t="s">
        <v>224</v>
      </c>
      <c r="C3" s="5" t="s">
        <v>225</v>
      </c>
    </row>
    <row r="4" spans="1:3" x14ac:dyDescent="0.35">
      <c r="A4" s="31">
        <v>1</v>
      </c>
      <c r="B4" s="32"/>
      <c r="C4" s="9" t="s">
        <v>226</v>
      </c>
    </row>
    <row r="5" spans="1:3" x14ac:dyDescent="0.35">
      <c r="A5" s="18">
        <v>2</v>
      </c>
      <c r="B5" s="33"/>
      <c r="C5" s="7" t="s">
        <v>227</v>
      </c>
    </row>
    <row r="6" spans="1:3" x14ac:dyDescent="0.35">
      <c r="A6" s="18">
        <v>3</v>
      </c>
      <c r="B6" s="34"/>
      <c r="C6" s="7" t="s">
        <v>228</v>
      </c>
    </row>
    <row r="7" spans="1:3" x14ac:dyDescent="0.35">
      <c r="A7" s="18">
        <v>4</v>
      </c>
      <c r="B7" s="7"/>
      <c r="C7" s="7" t="s">
        <v>229</v>
      </c>
    </row>
    <row r="8" spans="1:3" x14ac:dyDescent="0.35">
      <c r="A8" s="7"/>
      <c r="B8" s="7"/>
      <c r="C8" s="7"/>
    </row>
    <row r="9" spans="1:3" x14ac:dyDescent="0.35">
      <c r="A9" s="7"/>
      <c r="B9" s="7"/>
      <c r="C9" s="7"/>
    </row>
    <row r="10" spans="1:3" x14ac:dyDescent="0.35">
      <c r="A10" s="7"/>
      <c r="B10" s="7"/>
      <c r="C10" s="7"/>
    </row>
    <row r="11" spans="1:3" x14ac:dyDescent="0.35">
      <c r="A11" s="7"/>
      <c r="B11" s="7"/>
      <c r="C11" s="7"/>
    </row>
    <row r="12" spans="1:3" x14ac:dyDescent="0.35">
      <c r="A12" s="7"/>
      <c r="B12" s="7"/>
      <c r="C12" s="7"/>
    </row>
    <row r="13" spans="1:3" x14ac:dyDescent="0.35">
      <c r="A13" s="7"/>
      <c r="B13" s="7"/>
      <c r="C13" s="7"/>
    </row>
    <row r="14" spans="1:3" x14ac:dyDescent="0.35">
      <c r="A14" s="7"/>
      <c r="B14" s="7"/>
      <c r="C14" s="7"/>
    </row>
    <row r="15" spans="1:3" ht="15" thickBot="1" x14ac:dyDescent="0.4"/>
    <row r="16" spans="1:3" s="37" customFormat="1" x14ac:dyDescent="0.35"/>
    <row r="17" spans="1:2" s="30" customFormat="1" ht="19.5" x14ac:dyDescent="0.45">
      <c r="A17" s="30" t="s">
        <v>230</v>
      </c>
    </row>
    <row r="19" spans="1:2" x14ac:dyDescent="0.35">
      <c r="A19" s="65" t="s">
        <v>231</v>
      </c>
    </row>
    <row r="20" spans="1:2" x14ac:dyDescent="0.35">
      <c r="A20" s="66" t="s">
        <v>232</v>
      </c>
    </row>
    <row r="21" spans="1:2" x14ac:dyDescent="0.35">
      <c r="B21" t="s">
        <v>233</v>
      </c>
    </row>
    <row r="22" spans="1:2" x14ac:dyDescent="0.35">
      <c r="B22" t="s">
        <v>193</v>
      </c>
    </row>
    <row r="23" spans="1:2" x14ac:dyDescent="0.35">
      <c r="B23" t="s">
        <v>234</v>
      </c>
    </row>
    <row r="24" spans="1:2" x14ac:dyDescent="0.35">
      <c r="B24" t="s">
        <v>235</v>
      </c>
    </row>
    <row r="25" spans="1:2" x14ac:dyDescent="0.35">
      <c r="B25" t="s">
        <v>236</v>
      </c>
    </row>
    <row r="26" spans="1:2" x14ac:dyDescent="0.35">
      <c r="B26" t="s">
        <v>237</v>
      </c>
    </row>
    <row r="27" spans="1:2" x14ac:dyDescent="0.35">
      <c r="B27" t="s">
        <v>238</v>
      </c>
    </row>
    <row r="29" spans="1:2" x14ac:dyDescent="0.35">
      <c r="A29" s="65" t="s">
        <v>239</v>
      </c>
    </row>
    <row r="30" spans="1:2" x14ac:dyDescent="0.35">
      <c r="A30" s="66" t="s">
        <v>232</v>
      </c>
    </row>
    <row r="31" spans="1:2" x14ac:dyDescent="0.35">
      <c r="B31" t="s">
        <v>240</v>
      </c>
    </row>
    <row r="32" spans="1:2" x14ac:dyDescent="0.35">
      <c r="B32" t="s">
        <v>241</v>
      </c>
    </row>
    <row r="33" spans="1:1" x14ac:dyDescent="0.35">
      <c r="A33" t="s">
        <v>242</v>
      </c>
    </row>
    <row r="34" spans="1:1" x14ac:dyDescent="0.35">
      <c r="A34" t="s">
        <v>243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57C14-7E4F-4C1A-AD04-FB1E73F84FC4}">
  <sheetPr>
    <tabColor theme="5" tint="0.79998168889431442"/>
  </sheetPr>
  <dimension ref="A1:Y202"/>
  <sheetViews>
    <sheetView showGridLines="0" zoomScale="85" zoomScaleNormal="85" workbookViewId="0">
      <pane xSplit="6" ySplit="5" topLeftCell="G16" activePane="bottomRight" state="frozen"/>
      <selection activeCell="L78" sqref="L78"/>
      <selection pane="topRight" activeCell="L78" sqref="L78"/>
      <selection pane="bottomLeft" activeCell="L78" sqref="L78"/>
      <selection pane="bottomRight" activeCell="L103" sqref="L103"/>
    </sheetView>
  </sheetViews>
  <sheetFormatPr defaultRowHeight="14.5" zeroHeight="1" x14ac:dyDescent="0.35"/>
  <cols>
    <col min="1" max="1" width="35.08203125" bestFit="1" customWidth="1"/>
    <col min="2" max="2" width="12.5" bestFit="1" customWidth="1"/>
    <col min="3" max="3" width="18.75" customWidth="1"/>
    <col min="6" max="6" width="0.75" customWidth="1"/>
    <col min="7" max="7" width="11.08203125" style="143" bestFit="1" customWidth="1"/>
    <col min="8" max="8" width="13.33203125" style="143" bestFit="1" customWidth="1"/>
    <col min="9" max="9" width="11.08203125" customWidth="1"/>
    <col min="10" max="10" width="0.75" customWidth="1"/>
    <col min="11" max="11" width="11" customWidth="1"/>
    <col min="12" max="12" width="12.75" customWidth="1"/>
    <col min="13" max="13" width="11.33203125" customWidth="1"/>
    <col min="14" max="14" width="1.33203125" customWidth="1"/>
    <col min="15" max="15" width="9.75" customWidth="1"/>
    <col min="16" max="16" width="1.33203125" customWidth="1"/>
    <col min="17" max="18" width="8.58203125" style="143"/>
    <col min="20" max="20" width="1" customWidth="1"/>
    <col min="24" max="24" width="1.33203125" customWidth="1"/>
    <col min="25" max="25" width="12.33203125" bestFit="1" customWidth="1"/>
  </cols>
  <sheetData>
    <row r="1" spans="1:25" ht="33.75" customHeight="1" x14ac:dyDescent="0.35"/>
    <row r="2" spans="1:25" x14ac:dyDescent="0.35"/>
    <row r="3" spans="1:25" ht="15" thickBot="1" x14ac:dyDescent="0.4">
      <c r="A3" s="187" t="s">
        <v>244</v>
      </c>
      <c r="B3" s="187" t="s">
        <v>245</v>
      </c>
      <c r="C3" s="187" t="s">
        <v>246</v>
      </c>
      <c r="D3" s="187" t="s">
        <v>247</v>
      </c>
      <c r="E3" s="187" t="s">
        <v>248</v>
      </c>
      <c r="G3" s="184" t="s">
        <v>249</v>
      </c>
      <c r="H3" s="184"/>
      <c r="I3" s="184"/>
      <c r="J3" s="184"/>
      <c r="K3" s="184"/>
      <c r="L3" s="184"/>
      <c r="M3" s="184"/>
      <c r="O3" s="42" t="s">
        <v>250</v>
      </c>
      <c r="Q3" s="184" t="s">
        <v>251</v>
      </c>
      <c r="R3" s="184"/>
      <c r="S3" s="184"/>
      <c r="T3" s="184"/>
      <c r="U3" s="184"/>
      <c r="V3" s="184"/>
      <c r="W3" s="184"/>
      <c r="Y3" s="42" t="s">
        <v>250</v>
      </c>
    </row>
    <row r="4" spans="1:25" s="36" customFormat="1" ht="33" customHeight="1" x14ac:dyDescent="0.35">
      <c r="A4" s="187"/>
      <c r="B4" s="187"/>
      <c r="C4" s="187"/>
      <c r="D4" s="187"/>
      <c r="E4" s="187"/>
      <c r="G4" s="185" t="s">
        <v>252</v>
      </c>
      <c r="H4" s="185"/>
      <c r="I4" s="185"/>
      <c r="K4" s="186" t="s">
        <v>1688</v>
      </c>
      <c r="L4" s="185"/>
      <c r="M4" s="185"/>
      <c r="O4" s="43" t="s">
        <v>254</v>
      </c>
      <c r="Q4" s="185" t="s">
        <v>252</v>
      </c>
      <c r="R4" s="185"/>
      <c r="S4" s="185"/>
      <c r="U4" s="185" t="s">
        <v>253</v>
      </c>
      <c r="V4" s="185"/>
      <c r="W4" s="185"/>
      <c r="Y4" s="43" t="s">
        <v>254</v>
      </c>
    </row>
    <row r="5" spans="1:25" s="36" customFormat="1" ht="35.25" customHeight="1" x14ac:dyDescent="0.35">
      <c r="A5" s="188"/>
      <c r="B5" s="188"/>
      <c r="C5" s="188"/>
      <c r="D5" s="188"/>
      <c r="E5" s="188"/>
      <c r="G5" s="144" t="s">
        <v>255</v>
      </c>
      <c r="H5" s="144" t="s">
        <v>254</v>
      </c>
      <c r="I5" s="38" t="s">
        <v>256</v>
      </c>
      <c r="J5" s="39"/>
      <c r="K5" s="38" t="s">
        <v>255</v>
      </c>
      <c r="L5" s="38" t="s">
        <v>254</v>
      </c>
      <c r="M5" s="38" t="s">
        <v>256</v>
      </c>
      <c r="Q5" s="144" t="s">
        <v>255</v>
      </c>
      <c r="R5" s="144" t="s">
        <v>254</v>
      </c>
      <c r="S5" s="38" t="s">
        <v>256</v>
      </c>
      <c r="T5" s="39"/>
      <c r="U5" s="38" t="s">
        <v>255</v>
      </c>
      <c r="V5" s="38" t="s">
        <v>254</v>
      </c>
      <c r="W5" s="38" t="s">
        <v>256</v>
      </c>
    </row>
    <row r="6" spans="1:25" x14ac:dyDescent="0.35">
      <c r="A6" t="s">
        <v>257</v>
      </c>
      <c r="B6" s="33" t="s">
        <v>96</v>
      </c>
      <c r="C6" s="52" t="s">
        <v>258</v>
      </c>
      <c r="D6" s="52" t="s">
        <v>259</v>
      </c>
      <c r="E6" s="52" t="s">
        <v>260</v>
      </c>
      <c r="G6" s="145"/>
      <c r="H6" s="145"/>
      <c r="I6" s="35"/>
      <c r="K6" s="47">
        <f>G6/22</f>
        <v>0</v>
      </c>
      <c r="L6" s="47">
        <f t="shared" ref="L6:L52" si="0">H6/22</f>
        <v>0</v>
      </c>
      <c r="M6" s="44">
        <f>I6</f>
        <v>0</v>
      </c>
      <c r="O6" s="46">
        <f t="shared" ref="O6:O37" si="1">IF(M6="USD",L6*EXR,L6)</f>
        <v>0</v>
      </c>
      <c r="Q6" s="145"/>
      <c r="R6" s="145"/>
      <c r="S6" s="35"/>
      <c r="U6" s="19">
        <f>Q6/22</f>
        <v>0</v>
      </c>
      <c r="V6" s="19">
        <f t="shared" ref="V6:V70" si="2">R6/22</f>
        <v>0</v>
      </c>
      <c r="W6" s="44">
        <f>S6</f>
        <v>0</v>
      </c>
      <c r="Y6" s="41">
        <f t="shared" ref="Y6:Y37" si="3">IF(W6="USD",V6*EXR,V6)</f>
        <v>0</v>
      </c>
    </row>
    <row r="7" spans="1:25" x14ac:dyDescent="0.35">
      <c r="A7" t="s">
        <v>23</v>
      </c>
      <c r="B7" s="33" t="s">
        <v>96</v>
      </c>
      <c r="C7" s="52" t="s">
        <v>261</v>
      </c>
      <c r="D7" s="52" t="s">
        <v>259</v>
      </c>
      <c r="E7" s="52" t="s">
        <v>260</v>
      </c>
      <c r="G7" s="145"/>
      <c r="H7" s="145"/>
      <c r="I7" s="35"/>
      <c r="K7" s="47">
        <f t="shared" ref="K7:K71" si="4">G7/22</f>
        <v>0</v>
      </c>
      <c r="L7" s="47">
        <f t="shared" si="0"/>
        <v>0</v>
      </c>
      <c r="M7" s="44">
        <f t="shared" ref="M7:M71" si="5">I7</f>
        <v>0</v>
      </c>
      <c r="O7" s="46">
        <f t="shared" si="1"/>
        <v>0</v>
      </c>
      <c r="Q7" s="145"/>
      <c r="R7" s="145"/>
      <c r="S7" s="35"/>
      <c r="U7" s="19">
        <f t="shared" ref="U7:U71" si="6">Q7/22</f>
        <v>0</v>
      </c>
      <c r="V7" s="19">
        <f t="shared" si="2"/>
        <v>0</v>
      </c>
      <c r="W7" s="44">
        <f t="shared" ref="W7:W71" si="7">S7</f>
        <v>0</v>
      </c>
      <c r="Y7" s="41">
        <f t="shared" si="3"/>
        <v>0</v>
      </c>
    </row>
    <row r="8" spans="1:25" x14ac:dyDescent="0.35">
      <c r="A8" t="s">
        <v>51</v>
      </c>
      <c r="B8" s="33" t="s">
        <v>96</v>
      </c>
      <c r="C8" s="52" t="s">
        <v>261</v>
      </c>
      <c r="D8" s="52" t="s">
        <v>259</v>
      </c>
      <c r="E8" s="52" t="s">
        <v>262</v>
      </c>
      <c r="G8" s="145"/>
      <c r="H8" s="145"/>
      <c r="I8" s="35"/>
      <c r="K8" s="47">
        <f t="shared" si="4"/>
        <v>0</v>
      </c>
      <c r="L8" s="47">
        <f t="shared" si="0"/>
        <v>0</v>
      </c>
      <c r="M8" s="44">
        <f t="shared" si="5"/>
        <v>0</v>
      </c>
      <c r="O8" s="46">
        <f t="shared" si="1"/>
        <v>0</v>
      </c>
      <c r="Q8" s="145"/>
      <c r="R8" s="145"/>
      <c r="S8" s="35"/>
      <c r="U8" s="19">
        <f t="shared" si="6"/>
        <v>0</v>
      </c>
      <c r="V8" s="19">
        <f t="shared" si="2"/>
        <v>0</v>
      </c>
      <c r="W8" s="44">
        <f t="shared" si="7"/>
        <v>0</v>
      </c>
      <c r="Y8" s="41">
        <f t="shared" si="3"/>
        <v>0</v>
      </c>
    </row>
    <row r="9" spans="1:25" x14ac:dyDescent="0.35">
      <c r="A9" t="s">
        <v>263</v>
      </c>
      <c r="B9" s="33" t="s">
        <v>96</v>
      </c>
      <c r="C9" s="52" t="s">
        <v>264</v>
      </c>
      <c r="D9" s="52" t="s">
        <v>259</v>
      </c>
      <c r="E9" s="52" t="s">
        <v>262</v>
      </c>
      <c r="G9" s="145">
        <v>4840000</v>
      </c>
      <c r="H9" s="145">
        <v>4840000</v>
      </c>
      <c r="I9" s="35" t="s">
        <v>265</v>
      </c>
      <c r="K9" s="47">
        <f t="shared" si="4"/>
        <v>220000</v>
      </c>
      <c r="L9" s="47">
        <f t="shared" si="0"/>
        <v>220000</v>
      </c>
      <c r="M9" s="44" t="str">
        <f t="shared" si="5"/>
        <v>VND</v>
      </c>
      <c r="O9" s="46">
        <f t="shared" si="1"/>
        <v>220000</v>
      </c>
      <c r="Q9" s="145"/>
      <c r="R9" s="145"/>
      <c r="S9" s="35"/>
      <c r="U9" s="19">
        <f t="shared" si="6"/>
        <v>0</v>
      </c>
      <c r="V9" s="19">
        <f t="shared" si="2"/>
        <v>0</v>
      </c>
      <c r="W9" s="44">
        <f t="shared" si="7"/>
        <v>0</v>
      </c>
      <c r="Y9" s="41">
        <f t="shared" si="3"/>
        <v>0</v>
      </c>
    </row>
    <row r="10" spans="1:25" x14ac:dyDescent="0.35">
      <c r="A10" t="s">
        <v>266</v>
      </c>
      <c r="B10" s="33" t="s">
        <v>96</v>
      </c>
      <c r="C10" s="52" t="s">
        <v>258</v>
      </c>
      <c r="D10" s="52" t="s">
        <v>259</v>
      </c>
      <c r="E10" s="52" t="s">
        <v>262</v>
      </c>
      <c r="G10" s="145"/>
      <c r="H10" s="145"/>
      <c r="I10" s="35"/>
      <c r="K10" s="47">
        <f t="shared" si="4"/>
        <v>0</v>
      </c>
      <c r="L10" s="47">
        <f t="shared" si="0"/>
        <v>0</v>
      </c>
      <c r="M10" s="44">
        <f t="shared" si="5"/>
        <v>0</v>
      </c>
      <c r="O10" s="46">
        <f t="shared" si="1"/>
        <v>0</v>
      </c>
      <c r="Q10" s="145"/>
      <c r="R10" s="145"/>
      <c r="S10" s="35"/>
      <c r="U10" s="19">
        <f t="shared" si="6"/>
        <v>0</v>
      </c>
      <c r="V10" s="19">
        <f t="shared" si="2"/>
        <v>0</v>
      </c>
      <c r="W10" s="44">
        <f t="shared" si="7"/>
        <v>0</v>
      </c>
      <c r="Y10" s="41">
        <f t="shared" si="3"/>
        <v>0</v>
      </c>
    </row>
    <row r="11" spans="1:25" x14ac:dyDescent="0.35">
      <c r="A11" t="s">
        <v>267</v>
      </c>
      <c r="B11" s="33" t="s">
        <v>96</v>
      </c>
      <c r="C11" s="52" t="s">
        <v>264</v>
      </c>
      <c r="D11" s="52" t="s">
        <v>259</v>
      </c>
      <c r="E11" s="52" t="s">
        <v>262</v>
      </c>
      <c r="G11" s="145">
        <v>3800000</v>
      </c>
      <c r="H11" s="145">
        <v>3800000</v>
      </c>
      <c r="I11" s="35" t="s">
        <v>265</v>
      </c>
      <c r="K11" s="47">
        <f t="shared" si="4"/>
        <v>172727.27272727274</v>
      </c>
      <c r="L11" s="47">
        <f t="shared" si="0"/>
        <v>172727.27272727274</v>
      </c>
      <c r="M11" s="44" t="str">
        <f t="shared" si="5"/>
        <v>VND</v>
      </c>
      <c r="O11" s="46">
        <f t="shared" si="1"/>
        <v>172727.27272727274</v>
      </c>
      <c r="Q11" s="145"/>
      <c r="R11" s="145"/>
      <c r="S11" s="35"/>
      <c r="U11" s="19">
        <f t="shared" si="6"/>
        <v>0</v>
      </c>
      <c r="V11" s="19">
        <f t="shared" si="2"/>
        <v>0</v>
      </c>
      <c r="W11" s="44">
        <f t="shared" si="7"/>
        <v>0</v>
      </c>
      <c r="Y11" s="41">
        <f t="shared" si="3"/>
        <v>0</v>
      </c>
    </row>
    <row r="12" spans="1:25" x14ac:dyDescent="0.35">
      <c r="A12" t="s">
        <v>45</v>
      </c>
      <c r="B12" s="33" t="s">
        <v>96</v>
      </c>
      <c r="C12" s="52" t="s">
        <v>259</v>
      </c>
      <c r="D12" s="52" t="s">
        <v>259</v>
      </c>
      <c r="E12" s="52" t="s">
        <v>260</v>
      </c>
      <c r="G12" s="145"/>
      <c r="H12" s="145"/>
      <c r="I12" s="35"/>
      <c r="K12" s="47">
        <f t="shared" si="4"/>
        <v>0</v>
      </c>
      <c r="L12" s="47">
        <f t="shared" si="0"/>
        <v>0</v>
      </c>
      <c r="M12" s="44">
        <f t="shared" si="5"/>
        <v>0</v>
      </c>
      <c r="O12" s="46">
        <f t="shared" si="1"/>
        <v>0</v>
      </c>
      <c r="Q12" s="145"/>
      <c r="R12" s="145"/>
      <c r="S12" s="35"/>
      <c r="U12" s="19">
        <f t="shared" si="6"/>
        <v>0</v>
      </c>
      <c r="V12" s="19">
        <f t="shared" si="2"/>
        <v>0</v>
      </c>
      <c r="W12" s="44">
        <f t="shared" si="7"/>
        <v>0</v>
      </c>
      <c r="Y12" s="41">
        <f t="shared" si="3"/>
        <v>0</v>
      </c>
    </row>
    <row r="13" spans="1:25" x14ac:dyDescent="0.35">
      <c r="A13" t="s">
        <v>44</v>
      </c>
      <c r="B13" s="33" t="s">
        <v>96</v>
      </c>
      <c r="C13" s="52" t="s">
        <v>258</v>
      </c>
      <c r="D13" s="52" t="s">
        <v>259</v>
      </c>
      <c r="E13" s="52" t="s">
        <v>262</v>
      </c>
      <c r="G13" s="145"/>
      <c r="H13" s="145"/>
      <c r="I13" s="35"/>
      <c r="K13" s="47">
        <f t="shared" si="4"/>
        <v>0</v>
      </c>
      <c r="L13" s="47">
        <f t="shared" si="0"/>
        <v>0</v>
      </c>
      <c r="M13" s="44">
        <f t="shared" si="5"/>
        <v>0</v>
      </c>
      <c r="O13" s="46">
        <f t="shared" si="1"/>
        <v>0</v>
      </c>
      <c r="Q13" s="145"/>
      <c r="R13" s="145"/>
      <c r="S13" s="35"/>
      <c r="U13" s="19">
        <f t="shared" si="6"/>
        <v>0</v>
      </c>
      <c r="V13" s="19">
        <f t="shared" si="2"/>
        <v>0</v>
      </c>
      <c r="W13" s="44">
        <f t="shared" si="7"/>
        <v>0</v>
      </c>
      <c r="Y13" s="41">
        <f t="shared" si="3"/>
        <v>0</v>
      </c>
    </row>
    <row r="14" spans="1:25" x14ac:dyDescent="0.35">
      <c r="A14" t="s">
        <v>52</v>
      </c>
      <c r="B14" s="33" t="s">
        <v>96</v>
      </c>
      <c r="C14" s="52" t="s">
        <v>268</v>
      </c>
      <c r="D14" s="52" t="s">
        <v>259</v>
      </c>
      <c r="E14" s="52" t="s">
        <v>260</v>
      </c>
      <c r="G14" s="145"/>
      <c r="H14" s="145"/>
      <c r="I14" s="35"/>
      <c r="K14" s="47">
        <f t="shared" si="4"/>
        <v>0</v>
      </c>
      <c r="L14" s="47">
        <f t="shared" si="0"/>
        <v>0</v>
      </c>
      <c r="M14" s="44">
        <f t="shared" si="5"/>
        <v>0</v>
      </c>
      <c r="O14" s="46">
        <f t="shared" si="1"/>
        <v>0</v>
      </c>
      <c r="Q14" s="145"/>
      <c r="R14" s="145"/>
      <c r="S14" s="35"/>
      <c r="U14" s="19">
        <f t="shared" si="6"/>
        <v>0</v>
      </c>
      <c r="V14" s="19">
        <f t="shared" si="2"/>
        <v>0</v>
      </c>
      <c r="W14" s="44">
        <f t="shared" si="7"/>
        <v>0</v>
      </c>
      <c r="Y14" s="41">
        <f t="shared" si="3"/>
        <v>0</v>
      </c>
    </row>
    <row r="15" spans="1:25" x14ac:dyDescent="0.35">
      <c r="A15" t="s">
        <v>59</v>
      </c>
      <c r="B15" s="33" t="s">
        <v>96</v>
      </c>
      <c r="C15" s="52" t="s">
        <v>259</v>
      </c>
      <c r="D15" s="52" t="s">
        <v>259</v>
      </c>
      <c r="E15" s="52" t="s">
        <v>260</v>
      </c>
      <c r="G15" s="145"/>
      <c r="H15" s="145"/>
      <c r="I15" s="35"/>
      <c r="K15" s="47">
        <f t="shared" si="4"/>
        <v>0</v>
      </c>
      <c r="L15" s="47">
        <f t="shared" si="0"/>
        <v>0</v>
      </c>
      <c r="M15" s="44">
        <f t="shared" si="5"/>
        <v>0</v>
      </c>
      <c r="O15" s="46">
        <f t="shared" si="1"/>
        <v>0</v>
      </c>
      <c r="Q15" s="145"/>
      <c r="R15" s="145"/>
      <c r="S15" s="35"/>
      <c r="U15" s="19">
        <f t="shared" si="6"/>
        <v>0</v>
      </c>
      <c r="V15" s="19">
        <f t="shared" si="2"/>
        <v>0</v>
      </c>
      <c r="W15" s="44">
        <f t="shared" si="7"/>
        <v>0</v>
      </c>
      <c r="Y15" s="41">
        <f t="shared" si="3"/>
        <v>0</v>
      </c>
    </row>
    <row r="16" spans="1:25" x14ac:dyDescent="0.35">
      <c r="A16" t="s">
        <v>53</v>
      </c>
      <c r="B16" s="33" t="s">
        <v>96</v>
      </c>
      <c r="C16" s="52" t="s">
        <v>268</v>
      </c>
      <c r="D16" s="52" t="s">
        <v>259</v>
      </c>
      <c r="E16" s="52" t="s">
        <v>262</v>
      </c>
      <c r="G16" s="145"/>
      <c r="H16" s="145"/>
      <c r="I16" s="35"/>
      <c r="K16" s="47">
        <f t="shared" si="4"/>
        <v>0</v>
      </c>
      <c r="L16" s="47">
        <f t="shared" si="0"/>
        <v>0</v>
      </c>
      <c r="M16" s="44">
        <f t="shared" si="5"/>
        <v>0</v>
      </c>
      <c r="O16" s="46">
        <f t="shared" si="1"/>
        <v>0</v>
      </c>
      <c r="Q16" s="145"/>
      <c r="R16" s="145"/>
      <c r="S16" s="35"/>
      <c r="U16" s="19">
        <f t="shared" si="6"/>
        <v>0</v>
      </c>
      <c r="V16" s="19">
        <f t="shared" si="2"/>
        <v>0</v>
      </c>
      <c r="W16" s="44">
        <f t="shared" si="7"/>
        <v>0</v>
      </c>
      <c r="Y16" s="41">
        <f t="shared" si="3"/>
        <v>0</v>
      </c>
    </row>
    <row r="17" spans="1:25" x14ac:dyDescent="0.35">
      <c r="A17" t="s">
        <v>269</v>
      </c>
      <c r="B17" s="33" t="s">
        <v>96</v>
      </c>
      <c r="C17" s="52" t="s">
        <v>258</v>
      </c>
      <c r="D17" s="52" t="s">
        <v>259</v>
      </c>
      <c r="E17" s="52" t="s">
        <v>262</v>
      </c>
      <c r="G17" s="145">
        <v>4400000</v>
      </c>
      <c r="H17" s="145">
        <v>4400000</v>
      </c>
      <c r="I17" s="35" t="s">
        <v>265</v>
      </c>
      <c r="K17" s="47">
        <f t="shared" si="4"/>
        <v>200000</v>
      </c>
      <c r="L17" s="47">
        <f t="shared" si="0"/>
        <v>200000</v>
      </c>
      <c r="M17" s="44" t="str">
        <f t="shared" si="5"/>
        <v>VND</v>
      </c>
      <c r="O17" s="46">
        <f t="shared" si="1"/>
        <v>200000</v>
      </c>
      <c r="Q17" s="145"/>
      <c r="R17" s="145"/>
      <c r="S17" s="35"/>
      <c r="U17" s="19">
        <f t="shared" si="6"/>
        <v>0</v>
      </c>
      <c r="V17" s="19">
        <f t="shared" si="2"/>
        <v>0</v>
      </c>
      <c r="W17" s="44">
        <f t="shared" si="7"/>
        <v>0</v>
      </c>
      <c r="Y17" s="41">
        <f t="shared" si="3"/>
        <v>0</v>
      </c>
    </row>
    <row r="18" spans="1:25" x14ac:dyDescent="0.35">
      <c r="A18" t="s">
        <v>56</v>
      </c>
      <c r="B18" s="33" t="s">
        <v>96</v>
      </c>
      <c r="C18" s="52" t="s">
        <v>258</v>
      </c>
      <c r="D18" s="52" t="s">
        <v>259</v>
      </c>
      <c r="E18" s="52" t="s">
        <v>260</v>
      </c>
      <c r="G18" s="145"/>
      <c r="H18" s="145"/>
      <c r="I18" s="35"/>
      <c r="K18" s="47">
        <f t="shared" si="4"/>
        <v>0</v>
      </c>
      <c r="L18" s="47">
        <f t="shared" si="0"/>
        <v>0</v>
      </c>
      <c r="M18" s="44">
        <f t="shared" si="5"/>
        <v>0</v>
      </c>
      <c r="O18" s="46">
        <f t="shared" si="1"/>
        <v>0</v>
      </c>
      <c r="Q18" s="145"/>
      <c r="R18" s="145"/>
      <c r="S18" s="35"/>
      <c r="U18" s="19">
        <f t="shared" si="6"/>
        <v>0</v>
      </c>
      <c r="V18" s="19">
        <f t="shared" si="2"/>
        <v>0</v>
      </c>
      <c r="W18" s="44">
        <f t="shared" si="7"/>
        <v>0</v>
      </c>
      <c r="Y18" s="41">
        <f t="shared" si="3"/>
        <v>0</v>
      </c>
    </row>
    <row r="19" spans="1:25" x14ac:dyDescent="0.35">
      <c r="A19" t="s">
        <v>57</v>
      </c>
      <c r="B19" s="33" t="s">
        <v>96</v>
      </c>
      <c r="C19" s="52" t="s">
        <v>258</v>
      </c>
      <c r="D19" s="52" t="s">
        <v>259</v>
      </c>
      <c r="E19" s="52" t="s">
        <v>262</v>
      </c>
      <c r="G19" s="145"/>
      <c r="H19" s="145"/>
      <c r="I19" s="35"/>
      <c r="K19" s="47">
        <f t="shared" si="4"/>
        <v>0</v>
      </c>
      <c r="L19" s="47">
        <f t="shared" si="0"/>
        <v>0</v>
      </c>
      <c r="M19" s="44">
        <f t="shared" si="5"/>
        <v>0</v>
      </c>
      <c r="O19" s="46">
        <f t="shared" si="1"/>
        <v>0</v>
      </c>
      <c r="Q19" s="145"/>
      <c r="R19" s="145"/>
      <c r="S19" s="35"/>
      <c r="U19" s="19">
        <f t="shared" si="6"/>
        <v>0</v>
      </c>
      <c r="V19" s="19">
        <f t="shared" si="2"/>
        <v>0</v>
      </c>
      <c r="W19" s="44">
        <f t="shared" si="7"/>
        <v>0</v>
      </c>
      <c r="Y19" s="41">
        <f t="shared" si="3"/>
        <v>0</v>
      </c>
    </row>
    <row r="20" spans="1:25" x14ac:dyDescent="0.35">
      <c r="A20" t="s">
        <v>270</v>
      </c>
      <c r="B20" s="33" t="s">
        <v>96</v>
      </c>
      <c r="C20" s="52" t="s">
        <v>261</v>
      </c>
      <c r="D20" s="52" t="s">
        <v>259</v>
      </c>
      <c r="E20" s="52" t="s">
        <v>262</v>
      </c>
      <c r="G20" s="145"/>
      <c r="H20" s="145"/>
      <c r="I20" s="35"/>
      <c r="K20" s="47">
        <f t="shared" si="4"/>
        <v>0</v>
      </c>
      <c r="L20" s="47">
        <f t="shared" si="0"/>
        <v>0</v>
      </c>
      <c r="M20" s="44">
        <f t="shared" si="5"/>
        <v>0</v>
      </c>
      <c r="O20" s="46">
        <f t="shared" si="1"/>
        <v>0</v>
      </c>
      <c r="Q20" s="145"/>
      <c r="R20" s="145"/>
      <c r="S20" s="35"/>
      <c r="U20" s="19">
        <f t="shared" si="6"/>
        <v>0</v>
      </c>
      <c r="V20" s="19">
        <f t="shared" si="2"/>
        <v>0</v>
      </c>
      <c r="W20" s="44">
        <f t="shared" si="7"/>
        <v>0</v>
      </c>
      <c r="Y20" s="41">
        <f t="shared" si="3"/>
        <v>0</v>
      </c>
    </row>
    <row r="21" spans="1:25" x14ac:dyDescent="0.35">
      <c r="A21" t="s">
        <v>26</v>
      </c>
      <c r="B21" s="33" t="s">
        <v>96</v>
      </c>
      <c r="C21" s="52" t="s">
        <v>261</v>
      </c>
      <c r="D21" s="52" t="s">
        <v>259</v>
      </c>
      <c r="E21" s="52" t="s">
        <v>262</v>
      </c>
      <c r="G21" s="145"/>
      <c r="H21" s="145"/>
      <c r="I21" s="35"/>
      <c r="K21" s="47">
        <f t="shared" si="4"/>
        <v>0</v>
      </c>
      <c r="L21" s="47">
        <f t="shared" si="0"/>
        <v>0</v>
      </c>
      <c r="M21" s="44">
        <f t="shared" si="5"/>
        <v>0</v>
      </c>
      <c r="O21" s="46">
        <f t="shared" si="1"/>
        <v>0</v>
      </c>
      <c r="Q21" s="145"/>
      <c r="R21" s="145"/>
      <c r="S21" s="35"/>
      <c r="U21" s="19">
        <f t="shared" si="6"/>
        <v>0</v>
      </c>
      <c r="V21" s="19">
        <f t="shared" si="2"/>
        <v>0</v>
      </c>
      <c r="W21" s="44">
        <f t="shared" si="7"/>
        <v>0</v>
      </c>
      <c r="Y21" s="41">
        <f t="shared" si="3"/>
        <v>0</v>
      </c>
    </row>
    <row r="22" spans="1:25" x14ac:dyDescent="0.35">
      <c r="A22" t="s">
        <v>54</v>
      </c>
      <c r="B22" s="33" t="s">
        <v>96</v>
      </c>
      <c r="C22" s="52" t="s">
        <v>268</v>
      </c>
      <c r="D22" s="52" t="s">
        <v>259</v>
      </c>
      <c r="E22" s="52" t="s">
        <v>260</v>
      </c>
      <c r="G22" s="145"/>
      <c r="H22" s="145"/>
      <c r="I22" s="35"/>
      <c r="K22" s="47">
        <f t="shared" si="4"/>
        <v>0</v>
      </c>
      <c r="L22" s="47">
        <f t="shared" si="0"/>
        <v>0</v>
      </c>
      <c r="M22" s="44">
        <f t="shared" si="5"/>
        <v>0</v>
      </c>
      <c r="O22" s="46">
        <f t="shared" si="1"/>
        <v>0</v>
      </c>
      <c r="Q22" s="145"/>
      <c r="R22" s="145"/>
      <c r="S22" s="35"/>
      <c r="U22" s="19">
        <f t="shared" si="6"/>
        <v>0</v>
      </c>
      <c r="V22" s="19">
        <f t="shared" si="2"/>
        <v>0</v>
      </c>
      <c r="W22" s="44">
        <f t="shared" si="7"/>
        <v>0</v>
      </c>
      <c r="Y22" s="41">
        <f t="shared" si="3"/>
        <v>0</v>
      </c>
    </row>
    <row r="23" spans="1:25" x14ac:dyDescent="0.35">
      <c r="A23" t="s">
        <v>25</v>
      </c>
      <c r="B23" s="33" t="s">
        <v>96</v>
      </c>
      <c r="C23" s="52" t="s">
        <v>261</v>
      </c>
      <c r="D23" s="52" t="s">
        <v>259</v>
      </c>
      <c r="E23" s="52" t="s">
        <v>262</v>
      </c>
      <c r="G23" s="145"/>
      <c r="H23" s="145"/>
      <c r="I23" s="35"/>
      <c r="K23" s="47">
        <f t="shared" si="4"/>
        <v>0</v>
      </c>
      <c r="L23" s="47">
        <f t="shared" si="0"/>
        <v>0</v>
      </c>
      <c r="M23" s="44">
        <f t="shared" si="5"/>
        <v>0</v>
      </c>
      <c r="O23" s="46">
        <f t="shared" si="1"/>
        <v>0</v>
      </c>
      <c r="Q23" s="145"/>
      <c r="R23" s="145"/>
      <c r="S23" s="35"/>
      <c r="U23" s="19">
        <f t="shared" si="6"/>
        <v>0</v>
      </c>
      <c r="V23" s="19">
        <f t="shared" si="2"/>
        <v>0</v>
      </c>
      <c r="W23" s="44">
        <f t="shared" si="7"/>
        <v>0</v>
      </c>
      <c r="Y23" s="41">
        <f t="shared" si="3"/>
        <v>0</v>
      </c>
    </row>
    <row r="24" spans="1:25" x14ac:dyDescent="0.35">
      <c r="A24" t="s">
        <v>271</v>
      </c>
      <c r="B24" s="33" t="s">
        <v>96</v>
      </c>
      <c r="C24" s="52" t="s">
        <v>258</v>
      </c>
      <c r="D24" s="52" t="s">
        <v>259</v>
      </c>
      <c r="E24" s="52" t="s">
        <v>262</v>
      </c>
      <c r="G24" s="145"/>
      <c r="H24" s="145"/>
      <c r="I24" s="35"/>
      <c r="K24" s="47">
        <f t="shared" si="4"/>
        <v>0</v>
      </c>
      <c r="L24" s="47">
        <f t="shared" si="0"/>
        <v>0</v>
      </c>
      <c r="M24" s="44">
        <f t="shared" si="5"/>
        <v>0</v>
      </c>
      <c r="O24" s="46">
        <f t="shared" si="1"/>
        <v>0</v>
      </c>
      <c r="Q24" s="145"/>
      <c r="R24" s="145"/>
      <c r="S24" s="35"/>
      <c r="U24" s="19">
        <f t="shared" si="6"/>
        <v>0</v>
      </c>
      <c r="V24" s="19">
        <f t="shared" si="2"/>
        <v>0</v>
      </c>
      <c r="W24" s="44">
        <f t="shared" si="7"/>
        <v>0</v>
      </c>
      <c r="Y24" s="41">
        <f t="shared" si="3"/>
        <v>0</v>
      </c>
    </row>
    <row r="25" spans="1:25" x14ac:dyDescent="0.35">
      <c r="A25" t="s">
        <v>272</v>
      </c>
      <c r="B25" s="33" t="s">
        <v>96</v>
      </c>
      <c r="C25" s="52" t="s">
        <v>258</v>
      </c>
      <c r="D25" s="52" t="s">
        <v>259</v>
      </c>
      <c r="E25" s="52" t="s">
        <v>260</v>
      </c>
      <c r="G25" s="145"/>
      <c r="H25" s="145"/>
      <c r="I25" s="35"/>
      <c r="K25" s="47">
        <f t="shared" si="4"/>
        <v>0</v>
      </c>
      <c r="L25" s="47">
        <f t="shared" si="0"/>
        <v>0</v>
      </c>
      <c r="M25" s="44">
        <f t="shared" si="5"/>
        <v>0</v>
      </c>
      <c r="O25" s="46">
        <f t="shared" si="1"/>
        <v>0</v>
      </c>
      <c r="Q25" s="145"/>
      <c r="R25" s="145"/>
      <c r="S25" s="35"/>
      <c r="U25" s="19">
        <f t="shared" si="6"/>
        <v>0</v>
      </c>
      <c r="V25" s="19">
        <f t="shared" si="2"/>
        <v>0</v>
      </c>
      <c r="W25" s="44">
        <f t="shared" si="7"/>
        <v>0</v>
      </c>
      <c r="Y25" s="41">
        <f t="shared" si="3"/>
        <v>0</v>
      </c>
    </row>
    <row r="26" spans="1:25" x14ac:dyDescent="0.35">
      <c r="A26" t="s">
        <v>63</v>
      </c>
      <c r="B26" s="33" t="s">
        <v>96</v>
      </c>
      <c r="C26" s="52" t="s">
        <v>258</v>
      </c>
      <c r="D26" s="52" t="s">
        <v>259</v>
      </c>
      <c r="E26" s="52" t="s">
        <v>262</v>
      </c>
      <c r="G26" s="145"/>
      <c r="H26" s="145"/>
      <c r="I26" s="35"/>
      <c r="K26" s="47">
        <f t="shared" si="4"/>
        <v>0</v>
      </c>
      <c r="L26" s="47">
        <f t="shared" si="0"/>
        <v>0</v>
      </c>
      <c r="M26" s="44">
        <f t="shared" si="5"/>
        <v>0</v>
      </c>
      <c r="O26" s="46">
        <f t="shared" si="1"/>
        <v>0</v>
      </c>
      <c r="Q26" s="145"/>
      <c r="R26" s="145"/>
      <c r="S26" s="35"/>
      <c r="U26" s="19">
        <f t="shared" si="6"/>
        <v>0</v>
      </c>
      <c r="V26" s="19">
        <f t="shared" si="2"/>
        <v>0</v>
      </c>
      <c r="W26" s="44">
        <f t="shared" si="7"/>
        <v>0</v>
      </c>
      <c r="Y26" s="41">
        <f t="shared" si="3"/>
        <v>0</v>
      </c>
    </row>
    <row r="27" spans="1:25" x14ac:dyDescent="0.35">
      <c r="A27" t="s">
        <v>105</v>
      </c>
      <c r="B27" s="33" t="s">
        <v>96</v>
      </c>
      <c r="C27" s="52" t="s">
        <v>261</v>
      </c>
      <c r="D27" s="52" t="s">
        <v>259</v>
      </c>
      <c r="E27" s="52" t="s">
        <v>262</v>
      </c>
      <c r="G27" s="145"/>
      <c r="H27" s="145"/>
      <c r="I27" s="35"/>
      <c r="K27" s="47">
        <f t="shared" si="4"/>
        <v>0</v>
      </c>
      <c r="L27" s="47">
        <f t="shared" si="0"/>
        <v>0</v>
      </c>
      <c r="M27" s="44">
        <f t="shared" si="5"/>
        <v>0</v>
      </c>
      <c r="O27" s="46">
        <f t="shared" si="1"/>
        <v>0</v>
      </c>
      <c r="Q27" s="145"/>
      <c r="R27" s="145"/>
      <c r="S27" s="35"/>
      <c r="U27" s="19">
        <f t="shared" si="6"/>
        <v>0</v>
      </c>
      <c r="V27" s="19">
        <f t="shared" si="2"/>
        <v>0</v>
      </c>
      <c r="W27" s="44">
        <f t="shared" si="7"/>
        <v>0</v>
      </c>
      <c r="Y27" s="41">
        <f t="shared" si="3"/>
        <v>0</v>
      </c>
    </row>
    <row r="28" spans="1:25" x14ac:dyDescent="0.35">
      <c r="A28" t="s">
        <v>58</v>
      </c>
      <c r="B28" s="33" t="s">
        <v>96</v>
      </c>
      <c r="C28" s="52" t="s">
        <v>258</v>
      </c>
      <c r="D28" s="52" t="s">
        <v>259</v>
      </c>
      <c r="E28" s="52" t="s">
        <v>262</v>
      </c>
      <c r="G28" s="145"/>
      <c r="H28" s="145"/>
      <c r="I28" s="35"/>
      <c r="K28" s="47">
        <f t="shared" si="4"/>
        <v>0</v>
      </c>
      <c r="L28" s="47">
        <f t="shared" si="0"/>
        <v>0</v>
      </c>
      <c r="M28" s="44">
        <f t="shared" si="5"/>
        <v>0</v>
      </c>
      <c r="O28" s="46">
        <f t="shared" si="1"/>
        <v>0</v>
      </c>
      <c r="Q28" s="145"/>
      <c r="R28" s="145"/>
      <c r="S28" s="35"/>
      <c r="U28" s="19">
        <f t="shared" si="6"/>
        <v>0</v>
      </c>
      <c r="V28" s="19">
        <f t="shared" si="2"/>
        <v>0</v>
      </c>
      <c r="W28" s="44">
        <f t="shared" si="7"/>
        <v>0</v>
      </c>
      <c r="Y28" s="41">
        <f t="shared" si="3"/>
        <v>0</v>
      </c>
    </row>
    <row r="29" spans="1:25" x14ac:dyDescent="0.35">
      <c r="A29" t="s">
        <v>148</v>
      </c>
      <c r="B29" s="33" t="s">
        <v>96</v>
      </c>
      <c r="C29" s="52" t="s">
        <v>261</v>
      </c>
      <c r="D29" s="52" t="s">
        <v>259</v>
      </c>
      <c r="E29" s="52" t="s">
        <v>260</v>
      </c>
      <c r="G29" s="145"/>
      <c r="H29" s="145"/>
      <c r="I29" s="35"/>
      <c r="K29" s="47">
        <f t="shared" si="4"/>
        <v>0</v>
      </c>
      <c r="L29" s="47">
        <f t="shared" si="0"/>
        <v>0</v>
      </c>
      <c r="M29" s="44">
        <f t="shared" si="5"/>
        <v>0</v>
      </c>
      <c r="O29" s="46">
        <f t="shared" si="1"/>
        <v>0</v>
      </c>
      <c r="Q29" s="145"/>
      <c r="R29" s="145"/>
      <c r="S29" s="35"/>
      <c r="U29" s="19">
        <f t="shared" si="6"/>
        <v>0</v>
      </c>
      <c r="V29" s="19">
        <f t="shared" si="2"/>
        <v>0</v>
      </c>
      <c r="W29" s="44">
        <f t="shared" si="7"/>
        <v>0</v>
      </c>
      <c r="Y29" s="41">
        <f t="shared" si="3"/>
        <v>0</v>
      </c>
    </row>
    <row r="30" spans="1:25" x14ac:dyDescent="0.35">
      <c r="A30" t="s">
        <v>62</v>
      </c>
      <c r="B30" s="33" t="s">
        <v>96</v>
      </c>
      <c r="C30" s="52" t="s">
        <v>258</v>
      </c>
      <c r="D30" s="52" t="s">
        <v>259</v>
      </c>
      <c r="E30" s="52" t="s">
        <v>262</v>
      </c>
      <c r="G30" s="145"/>
      <c r="H30" s="145"/>
      <c r="I30" s="35"/>
      <c r="K30" s="47">
        <f t="shared" si="4"/>
        <v>0</v>
      </c>
      <c r="L30" s="47">
        <f t="shared" si="0"/>
        <v>0</v>
      </c>
      <c r="M30" s="44">
        <f t="shared" si="5"/>
        <v>0</v>
      </c>
      <c r="O30" s="46">
        <f t="shared" si="1"/>
        <v>0</v>
      </c>
      <c r="Q30" s="145"/>
      <c r="R30" s="145"/>
      <c r="S30" s="35"/>
      <c r="U30" s="19">
        <f t="shared" si="6"/>
        <v>0</v>
      </c>
      <c r="V30" s="19">
        <f t="shared" si="2"/>
        <v>0</v>
      </c>
      <c r="W30" s="44">
        <f t="shared" si="7"/>
        <v>0</v>
      </c>
      <c r="Y30" s="41">
        <f t="shared" si="3"/>
        <v>0</v>
      </c>
    </row>
    <row r="31" spans="1:25" x14ac:dyDescent="0.35">
      <c r="A31" t="s">
        <v>65</v>
      </c>
      <c r="B31" s="33" t="s">
        <v>96</v>
      </c>
      <c r="C31" s="52" t="s">
        <v>261</v>
      </c>
      <c r="D31" s="52" t="s">
        <v>259</v>
      </c>
      <c r="E31" s="52" t="s">
        <v>260</v>
      </c>
      <c r="G31" s="145"/>
      <c r="H31" s="145"/>
      <c r="I31" s="35"/>
      <c r="K31" s="47">
        <f t="shared" si="4"/>
        <v>0</v>
      </c>
      <c r="L31" s="47">
        <f t="shared" si="0"/>
        <v>0</v>
      </c>
      <c r="M31" s="44">
        <f t="shared" si="5"/>
        <v>0</v>
      </c>
      <c r="O31" s="46">
        <f t="shared" si="1"/>
        <v>0</v>
      </c>
      <c r="Q31" s="145"/>
      <c r="R31" s="145"/>
      <c r="S31" s="35"/>
      <c r="U31" s="19">
        <f t="shared" si="6"/>
        <v>0</v>
      </c>
      <c r="V31" s="19">
        <f t="shared" si="2"/>
        <v>0</v>
      </c>
      <c r="W31" s="44">
        <f t="shared" si="7"/>
        <v>0</v>
      </c>
      <c r="Y31" s="41">
        <f t="shared" si="3"/>
        <v>0</v>
      </c>
    </row>
    <row r="32" spans="1:25" x14ac:dyDescent="0.35">
      <c r="A32" t="s">
        <v>106</v>
      </c>
      <c r="B32" s="33" t="s">
        <v>96</v>
      </c>
      <c r="C32" s="52" t="s">
        <v>258</v>
      </c>
      <c r="D32" s="52" t="s">
        <v>259</v>
      </c>
      <c r="E32" s="52" t="s">
        <v>262</v>
      </c>
      <c r="G32" s="145"/>
      <c r="H32" s="145"/>
      <c r="I32" s="35"/>
      <c r="K32" s="47">
        <f t="shared" si="4"/>
        <v>0</v>
      </c>
      <c r="L32" s="47">
        <f t="shared" si="0"/>
        <v>0</v>
      </c>
      <c r="M32" s="44">
        <f t="shared" si="5"/>
        <v>0</v>
      </c>
      <c r="O32" s="46">
        <f t="shared" si="1"/>
        <v>0</v>
      </c>
      <c r="Q32" s="145"/>
      <c r="R32" s="145"/>
      <c r="S32" s="35"/>
      <c r="U32" s="19">
        <f t="shared" si="6"/>
        <v>0</v>
      </c>
      <c r="V32" s="19">
        <f t="shared" si="2"/>
        <v>0</v>
      </c>
      <c r="W32" s="44">
        <f t="shared" si="7"/>
        <v>0</v>
      </c>
      <c r="Y32" s="41">
        <f t="shared" si="3"/>
        <v>0</v>
      </c>
    </row>
    <row r="33" spans="1:25" x14ac:dyDescent="0.35">
      <c r="A33" t="s">
        <v>273</v>
      </c>
      <c r="B33" s="33" t="s">
        <v>96</v>
      </c>
      <c r="C33" s="52" t="s">
        <v>261</v>
      </c>
      <c r="D33" s="52" t="s">
        <v>259</v>
      </c>
      <c r="E33" s="52" t="s">
        <v>262</v>
      </c>
      <c r="G33" s="145"/>
      <c r="H33" s="145"/>
      <c r="I33" s="35"/>
      <c r="K33" s="47">
        <f t="shared" si="4"/>
        <v>0</v>
      </c>
      <c r="L33" s="47">
        <f t="shared" si="0"/>
        <v>0</v>
      </c>
      <c r="M33" s="44">
        <f t="shared" si="5"/>
        <v>0</v>
      </c>
      <c r="O33" s="46">
        <f t="shared" si="1"/>
        <v>0</v>
      </c>
      <c r="Q33" s="145"/>
      <c r="R33" s="145"/>
      <c r="S33" s="35"/>
      <c r="U33" s="19">
        <f t="shared" si="6"/>
        <v>0</v>
      </c>
      <c r="V33" s="19">
        <f t="shared" si="2"/>
        <v>0</v>
      </c>
      <c r="W33" s="44">
        <f t="shared" si="7"/>
        <v>0</v>
      </c>
      <c r="Y33" s="41">
        <f t="shared" si="3"/>
        <v>0</v>
      </c>
    </row>
    <row r="34" spans="1:25" x14ac:dyDescent="0.35">
      <c r="A34" t="s">
        <v>72</v>
      </c>
      <c r="B34" s="33" t="s">
        <v>96</v>
      </c>
      <c r="C34" s="52" t="s">
        <v>261</v>
      </c>
      <c r="D34" s="52" t="s">
        <v>259</v>
      </c>
      <c r="E34" s="52" t="s">
        <v>260</v>
      </c>
      <c r="G34" s="145"/>
      <c r="H34" s="145"/>
      <c r="I34" s="35"/>
      <c r="K34" s="47">
        <f t="shared" si="4"/>
        <v>0</v>
      </c>
      <c r="L34" s="47">
        <f t="shared" si="0"/>
        <v>0</v>
      </c>
      <c r="M34" s="44">
        <f t="shared" si="5"/>
        <v>0</v>
      </c>
      <c r="O34" s="46">
        <f t="shared" si="1"/>
        <v>0</v>
      </c>
      <c r="Q34" s="145"/>
      <c r="R34" s="145"/>
      <c r="S34" s="35"/>
      <c r="U34" s="19">
        <f t="shared" si="6"/>
        <v>0</v>
      </c>
      <c r="V34" s="19">
        <f t="shared" si="2"/>
        <v>0</v>
      </c>
      <c r="W34" s="44">
        <f t="shared" si="7"/>
        <v>0</v>
      </c>
      <c r="Y34" s="41">
        <f t="shared" si="3"/>
        <v>0</v>
      </c>
    </row>
    <row r="35" spans="1:25" x14ac:dyDescent="0.35">
      <c r="A35" t="s">
        <v>155</v>
      </c>
      <c r="B35" s="33" t="s">
        <v>96</v>
      </c>
      <c r="C35" s="52" t="s">
        <v>258</v>
      </c>
      <c r="D35" s="52" t="s">
        <v>259</v>
      </c>
      <c r="E35" s="52" t="s">
        <v>260</v>
      </c>
      <c r="G35" s="145"/>
      <c r="H35" s="145"/>
      <c r="I35" s="35"/>
      <c r="K35" s="47">
        <f t="shared" si="4"/>
        <v>0</v>
      </c>
      <c r="L35" s="47">
        <f t="shared" si="0"/>
        <v>0</v>
      </c>
      <c r="M35" s="44">
        <f t="shared" si="5"/>
        <v>0</v>
      </c>
      <c r="O35" s="46">
        <f t="shared" si="1"/>
        <v>0</v>
      </c>
      <c r="Q35" s="145"/>
      <c r="R35" s="145"/>
      <c r="S35" s="35"/>
      <c r="U35" s="19">
        <f t="shared" si="6"/>
        <v>0</v>
      </c>
      <c r="V35" s="19">
        <f t="shared" si="2"/>
        <v>0</v>
      </c>
      <c r="W35" s="44">
        <f t="shared" si="7"/>
        <v>0</v>
      </c>
      <c r="Y35" s="41">
        <f t="shared" si="3"/>
        <v>0</v>
      </c>
    </row>
    <row r="36" spans="1:25" x14ac:dyDescent="0.35">
      <c r="A36" t="s">
        <v>71</v>
      </c>
      <c r="B36" s="33" t="s">
        <v>96</v>
      </c>
      <c r="C36" s="52" t="s">
        <v>274</v>
      </c>
      <c r="D36" s="52" t="s">
        <v>259</v>
      </c>
      <c r="E36" s="52" t="s">
        <v>260</v>
      </c>
      <c r="G36" s="145"/>
      <c r="H36" s="145"/>
      <c r="I36" s="35"/>
      <c r="K36" s="47">
        <f t="shared" si="4"/>
        <v>0</v>
      </c>
      <c r="L36" s="47">
        <f t="shared" si="0"/>
        <v>0</v>
      </c>
      <c r="M36" s="44">
        <f t="shared" si="5"/>
        <v>0</v>
      </c>
      <c r="O36" s="46">
        <f t="shared" si="1"/>
        <v>0</v>
      </c>
      <c r="Q36" s="145"/>
      <c r="R36" s="145"/>
      <c r="S36" s="35"/>
      <c r="U36" s="19">
        <f t="shared" si="6"/>
        <v>0</v>
      </c>
      <c r="V36" s="19">
        <f t="shared" si="2"/>
        <v>0</v>
      </c>
      <c r="W36" s="44">
        <f t="shared" si="7"/>
        <v>0</v>
      </c>
      <c r="Y36" s="41">
        <f t="shared" si="3"/>
        <v>0</v>
      </c>
    </row>
    <row r="37" spans="1:25" x14ac:dyDescent="0.35">
      <c r="A37" t="s">
        <v>156</v>
      </c>
      <c r="B37" s="33" t="s">
        <v>96</v>
      </c>
      <c r="C37" s="52" t="s">
        <v>258</v>
      </c>
      <c r="D37" s="52" t="s">
        <v>259</v>
      </c>
      <c r="E37" s="52" t="s">
        <v>260</v>
      </c>
      <c r="G37" s="145"/>
      <c r="H37" s="145"/>
      <c r="I37" s="35"/>
      <c r="K37" s="47">
        <f t="shared" si="4"/>
        <v>0</v>
      </c>
      <c r="L37" s="47">
        <f t="shared" si="0"/>
        <v>0</v>
      </c>
      <c r="M37" s="44">
        <f t="shared" si="5"/>
        <v>0</v>
      </c>
      <c r="O37" s="46">
        <f t="shared" si="1"/>
        <v>0</v>
      </c>
      <c r="Q37" s="145"/>
      <c r="R37" s="145"/>
      <c r="S37" s="35"/>
      <c r="U37" s="19">
        <f t="shared" si="6"/>
        <v>0</v>
      </c>
      <c r="V37" s="19">
        <f t="shared" si="2"/>
        <v>0</v>
      </c>
      <c r="W37" s="44">
        <f t="shared" si="7"/>
        <v>0</v>
      </c>
      <c r="Y37" s="41">
        <f t="shared" si="3"/>
        <v>0</v>
      </c>
    </row>
    <row r="38" spans="1:25" x14ac:dyDescent="0.35">
      <c r="A38" t="s">
        <v>48</v>
      </c>
      <c r="B38" s="33" t="s">
        <v>96</v>
      </c>
      <c r="C38" s="52" t="s">
        <v>275</v>
      </c>
      <c r="D38" s="52" t="s">
        <v>259</v>
      </c>
      <c r="E38" s="52" t="s">
        <v>260</v>
      </c>
      <c r="G38" s="145"/>
      <c r="H38" s="145"/>
      <c r="I38" s="35"/>
      <c r="K38" s="47">
        <f t="shared" si="4"/>
        <v>0</v>
      </c>
      <c r="L38" s="47">
        <f t="shared" si="0"/>
        <v>0</v>
      </c>
      <c r="M38" s="44">
        <f t="shared" si="5"/>
        <v>0</v>
      </c>
      <c r="O38" s="46">
        <f t="shared" ref="O38:O70" si="8">IF(M38="USD",L38*EXR,L38)</f>
        <v>0</v>
      </c>
      <c r="Q38" s="145"/>
      <c r="R38" s="145"/>
      <c r="S38" s="35"/>
      <c r="U38" s="19">
        <f t="shared" si="6"/>
        <v>0</v>
      </c>
      <c r="V38" s="19">
        <f t="shared" si="2"/>
        <v>0</v>
      </c>
      <c r="W38" s="44">
        <f t="shared" si="7"/>
        <v>0</v>
      </c>
      <c r="Y38" s="41">
        <f t="shared" ref="Y38:Y70" si="9">IF(W38="USD",V38*EXR,V38)</f>
        <v>0</v>
      </c>
    </row>
    <row r="39" spans="1:25" x14ac:dyDescent="0.35">
      <c r="A39" t="s">
        <v>118</v>
      </c>
      <c r="B39" s="33" t="s">
        <v>96</v>
      </c>
      <c r="C39" s="52" t="s">
        <v>258</v>
      </c>
      <c r="D39" s="52" t="s">
        <v>259</v>
      </c>
      <c r="E39" s="52" t="s">
        <v>262</v>
      </c>
      <c r="G39" s="145"/>
      <c r="H39" s="145"/>
      <c r="I39" s="35"/>
      <c r="K39" s="47">
        <f t="shared" si="4"/>
        <v>0</v>
      </c>
      <c r="L39" s="47">
        <f t="shared" si="0"/>
        <v>0</v>
      </c>
      <c r="M39" s="44">
        <f t="shared" si="5"/>
        <v>0</v>
      </c>
      <c r="O39" s="46">
        <f t="shared" si="8"/>
        <v>0</v>
      </c>
      <c r="Q39" s="145"/>
      <c r="R39" s="145"/>
      <c r="S39" s="35"/>
      <c r="U39" s="19">
        <f t="shared" si="6"/>
        <v>0</v>
      </c>
      <c r="V39" s="19">
        <f t="shared" si="2"/>
        <v>0</v>
      </c>
      <c r="W39" s="44">
        <f t="shared" si="7"/>
        <v>0</v>
      </c>
      <c r="Y39" s="41">
        <f t="shared" si="9"/>
        <v>0</v>
      </c>
    </row>
    <row r="40" spans="1:25" x14ac:dyDescent="0.35">
      <c r="A40" t="s">
        <v>117</v>
      </c>
      <c r="B40" s="33" t="s">
        <v>96</v>
      </c>
      <c r="C40" s="52" t="s">
        <v>264</v>
      </c>
      <c r="D40" s="52" t="s">
        <v>259</v>
      </c>
      <c r="E40" s="52" t="s">
        <v>262</v>
      </c>
      <c r="G40" s="145"/>
      <c r="H40" s="145"/>
      <c r="I40" s="35"/>
      <c r="K40" s="47">
        <f t="shared" si="4"/>
        <v>0</v>
      </c>
      <c r="L40" s="47">
        <f t="shared" si="0"/>
        <v>0</v>
      </c>
      <c r="M40" s="44">
        <f t="shared" si="5"/>
        <v>0</v>
      </c>
      <c r="O40" s="46">
        <f t="shared" si="8"/>
        <v>0</v>
      </c>
      <c r="Q40" s="145"/>
      <c r="R40" s="145"/>
      <c r="S40" s="35"/>
      <c r="U40" s="19">
        <f t="shared" si="6"/>
        <v>0</v>
      </c>
      <c r="V40" s="19">
        <f t="shared" si="2"/>
        <v>0</v>
      </c>
      <c r="W40" s="44">
        <f t="shared" si="7"/>
        <v>0</v>
      </c>
      <c r="Y40" s="41">
        <f t="shared" si="9"/>
        <v>0</v>
      </c>
    </row>
    <row r="41" spans="1:25" x14ac:dyDescent="0.35">
      <c r="A41" t="s">
        <v>69</v>
      </c>
      <c r="B41" s="33" t="s">
        <v>96</v>
      </c>
      <c r="C41" s="52" t="s">
        <v>268</v>
      </c>
      <c r="D41" s="52" t="s">
        <v>259</v>
      </c>
      <c r="E41" s="52" t="s">
        <v>262</v>
      </c>
      <c r="G41" s="145"/>
      <c r="H41" s="145"/>
      <c r="I41" s="35"/>
      <c r="K41" s="47">
        <f t="shared" si="4"/>
        <v>0</v>
      </c>
      <c r="L41" s="47">
        <f t="shared" si="0"/>
        <v>0</v>
      </c>
      <c r="M41" s="44">
        <f t="shared" si="5"/>
        <v>0</v>
      </c>
      <c r="O41" s="46">
        <f t="shared" si="8"/>
        <v>0</v>
      </c>
      <c r="Q41" s="145"/>
      <c r="R41" s="145"/>
      <c r="S41" s="35"/>
      <c r="U41" s="19">
        <f t="shared" si="6"/>
        <v>0</v>
      </c>
      <c r="V41" s="19">
        <f t="shared" si="2"/>
        <v>0</v>
      </c>
      <c r="W41" s="44">
        <f t="shared" si="7"/>
        <v>0</v>
      </c>
      <c r="Y41" s="41">
        <f t="shared" si="9"/>
        <v>0</v>
      </c>
    </row>
    <row r="42" spans="1:25" x14ac:dyDescent="0.35">
      <c r="A42" t="s">
        <v>68</v>
      </c>
      <c r="B42" s="33" t="s">
        <v>96</v>
      </c>
      <c r="C42" s="52" t="s">
        <v>274</v>
      </c>
      <c r="D42" s="52" t="s">
        <v>259</v>
      </c>
      <c r="E42" s="52" t="s">
        <v>262</v>
      </c>
      <c r="G42" s="145"/>
      <c r="H42" s="145"/>
      <c r="I42" s="35"/>
      <c r="K42" s="47">
        <f t="shared" si="4"/>
        <v>0</v>
      </c>
      <c r="L42" s="47">
        <f t="shared" si="0"/>
        <v>0</v>
      </c>
      <c r="M42" s="44">
        <f t="shared" si="5"/>
        <v>0</v>
      </c>
      <c r="O42" s="46">
        <f t="shared" si="8"/>
        <v>0</v>
      </c>
      <c r="Q42" s="145"/>
      <c r="R42" s="145"/>
      <c r="S42" s="35"/>
      <c r="U42" s="19">
        <f t="shared" si="6"/>
        <v>0</v>
      </c>
      <c r="V42" s="19">
        <f t="shared" si="2"/>
        <v>0</v>
      </c>
      <c r="W42" s="44">
        <f t="shared" si="7"/>
        <v>0</v>
      </c>
      <c r="Y42" s="41">
        <f t="shared" si="9"/>
        <v>0</v>
      </c>
    </row>
    <row r="43" spans="1:25" x14ac:dyDescent="0.35">
      <c r="A43" t="s">
        <v>152</v>
      </c>
      <c r="B43" s="33" t="s">
        <v>96</v>
      </c>
      <c r="C43" s="52" t="s">
        <v>268</v>
      </c>
      <c r="D43" s="52" t="s">
        <v>259</v>
      </c>
      <c r="E43" s="52" t="s">
        <v>260</v>
      </c>
      <c r="G43" s="145"/>
      <c r="H43" s="145"/>
      <c r="I43" s="35"/>
      <c r="K43" s="47">
        <f t="shared" si="4"/>
        <v>0</v>
      </c>
      <c r="L43" s="47">
        <f t="shared" si="0"/>
        <v>0</v>
      </c>
      <c r="M43" s="44">
        <f t="shared" si="5"/>
        <v>0</v>
      </c>
      <c r="O43" s="46">
        <f t="shared" si="8"/>
        <v>0</v>
      </c>
      <c r="Q43" s="145"/>
      <c r="R43" s="145"/>
      <c r="S43" s="35"/>
      <c r="U43" s="19">
        <f t="shared" si="6"/>
        <v>0</v>
      </c>
      <c r="V43" s="19">
        <f t="shared" si="2"/>
        <v>0</v>
      </c>
      <c r="W43" s="44">
        <f t="shared" si="7"/>
        <v>0</v>
      </c>
      <c r="Y43" s="41">
        <f t="shared" si="9"/>
        <v>0</v>
      </c>
    </row>
    <row r="44" spans="1:25" x14ac:dyDescent="0.35">
      <c r="A44" t="s">
        <v>149</v>
      </c>
      <c r="B44" s="33" t="s">
        <v>96</v>
      </c>
      <c r="C44" s="52" t="s">
        <v>258</v>
      </c>
      <c r="D44" s="52" t="s">
        <v>259</v>
      </c>
      <c r="E44" s="52" t="s">
        <v>262</v>
      </c>
      <c r="G44" s="145"/>
      <c r="H44" s="145"/>
      <c r="I44" s="35"/>
      <c r="K44" s="47">
        <f t="shared" si="4"/>
        <v>0</v>
      </c>
      <c r="L44" s="47">
        <f t="shared" si="0"/>
        <v>0</v>
      </c>
      <c r="M44" s="44">
        <f t="shared" si="5"/>
        <v>0</v>
      </c>
      <c r="O44" s="46">
        <f t="shared" si="8"/>
        <v>0</v>
      </c>
      <c r="Q44" s="145"/>
      <c r="R44" s="145"/>
      <c r="S44" s="35"/>
      <c r="U44" s="19">
        <f t="shared" si="6"/>
        <v>0</v>
      </c>
      <c r="V44" s="19">
        <f t="shared" si="2"/>
        <v>0</v>
      </c>
      <c r="W44" s="44">
        <f t="shared" si="7"/>
        <v>0</v>
      </c>
      <c r="Y44" s="41">
        <f t="shared" si="9"/>
        <v>0</v>
      </c>
    </row>
    <row r="45" spans="1:25" x14ac:dyDescent="0.35">
      <c r="A45" t="s">
        <v>158</v>
      </c>
      <c r="B45" s="33" t="s">
        <v>96</v>
      </c>
      <c r="C45" s="52" t="s">
        <v>258</v>
      </c>
      <c r="D45" s="52" t="s">
        <v>259</v>
      </c>
      <c r="E45" s="52" t="s">
        <v>262</v>
      </c>
      <c r="G45" s="145"/>
      <c r="H45" s="145"/>
      <c r="I45" s="35"/>
      <c r="K45" s="47">
        <f t="shared" si="4"/>
        <v>0</v>
      </c>
      <c r="L45" s="47">
        <f t="shared" si="0"/>
        <v>0</v>
      </c>
      <c r="M45" s="44">
        <f t="shared" si="5"/>
        <v>0</v>
      </c>
      <c r="O45" s="46">
        <f t="shared" si="8"/>
        <v>0</v>
      </c>
      <c r="Q45" s="145"/>
      <c r="R45" s="145"/>
      <c r="S45" s="35"/>
      <c r="U45" s="19">
        <f t="shared" si="6"/>
        <v>0</v>
      </c>
      <c r="V45" s="19">
        <f t="shared" si="2"/>
        <v>0</v>
      </c>
      <c r="W45" s="44">
        <f t="shared" si="7"/>
        <v>0</v>
      </c>
      <c r="Y45" s="41">
        <f t="shared" si="9"/>
        <v>0</v>
      </c>
    </row>
    <row r="46" spans="1:25" x14ac:dyDescent="0.35">
      <c r="A46" t="s">
        <v>70</v>
      </c>
      <c r="B46" s="33" t="s">
        <v>96</v>
      </c>
      <c r="C46" s="52" t="s">
        <v>268</v>
      </c>
      <c r="D46" s="52" t="s">
        <v>259</v>
      </c>
      <c r="E46" s="52" t="s">
        <v>260</v>
      </c>
      <c r="G46" s="145"/>
      <c r="H46" s="145"/>
      <c r="I46" s="35"/>
      <c r="K46" s="47">
        <f t="shared" si="4"/>
        <v>0</v>
      </c>
      <c r="L46" s="47">
        <f t="shared" si="0"/>
        <v>0</v>
      </c>
      <c r="M46" s="44">
        <f t="shared" si="5"/>
        <v>0</v>
      </c>
      <c r="O46" s="46">
        <f t="shared" si="8"/>
        <v>0</v>
      </c>
      <c r="Q46" s="145"/>
      <c r="R46" s="145"/>
      <c r="S46" s="35"/>
      <c r="U46" s="19">
        <f t="shared" si="6"/>
        <v>0</v>
      </c>
      <c r="V46" s="19">
        <f t="shared" si="2"/>
        <v>0</v>
      </c>
      <c r="W46" s="44">
        <f t="shared" si="7"/>
        <v>0</v>
      </c>
      <c r="Y46" s="41">
        <f t="shared" si="9"/>
        <v>0</v>
      </c>
    </row>
    <row r="47" spans="1:25" x14ac:dyDescent="0.35">
      <c r="A47" t="s">
        <v>157</v>
      </c>
      <c r="B47" s="33" t="s">
        <v>96</v>
      </c>
      <c r="C47" s="52" t="s">
        <v>261</v>
      </c>
      <c r="D47" s="52" t="s">
        <v>259</v>
      </c>
      <c r="E47" s="52" t="s">
        <v>260</v>
      </c>
      <c r="G47" s="145"/>
      <c r="H47" s="145"/>
      <c r="I47" s="35"/>
      <c r="K47" s="47">
        <f t="shared" si="4"/>
        <v>0</v>
      </c>
      <c r="L47" s="47">
        <f t="shared" si="0"/>
        <v>0</v>
      </c>
      <c r="M47" s="44">
        <f t="shared" si="5"/>
        <v>0</v>
      </c>
      <c r="O47" s="46">
        <f t="shared" si="8"/>
        <v>0</v>
      </c>
      <c r="Q47" s="145"/>
      <c r="R47" s="145"/>
      <c r="S47" s="35"/>
      <c r="U47" s="19">
        <f t="shared" si="6"/>
        <v>0</v>
      </c>
      <c r="V47" s="19">
        <f t="shared" si="2"/>
        <v>0</v>
      </c>
      <c r="W47" s="44">
        <f t="shared" si="7"/>
        <v>0</v>
      </c>
      <c r="Y47" s="41">
        <f t="shared" si="9"/>
        <v>0</v>
      </c>
    </row>
    <row r="48" spans="1:25" x14ac:dyDescent="0.35">
      <c r="A48" t="s">
        <v>114</v>
      </c>
      <c r="B48" s="33" t="s">
        <v>96</v>
      </c>
      <c r="C48" s="52" t="s">
        <v>261</v>
      </c>
      <c r="D48" s="52" t="s">
        <v>259</v>
      </c>
      <c r="E48" s="52" t="s">
        <v>260</v>
      </c>
      <c r="G48" s="145"/>
      <c r="H48" s="145"/>
      <c r="I48" s="35"/>
      <c r="K48" s="47">
        <f t="shared" si="4"/>
        <v>0</v>
      </c>
      <c r="L48" s="47">
        <f t="shared" si="0"/>
        <v>0</v>
      </c>
      <c r="M48" s="44">
        <f t="shared" si="5"/>
        <v>0</v>
      </c>
      <c r="O48" s="46">
        <f t="shared" si="8"/>
        <v>0</v>
      </c>
      <c r="Q48" s="145"/>
      <c r="R48" s="145"/>
      <c r="S48" s="35"/>
      <c r="U48" s="19">
        <f t="shared" si="6"/>
        <v>0</v>
      </c>
      <c r="V48" s="19">
        <f t="shared" si="2"/>
        <v>0</v>
      </c>
      <c r="W48" s="44">
        <f t="shared" si="7"/>
        <v>0</v>
      </c>
      <c r="Y48" s="41">
        <f t="shared" si="9"/>
        <v>0</v>
      </c>
    </row>
    <row r="49" spans="1:25" x14ac:dyDescent="0.35">
      <c r="A49" t="s">
        <v>108</v>
      </c>
      <c r="B49" s="33" t="s">
        <v>96</v>
      </c>
      <c r="C49" s="52" t="s">
        <v>261</v>
      </c>
      <c r="D49" s="52" t="s">
        <v>259</v>
      </c>
      <c r="E49" s="52" t="s">
        <v>260</v>
      </c>
      <c r="G49" s="145"/>
      <c r="H49" s="145"/>
      <c r="I49" s="35"/>
      <c r="K49" s="47">
        <f t="shared" si="4"/>
        <v>0</v>
      </c>
      <c r="L49" s="47">
        <f t="shared" si="0"/>
        <v>0</v>
      </c>
      <c r="M49" s="44">
        <f t="shared" si="5"/>
        <v>0</v>
      </c>
      <c r="O49" s="46">
        <f t="shared" si="8"/>
        <v>0</v>
      </c>
      <c r="Q49" s="145"/>
      <c r="R49" s="145"/>
      <c r="S49" s="35"/>
      <c r="U49" s="19">
        <f t="shared" si="6"/>
        <v>0</v>
      </c>
      <c r="V49" s="19">
        <f t="shared" si="2"/>
        <v>0</v>
      </c>
      <c r="W49" s="44">
        <f t="shared" si="7"/>
        <v>0</v>
      </c>
      <c r="Y49" s="41">
        <f t="shared" si="9"/>
        <v>0</v>
      </c>
    </row>
    <row r="50" spans="1:25" x14ac:dyDescent="0.35">
      <c r="A50" t="s">
        <v>66</v>
      </c>
      <c r="B50" s="33" t="s">
        <v>96</v>
      </c>
      <c r="C50" s="52" t="s">
        <v>264</v>
      </c>
      <c r="D50" s="52" t="s">
        <v>259</v>
      </c>
      <c r="E50" s="52" t="s">
        <v>260</v>
      </c>
      <c r="G50" s="145"/>
      <c r="H50" s="145"/>
      <c r="I50" s="35"/>
      <c r="K50" s="47">
        <f t="shared" si="4"/>
        <v>0</v>
      </c>
      <c r="L50" s="47">
        <f t="shared" si="0"/>
        <v>0</v>
      </c>
      <c r="M50" s="44">
        <f t="shared" si="5"/>
        <v>0</v>
      </c>
      <c r="O50" s="46">
        <f t="shared" si="8"/>
        <v>0</v>
      </c>
      <c r="Q50" s="145"/>
      <c r="R50" s="145"/>
      <c r="S50" s="35"/>
      <c r="U50" s="19">
        <f t="shared" si="6"/>
        <v>0</v>
      </c>
      <c r="V50" s="19">
        <f t="shared" si="2"/>
        <v>0</v>
      </c>
      <c r="W50" s="44">
        <f t="shared" si="7"/>
        <v>0</v>
      </c>
      <c r="Y50" s="41">
        <f t="shared" si="9"/>
        <v>0</v>
      </c>
    </row>
    <row r="51" spans="1:25" x14ac:dyDescent="0.35">
      <c r="A51" t="s">
        <v>111</v>
      </c>
      <c r="B51" s="33" t="s">
        <v>96</v>
      </c>
      <c r="C51" s="52" t="s">
        <v>261</v>
      </c>
      <c r="D51" s="52" t="s">
        <v>259</v>
      </c>
      <c r="E51" s="52" t="s">
        <v>260</v>
      </c>
      <c r="G51" s="145"/>
      <c r="H51" s="145"/>
      <c r="I51" s="35"/>
      <c r="K51" s="47">
        <f t="shared" si="4"/>
        <v>0</v>
      </c>
      <c r="L51" s="47">
        <f t="shared" si="0"/>
        <v>0</v>
      </c>
      <c r="M51" s="44">
        <f t="shared" si="5"/>
        <v>0</v>
      </c>
      <c r="O51" s="46">
        <f t="shared" si="8"/>
        <v>0</v>
      </c>
      <c r="Q51" s="145"/>
      <c r="R51" s="145"/>
      <c r="S51" s="35"/>
      <c r="U51" s="19">
        <f t="shared" si="6"/>
        <v>0</v>
      </c>
      <c r="V51" s="19">
        <f t="shared" si="2"/>
        <v>0</v>
      </c>
      <c r="W51" s="44">
        <f t="shared" si="7"/>
        <v>0</v>
      </c>
      <c r="Y51" s="41">
        <f t="shared" si="9"/>
        <v>0</v>
      </c>
    </row>
    <row r="52" spans="1:25" x14ac:dyDescent="0.35">
      <c r="A52" t="s">
        <v>67</v>
      </c>
      <c r="B52" s="33" t="s">
        <v>96</v>
      </c>
      <c r="C52" s="52" t="s">
        <v>276</v>
      </c>
      <c r="D52" s="52" t="s">
        <v>259</v>
      </c>
      <c r="E52" s="52" t="s">
        <v>262</v>
      </c>
      <c r="G52" s="145"/>
      <c r="H52" s="145"/>
      <c r="I52" s="35"/>
      <c r="K52" s="47">
        <f t="shared" si="4"/>
        <v>0</v>
      </c>
      <c r="L52" s="47">
        <f t="shared" si="0"/>
        <v>0</v>
      </c>
      <c r="M52" s="44">
        <f t="shared" si="5"/>
        <v>0</v>
      </c>
      <c r="O52" s="46">
        <f t="shared" si="8"/>
        <v>0</v>
      </c>
      <c r="Q52" s="145"/>
      <c r="R52" s="145"/>
      <c r="S52" s="35"/>
      <c r="U52" s="19">
        <f t="shared" si="6"/>
        <v>0</v>
      </c>
      <c r="V52" s="19">
        <f t="shared" si="2"/>
        <v>0</v>
      </c>
      <c r="W52" s="44">
        <f t="shared" si="7"/>
        <v>0</v>
      </c>
      <c r="Y52" s="41">
        <f t="shared" si="9"/>
        <v>0</v>
      </c>
    </row>
    <row r="53" spans="1:25" x14ac:dyDescent="0.35">
      <c r="A53" t="s">
        <v>6</v>
      </c>
      <c r="B53" s="33" t="s">
        <v>119</v>
      </c>
      <c r="C53" s="52" t="s">
        <v>277</v>
      </c>
      <c r="D53" s="52" t="s">
        <v>277</v>
      </c>
      <c r="E53" s="52" t="s">
        <v>278</v>
      </c>
      <c r="G53" s="145">
        <v>440</v>
      </c>
      <c r="H53" s="145">
        <v>484</v>
      </c>
      <c r="I53" s="35" t="s">
        <v>279</v>
      </c>
      <c r="K53" s="47">
        <f t="shared" si="4"/>
        <v>20</v>
      </c>
      <c r="L53" s="47">
        <v>20</v>
      </c>
      <c r="M53" s="44" t="str">
        <f t="shared" si="5"/>
        <v>USD</v>
      </c>
      <c r="O53" s="46">
        <f t="shared" si="8"/>
        <v>530000</v>
      </c>
      <c r="Q53" s="145"/>
      <c r="R53" s="145"/>
      <c r="S53" s="35"/>
      <c r="U53" s="19">
        <f t="shared" si="6"/>
        <v>0</v>
      </c>
      <c r="V53" s="19">
        <f t="shared" si="2"/>
        <v>0</v>
      </c>
      <c r="W53" s="44">
        <f t="shared" si="7"/>
        <v>0</v>
      </c>
      <c r="Y53" s="41">
        <f t="shared" si="9"/>
        <v>0</v>
      </c>
    </row>
    <row r="54" spans="1:25" x14ac:dyDescent="0.35">
      <c r="A54" t="s">
        <v>6</v>
      </c>
      <c r="B54" s="33" t="s">
        <v>119</v>
      </c>
      <c r="C54" s="52" t="s">
        <v>280</v>
      </c>
      <c r="D54" s="52" t="s">
        <v>281</v>
      </c>
      <c r="E54" s="52" t="s">
        <v>278</v>
      </c>
      <c r="G54" s="145">
        <v>440</v>
      </c>
      <c r="H54" s="145">
        <v>484</v>
      </c>
      <c r="I54" s="35" t="s">
        <v>279</v>
      </c>
      <c r="K54" s="47">
        <f t="shared" ref="K54" si="10">G54/22</f>
        <v>20</v>
      </c>
      <c r="L54" s="47">
        <v>20</v>
      </c>
      <c r="M54" s="44" t="str">
        <f t="shared" ref="M54" si="11">I54</f>
        <v>USD</v>
      </c>
      <c r="O54" s="46">
        <f t="shared" ref="O54" si="12">IF(M54="USD",L54*EXR,L54)</f>
        <v>530000</v>
      </c>
      <c r="Q54" s="145"/>
      <c r="R54" s="145"/>
      <c r="S54" s="35"/>
      <c r="U54" s="19">
        <f t="shared" ref="U54" si="13">Q54/22</f>
        <v>0</v>
      </c>
      <c r="V54" s="19">
        <f t="shared" ref="V54" si="14">R54/22</f>
        <v>0</v>
      </c>
      <c r="W54" s="44">
        <f t="shared" ref="W54" si="15">S54</f>
        <v>0</v>
      </c>
      <c r="Y54" s="41">
        <f t="shared" ref="Y54" si="16">IF(W54="USD",V54*EXR,V54)</f>
        <v>0</v>
      </c>
    </row>
    <row r="55" spans="1:25" x14ac:dyDescent="0.35">
      <c r="A55" t="s">
        <v>9</v>
      </c>
      <c r="B55" s="33" t="s">
        <v>119</v>
      </c>
      <c r="C55" s="52" t="s">
        <v>282</v>
      </c>
      <c r="D55" s="52" t="s">
        <v>283</v>
      </c>
      <c r="E55" s="52" t="s">
        <v>278</v>
      </c>
      <c r="G55" s="145">
        <v>440</v>
      </c>
      <c r="H55" s="145">
        <v>484</v>
      </c>
      <c r="I55" s="35" t="s">
        <v>279</v>
      </c>
      <c r="K55" s="47">
        <f t="shared" si="4"/>
        <v>20</v>
      </c>
      <c r="L55" s="47">
        <v>20</v>
      </c>
      <c r="M55" s="44" t="str">
        <f t="shared" si="5"/>
        <v>USD</v>
      </c>
      <c r="O55" s="46">
        <f t="shared" si="8"/>
        <v>530000</v>
      </c>
      <c r="Q55" s="145"/>
      <c r="R55" s="145"/>
      <c r="S55" s="35"/>
      <c r="U55" s="19">
        <f t="shared" si="6"/>
        <v>0</v>
      </c>
      <c r="V55" s="19">
        <f t="shared" si="2"/>
        <v>0</v>
      </c>
      <c r="W55" s="44">
        <f t="shared" si="7"/>
        <v>0</v>
      </c>
      <c r="Y55" s="41">
        <f t="shared" si="9"/>
        <v>0</v>
      </c>
    </row>
    <row r="56" spans="1:25" x14ac:dyDescent="0.35">
      <c r="A56" t="s">
        <v>35</v>
      </c>
      <c r="B56" s="33" t="s">
        <v>119</v>
      </c>
      <c r="C56" s="52" t="s">
        <v>284</v>
      </c>
      <c r="D56" s="52" t="s">
        <v>281</v>
      </c>
      <c r="E56" s="52" t="s">
        <v>285</v>
      </c>
      <c r="G56" s="145">
        <v>440</v>
      </c>
      <c r="H56" s="145">
        <v>484</v>
      </c>
      <c r="I56" s="35" t="s">
        <v>279</v>
      </c>
      <c r="K56" s="47">
        <f t="shared" si="4"/>
        <v>20</v>
      </c>
      <c r="L56" s="47">
        <v>20</v>
      </c>
      <c r="M56" s="44" t="str">
        <f t="shared" si="5"/>
        <v>USD</v>
      </c>
      <c r="O56" s="46">
        <f t="shared" si="8"/>
        <v>530000</v>
      </c>
      <c r="Q56" s="145">
        <v>2695</v>
      </c>
      <c r="R56" s="145">
        <v>1800</v>
      </c>
      <c r="S56" s="35" t="s">
        <v>279</v>
      </c>
      <c r="U56" s="19">
        <f t="shared" si="6"/>
        <v>122.5</v>
      </c>
      <c r="V56" s="19">
        <f t="shared" si="2"/>
        <v>81.818181818181813</v>
      </c>
      <c r="W56" s="44" t="str">
        <f t="shared" si="7"/>
        <v>USD</v>
      </c>
      <c r="Y56" s="41">
        <f t="shared" si="9"/>
        <v>2168181.8181818179</v>
      </c>
    </row>
    <row r="57" spans="1:25" x14ac:dyDescent="0.35">
      <c r="A57" t="s">
        <v>34</v>
      </c>
      <c r="B57" s="33" t="s">
        <v>286</v>
      </c>
      <c r="C57" s="52" t="s">
        <v>277</v>
      </c>
      <c r="D57" s="52" t="s">
        <v>287</v>
      </c>
      <c r="E57" s="52" t="s">
        <v>278</v>
      </c>
      <c r="G57" s="145">
        <v>440</v>
      </c>
      <c r="H57" s="145">
        <v>484</v>
      </c>
      <c r="I57" s="35" t="s">
        <v>279</v>
      </c>
      <c r="K57" s="47">
        <f t="shared" si="4"/>
        <v>20</v>
      </c>
      <c r="L57" s="47">
        <v>20</v>
      </c>
      <c r="M57" s="44" t="str">
        <f t="shared" si="5"/>
        <v>USD</v>
      </c>
      <c r="O57" s="46">
        <f t="shared" si="8"/>
        <v>530000</v>
      </c>
      <c r="Q57" s="145"/>
      <c r="R57" s="145"/>
      <c r="S57" s="35"/>
      <c r="U57" s="19">
        <f t="shared" si="6"/>
        <v>0</v>
      </c>
      <c r="V57" s="19">
        <f t="shared" si="2"/>
        <v>0</v>
      </c>
      <c r="W57" s="44">
        <f t="shared" si="7"/>
        <v>0</v>
      </c>
      <c r="Y57" s="41">
        <f t="shared" si="9"/>
        <v>0</v>
      </c>
    </row>
    <row r="58" spans="1:25" x14ac:dyDescent="0.35">
      <c r="A58" t="s">
        <v>13</v>
      </c>
      <c r="B58" s="33" t="s">
        <v>286</v>
      </c>
      <c r="C58" s="52" t="s">
        <v>277</v>
      </c>
      <c r="D58" s="52" t="s">
        <v>287</v>
      </c>
      <c r="E58" s="52" t="s">
        <v>278</v>
      </c>
      <c r="G58" s="145">
        <v>440</v>
      </c>
      <c r="H58" s="145">
        <v>484</v>
      </c>
      <c r="I58" s="35" t="s">
        <v>279</v>
      </c>
      <c r="K58" s="47">
        <f t="shared" si="4"/>
        <v>20</v>
      </c>
      <c r="L58" s="47">
        <v>20</v>
      </c>
      <c r="M58" s="44" t="str">
        <f t="shared" si="5"/>
        <v>USD</v>
      </c>
      <c r="O58" s="46">
        <f t="shared" si="8"/>
        <v>530000</v>
      </c>
      <c r="Q58" s="145"/>
      <c r="R58" s="145"/>
      <c r="S58" s="35"/>
      <c r="U58" s="19">
        <f t="shared" si="6"/>
        <v>0</v>
      </c>
      <c r="V58" s="19">
        <f t="shared" si="2"/>
        <v>0</v>
      </c>
      <c r="W58" s="44">
        <f t="shared" si="7"/>
        <v>0</v>
      </c>
      <c r="Y58" s="41">
        <f t="shared" si="9"/>
        <v>0</v>
      </c>
    </row>
    <row r="59" spans="1:25" x14ac:dyDescent="0.35">
      <c r="A59" t="s">
        <v>50</v>
      </c>
      <c r="B59" s="33" t="s">
        <v>119</v>
      </c>
      <c r="C59" s="52" t="s">
        <v>288</v>
      </c>
      <c r="D59" s="52" t="s">
        <v>289</v>
      </c>
      <c r="E59" s="52" t="s">
        <v>285</v>
      </c>
      <c r="G59" s="145">
        <v>440</v>
      </c>
      <c r="H59" s="145">
        <v>484</v>
      </c>
      <c r="I59" s="35" t="s">
        <v>279</v>
      </c>
      <c r="K59" s="47">
        <f t="shared" si="4"/>
        <v>20</v>
      </c>
      <c r="L59" s="47">
        <v>20</v>
      </c>
      <c r="M59" s="44" t="str">
        <f t="shared" si="5"/>
        <v>USD</v>
      </c>
      <c r="O59" s="46">
        <f t="shared" si="8"/>
        <v>530000</v>
      </c>
      <c r="Q59" s="145">
        <v>3600</v>
      </c>
      <c r="R59" s="145">
        <v>4000</v>
      </c>
      <c r="S59" s="35" t="s">
        <v>279</v>
      </c>
      <c r="U59" s="19">
        <f t="shared" si="6"/>
        <v>163.63636363636363</v>
      </c>
      <c r="V59" s="19">
        <f t="shared" si="2"/>
        <v>181.81818181818181</v>
      </c>
      <c r="W59" s="44" t="str">
        <f t="shared" si="7"/>
        <v>USD</v>
      </c>
      <c r="Y59" s="41">
        <f t="shared" si="9"/>
        <v>4818181.8181818184</v>
      </c>
    </row>
    <row r="60" spans="1:25" x14ac:dyDescent="0.35">
      <c r="A60" t="s">
        <v>121</v>
      </c>
      <c r="B60" s="33" t="s">
        <v>119</v>
      </c>
      <c r="C60" s="52" t="s">
        <v>277</v>
      </c>
      <c r="D60" s="52" t="s">
        <v>277</v>
      </c>
      <c r="E60" s="52" t="s">
        <v>278</v>
      </c>
      <c r="G60" s="145">
        <v>440</v>
      </c>
      <c r="H60" s="145">
        <v>484</v>
      </c>
      <c r="I60" s="35" t="s">
        <v>279</v>
      </c>
      <c r="K60" s="47">
        <f t="shared" si="4"/>
        <v>20</v>
      </c>
      <c r="L60" s="47">
        <v>20</v>
      </c>
      <c r="M60" s="44" t="str">
        <f t="shared" si="5"/>
        <v>USD</v>
      </c>
      <c r="O60" s="46">
        <f t="shared" si="8"/>
        <v>530000</v>
      </c>
      <c r="Q60" s="145"/>
      <c r="R60" s="145"/>
      <c r="S60" s="35"/>
      <c r="U60" s="19">
        <f t="shared" si="6"/>
        <v>0</v>
      </c>
      <c r="V60" s="19">
        <f t="shared" si="2"/>
        <v>0</v>
      </c>
      <c r="W60" s="44">
        <f t="shared" si="7"/>
        <v>0</v>
      </c>
      <c r="Y60" s="41">
        <f t="shared" si="9"/>
        <v>0</v>
      </c>
    </row>
    <row r="61" spans="1:25" x14ac:dyDescent="0.35">
      <c r="A61" t="s">
        <v>123</v>
      </c>
      <c r="B61" s="33" t="s">
        <v>119</v>
      </c>
      <c r="C61" s="52" t="s">
        <v>277</v>
      </c>
      <c r="D61" s="52" t="s">
        <v>277</v>
      </c>
      <c r="E61" s="52" t="s">
        <v>278</v>
      </c>
      <c r="G61" s="145">
        <v>440</v>
      </c>
      <c r="H61" s="145">
        <v>484</v>
      </c>
      <c r="I61" s="35" t="s">
        <v>279</v>
      </c>
      <c r="K61" s="47">
        <f t="shared" si="4"/>
        <v>20</v>
      </c>
      <c r="L61" s="47">
        <v>20</v>
      </c>
      <c r="M61" s="44" t="str">
        <f t="shared" si="5"/>
        <v>USD</v>
      </c>
      <c r="O61" s="46">
        <f t="shared" si="8"/>
        <v>530000</v>
      </c>
      <c r="Q61" s="145"/>
      <c r="R61" s="145"/>
      <c r="S61" s="35"/>
      <c r="U61" s="19">
        <f t="shared" si="6"/>
        <v>0</v>
      </c>
      <c r="V61" s="19">
        <f t="shared" si="2"/>
        <v>0</v>
      </c>
      <c r="W61" s="44">
        <f t="shared" si="7"/>
        <v>0</v>
      </c>
      <c r="Y61" s="41">
        <f t="shared" si="9"/>
        <v>0</v>
      </c>
    </row>
    <row r="62" spans="1:25" x14ac:dyDescent="0.35">
      <c r="A62" t="s">
        <v>43</v>
      </c>
      <c r="B62" s="33" t="s">
        <v>286</v>
      </c>
      <c r="C62" s="52" t="s">
        <v>290</v>
      </c>
      <c r="D62" s="52" t="s">
        <v>290</v>
      </c>
      <c r="E62" s="52" t="s">
        <v>278</v>
      </c>
      <c r="G62" s="145">
        <v>440</v>
      </c>
      <c r="H62" s="145">
        <v>484</v>
      </c>
      <c r="I62" s="35" t="s">
        <v>279</v>
      </c>
      <c r="K62" s="47">
        <f t="shared" si="4"/>
        <v>20</v>
      </c>
      <c r="L62" s="47">
        <v>20</v>
      </c>
      <c r="M62" s="44" t="str">
        <f t="shared" si="5"/>
        <v>USD</v>
      </c>
      <c r="O62" s="46">
        <f t="shared" si="8"/>
        <v>530000</v>
      </c>
      <c r="Q62" s="145"/>
      <c r="R62" s="145"/>
      <c r="S62" s="35"/>
      <c r="U62" s="19">
        <f t="shared" si="6"/>
        <v>0</v>
      </c>
      <c r="V62" s="19">
        <f t="shared" si="2"/>
        <v>0</v>
      </c>
      <c r="W62" s="44">
        <f t="shared" si="7"/>
        <v>0</v>
      </c>
      <c r="Y62" s="41">
        <f t="shared" si="9"/>
        <v>0</v>
      </c>
    </row>
    <row r="63" spans="1:25" x14ac:dyDescent="0.35">
      <c r="A63" t="s">
        <v>46</v>
      </c>
      <c r="B63" s="33" t="s">
        <v>119</v>
      </c>
      <c r="C63" s="52" t="s">
        <v>291</v>
      </c>
      <c r="D63" s="52" t="s">
        <v>292</v>
      </c>
      <c r="E63" s="52" t="s">
        <v>293</v>
      </c>
      <c r="G63" s="145">
        <v>440</v>
      </c>
      <c r="H63" s="145">
        <v>484</v>
      </c>
      <c r="I63" s="35" t="s">
        <v>279</v>
      </c>
      <c r="K63" s="47">
        <f t="shared" si="4"/>
        <v>20</v>
      </c>
      <c r="L63" s="47">
        <v>20</v>
      </c>
      <c r="M63" s="44" t="str">
        <f t="shared" si="5"/>
        <v>USD</v>
      </c>
      <c r="O63" s="46">
        <f t="shared" si="8"/>
        <v>530000</v>
      </c>
      <c r="Q63" s="145">
        <v>2000</v>
      </c>
      <c r="R63" s="145">
        <v>2700</v>
      </c>
      <c r="S63" s="35" t="s">
        <v>279</v>
      </c>
      <c r="U63" s="19">
        <f t="shared" si="6"/>
        <v>90.909090909090907</v>
      </c>
      <c r="V63" s="19">
        <f t="shared" si="2"/>
        <v>122.72727272727273</v>
      </c>
      <c r="W63" s="44" t="str">
        <f t="shared" si="7"/>
        <v>USD</v>
      </c>
      <c r="Y63" s="41">
        <f t="shared" si="9"/>
        <v>3252272.7272727275</v>
      </c>
    </row>
    <row r="64" spans="1:25" x14ac:dyDescent="0.35">
      <c r="A64" t="s">
        <v>122</v>
      </c>
      <c r="B64" s="33" t="s">
        <v>119</v>
      </c>
      <c r="C64" s="52" t="s">
        <v>277</v>
      </c>
      <c r="D64" s="52" t="s">
        <v>277</v>
      </c>
      <c r="E64" s="52" t="s">
        <v>278</v>
      </c>
      <c r="G64" s="145">
        <v>440</v>
      </c>
      <c r="H64" s="145">
        <v>484</v>
      </c>
      <c r="I64" s="35" t="s">
        <v>279</v>
      </c>
      <c r="K64" s="47">
        <f t="shared" si="4"/>
        <v>20</v>
      </c>
      <c r="L64" s="47">
        <v>20</v>
      </c>
      <c r="M64" s="44" t="str">
        <f t="shared" si="5"/>
        <v>USD</v>
      </c>
      <c r="O64" s="46">
        <f t="shared" si="8"/>
        <v>530000</v>
      </c>
      <c r="Q64" s="145"/>
      <c r="R64" s="145"/>
      <c r="S64" s="35"/>
      <c r="U64" s="19">
        <f t="shared" si="6"/>
        <v>0</v>
      </c>
      <c r="V64" s="19">
        <f t="shared" si="2"/>
        <v>0</v>
      </c>
      <c r="W64" s="44">
        <f t="shared" si="7"/>
        <v>0</v>
      </c>
      <c r="Y64" s="41">
        <f t="shared" si="9"/>
        <v>0</v>
      </c>
    </row>
    <row r="65" spans="1:25" x14ac:dyDescent="0.35">
      <c r="A65" t="s">
        <v>294</v>
      </c>
      <c r="B65" s="33" t="s">
        <v>119</v>
      </c>
      <c r="C65" s="52" t="s">
        <v>295</v>
      </c>
      <c r="D65" s="52" t="s">
        <v>296</v>
      </c>
      <c r="E65" s="52" t="s">
        <v>278</v>
      </c>
      <c r="G65" s="145">
        <v>440</v>
      </c>
      <c r="H65" s="145">
        <v>484</v>
      </c>
      <c r="I65" s="35" t="s">
        <v>279</v>
      </c>
      <c r="K65" s="47">
        <f t="shared" si="4"/>
        <v>20</v>
      </c>
      <c r="L65" s="47">
        <v>20</v>
      </c>
      <c r="M65" s="44" t="str">
        <f t="shared" si="5"/>
        <v>USD</v>
      </c>
      <c r="O65" s="46">
        <f t="shared" si="8"/>
        <v>530000</v>
      </c>
      <c r="Q65" s="145"/>
      <c r="R65" s="145"/>
      <c r="S65" s="35"/>
      <c r="U65" s="19">
        <f t="shared" si="6"/>
        <v>0</v>
      </c>
      <c r="V65" s="19">
        <f t="shared" si="2"/>
        <v>0</v>
      </c>
      <c r="W65" s="44">
        <f t="shared" si="7"/>
        <v>0</v>
      </c>
      <c r="Y65" s="41">
        <f t="shared" si="9"/>
        <v>0</v>
      </c>
    </row>
    <row r="66" spans="1:25" x14ac:dyDescent="0.35">
      <c r="A66" t="s">
        <v>46</v>
      </c>
      <c r="B66" s="33" t="s">
        <v>119</v>
      </c>
      <c r="C66" s="52" t="s">
        <v>297</v>
      </c>
      <c r="D66" s="52" t="s">
        <v>298</v>
      </c>
      <c r="E66" s="52" t="s">
        <v>293</v>
      </c>
      <c r="G66" s="145">
        <v>440</v>
      </c>
      <c r="H66" s="145">
        <v>484</v>
      </c>
      <c r="I66" s="35" t="s">
        <v>279</v>
      </c>
      <c r="K66" s="47">
        <f t="shared" si="4"/>
        <v>20</v>
      </c>
      <c r="L66" s="47">
        <v>20</v>
      </c>
      <c r="M66" s="44" t="str">
        <f t="shared" si="5"/>
        <v>USD</v>
      </c>
      <c r="O66" s="46">
        <f t="shared" si="8"/>
        <v>530000</v>
      </c>
      <c r="Q66" s="145">
        <v>990</v>
      </c>
      <c r="R66" s="145">
        <v>1800</v>
      </c>
      <c r="S66" s="35" t="s">
        <v>279</v>
      </c>
      <c r="U66" s="19">
        <f t="shared" si="6"/>
        <v>45</v>
      </c>
      <c r="V66" s="19">
        <f t="shared" si="2"/>
        <v>81.818181818181813</v>
      </c>
      <c r="W66" s="44" t="str">
        <f t="shared" si="7"/>
        <v>USD</v>
      </c>
      <c r="Y66" s="41">
        <f t="shared" si="9"/>
        <v>2168181.8181818179</v>
      </c>
    </row>
    <row r="67" spans="1:25" x14ac:dyDescent="0.35">
      <c r="A67" t="s">
        <v>42</v>
      </c>
      <c r="B67" s="33" t="s">
        <v>119</v>
      </c>
      <c r="C67" s="52" t="s">
        <v>299</v>
      </c>
      <c r="D67" s="52" t="s">
        <v>277</v>
      </c>
      <c r="E67" s="52" t="s">
        <v>285</v>
      </c>
      <c r="G67" s="145">
        <v>440</v>
      </c>
      <c r="H67" s="145">
        <v>484</v>
      </c>
      <c r="I67" s="35" t="s">
        <v>279</v>
      </c>
      <c r="K67" s="47">
        <f t="shared" si="4"/>
        <v>20</v>
      </c>
      <c r="L67" s="47">
        <v>20</v>
      </c>
      <c r="M67" s="44" t="str">
        <f t="shared" si="5"/>
        <v>USD</v>
      </c>
      <c r="O67" s="46">
        <f t="shared" si="8"/>
        <v>530000</v>
      </c>
      <c r="Q67" s="145">
        <v>5040</v>
      </c>
      <c r="R67" s="145">
        <v>2200</v>
      </c>
      <c r="S67" s="35" t="s">
        <v>279</v>
      </c>
      <c r="U67" s="19">
        <f t="shared" si="6"/>
        <v>229.09090909090909</v>
      </c>
      <c r="V67" s="19">
        <f t="shared" si="2"/>
        <v>100</v>
      </c>
      <c r="W67" s="44" t="str">
        <f t="shared" si="7"/>
        <v>USD</v>
      </c>
      <c r="Y67" s="41">
        <f t="shared" si="9"/>
        <v>2650000</v>
      </c>
    </row>
    <row r="68" spans="1:25" x14ac:dyDescent="0.35">
      <c r="A68" t="s">
        <v>153</v>
      </c>
      <c r="B68" s="33" t="s">
        <v>286</v>
      </c>
      <c r="C68" s="52" t="s">
        <v>300</v>
      </c>
      <c r="D68" s="52" t="s">
        <v>301</v>
      </c>
      <c r="E68" s="52" t="s">
        <v>285</v>
      </c>
      <c r="G68" s="145">
        <v>440</v>
      </c>
      <c r="H68" s="145">
        <v>484</v>
      </c>
      <c r="I68" s="35" t="s">
        <v>279</v>
      </c>
      <c r="K68" s="47">
        <f t="shared" si="4"/>
        <v>20</v>
      </c>
      <c r="L68" s="47">
        <v>20</v>
      </c>
      <c r="M68" s="44" t="str">
        <f t="shared" si="5"/>
        <v>USD</v>
      </c>
      <c r="O68" s="46">
        <f t="shared" si="8"/>
        <v>530000</v>
      </c>
      <c r="Q68" s="145"/>
      <c r="R68" s="145"/>
      <c r="S68" s="35"/>
      <c r="U68" s="19">
        <f t="shared" si="6"/>
        <v>0</v>
      </c>
      <c r="V68" s="19">
        <f t="shared" si="2"/>
        <v>0</v>
      </c>
      <c r="W68" s="44">
        <f t="shared" si="7"/>
        <v>0</v>
      </c>
      <c r="Y68" s="41">
        <f t="shared" si="9"/>
        <v>0</v>
      </c>
    </row>
    <row r="69" spans="1:25" x14ac:dyDescent="0.35">
      <c r="A69" t="s">
        <v>60</v>
      </c>
      <c r="B69" s="33" t="s">
        <v>119</v>
      </c>
      <c r="C69" s="52" t="s">
        <v>290</v>
      </c>
      <c r="D69" s="52" t="s">
        <v>290</v>
      </c>
      <c r="E69" s="52" t="s">
        <v>278</v>
      </c>
      <c r="G69" s="145">
        <v>440</v>
      </c>
      <c r="H69" s="145">
        <v>484</v>
      </c>
      <c r="I69" s="35" t="s">
        <v>279</v>
      </c>
      <c r="K69" s="47">
        <f t="shared" si="4"/>
        <v>20</v>
      </c>
      <c r="L69" s="47">
        <v>20</v>
      </c>
      <c r="M69" s="44" t="str">
        <f t="shared" si="5"/>
        <v>USD</v>
      </c>
      <c r="O69" s="46">
        <f t="shared" si="8"/>
        <v>530000</v>
      </c>
      <c r="Q69" s="145"/>
      <c r="R69" s="145"/>
      <c r="S69" s="35"/>
      <c r="U69" s="19">
        <f t="shared" si="6"/>
        <v>0</v>
      </c>
      <c r="V69" s="19">
        <f t="shared" si="2"/>
        <v>0</v>
      </c>
      <c r="W69" s="44">
        <f t="shared" si="7"/>
        <v>0</v>
      </c>
      <c r="Y69" s="41">
        <f t="shared" si="9"/>
        <v>0</v>
      </c>
    </row>
    <row r="70" spans="1:25" x14ac:dyDescent="0.35">
      <c r="A70" t="s">
        <v>24</v>
      </c>
      <c r="B70" s="33" t="s">
        <v>286</v>
      </c>
      <c r="C70" s="52" t="s">
        <v>277</v>
      </c>
      <c r="D70" s="52" t="s">
        <v>277</v>
      </c>
      <c r="E70" s="52" t="s">
        <v>278</v>
      </c>
      <c r="G70" s="145">
        <v>440</v>
      </c>
      <c r="H70" s="145">
        <v>484</v>
      </c>
      <c r="I70" s="35" t="s">
        <v>279</v>
      </c>
      <c r="K70" s="47">
        <f t="shared" si="4"/>
        <v>20</v>
      </c>
      <c r="L70" s="47">
        <v>20</v>
      </c>
      <c r="M70" s="44" t="str">
        <f t="shared" si="5"/>
        <v>USD</v>
      </c>
      <c r="O70" s="46">
        <f t="shared" si="8"/>
        <v>530000</v>
      </c>
      <c r="Q70" s="145"/>
      <c r="R70" s="145"/>
      <c r="S70" s="35"/>
      <c r="U70" s="19">
        <f t="shared" si="6"/>
        <v>0</v>
      </c>
      <c r="V70" s="19">
        <f t="shared" si="2"/>
        <v>0</v>
      </c>
      <c r="W70" s="44">
        <f t="shared" si="7"/>
        <v>0</v>
      </c>
      <c r="Y70" s="41">
        <f t="shared" si="9"/>
        <v>0</v>
      </c>
    </row>
    <row r="71" spans="1:25" x14ac:dyDescent="0.35">
      <c r="A71" t="s">
        <v>126</v>
      </c>
      <c r="B71" s="33" t="s">
        <v>119</v>
      </c>
      <c r="C71" s="52" t="s">
        <v>300</v>
      </c>
      <c r="D71" s="52" t="s">
        <v>301</v>
      </c>
      <c r="E71" s="52" t="s">
        <v>293</v>
      </c>
      <c r="G71" s="145">
        <v>440</v>
      </c>
      <c r="H71" s="145">
        <v>484</v>
      </c>
      <c r="I71" s="35" t="s">
        <v>279</v>
      </c>
      <c r="K71" s="47">
        <f t="shared" si="4"/>
        <v>20</v>
      </c>
      <c r="L71" s="47">
        <v>20</v>
      </c>
      <c r="M71" s="44" t="str">
        <f t="shared" si="5"/>
        <v>USD</v>
      </c>
      <c r="O71" s="46">
        <f t="shared" ref="O71:O102" si="17">IF(M71="USD",L71*EXR,L71)</f>
        <v>530000</v>
      </c>
      <c r="Q71" s="145">
        <v>1900</v>
      </c>
      <c r="R71" s="145">
        <v>2400</v>
      </c>
      <c r="S71" s="35" t="s">
        <v>279</v>
      </c>
      <c r="U71" s="19">
        <f t="shared" si="6"/>
        <v>86.36363636363636</v>
      </c>
      <c r="V71" s="19">
        <f t="shared" ref="V71:V134" si="18">R71/22</f>
        <v>109.09090909090909</v>
      </c>
      <c r="W71" s="44" t="str">
        <f t="shared" si="7"/>
        <v>USD</v>
      </c>
      <c r="Y71" s="41">
        <f t="shared" ref="Y71:Y102" si="19">IF(W71="USD",V71*EXR,V71)</f>
        <v>2890909.0909090908</v>
      </c>
    </row>
    <row r="72" spans="1:25" x14ac:dyDescent="0.35">
      <c r="A72" t="s">
        <v>127</v>
      </c>
      <c r="B72" s="33" t="s">
        <v>119</v>
      </c>
      <c r="C72" s="52" t="s">
        <v>302</v>
      </c>
      <c r="D72" s="52" t="s">
        <v>303</v>
      </c>
      <c r="E72" s="52" t="s">
        <v>285</v>
      </c>
      <c r="G72" s="145">
        <v>440</v>
      </c>
      <c r="H72" s="145">
        <v>484</v>
      </c>
      <c r="I72" s="35" t="s">
        <v>279</v>
      </c>
      <c r="K72" s="47">
        <f t="shared" ref="K72:K135" si="20">G72/22</f>
        <v>20</v>
      </c>
      <c r="L72" s="47">
        <v>20</v>
      </c>
      <c r="M72" s="44" t="str">
        <f t="shared" ref="M72:M135" si="21">I72</f>
        <v>USD</v>
      </c>
      <c r="O72" s="46">
        <f t="shared" si="17"/>
        <v>530000</v>
      </c>
      <c r="Q72" s="145">
        <v>3775</v>
      </c>
      <c r="R72" s="145">
        <v>3800</v>
      </c>
      <c r="S72" s="35" t="s">
        <v>279</v>
      </c>
      <c r="U72" s="19">
        <f t="shared" ref="U72:U135" si="22">Q72/22</f>
        <v>171.59090909090909</v>
      </c>
      <c r="V72" s="19">
        <f t="shared" si="18"/>
        <v>172.72727272727272</v>
      </c>
      <c r="W72" s="44" t="str">
        <f t="shared" ref="W72:W135" si="23">S72</f>
        <v>USD</v>
      </c>
      <c r="Y72" s="41">
        <f t="shared" si="19"/>
        <v>4577272.7272727275</v>
      </c>
    </row>
    <row r="73" spans="1:25" x14ac:dyDescent="0.35">
      <c r="A73" t="s">
        <v>304</v>
      </c>
      <c r="B73" s="33" t="s">
        <v>119</v>
      </c>
      <c r="C73" s="52" t="s">
        <v>305</v>
      </c>
      <c r="D73" s="52" t="s">
        <v>306</v>
      </c>
      <c r="E73" s="52" t="s">
        <v>285</v>
      </c>
      <c r="G73" s="145">
        <v>440</v>
      </c>
      <c r="H73" s="145">
        <v>484</v>
      </c>
      <c r="I73" s="35" t="s">
        <v>279</v>
      </c>
      <c r="K73" s="47">
        <f t="shared" si="20"/>
        <v>20</v>
      </c>
      <c r="L73" s="47">
        <v>20</v>
      </c>
      <c r="M73" s="44" t="str">
        <f t="shared" si="21"/>
        <v>USD</v>
      </c>
      <c r="O73" s="46">
        <f t="shared" si="17"/>
        <v>530000</v>
      </c>
      <c r="Q73" s="145">
        <v>875</v>
      </c>
      <c r="R73" s="145">
        <v>1000</v>
      </c>
      <c r="S73" s="35" t="s">
        <v>279</v>
      </c>
      <c r="U73" s="19">
        <f t="shared" si="22"/>
        <v>39.772727272727273</v>
      </c>
      <c r="V73" s="19">
        <f t="shared" si="18"/>
        <v>45.454545454545453</v>
      </c>
      <c r="W73" s="44" t="str">
        <f t="shared" si="23"/>
        <v>USD</v>
      </c>
      <c r="Y73" s="41">
        <f t="shared" si="19"/>
        <v>1204545.4545454546</v>
      </c>
    </row>
    <row r="74" spans="1:25" x14ac:dyDescent="0.35">
      <c r="A74" t="s">
        <v>129</v>
      </c>
      <c r="B74" s="33" t="s">
        <v>119</v>
      </c>
      <c r="C74" s="52" t="s">
        <v>307</v>
      </c>
      <c r="D74" s="52" t="s">
        <v>308</v>
      </c>
      <c r="E74" s="52" t="s">
        <v>293</v>
      </c>
      <c r="G74" s="145">
        <v>440</v>
      </c>
      <c r="H74" s="145">
        <v>484</v>
      </c>
      <c r="I74" s="35" t="s">
        <v>279</v>
      </c>
      <c r="K74" s="47">
        <f t="shared" si="20"/>
        <v>20</v>
      </c>
      <c r="L74" s="47">
        <v>20</v>
      </c>
      <c r="M74" s="44" t="str">
        <f t="shared" si="21"/>
        <v>USD</v>
      </c>
      <c r="O74" s="46">
        <f t="shared" si="17"/>
        <v>530000</v>
      </c>
      <c r="Q74" s="145">
        <v>3085</v>
      </c>
      <c r="R74" s="145">
        <v>3200</v>
      </c>
      <c r="S74" s="35" t="s">
        <v>279</v>
      </c>
      <c r="U74" s="19">
        <f t="shared" si="22"/>
        <v>140.22727272727272</v>
      </c>
      <c r="V74" s="19">
        <f t="shared" si="18"/>
        <v>145.45454545454547</v>
      </c>
      <c r="W74" s="44" t="str">
        <f t="shared" si="23"/>
        <v>USD</v>
      </c>
      <c r="Y74" s="41">
        <f t="shared" si="19"/>
        <v>3854545.4545454551</v>
      </c>
    </row>
    <row r="75" spans="1:25" x14ac:dyDescent="0.35">
      <c r="A75" t="s">
        <v>131</v>
      </c>
      <c r="B75" s="33" t="s">
        <v>119</v>
      </c>
      <c r="C75" s="52" t="s">
        <v>309</v>
      </c>
      <c r="D75" s="52" t="s">
        <v>310</v>
      </c>
      <c r="E75" s="52" t="s">
        <v>278</v>
      </c>
      <c r="G75" s="145">
        <v>440</v>
      </c>
      <c r="H75" s="145">
        <v>484</v>
      </c>
      <c r="I75" s="35" t="s">
        <v>279</v>
      </c>
      <c r="K75" s="47">
        <f t="shared" si="20"/>
        <v>20</v>
      </c>
      <c r="L75" s="47">
        <v>20</v>
      </c>
      <c r="M75" s="44" t="str">
        <f t="shared" si="21"/>
        <v>USD</v>
      </c>
      <c r="O75" s="46">
        <f t="shared" si="17"/>
        <v>530000</v>
      </c>
      <c r="Q75" s="145"/>
      <c r="R75" s="145"/>
      <c r="S75" s="35"/>
      <c r="U75" s="19">
        <f t="shared" si="22"/>
        <v>0</v>
      </c>
      <c r="V75" s="19">
        <f t="shared" si="18"/>
        <v>0</v>
      </c>
      <c r="W75" s="44">
        <f t="shared" si="23"/>
        <v>0</v>
      </c>
      <c r="Y75" s="41">
        <f t="shared" si="19"/>
        <v>0</v>
      </c>
    </row>
    <row r="76" spans="1:25" x14ac:dyDescent="0.35">
      <c r="A76" t="s">
        <v>132</v>
      </c>
      <c r="B76" s="33" t="s">
        <v>119</v>
      </c>
      <c r="C76" s="52" t="s">
        <v>311</v>
      </c>
      <c r="D76" s="52" t="s">
        <v>283</v>
      </c>
      <c r="E76" s="52" t="s">
        <v>278</v>
      </c>
      <c r="G76" s="145">
        <v>440</v>
      </c>
      <c r="H76" s="145">
        <v>484</v>
      </c>
      <c r="I76" s="35" t="s">
        <v>279</v>
      </c>
      <c r="K76" s="47">
        <f t="shared" si="20"/>
        <v>20</v>
      </c>
      <c r="L76" s="47">
        <v>20</v>
      </c>
      <c r="M76" s="44" t="str">
        <f t="shared" si="21"/>
        <v>USD</v>
      </c>
      <c r="O76" s="46">
        <f t="shared" si="17"/>
        <v>530000</v>
      </c>
      <c r="Q76" s="145"/>
      <c r="R76" s="145"/>
      <c r="S76" s="35"/>
      <c r="U76" s="19">
        <f t="shared" si="22"/>
        <v>0</v>
      </c>
      <c r="V76" s="19">
        <f t="shared" si="18"/>
        <v>0</v>
      </c>
      <c r="W76" s="44">
        <f t="shared" si="23"/>
        <v>0</v>
      </c>
      <c r="Y76" s="41">
        <f t="shared" si="19"/>
        <v>0</v>
      </c>
    </row>
    <row r="77" spans="1:25" x14ac:dyDescent="0.35">
      <c r="A77" t="s">
        <v>133</v>
      </c>
      <c r="B77" s="33" t="s">
        <v>119</v>
      </c>
      <c r="C77" s="52" t="s">
        <v>312</v>
      </c>
      <c r="D77" s="52" t="s">
        <v>303</v>
      </c>
      <c r="E77" s="52" t="s">
        <v>285</v>
      </c>
      <c r="G77" s="145">
        <v>440</v>
      </c>
      <c r="H77" s="145">
        <v>484</v>
      </c>
      <c r="I77" s="35" t="s">
        <v>279</v>
      </c>
      <c r="K77" s="47">
        <f t="shared" si="20"/>
        <v>20</v>
      </c>
      <c r="L77" s="47">
        <v>20</v>
      </c>
      <c r="M77" s="44" t="str">
        <f t="shared" si="21"/>
        <v>USD</v>
      </c>
      <c r="O77" s="46">
        <f t="shared" si="17"/>
        <v>530000</v>
      </c>
      <c r="Q77" s="145">
        <v>2700</v>
      </c>
      <c r="R77" s="145">
        <v>3000</v>
      </c>
      <c r="S77" s="35" t="s">
        <v>279</v>
      </c>
      <c r="U77" s="19">
        <f t="shared" si="22"/>
        <v>122.72727272727273</v>
      </c>
      <c r="V77" s="19">
        <f t="shared" si="18"/>
        <v>136.36363636363637</v>
      </c>
      <c r="W77" s="44" t="str">
        <f t="shared" si="23"/>
        <v>USD</v>
      </c>
      <c r="Y77" s="41">
        <f t="shared" si="19"/>
        <v>3613636.3636363638</v>
      </c>
    </row>
    <row r="78" spans="1:25" x14ac:dyDescent="0.35">
      <c r="A78" t="s">
        <v>125</v>
      </c>
      <c r="B78" s="33" t="s">
        <v>119</v>
      </c>
      <c r="C78" s="52" t="s">
        <v>309</v>
      </c>
      <c r="D78" s="52" t="s">
        <v>310</v>
      </c>
      <c r="E78" s="52" t="s">
        <v>278</v>
      </c>
      <c r="G78" s="145">
        <v>440</v>
      </c>
      <c r="H78" s="145">
        <v>484</v>
      </c>
      <c r="I78" s="35" t="s">
        <v>279</v>
      </c>
      <c r="K78" s="47">
        <f t="shared" si="20"/>
        <v>20</v>
      </c>
      <c r="L78" s="47">
        <v>20</v>
      </c>
      <c r="M78" s="44" t="str">
        <f t="shared" si="21"/>
        <v>USD</v>
      </c>
      <c r="O78" s="46">
        <f t="shared" si="17"/>
        <v>530000</v>
      </c>
      <c r="Q78" s="145"/>
      <c r="R78" s="145"/>
      <c r="S78" s="35"/>
      <c r="U78" s="19">
        <f t="shared" si="22"/>
        <v>0</v>
      </c>
      <c r="V78" s="19">
        <f t="shared" si="18"/>
        <v>0</v>
      </c>
      <c r="W78" s="44">
        <f t="shared" si="23"/>
        <v>0</v>
      </c>
      <c r="Y78" s="41">
        <f t="shared" si="19"/>
        <v>0</v>
      </c>
    </row>
    <row r="79" spans="1:25" x14ac:dyDescent="0.35">
      <c r="A79" t="s">
        <v>128</v>
      </c>
      <c r="B79" s="33" t="s">
        <v>119</v>
      </c>
      <c r="C79" s="52" t="s">
        <v>309</v>
      </c>
      <c r="D79" s="52" t="s">
        <v>310</v>
      </c>
      <c r="E79" s="52" t="s">
        <v>278</v>
      </c>
      <c r="G79" s="145">
        <v>440</v>
      </c>
      <c r="H79" s="145">
        <v>484</v>
      </c>
      <c r="I79" s="35" t="s">
        <v>279</v>
      </c>
      <c r="K79" s="47">
        <f t="shared" si="20"/>
        <v>20</v>
      </c>
      <c r="L79" s="47">
        <v>20</v>
      </c>
      <c r="M79" s="44" t="str">
        <f t="shared" si="21"/>
        <v>USD</v>
      </c>
      <c r="O79" s="46">
        <f t="shared" si="17"/>
        <v>530000</v>
      </c>
      <c r="Q79" s="145"/>
      <c r="R79" s="145"/>
      <c r="S79" s="35"/>
      <c r="U79" s="19">
        <f t="shared" si="22"/>
        <v>0</v>
      </c>
      <c r="V79" s="19">
        <f t="shared" si="18"/>
        <v>0</v>
      </c>
      <c r="W79" s="44">
        <f t="shared" si="23"/>
        <v>0</v>
      </c>
      <c r="Y79" s="41">
        <f t="shared" si="19"/>
        <v>0</v>
      </c>
    </row>
    <row r="80" spans="1:25" x14ac:dyDescent="0.35">
      <c r="A80" t="s">
        <v>135</v>
      </c>
      <c r="B80" s="33" t="s">
        <v>119</v>
      </c>
      <c r="C80" s="52" t="s">
        <v>313</v>
      </c>
      <c r="D80" s="52" t="s">
        <v>314</v>
      </c>
      <c r="E80" s="52" t="s">
        <v>285</v>
      </c>
      <c r="G80" s="145">
        <v>440</v>
      </c>
      <c r="H80" s="145">
        <v>484</v>
      </c>
      <c r="I80" s="35" t="s">
        <v>279</v>
      </c>
      <c r="K80" s="47">
        <f t="shared" si="20"/>
        <v>20</v>
      </c>
      <c r="L80" s="47">
        <v>20</v>
      </c>
      <c r="M80" s="44" t="str">
        <f t="shared" si="21"/>
        <v>USD</v>
      </c>
      <c r="O80" s="46">
        <f t="shared" si="17"/>
        <v>530000</v>
      </c>
      <c r="Q80" s="145">
        <v>3650</v>
      </c>
      <c r="R80" s="145">
        <v>3800</v>
      </c>
      <c r="S80" s="35" t="s">
        <v>279</v>
      </c>
      <c r="U80" s="19">
        <f t="shared" si="22"/>
        <v>165.90909090909091</v>
      </c>
      <c r="V80" s="19">
        <f t="shared" si="18"/>
        <v>172.72727272727272</v>
      </c>
      <c r="W80" s="44" t="str">
        <f t="shared" si="23"/>
        <v>USD</v>
      </c>
      <c r="Y80" s="41">
        <f t="shared" si="19"/>
        <v>4577272.7272727275</v>
      </c>
    </row>
    <row r="81" spans="1:25" x14ac:dyDescent="0.35">
      <c r="A81" t="s">
        <v>136</v>
      </c>
      <c r="B81" s="33" t="s">
        <v>119</v>
      </c>
      <c r="C81" s="52" t="s">
        <v>297</v>
      </c>
      <c r="D81" s="52" t="s">
        <v>298</v>
      </c>
      <c r="E81" s="52" t="s">
        <v>285</v>
      </c>
      <c r="G81" s="145">
        <v>440</v>
      </c>
      <c r="H81" s="145">
        <v>484</v>
      </c>
      <c r="I81" s="35" t="s">
        <v>279</v>
      </c>
      <c r="K81" s="47">
        <f t="shared" si="20"/>
        <v>20</v>
      </c>
      <c r="L81" s="47">
        <v>20</v>
      </c>
      <c r="M81" s="44" t="str">
        <f t="shared" si="21"/>
        <v>USD</v>
      </c>
      <c r="O81" s="46">
        <f t="shared" si="17"/>
        <v>530000</v>
      </c>
      <c r="Q81" s="145">
        <v>1150</v>
      </c>
      <c r="R81" s="145">
        <v>1800</v>
      </c>
      <c r="S81" s="35" t="s">
        <v>279</v>
      </c>
      <c r="U81" s="19">
        <f t="shared" si="22"/>
        <v>52.272727272727273</v>
      </c>
      <c r="V81" s="19">
        <f t="shared" si="18"/>
        <v>81.818181818181813</v>
      </c>
      <c r="W81" s="44" t="str">
        <f t="shared" si="23"/>
        <v>USD</v>
      </c>
      <c r="Y81" s="41">
        <f t="shared" si="19"/>
        <v>2168181.8181818179</v>
      </c>
    </row>
    <row r="82" spans="1:25" x14ac:dyDescent="0.35">
      <c r="A82" t="s">
        <v>134</v>
      </c>
      <c r="B82" s="33" t="s">
        <v>119</v>
      </c>
      <c r="C82" s="52" t="s">
        <v>300</v>
      </c>
      <c r="D82" s="52" t="s">
        <v>301</v>
      </c>
      <c r="E82" s="52" t="s">
        <v>278</v>
      </c>
      <c r="G82" s="145">
        <v>440</v>
      </c>
      <c r="H82" s="145">
        <v>484</v>
      </c>
      <c r="I82" s="35" t="s">
        <v>279</v>
      </c>
      <c r="K82" s="47">
        <f t="shared" si="20"/>
        <v>20</v>
      </c>
      <c r="L82" s="47">
        <v>20</v>
      </c>
      <c r="M82" s="44" t="str">
        <f t="shared" si="21"/>
        <v>USD</v>
      </c>
      <c r="O82" s="46">
        <f t="shared" si="17"/>
        <v>530000</v>
      </c>
      <c r="Q82" s="145"/>
      <c r="R82" s="145"/>
      <c r="S82" s="35"/>
      <c r="U82" s="19">
        <f t="shared" si="22"/>
        <v>0</v>
      </c>
      <c r="V82" s="19">
        <f t="shared" si="18"/>
        <v>0</v>
      </c>
      <c r="W82" s="44">
        <f t="shared" si="23"/>
        <v>0</v>
      </c>
      <c r="Y82" s="41">
        <f t="shared" si="19"/>
        <v>0</v>
      </c>
    </row>
    <row r="83" spans="1:25" x14ac:dyDescent="0.35">
      <c r="A83" t="s">
        <v>27</v>
      </c>
      <c r="B83" s="33" t="s">
        <v>119</v>
      </c>
      <c r="C83" s="52" t="s">
        <v>315</v>
      </c>
      <c r="D83" s="52" t="s">
        <v>314</v>
      </c>
      <c r="E83" s="52" t="s">
        <v>285</v>
      </c>
      <c r="G83" s="145">
        <v>440</v>
      </c>
      <c r="H83" s="145">
        <v>484</v>
      </c>
      <c r="I83" s="35" t="s">
        <v>279</v>
      </c>
      <c r="K83" s="47">
        <f t="shared" si="20"/>
        <v>20</v>
      </c>
      <c r="L83" s="47">
        <v>20</v>
      </c>
      <c r="M83" s="44" t="str">
        <f t="shared" si="21"/>
        <v>USD</v>
      </c>
      <c r="O83" s="46">
        <f t="shared" si="17"/>
        <v>530000</v>
      </c>
      <c r="Q83" s="145">
        <v>2150</v>
      </c>
      <c r="R83" s="145">
        <v>2400</v>
      </c>
      <c r="S83" s="35" t="s">
        <v>279</v>
      </c>
      <c r="U83" s="19">
        <f t="shared" si="22"/>
        <v>97.727272727272734</v>
      </c>
      <c r="V83" s="19">
        <f t="shared" si="18"/>
        <v>109.09090909090909</v>
      </c>
      <c r="W83" s="44" t="str">
        <f t="shared" si="23"/>
        <v>USD</v>
      </c>
      <c r="Y83" s="41">
        <f t="shared" si="19"/>
        <v>2890909.0909090908</v>
      </c>
    </row>
    <row r="84" spans="1:25" x14ac:dyDescent="0.35">
      <c r="A84" t="s">
        <v>137</v>
      </c>
      <c r="B84" s="33" t="s">
        <v>119</v>
      </c>
      <c r="C84" s="52" t="s">
        <v>316</v>
      </c>
      <c r="D84" s="52" t="s">
        <v>317</v>
      </c>
      <c r="E84" s="52" t="s">
        <v>285</v>
      </c>
      <c r="G84" s="145">
        <v>440</v>
      </c>
      <c r="H84" s="145">
        <v>484</v>
      </c>
      <c r="I84" s="35" t="s">
        <v>279</v>
      </c>
      <c r="K84" s="47">
        <f t="shared" si="20"/>
        <v>20</v>
      </c>
      <c r="L84" s="47">
        <v>20</v>
      </c>
      <c r="M84" s="44" t="str">
        <f t="shared" si="21"/>
        <v>USD</v>
      </c>
      <c r="O84" s="46">
        <f t="shared" si="17"/>
        <v>530000</v>
      </c>
      <c r="Q84" s="145">
        <v>2200</v>
      </c>
      <c r="R84" s="145">
        <v>1800</v>
      </c>
      <c r="S84" s="35" t="s">
        <v>279</v>
      </c>
      <c r="U84" s="19">
        <f t="shared" si="22"/>
        <v>100</v>
      </c>
      <c r="V84" s="19">
        <f t="shared" si="18"/>
        <v>81.818181818181813</v>
      </c>
      <c r="W84" s="44" t="str">
        <f t="shared" si="23"/>
        <v>USD</v>
      </c>
      <c r="Y84" s="41">
        <f t="shared" si="19"/>
        <v>2168181.8181818179</v>
      </c>
    </row>
    <row r="85" spans="1:25" x14ac:dyDescent="0.35">
      <c r="A85" t="s">
        <v>138</v>
      </c>
      <c r="B85" s="33" t="s">
        <v>119</v>
      </c>
      <c r="C85" s="52" t="s">
        <v>312</v>
      </c>
      <c r="D85" s="52" t="s">
        <v>303</v>
      </c>
      <c r="E85" s="52" t="s">
        <v>278</v>
      </c>
      <c r="G85" s="145">
        <v>440</v>
      </c>
      <c r="H85" s="145">
        <v>484</v>
      </c>
      <c r="I85" s="35" t="s">
        <v>279</v>
      </c>
      <c r="K85" s="47">
        <f t="shared" si="20"/>
        <v>20</v>
      </c>
      <c r="L85" s="47">
        <v>20</v>
      </c>
      <c r="M85" s="44" t="str">
        <f t="shared" si="21"/>
        <v>USD</v>
      </c>
      <c r="O85" s="46">
        <f t="shared" si="17"/>
        <v>530000</v>
      </c>
      <c r="Q85" s="145"/>
      <c r="R85" s="145"/>
      <c r="S85" s="35"/>
      <c r="U85" s="19">
        <f t="shared" si="22"/>
        <v>0</v>
      </c>
      <c r="V85" s="19">
        <f t="shared" si="18"/>
        <v>0</v>
      </c>
      <c r="W85" s="44">
        <f t="shared" si="23"/>
        <v>0</v>
      </c>
      <c r="Y85" s="41">
        <f t="shared" si="19"/>
        <v>0</v>
      </c>
    </row>
    <row r="86" spans="1:25" x14ac:dyDescent="0.35">
      <c r="A86" t="s">
        <v>64</v>
      </c>
      <c r="B86" s="33" t="s">
        <v>119</v>
      </c>
      <c r="C86" s="52" t="s">
        <v>318</v>
      </c>
      <c r="D86" s="52" t="s">
        <v>301</v>
      </c>
      <c r="E86" s="52" t="s">
        <v>278</v>
      </c>
      <c r="G86" s="145">
        <v>440</v>
      </c>
      <c r="H86" s="145">
        <v>484</v>
      </c>
      <c r="I86" s="35" t="s">
        <v>279</v>
      </c>
      <c r="K86" s="47">
        <f t="shared" si="20"/>
        <v>20</v>
      </c>
      <c r="L86" s="47">
        <v>20</v>
      </c>
      <c r="M86" s="44" t="str">
        <f t="shared" si="21"/>
        <v>USD</v>
      </c>
      <c r="O86" s="46">
        <f t="shared" si="17"/>
        <v>530000</v>
      </c>
      <c r="Q86" s="145"/>
      <c r="R86" s="145"/>
      <c r="S86" s="35"/>
      <c r="U86" s="19">
        <f t="shared" si="22"/>
        <v>0</v>
      </c>
      <c r="V86" s="19">
        <f t="shared" si="18"/>
        <v>0</v>
      </c>
      <c r="W86" s="44">
        <f t="shared" si="23"/>
        <v>0</v>
      </c>
      <c r="Y86" s="41">
        <f t="shared" si="19"/>
        <v>0</v>
      </c>
    </row>
    <row r="87" spans="1:25" x14ac:dyDescent="0.35">
      <c r="A87" t="s">
        <v>145</v>
      </c>
      <c r="B87" s="33" t="s">
        <v>119</v>
      </c>
      <c r="C87" s="52" t="s">
        <v>299</v>
      </c>
      <c r="D87" s="52" t="s">
        <v>277</v>
      </c>
      <c r="E87" s="52" t="s">
        <v>278</v>
      </c>
      <c r="G87" s="145">
        <v>440</v>
      </c>
      <c r="H87" s="145">
        <v>484</v>
      </c>
      <c r="I87" s="35" t="s">
        <v>279</v>
      </c>
      <c r="K87" s="47">
        <f t="shared" si="20"/>
        <v>20</v>
      </c>
      <c r="L87" s="47">
        <v>20</v>
      </c>
      <c r="M87" s="44" t="str">
        <f t="shared" si="21"/>
        <v>USD</v>
      </c>
      <c r="O87" s="46">
        <f t="shared" si="17"/>
        <v>530000</v>
      </c>
      <c r="Q87" s="145"/>
      <c r="R87" s="145"/>
      <c r="S87" s="35"/>
      <c r="U87" s="19">
        <f t="shared" si="22"/>
        <v>0</v>
      </c>
      <c r="V87" s="19">
        <f t="shared" si="18"/>
        <v>0</v>
      </c>
      <c r="W87" s="44">
        <f t="shared" si="23"/>
        <v>0</v>
      </c>
      <c r="Y87" s="41">
        <f t="shared" si="19"/>
        <v>0</v>
      </c>
    </row>
    <row r="88" spans="1:25" x14ac:dyDescent="0.35">
      <c r="A88" t="s">
        <v>140</v>
      </c>
      <c r="B88" s="33" t="s">
        <v>119</v>
      </c>
      <c r="C88" s="52" t="s">
        <v>290</v>
      </c>
      <c r="D88" s="52" t="s">
        <v>290</v>
      </c>
      <c r="E88" s="52" t="s">
        <v>278</v>
      </c>
      <c r="G88" s="145">
        <v>440</v>
      </c>
      <c r="H88" s="145">
        <v>484</v>
      </c>
      <c r="I88" s="35" t="s">
        <v>279</v>
      </c>
      <c r="K88" s="47">
        <f t="shared" si="20"/>
        <v>20</v>
      </c>
      <c r="L88" s="47">
        <v>20</v>
      </c>
      <c r="M88" s="44" t="str">
        <f t="shared" si="21"/>
        <v>USD</v>
      </c>
      <c r="O88" s="46">
        <f t="shared" si="17"/>
        <v>530000</v>
      </c>
      <c r="Q88" s="145"/>
      <c r="R88" s="145"/>
      <c r="S88" s="35"/>
      <c r="U88" s="19">
        <f t="shared" si="22"/>
        <v>0</v>
      </c>
      <c r="V88" s="19">
        <f t="shared" si="18"/>
        <v>0</v>
      </c>
      <c r="W88" s="44">
        <f t="shared" si="23"/>
        <v>0</v>
      </c>
      <c r="Y88" s="41">
        <f t="shared" si="19"/>
        <v>0</v>
      </c>
    </row>
    <row r="89" spans="1:25" x14ac:dyDescent="0.35">
      <c r="A89" t="s">
        <v>144</v>
      </c>
      <c r="B89" s="33" t="s">
        <v>119</v>
      </c>
      <c r="C89" s="52" t="s">
        <v>319</v>
      </c>
      <c r="D89" s="52" t="s">
        <v>319</v>
      </c>
      <c r="E89" s="52" t="s">
        <v>278</v>
      </c>
      <c r="G89" s="145">
        <v>440</v>
      </c>
      <c r="H89" s="145">
        <v>484</v>
      </c>
      <c r="I89" s="35" t="s">
        <v>279</v>
      </c>
      <c r="K89" s="47">
        <f t="shared" si="20"/>
        <v>20</v>
      </c>
      <c r="L89" s="47">
        <v>20</v>
      </c>
      <c r="M89" s="44" t="str">
        <f t="shared" si="21"/>
        <v>USD</v>
      </c>
      <c r="O89" s="46">
        <f t="shared" si="17"/>
        <v>530000</v>
      </c>
      <c r="Q89" s="145"/>
      <c r="R89" s="145"/>
      <c r="S89" s="35"/>
      <c r="U89" s="19">
        <f t="shared" si="22"/>
        <v>0</v>
      </c>
      <c r="V89" s="19">
        <f t="shared" si="18"/>
        <v>0</v>
      </c>
      <c r="W89" s="44">
        <f t="shared" si="23"/>
        <v>0</v>
      </c>
      <c r="Y89" s="41">
        <f t="shared" si="19"/>
        <v>0</v>
      </c>
    </row>
    <row r="90" spans="1:25" x14ac:dyDescent="0.35">
      <c r="A90" t="s">
        <v>147</v>
      </c>
      <c r="B90" s="33" t="s">
        <v>119</v>
      </c>
      <c r="C90" s="52" t="s">
        <v>305</v>
      </c>
      <c r="D90" s="52" t="s">
        <v>306</v>
      </c>
      <c r="E90" s="52" t="s">
        <v>285</v>
      </c>
      <c r="G90" s="145">
        <v>440</v>
      </c>
      <c r="H90" s="145">
        <v>484</v>
      </c>
      <c r="I90" s="35" t="s">
        <v>279</v>
      </c>
      <c r="K90" s="47">
        <f t="shared" si="20"/>
        <v>20</v>
      </c>
      <c r="L90" s="47">
        <v>20</v>
      </c>
      <c r="M90" s="44" t="str">
        <f t="shared" si="21"/>
        <v>USD</v>
      </c>
      <c r="O90" s="46">
        <f t="shared" si="17"/>
        <v>530000</v>
      </c>
      <c r="Q90" s="145">
        <v>700</v>
      </c>
      <c r="R90" s="145">
        <v>1000</v>
      </c>
      <c r="S90" s="35" t="s">
        <v>279</v>
      </c>
      <c r="U90" s="19">
        <f t="shared" si="22"/>
        <v>31.818181818181817</v>
      </c>
      <c r="V90" s="19">
        <f t="shared" si="18"/>
        <v>45.454545454545453</v>
      </c>
      <c r="W90" s="44" t="str">
        <f t="shared" si="23"/>
        <v>USD</v>
      </c>
      <c r="Y90" s="41">
        <f t="shared" si="19"/>
        <v>1204545.4545454546</v>
      </c>
    </row>
    <row r="91" spans="1:25" x14ac:dyDescent="0.35">
      <c r="A91" t="s">
        <v>320</v>
      </c>
      <c r="B91" s="33" t="s">
        <v>96</v>
      </c>
      <c r="C91" s="52" t="s">
        <v>274</v>
      </c>
      <c r="D91" s="52" t="s">
        <v>259</v>
      </c>
      <c r="E91" s="52" t="s">
        <v>262</v>
      </c>
      <c r="G91" s="145">
        <v>13425925</v>
      </c>
      <c r="H91" s="145">
        <v>13425925</v>
      </c>
      <c r="I91" s="35" t="s">
        <v>265</v>
      </c>
      <c r="K91" s="47">
        <f t="shared" si="20"/>
        <v>610269.31818181823</v>
      </c>
      <c r="L91" s="47">
        <f t="shared" ref="L91:L134" si="24">H91/22</f>
        <v>610269.31818181823</v>
      </c>
      <c r="M91" s="44" t="str">
        <f t="shared" si="21"/>
        <v>VND</v>
      </c>
      <c r="O91" s="46">
        <f>IF(M91="USD",L91*EXR,L91)</f>
        <v>610269.31818181823</v>
      </c>
      <c r="Q91" s="145"/>
      <c r="R91" s="145"/>
      <c r="S91" s="35"/>
      <c r="U91" s="19">
        <f t="shared" si="22"/>
        <v>0</v>
      </c>
      <c r="V91" s="19">
        <f t="shared" si="18"/>
        <v>0</v>
      </c>
      <c r="W91" s="44">
        <f t="shared" si="23"/>
        <v>0</v>
      </c>
      <c r="Y91" s="41">
        <f t="shared" si="19"/>
        <v>0</v>
      </c>
    </row>
    <row r="92" spans="1:25" x14ac:dyDescent="0.35">
      <c r="A92" t="s">
        <v>321</v>
      </c>
      <c r="B92" s="33" t="s">
        <v>96</v>
      </c>
      <c r="C92" s="52" t="s">
        <v>276</v>
      </c>
      <c r="D92" s="52" t="s">
        <v>259</v>
      </c>
      <c r="E92" s="52" t="s">
        <v>262</v>
      </c>
      <c r="G92" s="145">
        <v>3080000</v>
      </c>
      <c r="H92" s="145">
        <v>3080000</v>
      </c>
      <c r="I92" s="35" t="s">
        <v>265</v>
      </c>
      <c r="K92" s="47">
        <f t="shared" si="20"/>
        <v>140000</v>
      </c>
      <c r="L92" s="47">
        <f t="shared" si="24"/>
        <v>140000</v>
      </c>
      <c r="M92" s="44" t="str">
        <f t="shared" si="21"/>
        <v>VND</v>
      </c>
      <c r="O92" s="46">
        <f t="shared" si="17"/>
        <v>140000</v>
      </c>
      <c r="Q92" s="145"/>
      <c r="R92" s="145"/>
      <c r="S92" s="35"/>
      <c r="U92" s="19">
        <f t="shared" si="22"/>
        <v>0</v>
      </c>
      <c r="V92" s="19">
        <f t="shared" si="18"/>
        <v>0</v>
      </c>
      <c r="W92" s="44">
        <f t="shared" si="23"/>
        <v>0</v>
      </c>
      <c r="Y92" s="41">
        <f t="shared" si="19"/>
        <v>0</v>
      </c>
    </row>
    <row r="93" spans="1:25" x14ac:dyDescent="0.35">
      <c r="A93" t="s">
        <v>322</v>
      </c>
      <c r="B93" s="33" t="s">
        <v>96</v>
      </c>
      <c r="C93" s="52" t="s">
        <v>261</v>
      </c>
      <c r="D93" s="52" t="s">
        <v>259</v>
      </c>
      <c r="E93" s="52" t="s">
        <v>262</v>
      </c>
      <c r="G93" s="145">
        <v>3080000</v>
      </c>
      <c r="H93" s="145">
        <v>3080000</v>
      </c>
      <c r="I93" s="35" t="s">
        <v>265</v>
      </c>
      <c r="K93" s="47">
        <f t="shared" si="20"/>
        <v>140000</v>
      </c>
      <c r="L93" s="47">
        <f t="shared" si="24"/>
        <v>140000</v>
      </c>
      <c r="M93" s="44" t="str">
        <f t="shared" si="21"/>
        <v>VND</v>
      </c>
      <c r="O93" s="46">
        <f t="shared" si="17"/>
        <v>140000</v>
      </c>
      <c r="Q93" s="145"/>
      <c r="R93" s="145"/>
      <c r="S93" s="35"/>
      <c r="U93" s="19">
        <f t="shared" si="22"/>
        <v>0</v>
      </c>
      <c r="V93" s="19">
        <f t="shared" si="18"/>
        <v>0</v>
      </c>
      <c r="W93" s="44">
        <f t="shared" si="23"/>
        <v>0</v>
      </c>
      <c r="Y93" s="41">
        <f t="shared" si="19"/>
        <v>0</v>
      </c>
    </row>
    <row r="94" spans="1:25" x14ac:dyDescent="0.35">
      <c r="A94" t="s">
        <v>323</v>
      </c>
      <c r="B94" s="33" t="s">
        <v>96</v>
      </c>
      <c r="C94" s="52" t="s">
        <v>258</v>
      </c>
      <c r="D94" s="52" t="s">
        <v>259</v>
      </c>
      <c r="E94" s="52" t="s">
        <v>262</v>
      </c>
      <c r="G94" s="145">
        <v>3080000</v>
      </c>
      <c r="H94" s="145">
        <v>3080000</v>
      </c>
      <c r="I94" s="35" t="s">
        <v>265</v>
      </c>
      <c r="K94" s="47">
        <f t="shared" si="20"/>
        <v>140000</v>
      </c>
      <c r="L94" s="47">
        <f t="shared" si="24"/>
        <v>140000</v>
      </c>
      <c r="M94" s="44" t="str">
        <f t="shared" si="21"/>
        <v>VND</v>
      </c>
      <c r="O94" s="46">
        <f t="shared" si="17"/>
        <v>140000</v>
      </c>
      <c r="Q94" s="145"/>
      <c r="R94" s="145"/>
      <c r="S94" s="35"/>
      <c r="U94" s="19">
        <f t="shared" si="22"/>
        <v>0</v>
      </c>
      <c r="V94" s="19">
        <f t="shared" si="18"/>
        <v>0</v>
      </c>
      <c r="W94" s="44">
        <f t="shared" si="23"/>
        <v>0</v>
      </c>
      <c r="Y94" s="41">
        <f t="shared" si="19"/>
        <v>0</v>
      </c>
    </row>
    <row r="95" spans="1:25" x14ac:dyDescent="0.35">
      <c r="A95" t="s">
        <v>324</v>
      </c>
      <c r="B95" s="33" t="s">
        <v>96</v>
      </c>
      <c r="C95" s="52" t="s">
        <v>264</v>
      </c>
      <c r="D95" s="52" t="s">
        <v>259</v>
      </c>
      <c r="E95" s="52" t="s">
        <v>262</v>
      </c>
      <c r="G95" s="145">
        <v>3520000</v>
      </c>
      <c r="H95" s="145">
        <v>3520000</v>
      </c>
      <c r="I95" s="35" t="s">
        <v>265</v>
      </c>
      <c r="K95" s="47">
        <f t="shared" si="20"/>
        <v>160000</v>
      </c>
      <c r="L95" s="47">
        <f t="shared" si="24"/>
        <v>160000</v>
      </c>
      <c r="M95" s="44" t="str">
        <f t="shared" si="21"/>
        <v>VND</v>
      </c>
      <c r="O95" s="46">
        <f t="shared" si="17"/>
        <v>160000</v>
      </c>
      <c r="Q95" s="145"/>
      <c r="R95" s="145"/>
      <c r="S95" s="35"/>
      <c r="U95" s="19">
        <f t="shared" si="22"/>
        <v>0</v>
      </c>
      <c r="V95" s="19">
        <f t="shared" si="18"/>
        <v>0</v>
      </c>
      <c r="W95" s="44">
        <f t="shared" si="23"/>
        <v>0</v>
      </c>
      <c r="Y95" s="41">
        <f t="shared" si="19"/>
        <v>0</v>
      </c>
    </row>
    <row r="96" spans="1:25" x14ac:dyDescent="0.35">
      <c r="A96" t="s">
        <v>325</v>
      </c>
      <c r="B96" s="33" t="s">
        <v>96</v>
      </c>
      <c r="C96" s="52" t="s">
        <v>258</v>
      </c>
      <c r="D96" s="52" t="s">
        <v>259</v>
      </c>
      <c r="E96" s="52" t="s">
        <v>262</v>
      </c>
      <c r="G96" s="145">
        <v>3080000</v>
      </c>
      <c r="H96" s="145">
        <v>3080000</v>
      </c>
      <c r="I96" s="35" t="s">
        <v>265</v>
      </c>
      <c r="K96" s="47">
        <f t="shared" si="20"/>
        <v>140000</v>
      </c>
      <c r="L96" s="47">
        <f t="shared" si="24"/>
        <v>140000</v>
      </c>
      <c r="M96" s="44" t="str">
        <f t="shared" si="21"/>
        <v>VND</v>
      </c>
      <c r="O96" s="46">
        <f t="shared" si="17"/>
        <v>140000</v>
      </c>
      <c r="Q96" s="145"/>
      <c r="R96" s="145"/>
      <c r="S96" s="35"/>
      <c r="U96" s="19">
        <f t="shared" si="22"/>
        <v>0</v>
      </c>
      <c r="V96" s="19">
        <f t="shared" si="18"/>
        <v>0</v>
      </c>
      <c r="W96" s="44">
        <f t="shared" si="23"/>
        <v>0</v>
      </c>
      <c r="Y96" s="41">
        <f t="shared" si="19"/>
        <v>0</v>
      </c>
    </row>
    <row r="97" spans="1:25" x14ac:dyDescent="0.35">
      <c r="A97" t="s">
        <v>326</v>
      </c>
      <c r="B97" s="33" t="s">
        <v>96</v>
      </c>
      <c r="C97" s="52" t="s">
        <v>327</v>
      </c>
      <c r="D97" s="52" t="s">
        <v>259</v>
      </c>
      <c r="E97" s="52" t="s">
        <v>262</v>
      </c>
      <c r="G97" s="145">
        <v>13425925</v>
      </c>
      <c r="H97" s="145">
        <v>13425925</v>
      </c>
      <c r="I97" s="35" t="s">
        <v>265</v>
      </c>
      <c r="K97" s="47">
        <f t="shared" si="20"/>
        <v>610269.31818181823</v>
      </c>
      <c r="L97" s="47">
        <f t="shared" si="24"/>
        <v>610269.31818181823</v>
      </c>
      <c r="M97" s="44" t="str">
        <f t="shared" si="21"/>
        <v>VND</v>
      </c>
      <c r="O97" s="46">
        <f t="shared" si="17"/>
        <v>610269.31818181823</v>
      </c>
      <c r="Q97" s="145"/>
      <c r="R97" s="145"/>
      <c r="S97" s="35"/>
      <c r="U97" s="19">
        <f t="shared" si="22"/>
        <v>0</v>
      </c>
      <c r="V97" s="19">
        <f t="shared" si="18"/>
        <v>0</v>
      </c>
      <c r="W97" s="44">
        <f t="shared" si="23"/>
        <v>0</v>
      </c>
      <c r="Y97" s="41">
        <f t="shared" si="19"/>
        <v>0</v>
      </c>
    </row>
    <row r="98" spans="1:25" x14ac:dyDescent="0.35">
      <c r="A98" t="s">
        <v>328</v>
      </c>
      <c r="B98" s="33" t="s">
        <v>119</v>
      </c>
      <c r="C98" s="52" t="s">
        <v>309</v>
      </c>
      <c r="D98" s="52" t="s">
        <v>310</v>
      </c>
      <c r="E98" s="52" t="s">
        <v>278</v>
      </c>
      <c r="G98" s="145">
        <v>440</v>
      </c>
      <c r="H98" s="145">
        <v>484</v>
      </c>
      <c r="I98" s="35" t="s">
        <v>279</v>
      </c>
      <c r="K98" s="47">
        <f t="shared" si="20"/>
        <v>20</v>
      </c>
      <c r="L98" s="47">
        <v>20</v>
      </c>
      <c r="M98" s="44" t="str">
        <f t="shared" si="21"/>
        <v>USD</v>
      </c>
      <c r="O98" s="46">
        <f t="shared" si="17"/>
        <v>530000</v>
      </c>
      <c r="Q98" s="145"/>
      <c r="R98" s="145"/>
      <c r="S98" s="35"/>
      <c r="U98" s="19">
        <f t="shared" si="22"/>
        <v>0</v>
      </c>
      <c r="V98" s="19">
        <f t="shared" si="18"/>
        <v>0</v>
      </c>
      <c r="W98" s="44">
        <f t="shared" si="23"/>
        <v>0</v>
      </c>
      <c r="Y98" s="41">
        <f t="shared" si="19"/>
        <v>0</v>
      </c>
    </row>
    <row r="99" spans="1:25" x14ac:dyDescent="0.35">
      <c r="A99" t="s">
        <v>34</v>
      </c>
      <c r="B99" s="33" t="s">
        <v>286</v>
      </c>
      <c r="C99" s="52" t="s">
        <v>277</v>
      </c>
      <c r="D99" s="52" t="s">
        <v>277</v>
      </c>
      <c r="E99" s="52" t="s">
        <v>278</v>
      </c>
      <c r="G99" s="145">
        <v>440</v>
      </c>
      <c r="H99" s="145">
        <v>484</v>
      </c>
      <c r="I99" s="35" t="s">
        <v>279</v>
      </c>
      <c r="K99" s="47">
        <f t="shared" si="20"/>
        <v>20</v>
      </c>
      <c r="L99" s="47">
        <v>20</v>
      </c>
      <c r="M99" s="44" t="str">
        <f t="shared" si="21"/>
        <v>USD</v>
      </c>
      <c r="O99" s="46">
        <f t="shared" si="17"/>
        <v>530000</v>
      </c>
      <c r="Q99" s="145"/>
      <c r="R99" s="145"/>
      <c r="S99" s="35"/>
      <c r="U99" s="19">
        <f t="shared" si="22"/>
        <v>0</v>
      </c>
      <c r="V99" s="19">
        <f t="shared" si="18"/>
        <v>0</v>
      </c>
      <c r="W99" s="44">
        <f t="shared" si="23"/>
        <v>0</v>
      </c>
      <c r="Y99" s="41">
        <f t="shared" si="19"/>
        <v>0</v>
      </c>
    </row>
    <row r="100" spans="1:25" x14ac:dyDescent="0.35">
      <c r="A100" t="s">
        <v>13</v>
      </c>
      <c r="B100" s="33" t="s">
        <v>286</v>
      </c>
      <c r="C100" s="52" t="s">
        <v>277</v>
      </c>
      <c r="D100" s="52" t="s">
        <v>277</v>
      </c>
      <c r="E100" s="52" t="s">
        <v>278</v>
      </c>
      <c r="G100" s="145">
        <v>440</v>
      </c>
      <c r="H100" s="145">
        <v>484</v>
      </c>
      <c r="I100" s="35" t="s">
        <v>279</v>
      </c>
      <c r="K100" s="47">
        <f t="shared" si="20"/>
        <v>20</v>
      </c>
      <c r="L100" s="47">
        <v>20</v>
      </c>
      <c r="M100" s="44" t="str">
        <f t="shared" si="21"/>
        <v>USD</v>
      </c>
      <c r="O100" s="46">
        <f t="shared" si="17"/>
        <v>530000</v>
      </c>
      <c r="Q100" s="145"/>
      <c r="R100" s="145"/>
      <c r="S100" s="35"/>
      <c r="U100" s="19">
        <f t="shared" si="22"/>
        <v>0</v>
      </c>
      <c r="V100" s="19">
        <f t="shared" si="18"/>
        <v>0</v>
      </c>
      <c r="W100" s="44">
        <f t="shared" si="23"/>
        <v>0</v>
      </c>
      <c r="Y100" s="41">
        <f t="shared" si="19"/>
        <v>0</v>
      </c>
    </row>
    <row r="101" spans="1:25" x14ac:dyDescent="0.35">
      <c r="A101" t="s">
        <v>34</v>
      </c>
      <c r="B101" s="33" t="s">
        <v>286</v>
      </c>
      <c r="C101" s="52" t="s">
        <v>329</v>
      </c>
      <c r="D101" s="52" t="s">
        <v>287</v>
      </c>
      <c r="E101" s="52" t="s">
        <v>278</v>
      </c>
      <c r="G101" s="145">
        <v>440</v>
      </c>
      <c r="H101" s="145">
        <v>484</v>
      </c>
      <c r="I101" s="35" t="s">
        <v>279</v>
      </c>
      <c r="K101" s="47">
        <f t="shared" si="20"/>
        <v>20</v>
      </c>
      <c r="L101" s="47">
        <v>20</v>
      </c>
      <c r="M101" s="44" t="str">
        <f t="shared" si="21"/>
        <v>USD</v>
      </c>
      <c r="O101" s="46">
        <f t="shared" si="17"/>
        <v>530000</v>
      </c>
      <c r="Q101" s="145"/>
      <c r="R101" s="145"/>
      <c r="S101" s="35"/>
      <c r="U101" s="19">
        <f t="shared" si="22"/>
        <v>0</v>
      </c>
      <c r="V101" s="19">
        <f t="shared" si="18"/>
        <v>0</v>
      </c>
      <c r="W101" s="44">
        <f t="shared" si="23"/>
        <v>0</v>
      </c>
      <c r="Y101" s="41">
        <f t="shared" si="19"/>
        <v>0</v>
      </c>
    </row>
    <row r="102" spans="1:25" x14ac:dyDescent="0.35">
      <c r="A102" t="s">
        <v>13</v>
      </c>
      <c r="B102" s="33" t="s">
        <v>286</v>
      </c>
      <c r="C102" s="52" t="s">
        <v>329</v>
      </c>
      <c r="D102" s="52" t="s">
        <v>287</v>
      </c>
      <c r="E102" s="52" t="s">
        <v>278</v>
      </c>
      <c r="G102" s="145">
        <v>440</v>
      </c>
      <c r="H102" s="145">
        <v>484</v>
      </c>
      <c r="I102" s="35" t="s">
        <v>279</v>
      </c>
      <c r="K102" s="47">
        <f t="shared" si="20"/>
        <v>20</v>
      </c>
      <c r="L102" s="47">
        <v>20</v>
      </c>
      <c r="M102" s="44" t="str">
        <f t="shared" si="21"/>
        <v>USD</v>
      </c>
      <c r="O102" s="46">
        <f t="shared" si="17"/>
        <v>530000</v>
      </c>
      <c r="Q102" s="145"/>
      <c r="R102" s="145"/>
      <c r="S102" s="35"/>
      <c r="U102" s="19">
        <f t="shared" si="22"/>
        <v>0</v>
      </c>
      <c r="V102" s="19">
        <f t="shared" si="18"/>
        <v>0</v>
      </c>
      <c r="W102" s="44">
        <f t="shared" si="23"/>
        <v>0</v>
      </c>
      <c r="Y102" s="41">
        <f t="shared" si="19"/>
        <v>0</v>
      </c>
    </row>
    <row r="103" spans="1:25" x14ac:dyDescent="0.35">
      <c r="A103" t="s">
        <v>24</v>
      </c>
      <c r="B103" s="33" t="s">
        <v>286</v>
      </c>
      <c r="C103" s="52" t="s">
        <v>329</v>
      </c>
      <c r="D103" s="52" t="s">
        <v>287</v>
      </c>
      <c r="E103" s="52" t="s">
        <v>278</v>
      </c>
      <c r="G103" s="145">
        <v>440</v>
      </c>
      <c r="H103" s="145">
        <v>484</v>
      </c>
      <c r="I103" s="35" t="s">
        <v>279</v>
      </c>
      <c r="K103" s="47">
        <f t="shared" si="20"/>
        <v>20</v>
      </c>
      <c r="L103" s="47">
        <v>20</v>
      </c>
      <c r="M103" s="44" t="str">
        <f t="shared" si="21"/>
        <v>USD</v>
      </c>
      <c r="O103" s="46">
        <f t="shared" ref="O103:O134" si="25">IF(M103="USD",L103*EXR,L103)</f>
        <v>530000</v>
      </c>
      <c r="Q103" s="145"/>
      <c r="R103" s="145"/>
      <c r="S103" s="35"/>
      <c r="U103" s="19">
        <f t="shared" si="22"/>
        <v>0</v>
      </c>
      <c r="V103" s="19">
        <f t="shared" si="18"/>
        <v>0</v>
      </c>
      <c r="W103" s="44">
        <f t="shared" si="23"/>
        <v>0</v>
      </c>
      <c r="Y103" s="41">
        <f t="shared" ref="Y103:Y134" si="26">IF(W103="USD",V103*EXR,V103)</f>
        <v>0</v>
      </c>
    </row>
    <row r="104" spans="1:25" x14ac:dyDescent="0.35">
      <c r="A104" t="s">
        <v>1692</v>
      </c>
      <c r="B104" s="33" t="s">
        <v>96</v>
      </c>
      <c r="C104" s="52" t="s">
        <v>258</v>
      </c>
      <c r="D104" s="52" t="s">
        <v>259</v>
      </c>
      <c r="E104" s="52" t="s">
        <v>262</v>
      </c>
      <c r="G104" s="145">
        <v>3080000</v>
      </c>
      <c r="H104" s="145">
        <v>3080000</v>
      </c>
      <c r="I104" s="35" t="s">
        <v>265</v>
      </c>
      <c r="K104" s="47">
        <f t="shared" si="20"/>
        <v>140000</v>
      </c>
      <c r="L104" s="47">
        <f t="shared" si="24"/>
        <v>140000</v>
      </c>
      <c r="M104" s="44" t="str">
        <f t="shared" si="21"/>
        <v>VND</v>
      </c>
      <c r="O104" s="46">
        <f t="shared" si="25"/>
        <v>140000</v>
      </c>
      <c r="Q104" s="145"/>
      <c r="R104" s="145"/>
      <c r="S104" s="35"/>
      <c r="U104" s="19">
        <f t="shared" si="22"/>
        <v>0</v>
      </c>
      <c r="V104" s="19">
        <f t="shared" si="18"/>
        <v>0</v>
      </c>
      <c r="W104" s="44">
        <f t="shared" si="23"/>
        <v>0</v>
      </c>
      <c r="Y104" s="41">
        <f t="shared" si="26"/>
        <v>0</v>
      </c>
    </row>
    <row r="105" spans="1:25" x14ac:dyDescent="0.35">
      <c r="A105" t="s">
        <v>479</v>
      </c>
      <c r="B105" s="33" t="s">
        <v>96</v>
      </c>
      <c r="C105" s="52" t="s">
        <v>535</v>
      </c>
      <c r="D105" s="52" t="s">
        <v>259</v>
      </c>
      <c r="E105" s="52" t="s">
        <v>262</v>
      </c>
      <c r="G105" s="145">
        <f>18425926/24750*22000</f>
        <v>16378600.88888889</v>
      </c>
      <c r="H105" s="145">
        <f>G105</f>
        <v>16378600.88888889</v>
      </c>
      <c r="I105" s="35" t="s">
        <v>265</v>
      </c>
      <c r="K105" s="47">
        <f t="shared" si="20"/>
        <v>744481.8585858586</v>
      </c>
      <c r="L105" s="47">
        <f t="shared" si="24"/>
        <v>744481.8585858586</v>
      </c>
      <c r="M105" s="44" t="str">
        <f t="shared" si="21"/>
        <v>VND</v>
      </c>
      <c r="O105" s="46">
        <f t="shared" si="25"/>
        <v>744481.8585858586</v>
      </c>
      <c r="Q105" s="145"/>
      <c r="R105" s="145"/>
      <c r="S105" s="35"/>
      <c r="U105" s="19">
        <f t="shared" si="22"/>
        <v>0</v>
      </c>
      <c r="V105" s="19">
        <f t="shared" si="18"/>
        <v>0</v>
      </c>
      <c r="W105" s="44">
        <f t="shared" si="23"/>
        <v>0</v>
      </c>
      <c r="Y105" s="41">
        <f t="shared" si="26"/>
        <v>0</v>
      </c>
    </row>
    <row r="106" spans="1:25" x14ac:dyDescent="0.35">
      <c r="A106" t="s">
        <v>121</v>
      </c>
      <c r="B106" s="33" t="s">
        <v>119</v>
      </c>
      <c r="C106" s="52" t="s">
        <v>1694</v>
      </c>
      <c r="D106" s="52" t="s">
        <v>1694</v>
      </c>
      <c r="E106" s="52" t="s">
        <v>278</v>
      </c>
      <c r="G106" s="145">
        <v>440</v>
      </c>
      <c r="H106" s="145">
        <v>440</v>
      </c>
      <c r="I106" s="35" t="s">
        <v>279</v>
      </c>
      <c r="K106" s="47">
        <f t="shared" si="20"/>
        <v>20</v>
      </c>
      <c r="L106" s="47">
        <f t="shared" si="24"/>
        <v>20</v>
      </c>
      <c r="M106" s="44" t="str">
        <f t="shared" si="21"/>
        <v>USD</v>
      </c>
      <c r="O106" s="46">
        <f t="shared" si="25"/>
        <v>530000</v>
      </c>
      <c r="Q106" s="145"/>
      <c r="R106" s="145"/>
      <c r="S106" s="35"/>
      <c r="U106" s="19">
        <f t="shared" si="22"/>
        <v>0</v>
      </c>
      <c r="V106" s="19">
        <f t="shared" si="18"/>
        <v>0</v>
      </c>
      <c r="W106" s="44">
        <f t="shared" si="23"/>
        <v>0</v>
      </c>
      <c r="Y106" s="41">
        <f t="shared" si="26"/>
        <v>0</v>
      </c>
    </row>
    <row r="107" spans="1:25" x14ac:dyDescent="0.35">
      <c r="A107" t="s">
        <v>1105</v>
      </c>
      <c r="B107" s="33" t="s">
        <v>286</v>
      </c>
      <c r="C107" s="52" t="s">
        <v>290</v>
      </c>
      <c r="D107" s="52" t="s">
        <v>290</v>
      </c>
      <c r="E107" s="52" t="s">
        <v>278</v>
      </c>
      <c r="G107" s="145">
        <v>440</v>
      </c>
      <c r="H107" s="145">
        <v>440</v>
      </c>
      <c r="I107" s="35" t="s">
        <v>279</v>
      </c>
      <c r="K107" s="47">
        <f t="shared" si="20"/>
        <v>20</v>
      </c>
      <c r="L107" s="47">
        <f t="shared" si="24"/>
        <v>20</v>
      </c>
      <c r="M107" s="44" t="str">
        <f t="shared" si="21"/>
        <v>USD</v>
      </c>
      <c r="O107" s="46">
        <f t="shared" si="25"/>
        <v>530000</v>
      </c>
      <c r="Q107" s="145"/>
      <c r="R107" s="145"/>
      <c r="S107" s="35"/>
      <c r="U107" s="19">
        <f t="shared" si="22"/>
        <v>0</v>
      </c>
      <c r="V107" s="19">
        <f t="shared" si="18"/>
        <v>0</v>
      </c>
      <c r="W107" s="44">
        <f t="shared" si="23"/>
        <v>0</v>
      </c>
      <c r="Y107" s="41">
        <f t="shared" si="26"/>
        <v>0</v>
      </c>
    </row>
    <row r="108" spans="1:25" x14ac:dyDescent="0.35">
      <c r="A108" t="s">
        <v>153</v>
      </c>
      <c r="B108" s="33" t="s">
        <v>286</v>
      </c>
      <c r="C108" s="52" t="s">
        <v>318</v>
      </c>
      <c r="D108" s="52" t="s">
        <v>301</v>
      </c>
      <c r="E108" s="52" t="s">
        <v>278</v>
      </c>
      <c r="G108" s="145">
        <v>440</v>
      </c>
      <c r="H108" s="145">
        <v>440</v>
      </c>
      <c r="I108" s="35" t="s">
        <v>279</v>
      </c>
      <c r="K108" s="47">
        <f t="shared" si="20"/>
        <v>20</v>
      </c>
      <c r="L108" s="47">
        <f t="shared" si="24"/>
        <v>20</v>
      </c>
      <c r="M108" s="44" t="str">
        <f t="shared" si="21"/>
        <v>USD</v>
      </c>
      <c r="O108" s="46">
        <f t="shared" si="25"/>
        <v>530000</v>
      </c>
      <c r="Q108" s="145"/>
      <c r="R108" s="145"/>
      <c r="S108" s="35"/>
      <c r="U108" s="19">
        <f t="shared" si="22"/>
        <v>0</v>
      </c>
      <c r="V108" s="19">
        <f t="shared" si="18"/>
        <v>0</v>
      </c>
      <c r="W108" s="44">
        <f t="shared" si="23"/>
        <v>0</v>
      </c>
      <c r="Y108" s="41">
        <f t="shared" si="26"/>
        <v>0</v>
      </c>
    </row>
    <row r="109" spans="1:25" x14ac:dyDescent="0.35">
      <c r="A109" t="s">
        <v>1701</v>
      </c>
      <c r="B109" s="33" t="s">
        <v>119</v>
      </c>
      <c r="C109" s="52" t="s">
        <v>295</v>
      </c>
      <c r="D109" s="52" t="s">
        <v>296</v>
      </c>
      <c r="E109" s="52" t="s">
        <v>278</v>
      </c>
      <c r="G109" s="145">
        <v>440</v>
      </c>
      <c r="H109" s="145">
        <v>440</v>
      </c>
      <c r="I109" s="35" t="s">
        <v>279</v>
      </c>
      <c r="K109" s="47">
        <f t="shared" si="20"/>
        <v>20</v>
      </c>
      <c r="L109" s="47">
        <f t="shared" si="24"/>
        <v>20</v>
      </c>
      <c r="M109" s="44" t="str">
        <f t="shared" si="21"/>
        <v>USD</v>
      </c>
      <c r="O109" s="46">
        <f t="shared" si="25"/>
        <v>530000</v>
      </c>
      <c r="Q109" s="145"/>
      <c r="R109" s="145"/>
      <c r="S109" s="35"/>
      <c r="U109" s="19">
        <f t="shared" si="22"/>
        <v>0</v>
      </c>
      <c r="V109" s="19">
        <f t="shared" si="18"/>
        <v>0</v>
      </c>
      <c r="W109" s="44">
        <f t="shared" si="23"/>
        <v>0</v>
      </c>
      <c r="Y109" s="41">
        <f t="shared" si="26"/>
        <v>0</v>
      </c>
    </row>
    <row r="110" spans="1:25" x14ac:dyDescent="0.35">
      <c r="A110" t="s">
        <v>1701</v>
      </c>
      <c r="B110" s="33" t="s">
        <v>119</v>
      </c>
      <c r="C110" s="52" t="s">
        <v>295</v>
      </c>
      <c r="D110" s="52" t="s">
        <v>296</v>
      </c>
      <c r="E110" s="52" t="s">
        <v>278</v>
      </c>
      <c r="G110" s="145">
        <v>440</v>
      </c>
      <c r="H110" s="145">
        <v>440</v>
      </c>
      <c r="I110" s="35" t="s">
        <v>279</v>
      </c>
      <c r="K110" s="47">
        <f t="shared" si="20"/>
        <v>20</v>
      </c>
      <c r="L110" s="47">
        <f t="shared" si="24"/>
        <v>20</v>
      </c>
      <c r="M110" s="44" t="str">
        <f t="shared" si="21"/>
        <v>USD</v>
      </c>
      <c r="O110" s="46">
        <f t="shared" si="25"/>
        <v>530000</v>
      </c>
      <c r="Q110" s="145"/>
      <c r="R110" s="145"/>
      <c r="S110" s="35"/>
      <c r="U110" s="19">
        <f t="shared" si="22"/>
        <v>0</v>
      </c>
      <c r="V110" s="19">
        <f t="shared" si="18"/>
        <v>0</v>
      </c>
      <c r="W110" s="44">
        <f t="shared" si="23"/>
        <v>0</v>
      </c>
      <c r="Y110" s="41">
        <f t="shared" si="26"/>
        <v>0</v>
      </c>
    </row>
    <row r="111" spans="1:25" x14ac:dyDescent="0.35">
      <c r="B111" s="33"/>
      <c r="C111" s="52"/>
      <c r="D111" s="52"/>
      <c r="E111" s="52"/>
      <c r="G111" s="145"/>
      <c r="H111" s="145"/>
      <c r="I111" s="35"/>
      <c r="K111" s="47">
        <f t="shared" si="20"/>
        <v>0</v>
      </c>
      <c r="L111" s="47">
        <f t="shared" si="24"/>
        <v>0</v>
      </c>
      <c r="M111" s="44">
        <f t="shared" si="21"/>
        <v>0</v>
      </c>
      <c r="O111" s="46">
        <f t="shared" si="25"/>
        <v>0</v>
      </c>
      <c r="Q111" s="145"/>
      <c r="R111" s="145"/>
      <c r="S111" s="35"/>
      <c r="U111" s="19">
        <f t="shared" si="22"/>
        <v>0</v>
      </c>
      <c r="V111" s="19">
        <f t="shared" si="18"/>
        <v>0</v>
      </c>
      <c r="W111" s="44">
        <f t="shared" si="23"/>
        <v>0</v>
      </c>
      <c r="Y111" s="41">
        <f t="shared" si="26"/>
        <v>0</v>
      </c>
    </row>
    <row r="112" spans="1:25" x14ac:dyDescent="0.35">
      <c r="B112" s="33"/>
      <c r="C112" s="52"/>
      <c r="D112" s="52"/>
      <c r="E112" s="52"/>
      <c r="G112" s="145"/>
      <c r="H112" s="145"/>
      <c r="I112" s="35"/>
      <c r="K112" s="47">
        <f t="shared" si="20"/>
        <v>0</v>
      </c>
      <c r="L112" s="47">
        <f t="shared" si="24"/>
        <v>0</v>
      </c>
      <c r="M112" s="44">
        <f t="shared" si="21"/>
        <v>0</v>
      </c>
      <c r="O112" s="46">
        <f t="shared" si="25"/>
        <v>0</v>
      </c>
      <c r="Q112" s="145"/>
      <c r="R112" s="145"/>
      <c r="S112" s="35"/>
      <c r="U112" s="19">
        <f t="shared" si="22"/>
        <v>0</v>
      </c>
      <c r="V112" s="19">
        <f t="shared" si="18"/>
        <v>0</v>
      </c>
      <c r="W112" s="44">
        <f t="shared" si="23"/>
        <v>0</v>
      </c>
      <c r="Y112" s="41">
        <f t="shared" si="26"/>
        <v>0</v>
      </c>
    </row>
    <row r="113" spans="2:25" x14ac:dyDescent="0.35">
      <c r="B113" s="33"/>
      <c r="C113" s="52"/>
      <c r="D113" s="52"/>
      <c r="E113" s="52"/>
      <c r="G113" s="145"/>
      <c r="H113" s="145"/>
      <c r="I113" s="35"/>
      <c r="K113" s="47">
        <f t="shared" si="20"/>
        <v>0</v>
      </c>
      <c r="L113" s="47">
        <f t="shared" si="24"/>
        <v>0</v>
      </c>
      <c r="M113" s="44">
        <f t="shared" si="21"/>
        <v>0</v>
      </c>
      <c r="O113" s="46">
        <f t="shared" si="25"/>
        <v>0</v>
      </c>
      <c r="Q113" s="145"/>
      <c r="R113" s="145"/>
      <c r="S113" s="35"/>
      <c r="U113" s="19">
        <f t="shared" si="22"/>
        <v>0</v>
      </c>
      <c r="V113" s="19">
        <f t="shared" si="18"/>
        <v>0</v>
      </c>
      <c r="W113" s="44">
        <f t="shared" si="23"/>
        <v>0</v>
      </c>
      <c r="Y113" s="41">
        <f t="shared" si="26"/>
        <v>0</v>
      </c>
    </row>
    <row r="114" spans="2:25" x14ac:dyDescent="0.35">
      <c r="B114" s="33"/>
      <c r="C114" s="52"/>
      <c r="D114" s="52"/>
      <c r="E114" s="52"/>
      <c r="G114" s="145"/>
      <c r="H114" s="145"/>
      <c r="I114" s="35"/>
      <c r="K114" s="47">
        <f t="shared" si="20"/>
        <v>0</v>
      </c>
      <c r="L114" s="47">
        <f t="shared" si="24"/>
        <v>0</v>
      </c>
      <c r="M114" s="44">
        <f t="shared" si="21"/>
        <v>0</v>
      </c>
      <c r="O114" s="46">
        <f t="shared" si="25"/>
        <v>0</v>
      </c>
      <c r="Q114" s="145"/>
      <c r="R114" s="145"/>
      <c r="S114" s="35"/>
      <c r="U114" s="19">
        <f t="shared" si="22"/>
        <v>0</v>
      </c>
      <c r="V114" s="19">
        <f t="shared" si="18"/>
        <v>0</v>
      </c>
      <c r="W114" s="44">
        <f t="shared" si="23"/>
        <v>0</v>
      </c>
      <c r="Y114" s="41">
        <f t="shared" si="26"/>
        <v>0</v>
      </c>
    </row>
    <row r="115" spans="2:25" x14ac:dyDescent="0.35">
      <c r="B115" s="33"/>
      <c r="C115" s="52"/>
      <c r="D115" s="52"/>
      <c r="E115" s="52"/>
      <c r="G115" s="145"/>
      <c r="H115" s="145"/>
      <c r="I115" s="35"/>
      <c r="K115" s="47">
        <f t="shared" si="20"/>
        <v>0</v>
      </c>
      <c r="L115" s="47">
        <f t="shared" si="24"/>
        <v>0</v>
      </c>
      <c r="M115" s="44">
        <f t="shared" si="21"/>
        <v>0</v>
      </c>
      <c r="O115" s="46">
        <f t="shared" si="25"/>
        <v>0</v>
      </c>
      <c r="Q115" s="145"/>
      <c r="R115" s="145"/>
      <c r="S115" s="35"/>
      <c r="U115" s="19">
        <f t="shared" si="22"/>
        <v>0</v>
      </c>
      <c r="V115" s="19">
        <f t="shared" si="18"/>
        <v>0</v>
      </c>
      <c r="W115" s="44">
        <f t="shared" si="23"/>
        <v>0</v>
      </c>
      <c r="Y115" s="41">
        <f t="shared" si="26"/>
        <v>0</v>
      </c>
    </row>
    <row r="116" spans="2:25" x14ac:dyDescent="0.35">
      <c r="B116" s="33"/>
      <c r="C116" s="52"/>
      <c r="D116" s="52"/>
      <c r="E116" s="52"/>
      <c r="G116" s="145"/>
      <c r="H116" s="145"/>
      <c r="I116" s="35"/>
      <c r="K116" s="47">
        <f t="shared" si="20"/>
        <v>0</v>
      </c>
      <c r="L116" s="47">
        <f t="shared" si="24"/>
        <v>0</v>
      </c>
      <c r="M116" s="44">
        <f t="shared" si="21"/>
        <v>0</v>
      </c>
      <c r="O116" s="46">
        <f t="shared" si="25"/>
        <v>0</v>
      </c>
      <c r="Q116" s="145"/>
      <c r="R116" s="145"/>
      <c r="S116" s="35"/>
      <c r="U116" s="19">
        <f t="shared" si="22"/>
        <v>0</v>
      </c>
      <c r="V116" s="19">
        <f t="shared" si="18"/>
        <v>0</v>
      </c>
      <c r="W116" s="44">
        <f t="shared" si="23"/>
        <v>0</v>
      </c>
      <c r="Y116" s="41">
        <f t="shared" si="26"/>
        <v>0</v>
      </c>
    </row>
    <row r="117" spans="2:25" x14ac:dyDescent="0.35">
      <c r="B117" s="33"/>
      <c r="C117" s="52"/>
      <c r="D117" s="52"/>
      <c r="E117" s="52"/>
      <c r="G117" s="145"/>
      <c r="H117" s="145"/>
      <c r="I117" s="35"/>
      <c r="K117" s="47">
        <f t="shared" si="20"/>
        <v>0</v>
      </c>
      <c r="L117" s="47">
        <f t="shared" si="24"/>
        <v>0</v>
      </c>
      <c r="M117" s="44">
        <f t="shared" si="21"/>
        <v>0</v>
      </c>
      <c r="O117" s="46">
        <f t="shared" si="25"/>
        <v>0</v>
      </c>
      <c r="Q117" s="145"/>
      <c r="R117" s="145"/>
      <c r="S117" s="35"/>
      <c r="U117" s="19">
        <f t="shared" si="22"/>
        <v>0</v>
      </c>
      <c r="V117" s="19">
        <f t="shared" si="18"/>
        <v>0</v>
      </c>
      <c r="W117" s="44">
        <f t="shared" si="23"/>
        <v>0</v>
      </c>
      <c r="Y117" s="41">
        <f t="shared" si="26"/>
        <v>0</v>
      </c>
    </row>
    <row r="118" spans="2:25" x14ac:dyDescent="0.35">
      <c r="B118" s="33"/>
      <c r="C118" s="52"/>
      <c r="D118" s="52"/>
      <c r="E118" s="52"/>
      <c r="G118" s="145"/>
      <c r="H118" s="145"/>
      <c r="I118" s="35"/>
      <c r="K118" s="47">
        <f t="shared" si="20"/>
        <v>0</v>
      </c>
      <c r="L118" s="47">
        <f t="shared" si="24"/>
        <v>0</v>
      </c>
      <c r="M118" s="44">
        <f t="shared" si="21"/>
        <v>0</v>
      </c>
      <c r="O118" s="46">
        <f t="shared" si="25"/>
        <v>0</v>
      </c>
      <c r="Q118" s="145"/>
      <c r="R118" s="145"/>
      <c r="S118" s="35"/>
      <c r="U118" s="19">
        <f t="shared" si="22"/>
        <v>0</v>
      </c>
      <c r="V118" s="19">
        <f t="shared" si="18"/>
        <v>0</v>
      </c>
      <c r="W118" s="44">
        <f t="shared" si="23"/>
        <v>0</v>
      </c>
      <c r="Y118" s="41">
        <f t="shared" si="26"/>
        <v>0</v>
      </c>
    </row>
    <row r="119" spans="2:25" x14ac:dyDescent="0.35">
      <c r="B119" s="33"/>
      <c r="C119" s="52"/>
      <c r="D119" s="52"/>
      <c r="E119" s="52"/>
      <c r="G119" s="145"/>
      <c r="H119" s="145"/>
      <c r="I119" s="35"/>
      <c r="K119" s="47">
        <f t="shared" si="20"/>
        <v>0</v>
      </c>
      <c r="L119" s="47">
        <f t="shared" si="24"/>
        <v>0</v>
      </c>
      <c r="M119" s="44">
        <f t="shared" si="21"/>
        <v>0</v>
      </c>
      <c r="O119" s="46">
        <f t="shared" si="25"/>
        <v>0</v>
      </c>
      <c r="Q119" s="145"/>
      <c r="R119" s="145"/>
      <c r="S119" s="35"/>
      <c r="U119" s="19">
        <f t="shared" si="22"/>
        <v>0</v>
      </c>
      <c r="V119" s="19">
        <f t="shared" si="18"/>
        <v>0</v>
      </c>
      <c r="W119" s="44">
        <f t="shared" si="23"/>
        <v>0</v>
      </c>
      <c r="Y119" s="41">
        <f t="shared" si="26"/>
        <v>0</v>
      </c>
    </row>
    <row r="120" spans="2:25" x14ac:dyDescent="0.35">
      <c r="B120" s="33"/>
      <c r="C120" s="52"/>
      <c r="D120" s="52"/>
      <c r="E120" s="52"/>
      <c r="G120" s="145"/>
      <c r="H120" s="145"/>
      <c r="I120" s="35"/>
      <c r="K120" s="47">
        <f t="shared" si="20"/>
        <v>0</v>
      </c>
      <c r="L120" s="47">
        <f t="shared" si="24"/>
        <v>0</v>
      </c>
      <c r="M120" s="44">
        <f t="shared" si="21"/>
        <v>0</v>
      </c>
      <c r="O120" s="46">
        <f t="shared" si="25"/>
        <v>0</v>
      </c>
      <c r="Q120" s="145"/>
      <c r="R120" s="145"/>
      <c r="S120" s="35"/>
      <c r="U120" s="19">
        <f t="shared" si="22"/>
        <v>0</v>
      </c>
      <c r="V120" s="19">
        <f t="shared" si="18"/>
        <v>0</v>
      </c>
      <c r="W120" s="44">
        <f t="shared" si="23"/>
        <v>0</v>
      </c>
      <c r="Y120" s="41">
        <f t="shared" si="26"/>
        <v>0</v>
      </c>
    </row>
    <row r="121" spans="2:25" x14ac:dyDescent="0.35">
      <c r="B121" s="33"/>
      <c r="C121" s="52"/>
      <c r="D121" s="52"/>
      <c r="E121" s="52"/>
      <c r="G121" s="145"/>
      <c r="H121" s="145"/>
      <c r="I121" s="35"/>
      <c r="K121" s="47">
        <f t="shared" si="20"/>
        <v>0</v>
      </c>
      <c r="L121" s="47">
        <f t="shared" si="24"/>
        <v>0</v>
      </c>
      <c r="M121" s="44">
        <f t="shared" si="21"/>
        <v>0</v>
      </c>
      <c r="O121" s="46">
        <f t="shared" si="25"/>
        <v>0</v>
      </c>
      <c r="Q121" s="145"/>
      <c r="R121" s="145"/>
      <c r="S121" s="35"/>
      <c r="U121" s="19">
        <f t="shared" si="22"/>
        <v>0</v>
      </c>
      <c r="V121" s="19">
        <f t="shared" si="18"/>
        <v>0</v>
      </c>
      <c r="W121" s="44">
        <f t="shared" si="23"/>
        <v>0</v>
      </c>
      <c r="Y121" s="41">
        <f t="shared" si="26"/>
        <v>0</v>
      </c>
    </row>
    <row r="122" spans="2:25" x14ac:dyDescent="0.35">
      <c r="B122" s="33"/>
      <c r="C122" s="52"/>
      <c r="D122" s="52"/>
      <c r="E122" s="52"/>
      <c r="G122" s="145"/>
      <c r="H122" s="145"/>
      <c r="I122" s="35"/>
      <c r="K122" s="47">
        <f t="shared" si="20"/>
        <v>0</v>
      </c>
      <c r="L122" s="47">
        <f t="shared" si="24"/>
        <v>0</v>
      </c>
      <c r="M122" s="44">
        <f t="shared" si="21"/>
        <v>0</v>
      </c>
      <c r="O122" s="46">
        <f t="shared" si="25"/>
        <v>0</v>
      </c>
      <c r="Q122" s="145"/>
      <c r="R122" s="145"/>
      <c r="S122" s="35"/>
      <c r="U122" s="19">
        <f t="shared" si="22"/>
        <v>0</v>
      </c>
      <c r="V122" s="19">
        <f t="shared" si="18"/>
        <v>0</v>
      </c>
      <c r="W122" s="44">
        <f t="shared" si="23"/>
        <v>0</v>
      </c>
      <c r="Y122" s="41">
        <f t="shared" si="26"/>
        <v>0</v>
      </c>
    </row>
    <row r="123" spans="2:25" x14ac:dyDescent="0.35">
      <c r="B123" s="33"/>
      <c r="C123" s="52"/>
      <c r="D123" s="52"/>
      <c r="E123" s="52"/>
      <c r="G123" s="145"/>
      <c r="H123" s="145"/>
      <c r="I123" s="35"/>
      <c r="K123" s="47">
        <f t="shared" si="20"/>
        <v>0</v>
      </c>
      <c r="L123" s="47">
        <f t="shared" si="24"/>
        <v>0</v>
      </c>
      <c r="M123" s="44">
        <f t="shared" si="21"/>
        <v>0</v>
      </c>
      <c r="O123" s="46">
        <f t="shared" si="25"/>
        <v>0</v>
      </c>
      <c r="Q123" s="145"/>
      <c r="R123" s="145"/>
      <c r="S123" s="35"/>
      <c r="U123" s="19">
        <f t="shared" si="22"/>
        <v>0</v>
      </c>
      <c r="V123" s="19">
        <f t="shared" si="18"/>
        <v>0</v>
      </c>
      <c r="W123" s="44">
        <f t="shared" si="23"/>
        <v>0</v>
      </c>
      <c r="Y123" s="41">
        <f t="shared" si="26"/>
        <v>0</v>
      </c>
    </row>
    <row r="124" spans="2:25" x14ac:dyDescent="0.35">
      <c r="B124" s="33"/>
      <c r="C124" s="52"/>
      <c r="D124" s="52"/>
      <c r="E124" s="52"/>
      <c r="G124" s="145"/>
      <c r="H124" s="145"/>
      <c r="I124" s="35"/>
      <c r="K124" s="47">
        <f t="shared" si="20"/>
        <v>0</v>
      </c>
      <c r="L124" s="47">
        <f t="shared" si="24"/>
        <v>0</v>
      </c>
      <c r="M124" s="44">
        <f t="shared" si="21"/>
        <v>0</v>
      </c>
      <c r="O124" s="46">
        <f t="shared" si="25"/>
        <v>0</v>
      </c>
      <c r="Q124" s="145"/>
      <c r="R124" s="145"/>
      <c r="S124" s="35"/>
      <c r="U124" s="19">
        <f t="shared" si="22"/>
        <v>0</v>
      </c>
      <c r="V124" s="19">
        <f t="shared" si="18"/>
        <v>0</v>
      </c>
      <c r="W124" s="44">
        <f t="shared" si="23"/>
        <v>0</v>
      </c>
      <c r="Y124" s="41">
        <f t="shared" si="26"/>
        <v>0</v>
      </c>
    </row>
    <row r="125" spans="2:25" x14ac:dyDescent="0.35">
      <c r="B125" s="33"/>
      <c r="C125" s="52"/>
      <c r="D125" s="52"/>
      <c r="E125" s="52"/>
      <c r="G125" s="145"/>
      <c r="H125" s="145"/>
      <c r="I125" s="35"/>
      <c r="K125" s="47">
        <f t="shared" si="20"/>
        <v>0</v>
      </c>
      <c r="L125" s="47">
        <f t="shared" si="24"/>
        <v>0</v>
      </c>
      <c r="M125" s="44">
        <f t="shared" si="21"/>
        <v>0</v>
      </c>
      <c r="O125" s="46">
        <f t="shared" si="25"/>
        <v>0</v>
      </c>
      <c r="Q125" s="145"/>
      <c r="R125" s="145"/>
      <c r="S125" s="35"/>
      <c r="U125" s="19">
        <f t="shared" si="22"/>
        <v>0</v>
      </c>
      <c r="V125" s="19">
        <f t="shared" si="18"/>
        <v>0</v>
      </c>
      <c r="W125" s="44">
        <f t="shared" si="23"/>
        <v>0</v>
      </c>
      <c r="Y125" s="41">
        <f t="shared" si="26"/>
        <v>0</v>
      </c>
    </row>
    <row r="126" spans="2:25" x14ac:dyDescent="0.35">
      <c r="B126" s="33"/>
      <c r="C126" s="52"/>
      <c r="D126" s="52"/>
      <c r="E126" s="52"/>
      <c r="G126" s="145"/>
      <c r="H126" s="145"/>
      <c r="I126" s="35"/>
      <c r="K126" s="47">
        <f t="shared" si="20"/>
        <v>0</v>
      </c>
      <c r="L126" s="47">
        <f t="shared" si="24"/>
        <v>0</v>
      </c>
      <c r="M126" s="44">
        <f t="shared" si="21"/>
        <v>0</v>
      </c>
      <c r="O126" s="46">
        <f t="shared" si="25"/>
        <v>0</v>
      </c>
      <c r="Q126" s="145"/>
      <c r="R126" s="145"/>
      <c r="S126" s="35"/>
      <c r="U126" s="19">
        <f t="shared" si="22"/>
        <v>0</v>
      </c>
      <c r="V126" s="19">
        <f t="shared" si="18"/>
        <v>0</v>
      </c>
      <c r="W126" s="44">
        <f t="shared" si="23"/>
        <v>0</v>
      </c>
      <c r="Y126" s="41">
        <f t="shared" si="26"/>
        <v>0</v>
      </c>
    </row>
    <row r="127" spans="2:25" x14ac:dyDescent="0.35">
      <c r="B127" s="33"/>
      <c r="C127" s="52"/>
      <c r="D127" s="52"/>
      <c r="E127" s="52"/>
      <c r="G127" s="145"/>
      <c r="H127" s="145"/>
      <c r="I127" s="35"/>
      <c r="K127" s="47">
        <f t="shared" si="20"/>
        <v>0</v>
      </c>
      <c r="L127" s="47">
        <f t="shared" si="24"/>
        <v>0</v>
      </c>
      <c r="M127" s="44">
        <f t="shared" si="21"/>
        <v>0</v>
      </c>
      <c r="O127" s="46">
        <f t="shared" si="25"/>
        <v>0</v>
      </c>
      <c r="Q127" s="145"/>
      <c r="R127" s="145"/>
      <c r="S127" s="35"/>
      <c r="U127" s="19">
        <f t="shared" si="22"/>
        <v>0</v>
      </c>
      <c r="V127" s="19">
        <f t="shared" si="18"/>
        <v>0</v>
      </c>
      <c r="W127" s="44">
        <f t="shared" si="23"/>
        <v>0</v>
      </c>
      <c r="Y127" s="41">
        <f t="shared" si="26"/>
        <v>0</v>
      </c>
    </row>
    <row r="128" spans="2:25" x14ac:dyDescent="0.35">
      <c r="B128" s="33"/>
      <c r="C128" s="52"/>
      <c r="D128" s="52"/>
      <c r="E128" s="52"/>
      <c r="G128" s="145"/>
      <c r="H128" s="145"/>
      <c r="I128" s="35"/>
      <c r="K128" s="47">
        <f t="shared" si="20"/>
        <v>0</v>
      </c>
      <c r="L128" s="47">
        <f t="shared" si="24"/>
        <v>0</v>
      </c>
      <c r="M128" s="44">
        <f t="shared" si="21"/>
        <v>0</v>
      </c>
      <c r="O128" s="46">
        <f t="shared" si="25"/>
        <v>0</v>
      </c>
      <c r="Q128" s="145"/>
      <c r="R128" s="145"/>
      <c r="S128" s="35"/>
      <c r="U128" s="19">
        <f t="shared" si="22"/>
        <v>0</v>
      </c>
      <c r="V128" s="19">
        <f t="shared" si="18"/>
        <v>0</v>
      </c>
      <c r="W128" s="44">
        <f t="shared" si="23"/>
        <v>0</v>
      </c>
      <c r="Y128" s="41">
        <f t="shared" si="26"/>
        <v>0</v>
      </c>
    </row>
    <row r="129" spans="2:25" x14ac:dyDescent="0.35">
      <c r="B129" s="33"/>
      <c r="C129" s="52"/>
      <c r="D129" s="52"/>
      <c r="E129" s="52"/>
      <c r="G129" s="145"/>
      <c r="H129" s="145"/>
      <c r="I129" s="35"/>
      <c r="K129" s="47">
        <f t="shared" si="20"/>
        <v>0</v>
      </c>
      <c r="L129" s="47">
        <f t="shared" si="24"/>
        <v>0</v>
      </c>
      <c r="M129" s="44">
        <f t="shared" si="21"/>
        <v>0</v>
      </c>
      <c r="O129" s="46">
        <f t="shared" si="25"/>
        <v>0</v>
      </c>
      <c r="Q129" s="145"/>
      <c r="R129" s="145"/>
      <c r="S129" s="35"/>
      <c r="U129" s="19">
        <f t="shared" si="22"/>
        <v>0</v>
      </c>
      <c r="V129" s="19">
        <f t="shared" si="18"/>
        <v>0</v>
      </c>
      <c r="W129" s="44">
        <f t="shared" si="23"/>
        <v>0</v>
      </c>
      <c r="Y129" s="41">
        <f t="shared" si="26"/>
        <v>0</v>
      </c>
    </row>
    <row r="130" spans="2:25" x14ac:dyDescent="0.35">
      <c r="B130" s="33"/>
      <c r="C130" s="52"/>
      <c r="D130" s="52"/>
      <c r="E130" s="52"/>
      <c r="G130" s="145"/>
      <c r="H130" s="145"/>
      <c r="I130" s="35"/>
      <c r="K130" s="47">
        <f t="shared" si="20"/>
        <v>0</v>
      </c>
      <c r="L130" s="47">
        <f t="shared" si="24"/>
        <v>0</v>
      </c>
      <c r="M130" s="44">
        <f t="shared" si="21"/>
        <v>0</v>
      </c>
      <c r="O130" s="46">
        <f t="shared" si="25"/>
        <v>0</v>
      </c>
      <c r="Q130" s="145"/>
      <c r="R130" s="145"/>
      <c r="S130" s="35"/>
      <c r="U130" s="19">
        <f t="shared" si="22"/>
        <v>0</v>
      </c>
      <c r="V130" s="19">
        <f t="shared" si="18"/>
        <v>0</v>
      </c>
      <c r="W130" s="44">
        <f t="shared" si="23"/>
        <v>0</v>
      </c>
      <c r="Y130" s="41">
        <f t="shared" si="26"/>
        <v>0</v>
      </c>
    </row>
    <row r="131" spans="2:25" x14ac:dyDescent="0.35">
      <c r="B131" s="33"/>
      <c r="C131" s="52"/>
      <c r="D131" s="52"/>
      <c r="E131" s="52"/>
      <c r="G131" s="145"/>
      <c r="H131" s="145"/>
      <c r="I131" s="35"/>
      <c r="K131" s="47">
        <f t="shared" si="20"/>
        <v>0</v>
      </c>
      <c r="L131" s="47">
        <f t="shared" si="24"/>
        <v>0</v>
      </c>
      <c r="M131" s="44">
        <f t="shared" si="21"/>
        <v>0</v>
      </c>
      <c r="O131" s="46">
        <f t="shared" si="25"/>
        <v>0</v>
      </c>
      <c r="Q131" s="145"/>
      <c r="R131" s="145"/>
      <c r="S131" s="35"/>
      <c r="U131" s="19">
        <f t="shared" si="22"/>
        <v>0</v>
      </c>
      <c r="V131" s="19">
        <f t="shared" si="18"/>
        <v>0</v>
      </c>
      <c r="W131" s="44">
        <f t="shared" si="23"/>
        <v>0</v>
      </c>
      <c r="Y131" s="41">
        <f t="shared" si="26"/>
        <v>0</v>
      </c>
    </row>
    <row r="132" spans="2:25" x14ac:dyDescent="0.35">
      <c r="B132" s="33"/>
      <c r="C132" s="52"/>
      <c r="D132" s="52"/>
      <c r="E132" s="52"/>
      <c r="G132" s="145"/>
      <c r="H132" s="145"/>
      <c r="I132" s="35"/>
      <c r="K132" s="47">
        <f t="shared" si="20"/>
        <v>0</v>
      </c>
      <c r="L132" s="47">
        <f t="shared" si="24"/>
        <v>0</v>
      </c>
      <c r="M132" s="44">
        <f t="shared" si="21"/>
        <v>0</v>
      </c>
      <c r="O132" s="46">
        <f t="shared" si="25"/>
        <v>0</v>
      </c>
      <c r="Q132" s="145"/>
      <c r="R132" s="145"/>
      <c r="S132" s="35"/>
      <c r="U132" s="19">
        <f t="shared" si="22"/>
        <v>0</v>
      </c>
      <c r="V132" s="19">
        <f t="shared" si="18"/>
        <v>0</v>
      </c>
      <c r="W132" s="44">
        <f t="shared" si="23"/>
        <v>0</v>
      </c>
      <c r="Y132" s="41">
        <f t="shared" si="26"/>
        <v>0</v>
      </c>
    </row>
    <row r="133" spans="2:25" x14ac:dyDescent="0.35">
      <c r="B133" s="33"/>
      <c r="C133" s="52"/>
      <c r="D133" s="52"/>
      <c r="E133" s="52"/>
      <c r="G133" s="145"/>
      <c r="H133" s="145"/>
      <c r="I133" s="35"/>
      <c r="K133" s="47">
        <f t="shared" si="20"/>
        <v>0</v>
      </c>
      <c r="L133" s="47">
        <f t="shared" si="24"/>
        <v>0</v>
      </c>
      <c r="M133" s="44">
        <f t="shared" si="21"/>
        <v>0</v>
      </c>
      <c r="O133" s="46">
        <f t="shared" si="25"/>
        <v>0</v>
      </c>
      <c r="Q133" s="145"/>
      <c r="R133" s="145"/>
      <c r="S133" s="35"/>
      <c r="U133" s="19">
        <f t="shared" si="22"/>
        <v>0</v>
      </c>
      <c r="V133" s="19">
        <f t="shared" si="18"/>
        <v>0</v>
      </c>
      <c r="W133" s="44">
        <f t="shared" si="23"/>
        <v>0</v>
      </c>
      <c r="Y133" s="41">
        <f t="shared" si="26"/>
        <v>0</v>
      </c>
    </row>
    <row r="134" spans="2:25" x14ac:dyDescent="0.35">
      <c r="B134" s="33"/>
      <c r="C134" s="52"/>
      <c r="D134" s="52"/>
      <c r="E134" s="52"/>
      <c r="G134" s="145"/>
      <c r="H134" s="145"/>
      <c r="I134" s="35"/>
      <c r="K134" s="47">
        <f t="shared" si="20"/>
        <v>0</v>
      </c>
      <c r="L134" s="47">
        <f t="shared" si="24"/>
        <v>0</v>
      </c>
      <c r="M134" s="44">
        <f t="shared" si="21"/>
        <v>0</v>
      </c>
      <c r="O134" s="46">
        <f t="shared" si="25"/>
        <v>0</v>
      </c>
      <c r="Q134" s="145"/>
      <c r="R134" s="145"/>
      <c r="S134" s="35"/>
      <c r="U134" s="19">
        <f t="shared" si="22"/>
        <v>0</v>
      </c>
      <c r="V134" s="19">
        <f t="shared" si="18"/>
        <v>0</v>
      </c>
      <c r="W134" s="44">
        <f t="shared" si="23"/>
        <v>0</v>
      </c>
      <c r="Y134" s="41">
        <f t="shared" si="26"/>
        <v>0</v>
      </c>
    </row>
    <row r="135" spans="2:25" x14ac:dyDescent="0.35">
      <c r="B135" s="33"/>
      <c r="C135" s="52"/>
      <c r="D135" s="52"/>
      <c r="E135" s="52"/>
      <c r="G135" s="145"/>
      <c r="H135" s="145"/>
      <c r="I135" s="35"/>
      <c r="K135" s="47">
        <f t="shared" si="20"/>
        <v>0</v>
      </c>
      <c r="L135" s="47">
        <f t="shared" ref="L135:L198" si="27">H135/22</f>
        <v>0</v>
      </c>
      <c r="M135" s="44">
        <f t="shared" si="21"/>
        <v>0</v>
      </c>
      <c r="O135" s="46">
        <f t="shared" ref="O135:O166" si="28">IF(M135="USD",L135*EXR,L135)</f>
        <v>0</v>
      </c>
      <c r="Q135" s="145"/>
      <c r="R135" s="145"/>
      <c r="S135" s="35"/>
      <c r="U135" s="19">
        <f t="shared" si="22"/>
        <v>0</v>
      </c>
      <c r="V135" s="19">
        <f t="shared" ref="V135:V198" si="29">R135/22</f>
        <v>0</v>
      </c>
      <c r="W135" s="44">
        <f t="shared" si="23"/>
        <v>0</v>
      </c>
      <c r="Y135" s="41">
        <f t="shared" ref="Y135:Y166" si="30">IF(W135="USD",V135*EXR,V135)</f>
        <v>0</v>
      </c>
    </row>
    <row r="136" spans="2:25" x14ac:dyDescent="0.35">
      <c r="B136" s="33"/>
      <c r="C136" s="52"/>
      <c r="D136" s="52"/>
      <c r="E136" s="52"/>
      <c r="G136" s="145"/>
      <c r="H136" s="145"/>
      <c r="I136" s="35"/>
      <c r="K136" s="47">
        <f t="shared" ref="K136:K199" si="31">G136/22</f>
        <v>0</v>
      </c>
      <c r="L136" s="47">
        <f t="shared" si="27"/>
        <v>0</v>
      </c>
      <c r="M136" s="44">
        <f t="shared" ref="M136:M199" si="32">I136</f>
        <v>0</v>
      </c>
      <c r="O136" s="46">
        <f t="shared" si="28"/>
        <v>0</v>
      </c>
      <c r="Q136" s="145"/>
      <c r="R136" s="145"/>
      <c r="S136" s="35"/>
      <c r="U136" s="19">
        <f t="shared" ref="U136:U199" si="33">Q136/22</f>
        <v>0</v>
      </c>
      <c r="V136" s="19">
        <f t="shared" si="29"/>
        <v>0</v>
      </c>
      <c r="W136" s="44">
        <f t="shared" ref="W136:W199" si="34">S136</f>
        <v>0</v>
      </c>
      <c r="Y136" s="41">
        <f t="shared" si="30"/>
        <v>0</v>
      </c>
    </row>
    <row r="137" spans="2:25" x14ac:dyDescent="0.35">
      <c r="B137" s="33"/>
      <c r="C137" s="52"/>
      <c r="D137" s="52"/>
      <c r="E137" s="52"/>
      <c r="G137" s="145"/>
      <c r="H137" s="145"/>
      <c r="I137" s="35"/>
      <c r="K137" s="47">
        <f t="shared" si="31"/>
        <v>0</v>
      </c>
      <c r="L137" s="47">
        <f t="shared" si="27"/>
        <v>0</v>
      </c>
      <c r="M137" s="44">
        <f t="shared" si="32"/>
        <v>0</v>
      </c>
      <c r="O137" s="46">
        <f t="shared" si="28"/>
        <v>0</v>
      </c>
      <c r="Q137" s="145"/>
      <c r="R137" s="145"/>
      <c r="S137" s="35"/>
      <c r="U137" s="19">
        <f t="shared" si="33"/>
        <v>0</v>
      </c>
      <c r="V137" s="19">
        <f t="shared" si="29"/>
        <v>0</v>
      </c>
      <c r="W137" s="44">
        <f t="shared" si="34"/>
        <v>0</v>
      </c>
      <c r="Y137" s="41">
        <f t="shared" si="30"/>
        <v>0</v>
      </c>
    </row>
    <row r="138" spans="2:25" x14ac:dyDescent="0.35">
      <c r="B138" s="33"/>
      <c r="C138" s="52"/>
      <c r="D138" s="52"/>
      <c r="E138" s="52"/>
      <c r="G138" s="145"/>
      <c r="H138" s="145"/>
      <c r="I138" s="35"/>
      <c r="K138" s="47">
        <f t="shared" si="31"/>
        <v>0</v>
      </c>
      <c r="L138" s="47">
        <f t="shared" si="27"/>
        <v>0</v>
      </c>
      <c r="M138" s="44">
        <f t="shared" si="32"/>
        <v>0</v>
      </c>
      <c r="O138" s="46">
        <f t="shared" si="28"/>
        <v>0</v>
      </c>
      <c r="Q138" s="145"/>
      <c r="R138" s="145"/>
      <c r="S138" s="35"/>
      <c r="U138" s="19">
        <f t="shared" si="33"/>
        <v>0</v>
      </c>
      <c r="V138" s="19">
        <f t="shared" si="29"/>
        <v>0</v>
      </c>
      <c r="W138" s="44">
        <f t="shared" si="34"/>
        <v>0</v>
      </c>
      <c r="Y138" s="41">
        <f t="shared" si="30"/>
        <v>0</v>
      </c>
    </row>
    <row r="139" spans="2:25" x14ac:dyDescent="0.35">
      <c r="B139" s="33"/>
      <c r="C139" s="52"/>
      <c r="D139" s="52"/>
      <c r="E139" s="52"/>
      <c r="G139" s="145"/>
      <c r="H139" s="145"/>
      <c r="I139" s="35"/>
      <c r="K139" s="47">
        <f t="shared" si="31"/>
        <v>0</v>
      </c>
      <c r="L139" s="47">
        <f t="shared" si="27"/>
        <v>0</v>
      </c>
      <c r="M139" s="44">
        <f t="shared" si="32"/>
        <v>0</v>
      </c>
      <c r="O139" s="46">
        <f t="shared" si="28"/>
        <v>0</v>
      </c>
      <c r="Q139" s="145"/>
      <c r="R139" s="145"/>
      <c r="S139" s="35"/>
      <c r="U139" s="19">
        <f t="shared" si="33"/>
        <v>0</v>
      </c>
      <c r="V139" s="19">
        <f t="shared" si="29"/>
        <v>0</v>
      </c>
      <c r="W139" s="44">
        <f t="shared" si="34"/>
        <v>0</v>
      </c>
      <c r="Y139" s="41">
        <f t="shared" si="30"/>
        <v>0</v>
      </c>
    </row>
    <row r="140" spans="2:25" x14ac:dyDescent="0.35">
      <c r="B140" s="33"/>
      <c r="C140" s="52"/>
      <c r="D140" s="52"/>
      <c r="E140" s="52"/>
      <c r="G140" s="145"/>
      <c r="H140" s="145"/>
      <c r="I140" s="35"/>
      <c r="K140" s="47">
        <f t="shared" si="31"/>
        <v>0</v>
      </c>
      <c r="L140" s="47">
        <f t="shared" si="27"/>
        <v>0</v>
      </c>
      <c r="M140" s="44">
        <f t="shared" si="32"/>
        <v>0</v>
      </c>
      <c r="O140" s="46">
        <f t="shared" si="28"/>
        <v>0</v>
      </c>
      <c r="Q140" s="145"/>
      <c r="R140" s="145"/>
      <c r="S140" s="35"/>
      <c r="U140" s="19">
        <f t="shared" si="33"/>
        <v>0</v>
      </c>
      <c r="V140" s="19">
        <f t="shared" si="29"/>
        <v>0</v>
      </c>
      <c r="W140" s="44">
        <f t="shared" si="34"/>
        <v>0</v>
      </c>
      <c r="Y140" s="41">
        <f t="shared" si="30"/>
        <v>0</v>
      </c>
    </row>
    <row r="141" spans="2:25" x14ac:dyDescent="0.35">
      <c r="B141" s="33"/>
      <c r="C141" s="52"/>
      <c r="D141" s="52"/>
      <c r="E141" s="52"/>
      <c r="G141" s="145"/>
      <c r="H141" s="145"/>
      <c r="I141" s="35"/>
      <c r="K141" s="47">
        <f t="shared" si="31"/>
        <v>0</v>
      </c>
      <c r="L141" s="47">
        <f t="shared" si="27"/>
        <v>0</v>
      </c>
      <c r="M141" s="44">
        <f t="shared" si="32"/>
        <v>0</v>
      </c>
      <c r="O141" s="46">
        <f t="shared" si="28"/>
        <v>0</v>
      </c>
      <c r="Q141" s="145"/>
      <c r="R141" s="145"/>
      <c r="S141" s="35"/>
      <c r="U141" s="19">
        <f t="shared" si="33"/>
        <v>0</v>
      </c>
      <c r="V141" s="19">
        <f t="shared" si="29"/>
        <v>0</v>
      </c>
      <c r="W141" s="44">
        <f t="shared" si="34"/>
        <v>0</v>
      </c>
      <c r="Y141" s="41">
        <f t="shared" si="30"/>
        <v>0</v>
      </c>
    </row>
    <row r="142" spans="2:25" x14ac:dyDescent="0.35">
      <c r="B142" s="33"/>
      <c r="C142" s="52"/>
      <c r="D142" s="52"/>
      <c r="E142" s="52"/>
      <c r="G142" s="145"/>
      <c r="H142" s="145"/>
      <c r="I142" s="35"/>
      <c r="K142" s="47">
        <f t="shared" si="31"/>
        <v>0</v>
      </c>
      <c r="L142" s="47">
        <f t="shared" si="27"/>
        <v>0</v>
      </c>
      <c r="M142" s="44">
        <f t="shared" si="32"/>
        <v>0</v>
      </c>
      <c r="O142" s="46">
        <f t="shared" si="28"/>
        <v>0</v>
      </c>
      <c r="Q142" s="145"/>
      <c r="R142" s="145"/>
      <c r="S142" s="35"/>
      <c r="U142" s="19">
        <f t="shared" si="33"/>
        <v>0</v>
      </c>
      <c r="V142" s="19">
        <f t="shared" si="29"/>
        <v>0</v>
      </c>
      <c r="W142" s="44">
        <f t="shared" si="34"/>
        <v>0</v>
      </c>
      <c r="Y142" s="41">
        <f t="shared" si="30"/>
        <v>0</v>
      </c>
    </row>
    <row r="143" spans="2:25" x14ac:dyDescent="0.35">
      <c r="B143" s="33"/>
      <c r="C143" s="52"/>
      <c r="D143" s="52"/>
      <c r="E143" s="52"/>
      <c r="G143" s="145"/>
      <c r="H143" s="145"/>
      <c r="I143" s="35"/>
      <c r="K143" s="47">
        <f t="shared" si="31"/>
        <v>0</v>
      </c>
      <c r="L143" s="47">
        <f t="shared" si="27"/>
        <v>0</v>
      </c>
      <c r="M143" s="44">
        <f t="shared" si="32"/>
        <v>0</v>
      </c>
      <c r="O143" s="46">
        <f t="shared" si="28"/>
        <v>0</v>
      </c>
      <c r="Q143" s="145"/>
      <c r="R143" s="145"/>
      <c r="S143" s="35"/>
      <c r="U143" s="19">
        <f t="shared" si="33"/>
        <v>0</v>
      </c>
      <c r="V143" s="19">
        <f t="shared" si="29"/>
        <v>0</v>
      </c>
      <c r="W143" s="44">
        <f t="shared" si="34"/>
        <v>0</v>
      </c>
      <c r="Y143" s="41">
        <f t="shared" si="30"/>
        <v>0</v>
      </c>
    </row>
    <row r="144" spans="2:25" x14ac:dyDescent="0.35">
      <c r="B144" s="33"/>
      <c r="C144" s="52"/>
      <c r="D144" s="52"/>
      <c r="E144" s="52"/>
      <c r="G144" s="145"/>
      <c r="H144" s="145"/>
      <c r="I144" s="35"/>
      <c r="K144" s="47">
        <f t="shared" si="31"/>
        <v>0</v>
      </c>
      <c r="L144" s="47">
        <f t="shared" si="27"/>
        <v>0</v>
      </c>
      <c r="M144" s="44">
        <f t="shared" si="32"/>
        <v>0</v>
      </c>
      <c r="O144" s="46">
        <f t="shared" si="28"/>
        <v>0</v>
      </c>
      <c r="Q144" s="145"/>
      <c r="R144" s="145"/>
      <c r="S144" s="35"/>
      <c r="U144" s="19">
        <f t="shared" si="33"/>
        <v>0</v>
      </c>
      <c r="V144" s="19">
        <f t="shared" si="29"/>
        <v>0</v>
      </c>
      <c r="W144" s="44">
        <f t="shared" si="34"/>
        <v>0</v>
      </c>
      <c r="Y144" s="41">
        <f t="shared" si="30"/>
        <v>0</v>
      </c>
    </row>
    <row r="145" spans="2:25" x14ac:dyDescent="0.35">
      <c r="B145" s="33"/>
      <c r="C145" s="52"/>
      <c r="D145" s="52"/>
      <c r="E145" s="52"/>
      <c r="G145" s="145"/>
      <c r="H145" s="145"/>
      <c r="I145" s="35"/>
      <c r="K145" s="47">
        <f t="shared" si="31"/>
        <v>0</v>
      </c>
      <c r="L145" s="47">
        <f t="shared" si="27"/>
        <v>0</v>
      </c>
      <c r="M145" s="44">
        <f t="shared" si="32"/>
        <v>0</v>
      </c>
      <c r="O145" s="46">
        <f t="shared" si="28"/>
        <v>0</v>
      </c>
      <c r="Q145" s="145"/>
      <c r="R145" s="145"/>
      <c r="S145" s="35"/>
      <c r="U145" s="19">
        <f t="shared" si="33"/>
        <v>0</v>
      </c>
      <c r="V145" s="19">
        <f t="shared" si="29"/>
        <v>0</v>
      </c>
      <c r="W145" s="44">
        <f t="shared" si="34"/>
        <v>0</v>
      </c>
      <c r="Y145" s="41">
        <f t="shared" si="30"/>
        <v>0</v>
      </c>
    </row>
    <row r="146" spans="2:25" x14ac:dyDescent="0.35">
      <c r="B146" s="33"/>
      <c r="C146" s="52"/>
      <c r="D146" s="52"/>
      <c r="E146" s="52"/>
      <c r="G146" s="145"/>
      <c r="H146" s="145"/>
      <c r="I146" s="35"/>
      <c r="K146" s="47">
        <f t="shared" si="31"/>
        <v>0</v>
      </c>
      <c r="L146" s="47">
        <f t="shared" si="27"/>
        <v>0</v>
      </c>
      <c r="M146" s="44">
        <f t="shared" si="32"/>
        <v>0</v>
      </c>
      <c r="O146" s="46">
        <f t="shared" si="28"/>
        <v>0</v>
      </c>
      <c r="Q146" s="145"/>
      <c r="R146" s="145"/>
      <c r="S146" s="35"/>
      <c r="U146" s="19">
        <f t="shared" si="33"/>
        <v>0</v>
      </c>
      <c r="V146" s="19">
        <f t="shared" si="29"/>
        <v>0</v>
      </c>
      <c r="W146" s="44">
        <f t="shared" si="34"/>
        <v>0</v>
      </c>
      <c r="Y146" s="41">
        <f t="shared" si="30"/>
        <v>0</v>
      </c>
    </row>
    <row r="147" spans="2:25" x14ac:dyDescent="0.35">
      <c r="B147" s="33"/>
      <c r="C147" s="52"/>
      <c r="D147" s="52"/>
      <c r="E147" s="52"/>
      <c r="G147" s="145"/>
      <c r="H147" s="145"/>
      <c r="I147" s="35"/>
      <c r="K147" s="47">
        <f t="shared" si="31"/>
        <v>0</v>
      </c>
      <c r="L147" s="47">
        <f t="shared" si="27"/>
        <v>0</v>
      </c>
      <c r="M147" s="44">
        <f t="shared" si="32"/>
        <v>0</v>
      </c>
      <c r="O147" s="46">
        <f t="shared" si="28"/>
        <v>0</v>
      </c>
      <c r="Q147" s="145"/>
      <c r="R147" s="145"/>
      <c r="S147" s="35"/>
      <c r="U147" s="19">
        <f t="shared" si="33"/>
        <v>0</v>
      </c>
      <c r="V147" s="19">
        <f t="shared" si="29"/>
        <v>0</v>
      </c>
      <c r="W147" s="44">
        <f t="shared" si="34"/>
        <v>0</v>
      </c>
      <c r="Y147" s="41">
        <f t="shared" si="30"/>
        <v>0</v>
      </c>
    </row>
    <row r="148" spans="2:25" x14ac:dyDescent="0.35">
      <c r="B148" s="33"/>
      <c r="C148" s="52"/>
      <c r="D148" s="52"/>
      <c r="E148" s="52"/>
      <c r="G148" s="145"/>
      <c r="H148" s="145"/>
      <c r="I148" s="35"/>
      <c r="K148" s="47">
        <f t="shared" si="31"/>
        <v>0</v>
      </c>
      <c r="L148" s="47">
        <f t="shared" si="27"/>
        <v>0</v>
      </c>
      <c r="M148" s="44">
        <f t="shared" si="32"/>
        <v>0</v>
      </c>
      <c r="O148" s="46">
        <f t="shared" si="28"/>
        <v>0</v>
      </c>
      <c r="Q148" s="145"/>
      <c r="R148" s="145"/>
      <c r="S148" s="35"/>
      <c r="U148" s="19">
        <f t="shared" si="33"/>
        <v>0</v>
      </c>
      <c r="V148" s="19">
        <f t="shared" si="29"/>
        <v>0</v>
      </c>
      <c r="W148" s="44">
        <f t="shared" si="34"/>
        <v>0</v>
      </c>
      <c r="Y148" s="41">
        <f t="shared" si="30"/>
        <v>0</v>
      </c>
    </row>
    <row r="149" spans="2:25" x14ac:dyDescent="0.35">
      <c r="B149" s="33"/>
      <c r="C149" s="52"/>
      <c r="D149" s="52"/>
      <c r="E149" s="52"/>
      <c r="G149" s="145"/>
      <c r="H149" s="145"/>
      <c r="I149" s="35"/>
      <c r="K149" s="47">
        <f t="shared" si="31"/>
        <v>0</v>
      </c>
      <c r="L149" s="47">
        <f t="shared" si="27"/>
        <v>0</v>
      </c>
      <c r="M149" s="44">
        <f t="shared" si="32"/>
        <v>0</v>
      </c>
      <c r="O149" s="46">
        <f t="shared" si="28"/>
        <v>0</v>
      </c>
      <c r="Q149" s="145"/>
      <c r="R149" s="145"/>
      <c r="S149" s="35"/>
      <c r="U149" s="19">
        <f t="shared" si="33"/>
        <v>0</v>
      </c>
      <c r="V149" s="19">
        <f t="shared" si="29"/>
        <v>0</v>
      </c>
      <c r="W149" s="44">
        <f t="shared" si="34"/>
        <v>0</v>
      </c>
      <c r="Y149" s="41">
        <f t="shared" si="30"/>
        <v>0</v>
      </c>
    </row>
    <row r="150" spans="2:25" x14ac:dyDescent="0.35">
      <c r="B150" s="33"/>
      <c r="C150" s="52"/>
      <c r="D150" s="52"/>
      <c r="E150" s="52"/>
      <c r="G150" s="145"/>
      <c r="H150" s="145"/>
      <c r="I150" s="35"/>
      <c r="K150" s="47">
        <f t="shared" si="31"/>
        <v>0</v>
      </c>
      <c r="L150" s="47">
        <f t="shared" si="27"/>
        <v>0</v>
      </c>
      <c r="M150" s="44">
        <f t="shared" si="32"/>
        <v>0</v>
      </c>
      <c r="O150" s="46">
        <f t="shared" si="28"/>
        <v>0</v>
      </c>
      <c r="Q150" s="145"/>
      <c r="R150" s="145"/>
      <c r="S150" s="35"/>
      <c r="U150" s="19">
        <f t="shared" si="33"/>
        <v>0</v>
      </c>
      <c r="V150" s="19">
        <f t="shared" si="29"/>
        <v>0</v>
      </c>
      <c r="W150" s="44">
        <f t="shared" si="34"/>
        <v>0</v>
      </c>
      <c r="Y150" s="41">
        <f t="shared" si="30"/>
        <v>0</v>
      </c>
    </row>
    <row r="151" spans="2:25" x14ac:dyDescent="0.35">
      <c r="B151" s="33"/>
      <c r="C151" s="52"/>
      <c r="D151" s="52"/>
      <c r="E151" s="52"/>
      <c r="G151" s="145"/>
      <c r="H151" s="145"/>
      <c r="I151" s="35"/>
      <c r="K151" s="47">
        <f t="shared" si="31"/>
        <v>0</v>
      </c>
      <c r="L151" s="47">
        <f t="shared" si="27"/>
        <v>0</v>
      </c>
      <c r="M151" s="44">
        <f t="shared" si="32"/>
        <v>0</v>
      </c>
      <c r="O151" s="46">
        <f t="shared" si="28"/>
        <v>0</v>
      </c>
      <c r="Q151" s="145"/>
      <c r="R151" s="145"/>
      <c r="S151" s="35"/>
      <c r="U151" s="19">
        <f t="shared" si="33"/>
        <v>0</v>
      </c>
      <c r="V151" s="19">
        <f t="shared" si="29"/>
        <v>0</v>
      </c>
      <c r="W151" s="44">
        <f t="shared" si="34"/>
        <v>0</v>
      </c>
      <c r="Y151" s="41">
        <f t="shared" si="30"/>
        <v>0</v>
      </c>
    </row>
    <row r="152" spans="2:25" x14ac:dyDescent="0.35">
      <c r="B152" s="33"/>
      <c r="C152" s="52"/>
      <c r="D152" s="52"/>
      <c r="E152" s="52"/>
      <c r="G152" s="145"/>
      <c r="H152" s="145"/>
      <c r="I152" s="35"/>
      <c r="K152" s="47">
        <f t="shared" si="31"/>
        <v>0</v>
      </c>
      <c r="L152" s="47">
        <f t="shared" si="27"/>
        <v>0</v>
      </c>
      <c r="M152" s="44">
        <f t="shared" si="32"/>
        <v>0</v>
      </c>
      <c r="O152" s="46">
        <f t="shared" si="28"/>
        <v>0</v>
      </c>
      <c r="Q152" s="145"/>
      <c r="R152" s="145"/>
      <c r="S152" s="35"/>
      <c r="U152" s="19">
        <f t="shared" si="33"/>
        <v>0</v>
      </c>
      <c r="V152" s="19">
        <f t="shared" si="29"/>
        <v>0</v>
      </c>
      <c r="W152" s="44">
        <f t="shared" si="34"/>
        <v>0</v>
      </c>
      <c r="Y152" s="41">
        <f t="shared" si="30"/>
        <v>0</v>
      </c>
    </row>
    <row r="153" spans="2:25" x14ac:dyDescent="0.35">
      <c r="B153" s="33"/>
      <c r="C153" s="52"/>
      <c r="D153" s="52"/>
      <c r="E153" s="52"/>
      <c r="G153" s="145"/>
      <c r="H153" s="145"/>
      <c r="I153" s="35"/>
      <c r="K153" s="47">
        <f t="shared" si="31"/>
        <v>0</v>
      </c>
      <c r="L153" s="47">
        <f t="shared" si="27"/>
        <v>0</v>
      </c>
      <c r="M153" s="44">
        <f t="shared" si="32"/>
        <v>0</v>
      </c>
      <c r="O153" s="46">
        <f t="shared" si="28"/>
        <v>0</v>
      </c>
      <c r="Q153" s="145"/>
      <c r="R153" s="145"/>
      <c r="S153" s="35"/>
      <c r="U153" s="19">
        <f t="shared" si="33"/>
        <v>0</v>
      </c>
      <c r="V153" s="19">
        <f t="shared" si="29"/>
        <v>0</v>
      </c>
      <c r="W153" s="44">
        <f t="shared" si="34"/>
        <v>0</v>
      </c>
      <c r="Y153" s="41">
        <f t="shared" si="30"/>
        <v>0</v>
      </c>
    </row>
    <row r="154" spans="2:25" x14ac:dyDescent="0.35">
      <c r="B154" s="33"/>
      <c r="C154" s="52"/>
      <c r="D154" s="52"/>
      <c r="E154" s="52"/>
      <c r="G154" s="145"/>
      <c r="H154" s="145"/>
      <c r="I154" s="35"/>
      <c r="K154" s="47">
        <f t="shared" si="31"/>
        <v>0</v>
      </c>
      <c r="L154" s="47">
        <f t="shared" si="27"/>
        <v>0</v>
      </c>
      <c r="M154" s="44">
        <f t="shared" si="32"/>
        <v>0</v>
      </c>
      <c r="O154" s="46">
        <f t="shared" si="28"/>
        <v>0</v>
      </c>
      <c r="Q154" s="145"/>
      <c r="R154" s="145"/>
      <c r="S154" s="35"/>
      <c r="U154" s="19">
        <f t="shared" si="33"/>
        <v>0</v>
      </c>
      <c r="V154" s="19">
        <f t="shared" si="29"/>
        <v>0</v>
      </c>
      <c r="W154" s="44">
        <f t="shared" si="34"/>
        <v>0</v>
      </c>
      <c r="Y154" s="41">
        <f t="shared" si="30"/>
        <v>0</v>
      </c>
    </row>
    <row r="155" spans="2:25" x14ac:dyDescent="0.35">
      <c r="B155" s="33"/>
      <c r="C155" s="52"/>
      <c r="D155" s="52"/>
      <c r="E155" s="52"/>
      <c r="G155" s="145"/>
      <c r="H155" s="145"/>
      <c r="I155" s="35"/>
      <c r="K155" s="47">
        <f t="shared" si="31"/>
        <v>0</v>
      </c>
      <c r="L155" s="47">
        <f t="shared" si="27"/>
        <v>0</v>
      </c>
      <c r="M155" s="44">
        <f t="shared" si="32"/>
        <v>0</v>
      </c>
      <c r="O155" s="46">
        <f t="shared" si="28"/>
        <v>0</v>
      </c>
      <c r="Q155" s="145"/>
      <c r="R155" s="145"/>
      <c r="S155" s="35"/>
      <c r="U155" s="19">
        <f t="shared" si="33"/>
        <v>0</v>
      </c>
      <c r="V155" s="19">
        <f t="shared" si="29"/>
        <v>0</v>
      </c>
      <c r="W155" s="44">
        <f t="shared" si="34"/>
        <v>0</v>
      </c>
      <c r="Y155" s="41">
        <f t="shared" si="30"/>
        <v>0</v>
      </c>
    </row>
    <row r="156" spans="2:25" x14ac:dyDescent="0.35">
      <c r="B156" s="33"/>
      <c r="C156" s="52"/>
      <c r="D156" s="52"/>
      <c r="E156" s="52"/>
      <c r="G156" s="145"/>
      <c r="H156" s="145"/>
      <c r="I156" s="35"/>
      <c r="K156" s="47">
        <f t="shared" si="31"/>
        <v>0</v>
      </c>
      <c r="L156" s="47">
        <f t="shared" si="27"/>
        <v>0</v>
      </c>
      <c r="M156" s="44">
        <f t="shared" si="32"/>
        <v>0</v>
      </c>
      <c r="O156" s="46">
        <f t="shared" si="28"/>
        <v>0</v>
      </c>
      <c r="Q156" s="145"/>
      <c r="R156" s="145"/>
      <c r="S156" s="35"/>
      <c r="U156" s="19">
        <f t="shared" si="33"/>
        <v>0</v>
      </c>
      <c r="V156" s="19">
        <f t="shared" si="29"/>
        <v>0</v>
      </c>
      <c r="W156" s="44">
        <f t="shared" si="34"/>
        <v>0</v>
      </c>
      <c r="Y156" s="41">
        <f t="shared" si="30"/>
        <v>0</v>
      </c>
    </row>
    <row r="157" spans="2:25" x14ac:dyDescent="0.35">
      <c r="B157" s="33"/>
      <c r="C157" s="52"/>
      <c r="D157" s="52"/>
      <c r="E157" s="52"/>
      <c r="G157" s="145"/>
      <c r="H157" s="145"/>
      <c r="I157" s="35"/>
      <c r="K157" s="47">
        <f t="shared" si="31"/>
        <v>0</v>
      </c>
      <c r="L157" s="47">
        <f t="shared" si="27"/>
        <v>0</v>
      </c>
      <c r="M157" s="44">
        <f t="shared" si="32"/>
        <v>0</v>
      </c>
      <c r="O157" s="46">
        <f t="shared" si="28"/>
        <v>0</v>
      </c>
      <c r="Q157" s="145"/>
      <c r="R157" s="145"/>
      <c r="S157" s="35"/>
      <c r="U157" s="19">
        <f t="shared" si="33"/>
        <v>0</v>
      </c>
      <c r="V157" s="19">
        <f t="shared" si="29"/>
        <v>0</v>
      </c>
      <c r="W157" s="44">
        <f t="shared" si="34"/>
        <v>0</v>
      </c>
      <c r="Y157" s="41">
        <f t="shared" si="30"/>
        <v>0</v>
      </c>
    </row>
    <row r="158" spans="2:25" x14ac:dyDescent="0.35">
      <c r="B158" s="33"/>
      <c r="C158" s="52"/>
      <c r="D158" s="52"/>
      <c r="E158" s="52"/>
      <c r="G158" s="145"/>
      <c r="H158" s="145"/>
      <c r="I158" s="35"/>
      <c r="K158" s="47">
        <f t="shared" si="31"/>
        <v>0</v>
      </c>
      <c r="L158" s="47">
        <f t="shared" si="27"/>
        <v>0</v>
      </c>
      <c r="M158" s="44">
        <f t="shared" si="32"/>
        <v>0</v>
      </c>
      <c r="O158" s="46">
        <f t="shared" si="28"/>
        <v>0</v>
      </c>
      <c r="Q158" s="145"/>
      <c r="R158" s="145"/>
      <c r="S158" s="35"/>
      <c r="U158" s="19">
        <f t="shared" si="33"/>
        <v>0</v>
      </c>
      <c r="V158" s="19">
        <f t="shared" si="29"/>
        <v>0</v>
      </c>
      <c r="W158" s="44">
        <f t="shared" si="34"/>
        <v>0</v>
      </c>
      <c r="Y158" s="41">
        <f t="shared" si="30"/>
        <v>0</v>
      </c>
    </row>
    <row r="159" spans="2:25" x14ac:dyDescent="0.35">
      <c r="B159" s="33"/>
      <c r="C159" s="52"/>
      <c r="D159" s="52"/>
      <c r="E159" s="52"/>
      <c r="G159" s="145"/>
      <c r="H159" s="145"/>
      <c r="I159" s="35"/>
      <c r="K159" s="47">
        <f t="shared" si="31"/>
        <v>0</v>
      </c>
      <c r="L159" s="47">
        <f t="shared" si="27"/>
        <v>0</v>
      </c>
      <c r="M159" s="44">
        <f t="shared" si="32"/>
        <v>0</v>
      </c>
      <c r="O159" s="46">
        <f t="shared" si="28"/>
        <v>0</v>
      </c>
      <c r="Q159" s="145"/>
      <c r="R159" s="145"/>
      <c r="S159" s="35"/>
      <c r="U159" s="19">
        <f t="shared" si="33"/>
        <v>0</v>
      </c>
      <c r="V159" s="19">
        <f t="shared" si="29"/>
        <v>0</v>
      </c>
      <c r="W159" s="44">
        <f t="shared" si="34"/>
        <v>0</v>
      </c>
      <c r="Y159" s="41">
        <f t="shared" si="30"/>
        <v>0</v>
      </c>
    </row>
    <row r="160" spans="2:25" x14ac:dyDescent="0.35">
      <c r="B160" s="33"/>
      <c r="C160" s="52"/>
      <c r="D160" s="52"/>
      <c r="E160" s="52"/>
      <c r="G160" s="145"/>
      <c r="H160" s="145"/>
      <c r="I160" s="35"/>
      <c r="K160" s="47">
        <f t="shared" si="31"/>
        <v>0</v>
      </c>
      <c r="L160" s="47">
        <f t="shared" si="27"/>
        <v>0</v>
      </c>
      <c r="M160" s="44">
        <f t="shared" si="32"/>
        <v>0</v>
      </c>
      <c r="O160" s="46">
        <f t="shared" si="28"/>
        <v>0</v>
      </c>
      <c r="Q160" s="145"/>
      <c r="R160" s="145"/>
      <c r="S160" s="35"/>
      <c r="U160" s="19">
        <f t="shared" si="33"/>
        <v>0</v>
      </c>
      <c r="V160" s="19">
        <f t="shared" si="29"/>
        <v>0</v>
      </c>
      <c r="W160" s="44">
        <f t="shared" si="34"/>
        <v>0</v>
      </c>
      <c r="Y160" s="41">
        <f t="shared" si="30"/>
        <v>0</v>
      </c>
    </row>
    <row r="161" spans="2:25" x14ac:dyDescent="0.35">
      <c r="B161" s="33"/>
      <c r="C161" s="52"/>
      <c r="D161" s="52"/>
      <c r="E161" s="52"/>
      <c r="G161" s="145"/>
      <c r="H161" s="145"/>
      <c r="I161" s="35"/>
      <c r="K161" s="47">
        <f t="shared" si="31"/>
        <v>0</v>
      </c>
      <c r="L161" s="47">
        <f t="shared" si="27"/>
        <v>0</v>
      </c>
      <c r="M161" s="44">
        <f t="shared" si="32"/>
        <v>0</v>
      </c>
      <c r="O161" s="46">
        <f t="shared" si="28"/>
        <v>0</v>
      </c>
      <c r="Q161" s="145"/>
      <c r="R161" s="145"/>
      <c r="S161" s="35"/>
      <c r="U161" s="19">
        <f t="shared" si="33"/>
        <v>0</v>
      </c>
      <c r="V161" s="19">
        <f t="shared" si="29"/>
        <v>0</v>
      </c>
      <c r="W161" s="44">
        <f t="shared" si="34"/>
        <v>0</v>
      </c>
      <c r="Y161" s="41">
        <f t="shared" si="30"/>
        <v>0</v>
      </c>
    </row>
    <row r="162" spans="2:25" x14ac:dyDescent="0.35">
      <c r="B162" s="33"/>
      <c r="C162" s="52"/>
      <c r="D162" s="52"/>
      <c r="E162" s="52"/>
      <c r="G162" s="145"/>
      <c r="H162" s="145"/>
      <c r="I162" s="35"/>
      <c r="K162" s="47">
        <f t="shared" si="31"/>
        <v>0</v>
      </c>
      <c r="L162" s="47">
        <f t="shared" si="27"/>
        <v>0</v>
      </c>
      <c r="M162" s="44">
        <f t="shared" si="32"/>
        <v>0</v>
      </c>
      <c r="O162" s="46">
        <f t="shared" si="28"/>
        <v>0</v>
      </c>
      <c r="Q162" s="145"/>
      <c r="R162" s="145"/>
      <c r="S162" s="35"/>
      <c r="U162" s="19">
        <f t="shared" si="33"/>
        <v>0</v>
      </c>
      <c r="V162" s="19">
        <f t="shared" si="29"/>
        <v>0</v>
      </c>
      <c r="W162" s="44">
        <f t="shared" si="34"/>
        <v>0</v>
      </c>
      <c r="Y162" s="41">
        <f t="shared" si="30"/>
        <v>0</v>
      </c>
    </row>
    <row r="163" spans="2:25" x14ac:dyDescent="0.35">
      <c r="B163" s="33"/>
      <c r="C163" s="52"/>
      <c r="D163" s="52"/>
      <c r="E163" s="52"/>
      <c r="G163" s="145"/>
      <c r="H163" s="145"/>
      <c r="I163" s="35"/>
      <c r="K163" s="47">
        <f t="shared" si="31"/>
        <v>0</v>
      </c>
      <c r="L163" s="47">
        <f t="shared" si="27"/>
        <v>0</v>
      </c>
      <c r="M163" s="44">
        <f t="shared" si="32"/>
        <v>0</v>
      </c>
      <c r="O163" s="46">
        <f t="shared" si="28"/>
        <v>0</v>
      </c>
      <c r="Q163" s="145"/>
      <c r="R163" s="145"/>
      <c r="S163" s="35"/>
      <c r="U163" s="19">
        <f t="shared" si="33"/>
        <v>0</v>
      </c>
      <c r="V163" s="19">
        <f t="shared" si="29"/>
        <v>0</v>
      </c>
      <c r="W163" s="44">
        <f t="shared" si="34"/>
        <v>0</v>
      </c>
      <c r="Y163" s="41">
        <f t="shared" si="30"/>
        <v>0</v>
      </c>
    </row>
    <row r="164" spans="2:25" x14ac:dyDescent="0.35">
      <c r="B164" s="33"/>
      <c r="C164" s="52"/>
      <c r="D164" s="52"/>
      <c r="E164" s="52"/>
      <c r="G164" s="145"/>
      <c r="H164" s="145"/>
      <c r="I164" s="35"/>
      <c r="K164" s="47">
        <f t="shared" si="31"/>
        <v>0</v>
      </c>
      <c r="L164" s="47">
        <f t="shared" si="27"/>
        <v>0</v>
      </c>
      <c r="M164" s="44">
        <f t="shared" si="32"/>
        <v>0</v>
      </c>
      <c r="O164" s="46">
        <f t="shared" si="28"/>
        <v>0</v>
      </c>
      <c r="Q164" s="145"/>
      <c r="R164" s="145"/>
      <c r="S164" s="35"/>
      <c r="U164" s="19">
        <f t="shared" si="33"/>
        <v>0</v>
      </c>
      <c r="V164" s="19">
        <f t="shared" si="29"/>
        <v>0</v>
      </c>
      <c r="W164" s="44">
        <f t="shared" si="34"/>
        <v>0</v>
      </c>
      <c r="Y164" s="41">
        <f t="shared" si="30"/>
        <v>0</v>
      </c>
    </row>
    <row r="165" spans="2:25" x14ac:dyDescent="0.35">
      <c r="B165" s="33"/>
      <c r="C165" s="52"/>
      <c r="D165" s="52"/>
      <c r="E165" s="52"/>
      <c r="G165" s="145"/>
      <c r="H165" s="145"/>
      <c r="I165" s="35"/>
      <c r="K165" s="47">
        <f t="shared" si="31"/>
        <v>0</v>
      </c>
      <c r="L165" s="47">
        <f t="shared" si="27"/>
        <v>0</v>
      </c>
      <c r="M165" s="44">
        <f t="shared" si="32"/>
        <v>0</v>
      </c>
      <c r="O165" s="46">
        <f t="shared" si="28"/>
        <v>0</v>
      </c>
      <c r="Q165" s="145"/>
      <c r="R165" s="145"/>
      <c r="S165" s="35"/>
      <c r="U165" s="19">
        <f t="shared" si="33"/>
        <v>0</v>
      </c>
      <c r="V165" s="19">
        <f t="shared" si="29"/>
        <v>0</v>
      </c>
      <c r="W165" s="44">
        <f t="shared" si="34"/>
        <v>0</v>
      </c>
      <c r="Y165" s="41">
        <f t="shared" si="30"/>
        <v>0</v>
      </c>
    </row>
    <row r="166" spans="2:25" x14ac:dyDescent="0.35">
      <c r="B166" s="33"/>
      <c r="C166" s="52"/>
      <c r="D166" s="52"/>
      <c r="E166" s="52"/>
      <c r="G166" s="145"/>
      <c r="H166" s="145"/>
      <c r="I166" s="35"/>
      <c r="K166" s="47">
        <f t="shared" si="31"/>
        <v>0</v>
      </c>
      <c r="L166" s="47">
        <f t="shared" si="27"/>
        <v>0</v>
      </c>
      <c r="M166" s="44">
        <f t="shared" si="32"/>
        <v>0</v>
      </c>
      <c r="O166" s="46">
        <f t="shared" si="28"/>
        <v>0</v>
      </c>
      <c r="Q166" s="145"/>
      <c r="R166" s="145"/>
      <c r="S166" s="35"/>
      <c r="U166" s="19">
        <f t="shared" si="33"/>
        <v>0</v>
      </c>
      <c r="V166" s="19">
        <f t="shared" si="29"/>
        <v>0</v>
      </c>
      <c r="W166" s="44">
        <f t="shared" si="34"/>
        <v>0</v>
      </c>
      <c r="Y166" s="41">
        <f t="shared" si="30"/>
        <v>0</v>
      </c>
    </row>
    <row r="167" spans="2:25" x14ac:dyDescent="0.35">
      <c r="B167" s="33"/>
      <c r="C167" s="52"/>
      <c r="D167" s="52"/>
      <c r="E167" s="52"/>
      <c r="G167" s="145"/>
      <c r="H167" s="145"/>
      <c r="I167" s="35"/>
      <c r="K167" s="47">
        <f t="shared" si="31"/>
        <v>0</v>
      </c>
      <c r="L167" s="47">
        <f t="shared" si="27"/>
        <v>0</v>
      </c>
      <c r="M167" s="44">
        <f t="shared" si="32"/>
        <v>0</v>
      </c>
      <c r="O167" s="46">
        <f t="shared" ref="O167:O201" si="35">IF(M167="USD",L167*EXR,L167)</f>
        <v>0</v>
      </c>
      <c r="Q167" s="145"/>
      <c r="R167" s="145"/>
      <c r="S167" s="35"/>
      <c r="U167" s="19">
        <f t="shared" si="33"/>
        <v>0</v>
      </c>
      <c r="V167" s="19">
        <f t="shared" si="29"/>
        <v>0</v>
      </c>
      <c r="W167" s="44">
        <f t="shared" si="34"/>
        <v>0</v>
      </c>
      <c r="Y167" s="41">
        <f t="shared" ref="Y167:Y201" si="36">IF(W167="USD",V167*EXR,V167)</f>
        <v>0</v>
      </c>
    </row>
    <row r="168" spans="2:25" x14ac:dyDescent="0.35">
      <c r="B168" s="33"/>
      <c r="C168" s="52"/>
      <c r="D168" s="52"/>
      <c r="E168" s="52"/>
      <c r="G168" s="145"/>
      <c r="H168" s="145"/>
      <c r="I168" s="35"/>
      <c r="K168" s="47">
        <f t="shared" si="31"/>
        <v>0</v>
      </c>
      <c r="L168" s="47">
        <f t="shared" si="27"/>
        <v>0</v>
      </c>
      <c r="M168" s="44">
        <f t="shared" si="32"/>
        <v>0</v>
      </c>
      <c r="O168" s="46">
        <f t="shared" si="35"/>
        <v>0</v>
      </c>
      <c r="Q168" s="145"/>
      <c r="R168" s="145"/>
      <c r="S168" s="35"/>
      <c r="U168" s="19">
        <f t="shared" si="33"/>
        <v>0</v>
      </c>
      <c r="V168" s="19">
        <f t="shared" si="29"/>
        <v>0</v>
      </c>
      <c r="W168" s="44">
        <f t="shared" si="34"/>
        <v>0</v>
      </c>
      <c r="Y168" s="41">
        <f t="shared" si="36"/>
        <v>0</v>
      </c>
    </row>
    <row r="169" spans="2:25" x14ac:dyDescent="0.35">
      <c r="B169" s="33"/>
      <c r="C169" s="52"/>
      <c r="D169" s="52"/>
      <c r="E169" s="52"/>
      <c r="G169" s="145"/>
      <c r="H169" s="145"/>
      <c r="I169" s="35"/>
      <c r="K169" s="47">
        <f t="shared" si="31"/>
        <v>0</v>
      </c>
      <c r="L169" s="47">
        <f t="shared" si="27"/>
        <v>0</v>
      </c>
      <c r="M169" s="44">
        <f t="shared" si="32"/>
        <v>0</v>
      </c>
      <c r="O169" s="46">
        <f t="shared" si="35"/>
        <v>0</v>
      </c>
      <c r="Q169" s="145"/>
      <c r="R169" s="145"/>
      <c r="S169" s="35"/>
      <c r="U169" s="19">
        <f t="shared" si="33"/>
        <v>0</v>
      </c>
      <c r="V169" s="19">
        <f t="shared" si="29"/>
        <v>0</v>
      </c>
      <c r="W169" s="44">
        <f t="shared" si="34"/>
        <v>0</v>
      </c>
      <c r="Y169" s="41">
        <f t="shared" si="36"/>
        <v>0</v>
      </c>
    </row>
    <row r="170" spans="2:25" x14ac:dyDescent="0.35">
      <c r="B170" s="33"/>
      <c r="C170" s="52"/>
      <c r="D170" s="52"/>
      <c r="E170" s="52"/>
      <c r="G170" s="145"/>
      <c r="H170" s="145"/>
      <c r="I170" s="35"/>
      <c r="K170" s="47">
        <f t="shared" si="31"/>
        <v>0</v>
      </c>
      <c r="L170" s="47">
        <f t="shared" si="27"/>
        <v>0</v>
      </c>
      <c r="M170" s="44">
        <f t="shared" si="32"/>
        <v>0</v>
      </c>
      <c r="O170" s="46">
        <f t="shared" si="35"/>
        <v>0</v>
      </c>
      <c r="Q170" s="145"/>
      <c r="R170" s="145"/>
      <c r="S170" s="35"/>
      <c r="U170" s="19">
        <f t="shared" si="33"/>
        <v>0</v>
      </c>
      <c r="V170" s="19">
        <f t="shared" si="29"/>
        <v>0</v>
      </c>
      <c r="W170" s="44">
        <f t="shared" si="34"/>
        <v>0</v>
      </c>
      <c r="Y170" s="41">
        <f t="shared" si="36"/>
        <v>0</v>
      </c>
    </row>
    <row r="171" spans="2:25" x14ac:dyDescent="0.35">
      <c r="B171" s="33"/>
      <c r="C171" s="52"/>
      <c r="D171" s="52"/>
      <c r="E171" s="52"/>
      <c r="G171" s="145"/>
      <c r="H171" s="145"/>
      <c r="I171" s="35"/>
      <c r="K171" s="47">
        <f t="shared" si="31"/>
        <v>0</v>
      </c>
      <c r="L171" s="47">
        <f t="shared" si="27"/>
        <v>0</v>
      </c>
      <c r="M171" s="44">
        <f t="shared" si="32"/>
        <v>0</v>
      </c>
      <c r="O171" s="46">
        <f t="shared" si="35"/>
        <v>0</v>
      </c>
      <c r="Q171" s="145"/>
      <c r="R171" s="145"/>
      <c r="S171" s="35"/>
      <c r="U171" s="19">
        <f t="shared" si="33"/>
        <v>0</v>
      </c>
      <c r="V171" s="19">
        <f t="shared" si="29"/>
        <v>0</v>
      </c>
      <c r="W171" s="44">
        <f t="shared" si="34"/>
        <v>0</v>
      </c>
      <c r="Y171" s="41">
        <f t="shared" si="36"/>
        <v>0</v>
      </c>
    </row>
    <row r="172" spans="2:25" x14ac:dyDescent="0.35">
      <c r="B172" s="33"/>
      <c r="C172" s="52"/>
      <c r="D172" s="52"/>
      <c r="E172" s="52"/>
      <c r="G172" s="145"/>
      <c r="H172" s="145"/>
      <c r="I172" s="35"/>
      <c r="K172" s="47">
        <f t="shared" si="31"/>
        <v>0</v>
      </c>
      <c r="L172" s="47">
        <f t="shared" si="27"/>
        <v>0</v>
      </c>
      <c r="M172" s="44">
        <f t="shared" si="32"/>
        <v>0</v>
      </c>
      <c r="O172" s="46">
        <f t="shared" si="35"/>
        <v>0</v>
      </c>
      <c r="Q172" s="145"/>
      <c r="R172" s="145"/>
      <c r="S172" s="35"/>
      <c r="U172" s="19">
        <f t="shared" si="33"/>
        <v>0</v>
      </c>
      <c r="V172" s="19">
        <f t="shared" si="29"/>
        <v>0</v>
      </c>
      <c r="W172" s="44">
        <f t="shared" si="34"/>
        <v>0</v>
      </c>
      <c r="Y172" s="41">
        <f t="shared" si="36"/>
        <v>0</v>
      </c>
    </row>
    <row r="173" spans="2:25" x14ac:dyDescent="0.35">
      <c r="B173" s="33"/>
      <c r="C173" s="52"/>
      <c r="D173" s="52"/>
      <c r="E173" s="52"/>
      <c r="G173" s="145"/>
      <c r="H173" s="145"/>
      <c r="I173" s="35"/>
      <c r="K173" s="47">
        <f t="shared" si="31"/>
        <v>0</v>
      </c>
      <c r="L173" s="47">
        <f t="shared" si="27"/>
        <v>0</v>
      </c>
      <c r="M173" s="44">
        <f t="shared" si="32"/>
        <v>0</v>
      </c>
      <c r="O173" s="46">
        <f t="shared" si="35"/>
        <v>0</v>
      </c>
      <c r="Q173" s="145"/>
      <c r="R173" s="145"/>
      <c r="S173" s="35"/>
      <c r="U173" s="19">
        <f t="shared" si="33"/>
        <v>0</v>
      </c>
      <c r="V173" s="19">
        <f t="shared" si="29"/>
        <v>0</v>
      </c>
      <c r="W173" s="44">
        <f t="shared" si="34"/>
        <v>0</v>
      </c>
      <c r="Y173" s="41">
        <f t="shared" si="36"/>
        <v>0</v>
      </c>
    </row>
    <row r="174" spans="2:25" x14ac:dyDescent="0.35">
      <c r="B174" s="33"/>
      <c r="C174" s="52"/>
      <c r="D174" s="52"/>
      <c r="E174" s="52"/>
      <c r="G174" s="145"/>
      <c r="H174" s="145"/>
      <c r="I174" s="35"/>
      <c r="K174" s="47">
        <f t="shared" si="31"/>
        <v>0</v>
      </c>
      <c r="L174" s="47">
        <f t="shared" si="27"/>
        <v>0</v>
      </c>
      <c r="M174" s="44">
        <f t="shared" si="32"/>
        <v>0</v>
      </c>
      <c r="O174" s="46">
        <f t="shared" si="35"/>
        <v>0</v>
      </c>
      <c r="Q174" s="145"/>
      <c r="R174" s="145"/>
      <c r="S174" s="35"/>
      <c r="U174" s="19">
        <f t="shared" si="33"/>
        <v>0</v>
      </c>
      <c r="V174" s="19">
        <f t="shared" si="29"/>
        <v>0</v>
      </c>
      <c r="W174" s="44">
        <f t="shared" si="34"/>
        <v>0</v>
      </c>
      <c r="Y174" s="41">
        <f t="shared" si="36"/>
        <v>0</v>
      </c>
    </row>
    <row r="175" spans="2:25" x14ac:dyDescent="0.35">
      <c r="B175" s="33"/>
      <c r="C175" s="52"/>
      <c r="D175" s="52"/>
      <c r="E175" s="52"/>
      <c r="G175" s="145"/>
      <c r="H175" s="145"/>
      <c r="I175" s="35"/>
      <c r="K175" s="47">
        <f t="shared" si="31"/>
        <v>0</v>
      </c>
      <c r="L175" s="47">
        <f t="shared" si="27"/>
        <v>0</v>
      </c>
      <c r="M175" s="44">
        <f t="shared" si="32"/>
        <v>0</v>
      </c>
      <c r="O175" s="46">
        <f t="shared" si="35"/>
        <v>0</v>
      </c>
      <c r="Q175" s="145"/>
      <c r="R175" s="145"/>
      <c r="S175" s="35"/>
      <c r="U175" s="19">
        <f t="shared" si="33"/>
        <v>0</v>
      </c>
      <c r="V175" s="19">
        <f t="shared" si="29"/>
        <v>0</v>
      </c>
      <c r="W175" s="44">
        <f t="shared" si="34"/>
        <v>0</v>
      </c>
      <c r="Y175" s="41">
        <f t="shared" si="36"/>
        <v>0</v>
      </c>
    </row>
    <row r="176" spans="2:25" x14ac:dyDescent="0.35">
      <c r="B176" s="33"/>
      <c r="C176" s="52"/>
      <c r="D176" s="52"/>
      <c r="E176" s="52"/>
      <c r="G176" s="145"/>
      <c r="H176" s="145"/>
      <c r="I176" s="35"/>
      <c r="K176" s="47">
        <f t="shared" si="31"/>
        <v>0</v>
      </c>
      <c r="L176" s="47">
        <f t="shared" si="27"/>
        <v>0</v>
      </c>
      <c r="M176" s="44">
        <f t="shared" si="32"/>
        <v>0</v>
      </c>
      <c r="O176" s="46">
        <f t="shared" si="35"/>
        <v>0</v>
      </c>
      <c r="Q176" s="145"/>
      <c r="R176" s="145"/>
      <c r="S176" s="35"/>
      <c r="U176" s="19">
        <f t="shared" si="33"/>
        <v>0</v>
      </c>
      <c r="V176" s="19">
        <f t="shared" si="29"/>
        <v>0</v>
      </c>
      <c r="W176" s="44">
        <f t="shared" si="34"/>
        <v>0</v>
      </c>
      <c r="Y176" s="41">
        <f t="shared" si="36"/>
        <v>0</v>
      </c>
    </row>
    <row r="177" spans="2:25" x14ac:dyDescent="0.35">
      <c r="B177" s="33"/>
      <c r="C177" s="52"/>
      <c r="D177" s="52"/>
      <c r="E177" s="52"/>
      <c r="G177" s="145"/>
      <c r="H177" s="145"/>
      <c r="I177" s="35"/>
      <c r="K177" s="47">
        <f t="shared" si="31"/>
        <v>0</v>
      </c>
      <c r="L177" s="47">
        <f t="shared" si="27"/>
        <v>0</v>
      </c>
      <c r="M177" s="44">
        <f t="shared" si="32"/>
        <v>0</v>
      </c>
      <c r="O177" s="46">
        <f t="shared" si="35"/>
        <v>0</v>
      </c>
      <c r="Q177" s="145"/>
      <c r="R177" s="145"/>
      <c r="S177" s="35"/>
      <c r="U177" s="19">
        <f t="shared" si="33"/>
        <v>0</v>
      </c>
      <c r="V177" s="19">
        <f t="shared" si="29"/>
        <v>0</v>
      </c>
      <c r="W177" s="44">
        <f t="shared" si="34"/>
        <v>0</v>
      </c>
      <c r="Y177" s="41">
        <f t="shared" si="36"/>
        <v>0</v>
      </c>
    </row>
    <row r="178" spans="2:25" x14ac:dyDescent="0.35">
      <c r="B178" s="33"/>
      <c r="C178" s="52"/>
      <c r="D178" s="52"/>
      <c r="E178" s="52"/>
      <c r="G178" s="145"/>
      <c r="H178" s="145"/>
      <c r="I178" s="35"/>
      <c r="K178" s="47">
        <f t="shared" si="31"/>
        <v>0</v>
      </c>
      <c r="L178" s="47">
        <f t="shared" si="27"/>
        <v>0</v>
      </c>
      <c r="M178" s="44">
        <f t="shared" si="32"/>
        <v>0</v>
      </c>
      <c r="O178" s="46">
        <f t="shared" si="35"/>
        <v>0</v>
      </c>
      <c r="Q178" s="145"/>
      <c r="R178" s="145"/>
      <c r="S178" s="35"/>
      <c r="U178" s="19">
        <f t="shared" si="33"/>
        <v>0</v>
      </c>
      <c r="V178" s="19">
        <f t="shared" si="29"/>
        <v>0</v>
      </c>
      <c r="W178" s="44">
        <f t="shared" si="34"/>
        <v>0</v>
      </c>
      <c r="Y178" s="41">
        <f t="shared" si="36"/>
        <v>0</v>
      </c>
    </row>
    <row r="179" spans="2:25" x14ac:dyDescent="0.35">
      <c r="B179" s="33"/>
      <c r="C179" s="52"/>
      <c r="D179" s="52"/>
      <c r="E179" s="52"/>
      <c r="G179" s="145"/>
      <c r="H179" s="145"/>
      <c r="I179" s="35"/>
      <c r="K179" s="47">
        <f t="shared" si="31"/>
        <v>0</v>
      </c>
      <c r="L179" s="47">
        <f t="shared" si="27"/>
        <v>0</v>
      </c>
      <c r="M179" s="44">
        <f t="shared" si="32"/>
        <v>0</v>
      </c>
      <c r="O179" s="46">
        <f t="shared" si="35"/>
        <v>0</v>
      </c>
      <c r="Q179" s="145"/>
      <c r="R179" s="145"/>
      <c r="S179" s="35"/>
      <c r="U179" s="19">
        <f t="shared" si="33"/>
        <v>0</v>
      </c>
      <c r="V179" s="19">
        <f t="shared" si="29"/>
        <v>0</v>
      </c>
      <c r="W179" s="44">
        <f t="shared" si="34"/>
        <v>0</v>
      </c>
      <c r="Y179" s="41">
        <f t="shared" si="36"/>
        <v>0</v>
      </c>
    </row>
    <row r="180" spans="2:25" x14ac:dyDescent="0.35">
      <c r="B180" s="33"/>
      <c r="C180" s="52"/>
      <c r="D180" s="52"/>
      <c r="E180" s="52"/>
      <c r="G180" s="145"/>
      <c r="H180" s="145"/>
      <c r="I180" s="35"/>
      <c r="K180" s="47">
        <f t="shared" si="31"/>
        <v>0</v>
      </c>
      <c r="L180" s="47">
        <f t="shared" si="27"/>
        <v>0</v>
      </c>
      <c r="M180" s="44">
        <f t="shared" si="32"/>
        <v>0</v>
      </c>
      <c r="O180" s="46">
        <f t="shared" si="35"/>
        <v>0</v>
      </c>
      <c r="Q180" s="145"/>
      <c r="R180" s="145"/>
      <c r="S180" s="35"/>
      <c r="U180" s="19">
        <f t="shared" si="33"/>
        <v>0</v>
      </c>
      <c r="V180" s="19">
        <f t="shared" si="29"/>
        <v>0</v>
      </c>
      <c r="W180" s="44">
        <f t="shared" si="34"/>
        <v>0</v>
      </c>
      <c r="Y180" s="41">
        <f t="shared" si="36"/>
        <v>0</v>
      </c>
    </row>
    <row r="181" spans="2:25" x14ac:dyDescent="0.35">
      <c r="B181" s="33"/>
      <c r="C181" s="52"/>
      <c r="D181" s="52"/>
      <c r="E181" s="52"/>
      <c r="G181" s="145"/>
      <c r="H181" s="145"/>
      <c r="I181" s="35"/>
      <c r="K181" s="47">
        <f t="shared" si="31"/>
        <v>0</v>
      </c>
      <c r="L181" s="47">
        <f t="shared" si="27"/>
        <v>0</v>
      </c>
      <c r="M181" s="44">
        <f t="shared" si="32"/>
        <v>0</v>
      </c>
      <c r="O181" s="46">
        <f t="shared" si="35"/>
        <v>0</v>
      </c>
      <c r="Q181" s="145"/>
      <c r="R181" s="145"/>
      <c r="S181" s="35"/>
      <c r="U181" s="19">
        <f t="shared" si="33"/>
        <v>0</v>
      </c>
      <c r="V181" s="19">
        <f t="shared" si="29"/>
        <v>0</v>
      </c>
      <c r="W181" s="44">
        <f t="shared" si="34"/>
        <v>0</v>
      </c>
      <c r="Y181" s="41">
        <f t="shared" si="36"/>
        <v>0</v>
      </c>
    </row>
    <row r="182" spans="2:25" x14ac:dyDescent="0.35">
      <c r="B182" s="33"/>
      <c r="C182" s="52"/>
      <c r="D182" s="52"/>
      <c r="E182" s="52"/>
      <c r="G182" s="145"/>
      <c r="H182" s="145"/>
      <c r="I182" s="35"/>
      <c r="K182" s="47">
        <f t="shared" si="31"/>
        <v>0</v>
      </c>
      <c r="L182" s="47">
        <f t="shared" si="27"/>
        <v>0</v>
      </c>
      <c r="M182" s="44">
        <f t="shared" si="32"/>
        <v>0</v>
      </c>
      <c r="O182" s="46">
        <f t="shared" si="35"/>
        <v>0</v>
      </c>
      <c r="Q182" s="145"/>
      <c r="R182" s="145"/>
      <c r="S182" s="35"/>
      <c r="U182" s="19">
        <f t="shared" si="33"/>
        <v>0</v>
      </c>
      <c r="V182" s="19">
        <f t="shared" si="29"/>
        <v>0</v>
      </c>
      <c r="W182" s="44">
        <f t="shared" si="34"/>
        <v>0</v>
      </c>
      <c r="Y182" s="41">
        <f t="shared" si="36"/>
        <v>0</v>
      </c>
    </row>
    <row r="183" spans="2:25" x14ac:dyDescent="0.35">
      <c r="B183" s="33"/>
      <c r="C183" s="52"/>
      <c r="D183" s="52"/>
      <c r="E183" s="52"/>
      <c r="G183" s="145"/>
      <c r="H183" s="145"/>
      <c r="I183" s="35"/>
      <c r="K183" s="47">
        <f t="shared" si="31"/>
        <v>0</v>
      </c>
      <c r="L183" s="47">
        <f t="shared" si="27"/>
        <v>0</v>
      </c>
      <c r="M183" s="44">
        <f t="shared" si="32"/>
        <v>0</v>
      </c>
      <c r="O183" s="46">
        <f t="shared" si="35"/>
        <v>0</v>
      </c>
      <c r="Q183" s="145"/>
      <c r="R183" s="145"/>
      <c r="S183" s="35"/>
      <c r="U183" s="19">
        <f t="shared" si="33"/>
        <v>0</v>
      </c>
      <c r="V183" s="19">
        <f t="shared" si="29"/>
        <v>0</v>
      </c>
      <c r="W183" s="44">
        <f t="shared" si="34"/>
        <v>0</v>
      </c>
      <c r="Y183" s="41">
        <f t="shared" si="36"/>
        <v>0</v>
      </c>
    </row>
    <row r="184" spans="2:25" x14ac:dyDescent="0.35">
      <c r="B184" s="33"/>
      <c r="C184" s="52"/>
      <c r="D184" s="52"/>
      <c r="E184" s="52"/>
      <c r="G184" s="145"/>
      <c r="H184" s="145"/>
      <c r="I184" s="35"/>
      <c r="K184" s="47">
        <f t="shared" si="31"/>
        <v>0</v>
      </c>
      <c r="L184" s="47">
        <f t="shared" si="27"/>
        <v>0</v>
      </c>
      <c r="M184" s="44">
        <f t="shared" si="32"/>
        <v>0</v>
      </c>
      <c r="O184" s="46">
        <f t="shared" si="35"/>
        <v>0</v>
      </c>
      <c r="Q184" s="145"/>
      <c r="R184" s="145"/>
      <c r="S184" s="35"/>
      <c r="U184" s="19">
        <f t="shared" si="33"/>
        <v>0</v>
      </c>
      <c r="V184" s="19">
        <f t="shared" si="29"/>
        <v>0</v>
      </c>
      <c r="W184" s="44">
        <f t="shared" si="34"/>
        <v>0</v>
      </c>
      <c r="Y184" s="41">
        <f t="shared" si="36"/>
        <v>0</v>
      </c>
    </row>
    <row r="185" spans="2:25" x14ac:dyDescent="0.35">
      <c r="B185" s="33"/>
      <c r="C185" s="52"/>
      <c r="D185" s="52"/>
      <c r="E185" s="52"/>
      <c r="G185" s="145"/>
      <c r="H185" s="145"/>
      <c r="I185" s="35"/>
      <c r="K185" s="47">
        <f t="shared" si="31"/>
        <v>0</v>
      </c>
      <c r="L185" s="47">
        <f t="shared" si="27"/>
        <v>0</v>
      </c>
      <c r="M185" s="44">
        <f t="shared" si="32"/>
        <v>0</v>
      </c>
      <c r="O185" s="46">
        <f t="shared" si="35"/>
        <v>0</v>
      </c>
      <c r="Q185" s="145"/>
      <c r="R185" s="145"/>
      <c r="S185" s="35"/>
      <c r="U185" s="19">
        <f t="shared" si="33"/>
        <v>0</v>
      </c>
      <c r="V185" s="19">
        <f t="shared" si="29"/>
        <v>0</v>
      </c>
      <c r="W185" s="44">
        <f t="shared" si="34"/>
        <v>0</v>
      </c>
      <c r="Y185" s="41">
        <f t="shared" si="36"/>
        <v>0</v>
      </c>
    </row>
    <row r="186" spans="2:25" x14ac:dyDescent="0.35">
      <c r="B186" s="33"/>
      <c r="C186" s="52"/>
      <c r="D186" s="52"/>
      <c r="E186" s="52"/>
      <c r="G186" s="145"/>
      <c r="H186" s="145"/>
      <c r="I186" s="35"/>
      <c r="K186" s="47">
        <f t="shared" si="31"/>
        <v>0</v>
      </c>
      <c r="L186" s="47">
        <f t="shared" si="27"/>
        <v>0</v>
      </c>
      <c r="M186" s="44">
        <f t="shared" si="32"/>
        <v>0</v>
      </c>
      <c r="O186" s="46">
        <f t="shared" si="35"/>
        <v>0</v>
      </c>
      <c r="Q186" s="145"/>
      <c r="R186" s="145"/>
      <c r="S186" s="35"/>
      <c r="U186" s="19">
        <f t="shared" si="33"/>
        <v>0</v>
      </c>
      <c r="V186" s="19">
        <f t="shared" si="29"/>
        <v>0</v>
      </c>
      <c r="W186" s="44">
        <f t="shared" si="34"/>
        <v>0</v>
      </c>
      <c r="Y186" s="41">
        <f t="shared" si="36"/>
        <v>0</v>
      </c>
    </row>
    <row r="187" spans="2:25" x14ac:dyDescent="0.35">
      <c r="B187" s="33"/>
      <c r="C187" s="52"/>
      <c r="D187" s="52"/>
      <c r="E187" s="52"/>
      <c r="G187" s="145"/>
      <c r="H187" s="145"/>
      <c r="I187" s="35"/>
      <c r="K187" s="47">
        <f t="shared" si="31"/>
        <v>0</v>
      </c>
      <c r="L187" s="47">
        <f t="shared" si="27"/>
        <v>0</v>
      </c>
      <c r="M187" s="44">
        <f t="shared" si="32"/>
        <v>0</v>
      </c>
      <c r="O187" s="46">
        <f t="shared" si="35"/>
        <v>0</v>
      </c>
      <c r="Q187" s="145"/>
      <c r="R187" s="145"/>
      <c r="S187" s="35"/>
      <c r="U187" s="19">
        <f t="shared" si="33"/>
        <v>0</v>
      </c>
      <c r="V187" s="19">
        <f t="shared" si="29"/>
        <v>0</v>
      </c>
      <c r="W187" s="44">
        <f t="shared" si="34"/>
        <v>0</v>
      </c>
      <c r="Y187" s="41">
        <f t="shared" si="36"/>
        <v>0</v>
      </c>
    </row>
    <row r="188" spans="2:25" x14ac:dyDescent="0.35">
      <c r="B188" s="33"/>
      <c r="C188" s="52"/>
      <c r="D188" s="52"/>
      <c r="E188" s="52"/>
      <c r="G188" s="145"/>
      <c r="H188" s="145"/>
      <c r="I188" s="35"/>
      <c r="K188" s="47">
        <f t="shared" si="31"/>
        <v>0</v>
      </c>
      <c r="L188" s="47">
        <f t="shared" si="27"/>
        <v>0</v>
      </c>
      <c r="M188" s="44">
        <f t="shared" si="32"/>
        <v>0</v>
      </c>
      <c r="O188" s="46">
        <f t="shared" si="35"/>
        <v>0</v>
      </c>
      <c r="Q188" s="145"/>
      <c r="R188" s="145"/>
      <c r="S188" s="35"/>
      <c r="U188" s="19">
        <f t="shared" si="33"/>
        <v>0</v>
      </c>
      <c r="V188" s="19">
        <f t="shared" si="29"/>
        <v>0</v>
      </c>
      <c r="W188" s="44">
        <f t="shared" si="34"/>
        <v>0</v>
      </c>
      <c r="Y188" s="41">
        <f t="shared" si="36"/>
        <v>0</v>
      </c>
    </row>
    <row r="189" spans="2:25" x14ac:dyDescent="0.35">
      <c r="B189" s="33"/>
      <c r="C189" s="52"/>
      <c r="D189" s="52"/>
      <c r="E189" s="52"/>
      <c r="G189" s="145"/>
      <c r="H189" s="145"/>
      <c r="I189" s="35"/>
      <c r="K189" s="47">
        <f t="shared" si="31"/>
        <v>0</v>
      </c>
      <c r="L189" s="47">
        <f t="shared" si="27"/>
        <v>0</v>
      </c>
      <c r="M189" s="44">
        <f t="shared" si="32"/>
        <v>0</v>
      </c>
      <c r="O189" s="46">
        <f t="shared" si="35"/>
        <v>0</v>
      </c>
      <c r="Q189" s="145"/>
      <c r="R189" s="145"/>
      <c r="S189" s="35"/>
      <c r="U189" s="19">
        <f t="shared" si="33"/>
        <v>0</v>
      </c>
      <c r="V189" s="19">
        <f t="shared" si="29"/>
        <v>0</v>
      </c>
      <c r="W189" s="44">
        <f t="shared" si="34"/>
        <v>0</v>
      </c>
      <c r="Y189" s="41">
        <f t="shared" si="36"/>
        <v>0</v>
      </c>
    </row>
    <row r="190" spans="2:25" x14ac:dyDescent="0.35">
      <c r="B190" s="33"/>
      <c r="C190" s="52"/>
      <c r="D190" s="52"/>
      <c r="E190" s="52"/>
      <c r="G190" s="145"/>
      <c r="H190" s="145"/>
      <c r="I190" s="35"/>
      <c r="K190" s="47">
        <f t="shared" si="31"/>
        <v>0</v>
      </c>
      <c r="L190" s="47">
        <f t="shared" si="27"/>
        <v>0</v>
      </c>
      <c r="M190" s="44">
        <f t="shared" si="32"/>
        <v>0</v>
      </c>
      <c r="O190" s="46">
        <f t="shared" si="35"/>
        <v>0</v>
      </c>
      <c r="Q190" s="145"/>
      <c r="R190" s="145"/>
      <c r="S190" s="35"/>
      <c r="U190" s="19">
        <f t="shared" si="33"/>
        <v>0</v>
      </c>
      <c r="V190" s="19">
        <f t="shared" si="29"/>
        <v>0</v>
      </c>
      <c r="W190" s="44">
        <f t="shared" si="34"/>
        <v>0</v>
      </c>
      <c r="Y190" s="41">
        <f t="shared" si="36"/>
        <v>0</v>
      </c>
    </row>
    <row r="191" spans="2:25" x14ac:dyDescent="0.35">
      <c r="B191" s="33"/>
      <c r="C191" s="52"/>
      <c r="D191" s="52"/>
      <c r="E191" s="52"/>
      <c r="G191" s="145"/>
      <c r="H191" s="145"/>
      <c r="I191" s="35"/>
      <c r="K191" s="47">
        <f t="shared" si="31"/>
        <v>0</v>
      </c>
      <c r="L191" s="47">
        <f t="shared" si="27"/>
        <v>0</v>
      </c>
      <c r="M191" s="44">
        <f t="shared" si="32"/>
        <v>0</v>
      </c>
      <c r="O191" s="46">
        <f t="shared" si="35"/>
        <v>0</v>
      </c>
      <c r="Q191" s="145"/>
      <c r="R191" s="145"/>
      <c r="S191" s="35"/>
      <c r="U191" s="19">
        <f t="shared" si="33"/>
        <v>0</v>
      </c>
      <c r="V191" s="19">
        <f t="shared" si="29"/>
        <v>0</v>
      </c>
      <c r="W191" s="44">
        <f t="shared" si="34"/>
        <v>0</v>
      </c>
      <c r="Y191" s="41">
        <f t="shared" si="36"/>
        <v>0</v>
      </c>
    </row>
    <row r="192" spans="2:25" x14ac:dyDescent="0.35">
      <c r="B192" s="33"/>
      <c r="C192" s="52"/>
      <c r="D192" s="52"/>
      <c r="E192" s="52"/>
      <c r="G192" s="145"/>
      <c r="H192" s="145"/>
      <c r="I192" s="35"/>
      <c r="K192" s="47">
        <f t="shared" si="31"/>
        <v>0</v>
      </c>
      <c r="L192" s="47">
        <f t="shared" si="27"/>
        <v>0</v>
      </c>
      <c r="M192" s="44">
        <f t="shared" si="32"/>
        <v>0</v>
      </c>
      <c r="O192" s="46">
        <f t="shared" si="35"/>
        <v>0</v>
      </c>
      <c r="Q192" s="145"/>
      <c r="R192" s="145"/>
      <c r="S192" s="35"/>
      <c r="U192" s="19">
        <f t="shared" si="33"/>
        <v>0</v>
      </c>
      <c r="V192" s="19">
        <f t="shared" si="29"/>
        <v>0</v>
      </c>
      <c r="W192" s="44">
        <f t="shared" si="34"/>
        <v>0</v>
      </c>
      <c r="Y192" s="41">
        <f t="shared" si="36"/>
        <v>0</v>
      </c>
    </row>
    <row r="193" spans="2:25" x14ac:dyDescent="0.35">
      <c r="B193" s="33"/>
      <c r="C193" s="52"/>
      <c r="D193" s="52"/>
      <c r="E193" s="52"/>
      <c r="G193" s="145"/>
      <c r="H193" s="145"/>
      <c r="I193" s="35"/>
      <c r="K193" s="47">
        <f t="shared" si="31"/>
        <v>0</v>
      </c>
      <c r="L193" s="47">
        <f t="shared" si="27"/>
        <v>0</v>
      </c>
      <c r="M193" s="44">
        <f t="shared" si="32"/>
        <v>0</v>
      </c>
      <c r="O193" s="46">
        <f t="shared" si="35"/>
        <v>0</v>
      </c>
      <c r="Q193" s="145"/>
      <c r="R193" s="145"/>
      <c r="S193" s="35"/>
      <c r="U193" s="19">
        <f t="shared" si="33"/>
        <v>0</v>
      </c>
      <c r="V193" s="19">
        <f t="shared" si="29"/>
        <v>0</v>
      </c>
      <c r="W193" s="44">
        <f t="shared" si="34"/>
        <v>0</v>
      </c>
      <c r="Y193" s="41">
        <f t="shared" si="36"/>
        <v>0</v>
      </c>
    </row>
    <row r="194" spans="2:25" x14ac:dyDescent="0.35">
      <c r="B194" s="33"/>
      <c r="C194" s="52"/>
      <c r="D194" s="52"/>
      <c r="E194" s="52"/>
      <c r="G194" s="145"/>
      <c r="H194" s="145"/>
      <c r="I194" s="35"/>
      <c r="K194" s="47">
        <f t="shared" si="31"/>
        <v>0</v>
      </c>
      <c r="L194" s="47">
        <f t="shared" si="27"/>
        <v>0</v>
      </c>
      <c r="M194" s="44">
        <f t="shared" si="32"/>
        <v>0</v>
      </c>
      <c r="O194" s="46">
        <f t="shared" si="35"/>
        <v>0</v>
      </c>
      <c r="Q194" s="145"/>
      <c r="R194" s="145"/>
      <c r="S194" s="35"/>
      <c r="U194" s="19">
        <f t="shared" si="33"/>
        <v>0</v>
      </c>
      <c r="V194" s="19">
        <f t="shared" si="29"/>
        <v>0</v>
      </c>
      <c r="W194" s="44">
        <f t="shared" si="34"/>
        <v>0</v>
      </c>
      <c r="Y194" s="41">
        <f t="shared" si="36"/>
        <v>0</v>
      </c>
    </row>
    <row r="195" spans="2:25" x14ac:dyDescent="0.35">
      <c r="B195" s="33"/>
      <c r="C195" s="52"/>
      <c r="D195" s="52"/>
      <c r="E195" s="52"/>
      <c r="G195" s="145"/>
      <c r="H195" s="145"/>
      <c r="I195" s="35"/>
      <c r="K195" s="47">
        <f t="shared" si="31"/>
        <v>0</v>
      </c>
      <c r="L195" s="47">
        <f t="shared" si="27"/>
        <v>0</v>
      </c>
      <c r="M195" s="44">
        <f t="shared" si="32"/>
        <v>0</v>
      </c>
      <c r="O195" s="46">
        <f t="shared" si="35"/>
        <v>0</v>
      </c>
      <c r="Q195" s="145"/>
      <c r="R195" s="145"/>
      <c r="S195" s="35"/>
      <c r="U195" s="19">
        <f t="shared" si="33"/>
        <v>0</v>
      </c>
      <c r="V195" s="19">
        <f t="shared" si="29"/>
        <v>0</v>
      </c>
      <c r="W195" s="44">
        <f t="shared" si="34"/>
        <v>0</v>
      </c>
      <c r="Y195" s="41">
        <f t="shared" si="36"/>
        <v>0</v>
      </c>
    </row>
    <row r="196" spans="2:25" x14ac:dyDescent="0.35">
      <c r="B196" s="33"/>
      <c r="C196" s="52"/>
      <c r="D196" s="52"/>
      <c r="E196" s="52"/>
      <c r="G196" s="145"/>
      <c r="H196" s="145"/>
      <c r="I196" s="35"/>
      <c r="K196" s="47">
        <f t="shared" si="31"/>
        <v>0</v>
      </c>
      <c r="L196" s="47">
        <f t="shared" si="27"/>
        <v>0</v>
      </c>
      <c r="M196" s="44">
        <f t="shared" si="32"/>
        <v>0</v>
      </c>
      <c r="O196" s="46">
        <f t="shared" si="35"/>
        <v>0</v>
      </c>
      <c r="Q196" s="145"/>
      <c r="R196" s="145"/>
      <c r="S196" s="35"/>
      <c r="U196" s="19">
        <f t="shared" si="33"/>
        <v>0</v>
      </c>
      <c r="V196" s="19">
        <f t="shared" si="29"/>
        <v>0</v>
      </c>
      <c r="W196" s="44">
        <f t="shared" si="34"/>
        <v>0</v>
      </c>
      <c r="Y196" s="41">
        <f t="shared" si="36"/>
        <v>0</v>
      </c>
    </row>
    <row r="197" spans="2:25" x14ac:dyDescent="0.35">
      <c r="B197" s="33"/>
      <c r="C197" s="52"/>
      <c r="D197" s="52"/>
      <c r="E197" s="52"/>
      <c r="G197" s="145"/>
      <c r="H197" s="145"/>
      <c r="I197" s="35"/>
      <c r="K197" s="47">
        <f t="shared" si="31"/>
        <v>0</v>
      </c>
      <c r="L197" s="47">
        <f t="shared" si="27"/>
        <v>0</v>
      </c>
      <c r="M197" s="44">
        <f t="shared" si="32"/>
        <v>0</v>
      </c>
      <c r="O197" s="46">
        <f t="shared" si="35"/>
        <v>0</v>
      </c>
      <c r="Q197" s="145"/>
      <c r="R197" s="145"/>
      <c r="S197" s="35"/>
      <c r="U197" s="19">
        <f t="shared" si="33"/>
        <v>0</v>
      </c>
      <c r="V197" s="19">
        <f t="shared" si="29"/>
        <v>0</v>
      </c>
      <c r="W197" s="44">
        <f t="shared" si="34"/>
        <v>0</v>
      </c>
      <c r="Y197" s="41">
        <f t="shared" si="36"/>
        <v>0</v>
      </c>
    </row>
    <row r="198" spans="2:25" x14ac:dyDescent="0.35">
      <c r="B198" s="33"/>
      <c r="C198" s="52"/>
      <c r="D198" s="52"/>
      <c r="E198" s="52"/>
      <c r="G198" s="145"/>
      <c r="H198" s="145"/>
      <c r="I198" s="35"/>
      <c r="K198" s="47">
        <f t="shared" si="31"/>
        <v>0</v>
      </c>
      <c r="L198" s="47">
        <f t="shared" si="27"/>
        <v>0</v>
      </c>
      <c r="M198" s="44">
        <f t="shared" si="32"/>
        <v>0</v>
      </c>
      <c r="O198" s="46">
        <f t="shared" si="35"/>
        <v>0</v>
      </c>
      <c r="Q198" s="145"/>
      <c r="R198" s="145"/>
      <c r="S198" s="35"/>
      <c r="U198" s="19">
        <f t="shared" si="33"/>
        <v>0</v>
      </c>
      <c r="V198" s="19">
        <f t="shared" si="29"/>
        <v>0</v>
      </c>
      <c r="W198" s="44">
        <f t="shared" si="34"/>
        <v>0</v>
      </c>
      <c r="Y198" s="41">
        <f t="shared" si="36"/>
        <v>0</v>
      </c>
    </row>
    <row r="199" spans="2:25" x14ac:dyDescent="0.35">
      <c r="B199" s="33"/>
      <c r="C199" s="52"/>
      <c r="D199" s="52"/>
      <c r="E199" s="52"/>
      <c r="G199" s="145"/>
      <c r="H199" s="145"/>
      <c r="I199" s="35"/>
      <c r="K199" s="47">
        <f t="shared" si="31"/>
        <v>0</v>
      </c>
      <c r="L199" s="47">
        <f t="shared" ref="L199:L201" si="37">H199/22</f>
        <v>0</v>
      </c>
      <c r="M199" s="44">
        <f t="shared" si="32"/>
        <v>0</v>
      </c>
      <c r="O199" s="46">
        <f t="shared" si="35"/>
        <v>0</v>
      </c>
      <c r="Q199" s="145"/>
      <c r="R199" s="145"/>
      <c r="S199" s="35"/>
      <c r="U199" s="19">
        <f t="shared" si="33"/>
        <v>0</v>
      </c>
      <c r="V199" s="19">
        <f t="shared" ref="V199:V201" si="38">R199/22</f>
        <v>0</v>
      </c>
      <c r="W199" s="44">
        <f t="shared" si="34"/>
        <v>0</v>
      </c>
      <c r="Y199" s="41">
        <f t="shared" si="36"/>
        <v>0</v>
      </c>
    </row>
    <row r="200" spans="2:25" x14ac:dyDescent="0.35">
      <c r="B200" s="33"/>
      <c r="C200" s="52"/>
      <c r="D200" s="52"/>
      <c r="E200" s="52"/>
      <c r="G200" s="145"/>
      <c r="H200" s="145"/>
      <c r="I200" s="35"/>
      <c r="K200" s="47">
        <f t="shared" ref="K200:K201" si="39">G200/22</f>
        <v>0</v>
      </c>
      <c r="L200" s="47">
        <f t="shared" si="37"/>
        <v>0</v>
      </c>
      <c r="M200" s="44">
        <f t="shared" ref="M200:M201" si="40">I200</f>
        <v>0</v>
      </c>
      <c r="O200" s="46">
        <f t="shared" si="35"/>
        <v>0</v>
      </c>
      <c r="Q200" s="145"/>
      <c r="R200" s="145"/>
      <c r="S200" s="35"/>
      <c r="U200" s="19">
        <f t="shared" ref="U200:U201" si="41">Q200/22</f>
        <v>0</v>
      </c>
      <c r="V200" s="19">
        <f t="shared" si="38"/>
        <v>0</v>
      </c>
      <c r="W200" s="44">
        <f t="shared" ref="W200:W201" si="42">S200</f>
        <v>0</v>
      </c>
      <c r="Y200" s="41">
        <f t="shared" si="36"/>
        <v>0</v>
      </c>
    </row>
    <row r="201" spans="2:25" x14ac:dyDescent="0.35">
      <c r="B201" s="33"/>
      <c r="C201" s="52"/>
      <c r="D201" s="52"/>
      <c r="E201" s="52"/>
      <c r="G201" s="145"/>
      <c r="H201" s="145"/>
      <c r="I201" s="35"/>
      <c r="K201" s="47">
        <f t="shared" si="39"/>
        <v>0</v>
      </c>
      <c r="L201" s="47">
        <f t="shared" si="37"/>
        <v>0</v>
      </c>
      <c r="M201" s="44">
        <f t="shared" si="40"/>
        <v>0</v>
      </c>
      <c r="O201" s="46">
        <f t="shared" si="35"/>
        <v>0</v>
      </c>
      <c r="Q201" s="145"/>
      <c r="R201" s="145"/>
      <c r="S201" s="35"/>
      <c r="U201" s="19">
        <f t="shared" si="41"/>
        <v>0</v>
      </c>
      <c r="V201" s="19">
        <f t="shared" si="38"/>
        <v>0</v>
      </c>
      <c r="W201" s="44">
        <f t="shared" si="42"/>
        <v>0</v>
      </c>
      <c r="Y201" s="41">
        <f t="shared" si="36"/>
        <v>0</v>
      </c>
    </row>
    <row r="202" spans="2:25" s="37" customFormat="1" hidden="1" x14ac:dyDescent="0.35">
      <c r="G202" s="146"/>
      <c r="H202" s="146"/>
      <c r="Q202" s="146"/>
      <c r="R202" s="146"/>
    </row>
  </sheetData>
  <autoFilter ref="A5:Y105" xr:uid="{2C057C14-7E4F-4C1A-AD04-FB1E73F84FC4}"/>
  <mergeCells count="11">
    <mergeCell ref="A3:A5"/>
    <mergeCell ref="B3:B5"/>
    <mergeCell ref="C3:C5"/>
    <mergeCell ref="D3:D5"/>
    <mergeCell ref="E3:E5"/>
    <mergeCell ref="Q3:W3"/>
    <mergeCell ref="Q4:S4"/>
    <mergeCell ref="U4:W4"/>
    <mergeCell ref="G4:I4"/>
    <mergeCell ref="G3:M3"/>
    <mergeCell ref="K4:M4"/>
  </mergeCells>
  <dataValidations count="1">
    <dataValidation type="list" allowBlank="1" showInputMessage="1" showErrorMessage="1" sqref="W6:W201 S6:S201 M6:M201 I6:I201" xr:uid="{84A3B1FA-B8B7-4752-8500-8D1D51A67B8B}">
      <formula1>"USD,VND"</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C70CE-D425-449C-A31A-245D05EB1FA0}">
  <sheetPr>
    <tabColor theme="5" tint="0.79998168889431442"/>
  </sheetPr>
  <dimension ref="A1:E200"/>
  <sheetViews>
    <sheetView workbookViewId="0">
      <selection activeCell="L78" sqref="L78"/>
    </sheetView>
  </sheetViews>
  <sheetFormatPr defaultRowHeight="14.5" zeroHeight="1" x14ac:dyDescent="0.35"/>
  <cols>
    <col min="1" max="1" width="12.5" bestFit="1" customWidth="1"/>
    <col min="2" max="2" width="16.25" bestFit="1" customWidth="1"/>
    <col min="3" max="3" width="8.75" bestFit="1" customWidth="1"/>
    <col min="4" max="4" width="9.5" bestFit="1" customWidth="1"/>
    <col min="5" max="5" width="20.75" bestFit="1" customWidth="1"/>
  </cols>
  <sheetData>
    <row r="1" spans="1:5" s="1" customFormat="1" x14ac:dyDescent="0.35">
      <c r="A1" s="1" t="s">
        <v>246</v>
      </c>
      <c r="B1" s="1" t="s">
        <v>247</v>
      </c>
      <c r="C1" s="1" t="s">
        <v>330</v>
      </c>
      <c r="D1" s="1" t="s">
        <v>248</v>
      </c>
      <c r="E1" s="45" t="s">
        <v>331</v>
      </c>
    </row>
    <row r="2" spans="1:5" x14ac:dyDescent="0.35">
      <c r="A2" s="7" t="e" cm="1">
        <f t="array" ref="A2">_xlfn._xlws.SORT(_xlfn.UNIQUE(#REF!),,-1,FALSE)</f>
        <v>#REF!</v>
      </c>
      <c r="B2" s="7"/>
      <c r="C2" s="7"/>
      <c r="D2" s="7"/>
      <c r="E2" s="54" t="e" cm="1">
        <f t="array" ref="E2">IF(A2&lt;&gt;"",OR(_xlfn.TEXTJOIN("",FALSE,A2:D2)=ĐGVC!$B$6:$B$201&amp;ĐGVC!$C$6:$C$201&amp;ĐGVC!$D$6:$D$201&amp;ĐGVC!$E$6:$E$201),"")</f>
        <v>#REF!</v>
      </c>
    </row>
    <row r="3" spans="1:5" x14ac:dyDescent="0.35">
      <c r="A3" s="7"/>
      <c r="B3" s="7"/>
      <c r="C3" s="7"/>
      <c r="D3" s="7"/>
      <c r="E3" s="54" t="str" cm="1">
        <f t="array" ref="E3">IF(A3&lt;&gt;"",OR(_xlfn.TEXTJOIN("",FALSE,A3:D3)=ĐGVC!$B$6:$B$201&amp;ĐGVC!$C$6:$C$201&amp;ĐGVC!$D$6:$D$201&amp;ĐGVC!$E$6:$E$201),"")</f>
        <v/>
      </c>
    </row>
    <row r="4" spans="1:5" x14ac:dyDescent="0.35">
      <c r="A4" s="7"/>
      <c r="B4" s="7"/>
      <c r="C4" s="7"/>
      <c r="D4" s="7"/>
      <c r="E4" s="54" t="str" cm="1">
        <f t="array" ref="E4">IF(A4&lt;&gt;"",OR(_xlfn.TEXTJOIN("",FALSE,A4:D4)=ĐGVC!$B$6:$B$201&amp;ĐGVC!$C$6:$C$201&amp;ĐGVC!$D$6:$D$201&amp;ĐGVC!$E$6:$E$201),"")</f>
        <v/>
      </c>
    </row>
    <row r="5" spans="1:5" x14ac:dyDescent="0.35">
      <c r="A5" s="7"/>
      <c r="B5" s="7"/>
      <c r="C5" s="7"/>
      <c r="D5" s="7"/>
      <c r="E5" s="54" t="str" cm="1">
        <f t="array" ref="E5">IF(A5&lt;&gt;"",OR(_xlfn.TEXTJOIN("",FALSE,A5:D5)=ĐGVC!$B$6:$B$201&amp;ĐGVC!$C$6:$C$201&amp;ĐGVC!$D$6:$D$201&amp;ĐGVC!$E$6:$E$201),"")</f>
        <v/>
      </c>
    </row>
    <row r="6" spans="1:5" x14ac:dyDescent="0.35">
      <c r="A6" s="7"/>
      <c r="B6" s="7"/>
      <c r="C6" s="7"/>
      <c r="D6" s="7"/>
      <c r="E6" s="54" t="str" cm="1">
        <f t="array" ref="E6">IF(A6&lt;&gt;"",OR(_xlfn.TEXTJOIN("",FALSE,A6:D6)=ĐGVC!$B$6:$B$201&amp;ĐGVC!$C$6:$C$201&amp;ĐGVC!$D$6:$D$201&amp;ĐGVC!$E$6:$E$201),"")</f>
        <v/>
      </c>
    </row>
    <row r="7" spans="1:5" ht="14.25" customHeight="1" x14ac:dyDescent="0.35">
      <c r="A7" s="7"/>
      <c r="B7" s="7"/>
      <c r="C7" s="7"/>
      <c r="D7" s="7"/>
      <c r="E7" s="54" t="str" cm="1">
        <f t="array" ref="E7">IF(A7&lt;&gt;"",OR(_xlfn.TEXTJOIN("",FALSE,A7:D7)=ĐGVC!$B$6:$B$201&amp;ĐGVC!$C$6:$C$201&amp;ĐGVC!$D$6:$D$201&amp;ĐGVC!$E$6:$E$201),"")</f>
        <v/>
      </c>
    </row>
    <row r="8" spans="1:5" x14ac:dyDescent="0.35">
      <c r="A8" s="7"/>
      <c r="B8" s="7"/>
      <c r="C8" s="7"/>
      <c r="D8" s="7"/>
      <c r="E8" s="54" t="str" cm="1">
        <f t="array" ref="E8">IF(A8&lt;&gt;"",OR(_xlfn.TEXTJOIN("",FALSE,A8:D8)=ĐGVC!$B$6:$B$201&amp;ĐGVC!$C$6:$C$201&amp;ĐGVC!$D$6:$D$201&amp;ĐGVC!$E$6:$E$201),"")</f>
        <v/>
      </c>
    </row>
    <row r="9" spans="1:5" x14ac:dyDescent="0.35">
      <c r="A9" s="7"/>
      <c r="B9" s="7"/>
      <c r="C9" s="7"/>
      <c r="D9" s="7"/>
      <c r="E9" s="54" t="str" cm="1">
        <f t="array" ref="E9">IF(A9&lt;&gt;"",OR(_xlfn.TEXTJOIN("",FALSE,A9:D9)=ĐGVC!$B$6:$B$201&amp;ĐGVC!$C$6:$C$201&amp;ĐGVC!$D$6:$D$201&amp;ĐGVC!$E$6:$E$201),"")</f>
        <v/>
      </c>
    </row>
    <row r="10" spans="1:5" x14ac:dyDescent="0.35">
      <c r="A10" s="7"/>
      <c r="B10" s="7"/>
      <c r="C10" s="7"/>
      <c r="D10" s="7"/>
      <c r="E10" s="54" t="str" cm="1">
        <f t="array" ref="E10">IF(A10&lt;&gt;"",OR(_xlfn.TEXTJOIN("",FALSE,A10:D10)=ĐGVC!$B$6:$B$201&amp;ĐGVC!$C$6:$C$201&amp;ĐGVC!$D$6:$D$201&amp;ĐGVC!$E$6:$E$201),"")</f>
        <v/>
      </c>
    </row>
    <row r="11" spans="1:5" x14ac:dyDescent="0.35">
      <c r="A11" s="7"/>
      <c r="B11" s="7"/>
      <c r="C11" s="7"/>
      <c r="D11" s="7"/>
      <c r="E11" s="54" t="str" cm="1">
        <f t="array" ref="E11">IF(A11&lt;&gt;"",OR(_xlfn.TEXTJOIN("",FALSE,A11:D11)=ĐGVC!$B$6:$B$201&amp;ĐGVC!$C$6:$C$201&amp;ĐGVC!$D$6:$D$201&amp;ĐGVC!$E$6:$E$201),"")</f>
        <v/>
      </c>
    </row>
    <row r="12" spans="1:5" x14ac:dyDescent="0.35">
      <c r="A12" s="7"/>
      <c r="B12" s="7"/>
      <c r="C12" s="7"/>
      <c r="D12" s="7"/>
      <c r="E12" s="54" t="str" cm="1">
        <f t="array" ref="E12">IF(A12&lt;&gt;"",OR(_xlfn.TEXTJOIN("",FALSE,A12:D12)=ĐGVC!$B$6:$B$201&amp;ĐGVC!$C$6:$C$201&amp;ĐGVC!$D$6:$D$201&amp;ĐGVC!$E$6:$E$201),"")</f>
        <v/>
      </c>
    </row>
    <row r="13" spans="1:5" x14ac:dyDescent="0.35">
      <c r="A13" s="7"/>
      <c r="B13" s="7"/>
      <c r="C13" s="7"/>
      <c r="D13" s="7"/>
      <c r="E13" s="54" t="str" cm="1">
        <f t="array" ref="E13">IF(A13&lt;&gt;"",OR(_xlfn.TEXTJOIN("",FALSE,A13:D13)=ĐGVC!$B$6:$B$201&amp;ĐGVC!$C$6:$C$201&amp;ĐGVC!$D$6:$D$201&amp;ĐGVC!$E$6:$E$201),"")</f>
        <v/>
      </c>
    </row>
    <row r="14" spans="1:5" x14ac:dyDescent="0.35">
      <c r="A14" s="7"/>
      <c r="B14" s="7"/>
      <c r="C14" s="7"/>
      <c r="D14" s="7"/>
      <c r="E14" s="54" t="str" cm="1">
        <f t="array" ref="E14">IF(A14&lt;&gt;"",OR(_xlfn.TEXTJOIN("",FALSE,A14:D14)=ĐGVC!$B$6:$B$201&amp;ĐGVC!$C$6:$C$201&amp;ĐGVC!$D$6:$D$201&amp;ĐGVC!$E$6:$E$201),"")</f>
        <v/>
      </c>
    </row>
    <row r="15" spans="1:5" x14ac:dyDescent="0.35">
      <c r="A15" s="7"/>
      <c r="B15" s="7"/>
      <c r="C15" s="7"/>
      <c r="D15" s="7"/>
      <c r="E15" s="54" t="str" cm="1">
        <f t="array" ref="E15">IF(A15&lt;&gt;"",OR(_xlfn.TEXTJOIN("",FALSE,A15:D15)=ĐGVC!$B$6:$B$201&amp;ĐGVC!$C$6:$C$201&amp;ĐGVC!$D$6:$D$201&amp;ĐGVC!$E$6:$E$201),"")</f>
        <v/>
      </c>
    </row>
    <row r="16" spans="1:5" x14ac:dyDescent="0.35">
      <c r="A16" s="7"/>
      <c r="B16" s="7"/>
      <c r="C16" s="7"/>
      <c r="D16" s="7"/>
      <c r="E16" s="54" t="str" cm="1">
        <f t="array" ref="E16">IF(A16&lt;&gt;"",OR(_xlfn.TEXTJOIN("",FALSE,A16:D16)=ĐGVC!$B$6:$B$201&amp;ĐGVC!$C$6:$C$201&amp;ĐGVC!$D$6:$D$201&amp;ĐGVC!$E$6:$E$201),"")</f>
        <v/>
      </c>
    </row>
    <row r="17" spans="1:5" x14ac:dyDescent="0.35">
      <c r="A17" s="7"/>
      <c r="B17" s="7"/>
      <c r="C17" s="7"/>
      <c r="D17" s="7"/>
      <c r="E17" s="54" t="str" cm="1">
        <f t="array" ref="E17">IF(A17&lt;&gt;"",OR(_xlfn.TEXTJOIN("",FALSE,A17:D17)=ĐGVC!$B$6:$B$201&amp;ĐGVC!$C$6:$C$201&amp;ĐGVC!$D$6:$D$201&amp;ĐGVC!$E$6:$E$201),"")</f>
        <v/>
      </c>
    </row>
    <row r="18" spans="1:5" x14ac:dyDescent="0.35">
      <c r="A18" s="7"/>
      <c r="B18" s="7"/>
      <c r="C18" s="7"/>
      <c r="D18" s="7"/>
      <c r="E18" s="54" t="str" cm="1">
        <f t="array" ref="E18">IF(A18&lt;&gt;"",OR(_xlfn.TEXTJOIN("",FALSE,A18:D18)=ĐGVC!$B$6:$B$201&amp;ĐGVC!$C$6:$C$201&amp;ĐGVC!$D$6:$D$201&amp;ĐGVC!$E$6:$E$201),"")</f>
        <v/>
      </c>
    </row>
    <row r="19" spans="1:5" x14ac:dyDescent="0.35">
      <c r="A19" s="7"/>
      <c r="B19" s="7"/>
      <c r="C19" s="7"/>
      <c r="D19" s="7"/>
      <c r="E19" s="54" t="str" cm="1">
        <f t="array" ref="E19">IF(A19&lt;&gt;"",OR(_xlfn.TEXTJOIN("",FALSE,A19:D19)=ĐGVC!$B$6:$B$201&amp;ĐGVC!$C$6:$C$201&amp;ĐGVC!$D$6:$D$201&amp;ĐGVC!$E$6:$E$201),"")</f>
        <v/>
      </c>
    </row>
    <row r="20" spans="1:5" x14ac:dyDescent="0.35">
      <c r="A20" s="7"/>
      <c r="B20" s="7"/>
      <c r="C20" s="7"/>
      <c r="D20" s="7"/>
      <c r="E20" s="54" t="str" cm="1">
        <f t="array" ref="E20">IF(A20&lt;&gt;"",OR(_xlfn.TEXTJOIN("",FALSE,A20:D20)=ĐGVC!$B$6:$B$201&amp;ĐGVC!$C$6:$C$201&amp;ĐGVC!$D$6:$D$201&amp;ĐGVC!$E$6:$E$201),"")</f>
        <v/>
      </c>
    </row>
    <row r="21" spans="1:5" x14ac:dyDescent="0.35">
      <c r="A21" s="7"/>
      <c r="B21" s="7"/>
      <c r="C21" s="7"/>
      <c r="D21" s="7"/>
      <c r="E21" s="54" t="str" cm="1">
        <f t="array" ref="E21">IF(A21&lt;&gt;"",OR(_xlfn.TEXTJOIN("",FALSE,A21:D21)=ĐGVC!$B$6:$B$201&amp;ĐGVC!$C$6:$C$201&amp;ĐGVC!$D$6:$D$201&amp;ĐGVC!$E$6:$E$201),"")</f>
        <v/>
      </c>
    </row>
    <row r="22" spans="1:5" x14ac:dyDescent="0.35">
      <c r="A22" s="7"/>
      <c r="B22" s="7"/>
      <c r="C22" s="7"/>
      <c r="D22" s="7"/>
      <c r="E22" s="54" t="str" cm="1">
        <f t="array" ref="E22">IF(A22&lt;&gt;"",OR(_xlfn.TEXTJOIN("",FALSE,A22:D22)=ĐGVC!$B$6:$B$201&amp;ĐGVC!$C$6:$C$201&amp;ĐGVC!$D$6:$D$201&amp;ĐGVC!$E$6:$E$201),"")</f>
        <v/>
      </c>
    </row>
    <row r="23" spans="1:5" x14ac:dyDescent="0.35">
      <c r="A23" s="7"/>
      <c r="B23" s="7"/>
      <c r="C23" s="7"/>
      <c r="D23" s="7"/>
      <c r="E23" s="54" t="str" cm="1">
        <f t="array" ref="E23">IF(A23&lt;&gt;"",OR(_xlfn.TEXTJOIN("",FALSE,A23:D23)=ĐGVC!$B$6:$B$201&amp;ĐGVC!$C$6:$C$201&amp;ĐGVC!$D$6:$D$201&amp;ĐGVC!$E$6:$E$201),"")</f>
        <v/>
      </c>
    </row>
    <row r="24" spans="1:5" x14ac:dyDescent="0.35">
      <c r="A24" s="7"/>
      <c r="B24" s="7"/>
      <c r="C24" s="7"/>
      <c r="D24" s="7"/>
      <c r="E24" s="54" t="str" cm="1">
        <f t="array" ref="E24">IF(A24&lt;&gt;"",OR(_xlfn.TEXTJOIN("",FALSE,A24:D24)=ĐGVC!$B$6:$B$201&amp;ĐGVC!$C$6:$C$201&amp;ĐGVC!$D$6:$D$201&amp;ĐGVC!$E$6:$E$201),"")</f>
        <v/>
      </c>
    </row>
    <row r="25" spans="1:5" x14ac:dyDescent="0.35">
      <c r="A25" s="7"/>
      <c r="B25" s="7"/>
      <c r="C25" s="7"/>
      <c r="D25" s="7"/>
      <c r="E25" s="54" t="str" cm="1">
        <f t="array" ref="E25">IF(A25&lt;&gt;"",OR(_xlfn.TEXTJOIN("",FALSE,A25:D25)=ĐGVC!$B$6:$B$201&amp;ĐGVC!$C$6:$C$201&amp;ĐGVC!$D$6:$D$201&amp;ĐGVC!$E$6:$E$201),"")</f>
        <v/>
      </c>
    </row>
    <row r="26" spans="1:5" x14ac:dyDescent="0.35">
      <c r="A26" s="7"/>
      <c r="B26" s="7"/>
      <c r="C26" s="7"/>
      <c r="D26" s="7"/>
      <c r="E26" s="54" t="str" cm="1">
        <f t="array" ref="E26">IF(A26&lt;&gt;"",OR(_xlfn.TEXTJOIN("",FALSE,A26:D26)=ĐGVC!$B$6:$B$201&amp;ĐGVC!$C$6:$C$201&amp;ĐGVC!$D$6:$D$201&amp;ĐGVC!$E$6:$E$201),"")</f>
        <v/>
      </c>
    </row>
    <row r="27" spans="1:5" x14ac:dyDescent="0.35">
      <c r="A27" s="7"/>
      <c r="B27" s="7"/>
      <c r="C27" s="7"/>
      <c r="D27" s="7"/>
      <c r="E27" s="54" t="str" cm="1">
        <f t="array" ref="E27">IF(A27&lt;&gt;"",OR(_xlfn.TEXTJOIN("",FALSE,A27:D27)=ĐGVC!$B$6:$B$201&amp;ĐGVC!$C$6:$C$201&amp;ĐGVC!$D$6:$D$201&amp;ĐGVC!$E$6:$E$201),"")</f>
        <v/>
      </c>
    </row>
    <row r="28" spans="1:5" x14ac:dyDescent="0.35">
      <c r="A28" s="7"/>
      <c r="B28" s="7"/>
      <c r="C28" s="7"/>
      <c r="D28" s="7"/>
      <c r="E28" s="54" t="str" cm="1">
        <f t="array" ref="E28">IF(A28&lt;&gt;"",OR(_xlfn.TEXTJOIN("",FALSE,A28:D28)=ĐGVC!$B$6:$B$201&amp;ĐGVC!$C$6:$C$201&amp;ĐGVC!$D$6:$D$201&amp;ĐGVC!$E$6:$E$201),"")</f>
        <v/>
      </c>
    </row>
    <row r="29" spans="1:5" x14ac:dyDescent="0.35">
      <c r="A29" s="7"/>
      <c r="B29" s="7"/>
      <c r="C29" s="7"/>
      <c r="D29" s="7"/>
      <c r="E29" s="54" t="str" cm="1">
        <f t="array" ref="E29">IF(A29&lt;&gt;"",OR(_xlfn.TEXTJOIN("",FALSE,A29:D29)=ĐGVC!$B$6:$B$201&amp;ĐGVC!$C$6:$C$201&amp;ĐGVC!$D$6:$D$201&amp;ĐGVC!$E$6:$E$201),"")</f>
        <v/>
      </c>
    </row>
    <row r="30" spans="1:5" x14ac:dyDescent="0.35">
      <c r="A30" s="7"/>
      <c r="B30" s="7"/>
      <c r="C30" s="7"/>
      <c r="D30" s="7"/>
      <c r="E30" s="54" t="str" cm="1">
        <f t="array" ref="E30">IF(A30&lt;&gt;"",OR(_xlfn.TEXTJOIN("",FALSE,A30:D30)=ĐGVC!$B$6:$B$201&amp;ĐGVC!$C$6:$C$201&amp;ĐGVC!$D$6:$D$201&amp;ĐGVC!$E$6:$E$201),"")</f>
        <v/>
      </c>
    </row>
    <row r="31" spans="1:5" x14ac:dyDescent="0.35">
      <c r="A31" s="7"/>
      <c r="B31" s="7"/>
      <c r="C31" s="7"/>
      <c r="D31" s="7"/>
      <c r="E31" s="54" t="str" cm="1">
        <f t="array" ref="E31">IF(A31&lt;&gt;"",OR(_xlfn.TEXTJOIN("",FALSE,A31:D31)=ĐGVC!$B$6:$B$201&amp;ĐGVC!$C$6:$C$201&amp;ĐGVC!$D$6:$D$201&amp;ĐGVC!$E$6:$E$201),"")</f>
        <v/>
      </c>
    </row>
    <row r="32" spans="1:5" x14ac:dyDescent="0.35">
      <c r="A32" s="7"/>
      <c r="B32" s="7"/>
      <c r="C32" s="7"/>
      <c r="D32" s="7"/>
      <c r="E32" s="54" t="str" cm="1">
        <f t="array" ref="E32">IF(A32&lt;&gt;"",OR(_xlfn.TEXTJOIN("",FALSE,A32:D32)=ĐGVC!$B$6:$B$201&amp;ĐGVC!$C$6:$C$201&amp;ĐGVC!$D$6:$D$201&amp;ĐGVC!$E$6:$E$201),"")</f>
        <v/>
      </c>
    </row>
    <row r="33" spans="1:5" x14ac:dyDescent="0.35">
      <c r="A33" s="7"/>
      <c r="B33" s="7"/>
      <c r="C33" s="7"/>
      <c r="D33" s="7"/>
      <c r="E33" s="54" t="str" cm="1">
        <f t="array" ref="E33">IF(A33&lt;&gt;"",OR(_xlfn.TEXTJOIN("",FALSE,A33:D33)=ĐGVC!$B$6:$B$201&amp;ĐGVC!$C$6:$C$201&amp;ĐGVC!$D$6:$D$201&amp;ĐGVC!$E$6:$E$201),"")</f>
        <v/>
      </c>
    </row>
    <row r="34" spans="1:5" x14ac:dyDescent="0.35">
      <c r="A34" s="7"/>
      <c r="B34" s="7"/>
      <c r="C34" s="7"/>
      <c r="D34" s="7"/>
      <c r="E34" s="54" t="str" cm="1">
        <f t="array" ref="E34">IF(A34&lt;&gt;"",OR(_xlfn.TEXTJOIN("",FALSE,A34:D34)=ĐGVC!$B$6:$B$201&amp;ĐGVC!$C$6:$C$201&amp;ĐGVC!$D$6:$D$201&amp;ĐGVC!$E$6:$E$201),"")</f>
        <v/>
      </c>
    </row>
    <row r="35" spans="1:5" x14ac:dyDescent="0.35">
      <c r="A35" s="7"/>
      <c r="B35" s="7"/>
      <c r="C35" s="7"/>
      <c r="D35" s="7"/>
      <c r="E35" s="54" t="str" cm="1">
        <f t="array" ref="E35">IF(A35&lt;&gt;"",OR(_xlfn.TEXTJOIN("",FALSE,A35:D35)=ĐGVC!$B$6:$B$201&amp;ĐGVC!$C$6:$C$201&amp;ĐGVC!$D$6:$D$201&amp;ĐGVC!$E$6:$E$201),"")</f>
        <v/>
      </c>
    </row>
    <row r="36" spans="1:5" x14ac:dyDescent="0.35">
      <c r="A36" s="7"/>
      <c r="B36" s="7"/>
      <c r="C36" s="7"/>
      <c r="D36" s="7"/>
      <c r="E36" s="54" t="str" cm="1">
        <f t="array" ref="E36">IF(A36&lt;&gt;"",OR(_xlfn.TEXTJOIN("",FALSE,A36:D36)=ĐGVC!$B$6:$B$201&amp;ĐGVC!$C$6:$C$201&amp;ĐGVC!$D$6:$D$201&amp;ĐGVC!$E$6:$E$201),"")</f>
        <v/>
      </c>
    </row>
    <row r="37" spans="1:5" x14ac:dyDescent="0.35">
      <c r="A37" s="7"/>
      <c r="B37" s="7"/>
      <c r="C37" s="7"/>
      <c r="D37" s="7"/>
      <c r="E37" s="54" t="str" cm="1">
        <f t="array" ref="E37">IF(A37&lt;&gt;"",OR(_xlfn.TEXTJOIN("",FALSE,A37:D37)=ĐGVC!$B$6:$B$201&amp;ĐGVC!$C$6:$C$201&amp;ĐGVC!$D$6:$D$201&amp;ĐGVC!$E$6:$E$201),"")</f>
        <v/>
      </c>
    </row>
    <row r="38" spans="1:5" x14ac:dyDescent="0.35">
      <c r="A38" s="7"/>
      <c r="B38" s="7"/>
      <c r="C38" s="7"/>
      <c r="D38" s="7"/>
      <c r="E38" s="54" t="str" cm="1">
        <f t="array" ref="E38">IF(A38&lt;&gt;"",OR(_xlfn.TEXTJOIN("",FALSE,A38:D38)=ĐGVC!$B$6:$B$201&amp;ĐGVC!$C$6:$C$201&amp;ĐGVC!$D$6:$D$201&amp;ĐGVC!$E$6:$E$201),"")</f>
        <v/>
      </c>
    </row>
    <row r="39" spans="1:5" x14ac:dyDescent="0.35">
      <c r="A39" s="7"/>
      <c r="B39" s="7"/>
      <c r="C39" s="7"/>
      <c r="D39" s="7"/>
      <c r="E39" s="54" t="str" cm="1">
        <f t="array" ref="E39">IF(A39&lt;&gt;"",OR(_xlfn.TEXTJOIN("",FALSE,A39:D39)=ĐGVC!$B$6:$B$201&amp;ĐGVC!$C$6:$C$201&amp;ĐGVC!$D$6:$D$201&amp;ĐGVC!$E$6:$E$201),"")</f>
        <v/>
      </c>
    </row>
    <row r="40" spans="1:5" x14ac:dyDescent="0.35">
      <c r="A40" s="7"/>
      <c r="B40" s="7"/>
      <c r="C40" s="7"/>
      <c r="D40" s="7"/>
      <c r="E40" s="54" t="str" cm="1">
        <f t="array" ref="E40">IF(A40&lt;&gt;"",OR(_xlfn.TEXTJOIN("",FALSE,A40:D40)=ĐGVC!$B$6:$B$201&amp;ĐGVC!$C$6:$C$201&amp;ĐGVC!$D$6:$D$201&amp;ĐGVC!$E$6:$E$201),"")</f>
        <v/>
      </c>
    </row>
    <row r="41" spans="1:5" x14ac:dyDescent="0.35">
      <c r="A41" s="7"/>
      <c r="B41" s="7"/>
      <c r="C41" s="7"/>
      <c r="D41" s="7"/>
      <c r="E41" s="54" t="str" cm="1">
        <f t="array" ref="E41">IF(A41&lt;&gt;"",OR(_xlfn.TEXTJOIN("",FALSE,A41:D41)=ĐGVC!$B$6:$B$201&amp;ĐGVC!$C$6:$C$201&amp;ĐGVC!$D$6:$D$201&amp;ĐGVC!$E$6:$E$201),"")</f>
        <v/>
      </c>
    </row>
    <row r="42" spans="1:5" x14ac:dyDescent="0.35">
      <c r="A42" s="7"/>
      <c r="B42" s="7"/>
      <c r="C42" s="7"/>
      <c r="D42" s="7"/>
      <c r="E42" s="54" t="str" cm="1">
        <f t="array" ref="E42">IF(A42&lt;&gt;"",OR(_xlfn.TEXTJOIN("",FALSE,A42:D42)=ĐGVC!$B$6:$B$201&amp;ĐGVC!$C$6:$C$201&amp;ĐGVC!$D$6:$D$201&amp;ĐGVC!$E$6:$E$201),"")</f>
        <v/>
      </c>
    </row>
    <row r="43" spans="1:5" x14ac:dyDescent="0.35">
      <c r="A43" s="7"/>
      <c r="B43" s="7"/>
      <c r="C43" s="7"/>
      <c r="D43" s="7"/>
      <c r="E43" s="54" t="str" cm="1">
        <f t="array" ref="E43">IF(A43&lt;&gt;"",OR(_xlfn.TEXTJOIN("",FALSE,A43:D43)=ĐGVC!$B$6:$B$201&amp;ĐGVC!$C$6:$C$201&amp;ĐGVC!$D$6:$D$201&amp;ĐGVC!$E$6:$E$201),"")</f>
        <v/>
      </c>
    </row>
    <row r="44" spans="1:5" x14ac:dyDescent="0.35">
      <c r="A44" s="7"/>
      <c r="B44" s="7"/>
      <c r="C44" s="7"/>
      <c r="D44" s="7"/>
      <c r="E44" s="54" t="str" cm="1">
        <f t="array" ref="E44">IF(A44&lt;&gt;"",OR(_xlfn.TEXTJOIN("",FALSE,A44:D44)=ĐGVC!$B$6:$B$201&amp;ĐGVC!$C$6:$C$201&amp;ĐGVC!$D$6:$D$201&amp;ĐGVC!$E$6:$E$201),"")</f>
        <v/>
      </c>
    </row>
    <row r="45" spans="1:5" x14ac:dyDescent="0.35">
      <c r="A45" s="7"/>
      <c r="B45" s="7"/>
      <c r="C45" s="7"/>
      <c r="D45" s="7"/>
      <c r="E45" s="54" t="str" cm="1">
        <f t="array" ref="E45">IF(A45&lt;&gt;"",OR(_xlfn.TEXTJOIN("",FALSE,A45:D45)=ĐGVC!$B$6:$B$201&amp;ĐGVC!$C$6:$C$201&amp;ĐGVC!$D$6:$D$201&amp;ĐGVC!$E$6:$E$201),"")</f>
        <v/>
      </c>
    </row>
    <row r="46" spans="1:5" x14ac:dyDescent="0.35">
      <c r="A46" s="7"/>
      <c r="B46" s="7"/>
      <c r="C46" s="7"/>
      <c r="D46" s="7"/>
      <c r="E46" s="54" t="str" cm="1">
        <f t="array" ref="E46">IF(A46&lt;&gt;"",OR(_xlfn.TEXTJOIN("",FALSE,A46:D46)=ĐGVC!$B$6:$B$201&amp;ĐGVC!$C$6:$C$201&amp;ĐGVC!$D$6:$D$201&amp;ĐGVC!$E$6:$E$201),"")</f>
        <v/>
      </c>
    </row>
    <row r="47" spans="1:5" x14ac:dyDescent="0.35">
      <c r="A47" s="7"/>
      <c r="B47" s="7"/>
      <c r="C47" s="7"/>
      <c r="D47" s="7"/>
      <c r="E47" s="54" t="str" cm="1">
        <f t="array" ref="E47">IF(A47&lt;&gt;"",OR(_xlfn.TEXTJOIN("",FALSE,A47:D47)=ĐGVC!$B$6:$B$201&amp;ĐGVC!$C$6:$C$201&amp;ĐGVC!$D$6:$D$201&amp;ĐGVC!$E$6:$E$201),"")</f>
        <v/>
      </c>
    </row>
    <row r="48" spans="1:5" x14ac:dyDescent="0.35">
      <c r="A48" s="7"/>
      <c r="B48" s="7"/>
      <c r="C48" s="7"/>
      <c r="D48" s="7"/>
      <c r="E48" s="54" t="str" cm="1">
        <f t="array" ref="E48">IF(A48&lt;&gt;"",OR(_xlfn.TEXTJOIN("",FALSE,A48:D48)=ĐGVC!$B$6:$B$201&amp;ĐGVC!$C$6:$C$201&amp;ĐGVC!$D$6:$D$201&amp;ĐGVC!$E$6:$E$201),"")</f>
        <v/>
      </c>
    </row>
    <row r="49" spans="1:5" x14ac:dyDescent="0.35">
      <c r="A49" s="7"/>
      <c r="B49" s="7"/>
      <c r="C49" s="7"/>
      <c r="D49" s="7"/>
      <c r="E49" s="54" t="str" cm="1">
        <f t="array" ref="E49">IF(A49&lt;&gt;"",OR(_xlfn.TEXTJOIN("",FALSE,A49:D49)=ĐGVC!$B$6:$B$201&amp;ĐGVC!$C$6:$C$201&amp;ĐGVC!$D$6:$D$201&amp;ĐGVC!$E$6:$E$201),"")</f>
        <v/>
      </c>
    </row>
    <row r="50" spans="1:5" x14ac:dyDescent="0.35">
      <c r="A50" s="7"/>
      <c r="B50" s="7"/>
      <c r="C50" s="7"/>
      <c r="D50" s="7"/>
      <c r="E50" s="54" t="str" cm="1">
        <f t="array" ref="E50">IF(A50&lt;&gt;"",OR(_xlfn.TEXTJOIN("",FALSE,A50:D50)=ĐGVC!$B$6:$B$201&amp;ĐGVC!$C$6:$C$201&amp;ĐGVC!$D$6:$D$201&amp;ĐGVC!$E$6:$E$201),"")</f>
        <v/>
      </c>
    </row>
    <row r="51" spans="1:5" x14ac:dyDescent="0.35">
      <c r="A51" s="7"/>
      <c r="B51" s="7"/>
      <c r="C51" s="7"/>
      <c r="D51" s="7"/>
      <c r="E51" s="54" t="str" cm="1">
        <f t="array" ref="E51">IF(A51&lt;&gt;"",OR(_xlfn.TEXTJOIN("",FALSE,A51:D51)=ĐGVC!$B$6:$B$201&amp;ĐGVC!$C$6:$C$201&amp;ĐGVC!$D$6:$D$201&amp;ĐGVC!$E$6:$E$201),"")</f>
        <v/>
      </c>
    </row>
    <row r="52" spans="1:5" x14ac:dyDescent="0.35">
      <c r="A52" s="7"/>
      <c r="B52" s="7"/>
      <c r="C52" s="7"/>
      <c r="D52" s="7"/>
      <c r="E52" s="54" t="str" cm="1">
        <f t="array" ref="E52">IF(A52&lt;&gt;"",OR(_xlfn.TEXTJOIN("",FALSE,A52:D52)=ĐGVC!$B$6:$B$201&amp;ĐGVC!$C$6:$C$201&amp;ĐGVC!$D$6:$D$201&amp;ĐGVC!$E$6:$E$201),"")</f>
        <v/>
      </c>
    </row>
    <row r="53" spans="1:5" x14ac:dyDescent="0.35">
      <c r="A53" s="7"/>
      <c r="B53" s="7"/>
      <c r="C53" s="7"/>
      <c r="D53" s="7"/>
      <c r="E53" s="54" t="str" cm="1">
        <f t="array" ref="E53">IF(A53&lt;&gt;"",OR(_xlfn.TEXTJOIN("",FALSE,A53:D53)=ĐGVC!$B$6:$B$201&amp;ĐGVC!$C$6:$C$201&amp;ĐGVC!$D$6:$D$201&amp;ĐGVC!$E$6:$E$201),"")</f>
        <v/>
      </c>
    </row>
    <row r="54" spans="1:5" x14ac:dyDescent="0.35">
      <c r="A54" s="7"/>
      <c r="B54" s="7"/>
      <c r="C54" s="7"/>
      <c r="D54" s="7"/>
      <c r="E54" s="54" t="str" cm="1">
        <f t="array" ref="E54">IF(A54&lt;&gt;"",OR(_xlfn.TEXTJOIN("",FALSE,A54:D54)=ĐGVC!$B$6:$B$201&amp;ĐGVC!$C$6:$C$201&amp;ĐGVC!$D$6:$D$201&amp;ĐGVC!$E$6:$E$201),"")</f>
        <v/>
      </c>
    </row>
    <row r="55" spans="1:5" x14ac:dyDescent="0.35">
      <c r="A55" s="7"/>
      <c r="B55" s="7"/>
      <c r="C55" s="7"/>
      <c r="D55" s="7"/>
      <c r="E55" s="54" t="str" cm="1">
        <f t="array" ref="E55">IF(A55&lt;&gt;"",OR(_xlfn.TEXTJOIN("",FALSE,A55:D55)=ĐGVC!$B$6:$B$201&amp;ĐGVC!$C$6:$C$201&amp;ĐGVC!$D$6:$D$201&amp;ĐGVC!$E$6:$E$201),"")</f>
        <v/>
      </c>
    </row>
    <row r="56" spans="1:5" x14ac:dyDescent="0.35">
      <c r="A56" s="7"/>
      <c r="B56" s="7"/>
      <c r="C56" s="7"/>
      <c r="D56" s="7"/>
      <c r="E56" s="54" t="str" cm="1">
        <f t="array" ref="E56">IF(A56&lt;&gt;"",OR(_xlfn.TEXTJOIN("",FALSE,A56:D56)=ĐGVC!$B$6:$B$201&amp;ĐGVC!$C$6:$C$201&amp;ĐGVC!$D$6:$D$201&amp;ĐGVC!$E$6:$E$201),"")</f>
        <v/>
      </c>
    </row>
    <row r="57" spans="1:5" x14ac:dyDescent="0.35">
      <c r="A57" s="7"/>
      <c r="B57" s="7"/>
      <c r="C57" s="7"/>
      <c r="D57" s="7"/>
      <c r="E57" s="54" t="str" cm="1">
        <f t="array" ref="E57">IF(A57&lt;&gt;"",OR(_xlfn.TEXTJOIN("",FALSE,A57:D57)=ĐGVC!$B$6:$B$201&amp;ĐGVC!$C$6:$C$201&amp;ĐGVC!$D$6:$D$201&amp;ĐGVC!$E$6:$E$201),"")</f>
        <v/>
      </c>
    </row>
    <row r="58" spans="1:5" x14ac:dyDescent="0.35">
      <c r="A58" s="7"/>
      <c r="B58" s="7"/>
      <c r="C58" s="7"/>
      <c r="D58" s="7"/>
      <c r="E58" s="54" t="str" cm="1">
        <f t="array" ref="E58">IF(A58&lt;&gt;"",OR(_xlfn.TEXTJOIN("",FALSE,A58:D58)=ĐGVC!$B$6:$B$201&amp;ĐGVC!$C$6:$C$201&amp;ĐGVC!$D$6:$D$201&amp;ĐGVC!$E$6:$E$201),"")</f>
        <v/>
      </c>
    </row>
    <row r="59" spans="1:5" x14ac:dyDescent="0.35">
      <c r="A59" s="7"/>
      <c r="B59" s="7"/>
      <c r="C59" s="7"/>
      <c r="D59" s="7"/>
      <c r="E59" s="54" t="str" cm="1">
        <f t="array" ref="E59">IF(A59&lt;&gt;"",OR(_xlfn.TEXTJOIN("",FALSE,A59:D59)=ĐGVC!$B$6:$B$201&amp;ĐGVC!$C$6:$C$201&amp;ĐGVC!$D$6:$D$201&amp;ĐGVC!$E$6:$E$201),"")</f>
        <v/>
      </c>
    </row>
    <row r="60" spans="1:5" x14ac:dyDescent="0.35">
      <c r="A60" s="7"/>
      <c r="B60" s="7"/>
      <c r="C60" s="7"/>
      <c r="D60" s="7"/>
      <c r="E60" s="54" t="str" cm="1">
        <f t="array" ref="E60">IF(A60&lt;&gt;"",OR(_xlfn.TEXTJOIN("",FALSE,A60:D60)=ĐGVC!$B$6:$B$201&amp;ĐGVC!$C$6:$C$201&amp;ĐGVC!$D$6:$D$201&amp;ĐGVC!$E$6:$E$201),"")</f>
        <v/>
      </c>
    </row>
    <row r="61" spans="1:5" x14ac:dyDescent="0.35">
      <c r="A61" s="7"/>
      <c r="B61" s="7"/>
      <c r="C61" s="7"/>
      <c r="D61" s="7"/>
      <c r="E61" s="54" t="str" cm="1">
        <f t="array" ref="E61">IF(A61&lt;&gt;"",OR(_xlfn.TEXTJOIN("",FALSE,A61:D61)=ĐGVC!$B$6:$B$201&amp;ĐGVC!$C$6:$C$201&amp;ĐGVC!$D$6:$D$201&amp;ĐGVC!$E$6:$E$201),"")</f>
        <v/>
      </c>
    </row>
    <row r="62" spans="1:5" x14ac:dyDescent="0.35">
      <c r="A62" s="7"/>
      <c r="B62" s="7"/>
      <c r="C62" s="7"/>
      <c r="D62" s="7"/>
      <c r="E62" s="54" t="str" cm="1">
        <f t="array" ref="E62">IF(A62&lt;&gt;"",OR(_xlfn.TEXTJOIN("",FALSE,A62:D62)=ĐGVC!$B$6:$B$201&amp;ĐGVC!$C$6:$C$201&amp;ĐGVC!$D$6:$D$201&amp;ĐGVC!$E$6:$E$201),"")</f>
        <v/>
      </c>
    </row>
    <row r="63" spans="1:5" x14ac:dyDescent="0.35">
      <c r="A63" s="7"/>
      <c r="B63" s="7"/>
      <c r="C63" s="7"/>
      <c r="D63" s="7"/>
      <c r="E63" s="54" t="str" cm="1">
        <f t="array" ref="E63">IF(A63&lt;&gt;"",OR(_xlfn.TEXTJOIN("",FALSE,A63:D63)=ĐGVC!$B$6:$B$201&amp;ĐGVC!$C$6:$C$201&amp;ĐGVC!$D$6:$D$201&amp;ĐGVC!$E$6:$E$201),"")</f>
        <v/>
      </c>
    </row>
    <row r="64" spans="1:5" x14ac:dyDescent="0.35">
      <c r="A64" s="7"/>
      <c r="B64" s="7"/>
      <c r="C64" s="7"/>
      <c r="D64" s="7"/>
      <c r="E64" s="54" t="str" cm="1">
        <f t="array" ref="E64">IF(A64&lt;&gt;"",OR(_xlfn.TEXTJOIN("",FALSE,A64:D64)=ĐGVC!$B$6:$B$201&amp;ĐGVC!$C$6:$C$201&amp;ĐGVC!$D$6:$D$201&amp;ĐGVC!$E$6:$E$201),"")</f>
        <v/>
      </c>
    </row>
    <row r="65" spans="1:5" x14ac:dyDescent="0.35">
      <c r="A65" s="7"/>
      <c r="B65" s="7"/>
      <c r="C65" s="7"/>
      <c r="D65" s="7"/>
      <c r="E65" s="54" t="str" cm="1">
        <f t="array" ref="E65">IF(A65&lt;&gt;"",OR(_xlfn.TEXTJOIN("",FALSE,A65:D65)=ĐGVC!$B$6:$B$201&amp;ĐGVC!$C$6:$C$201&amp;ĐGVC!$D$6:$D$201&amp;ĐGVC!$E$6:$E$201),"")</f>
        <v/>
      </c>
    </row>
    <row r="66" spans="1:5" x14ac:dyDescent="0.35">
      <c r="A66" s="7"/>
      <c r="B66" s="7"/>
      <c r="C66" s="7"/>
      <c r="D66" s="7"/>
      <c r="E66" s="54" t="str" cm="1">
        <f t="array" ref="E66">IF(A66&lt;&gt;"",OR(_xlfn.TEXTJOIN("",FALSE,A66:D66)=ĐGVC!$B$6:$B$201&amp;ĐGVC!$C$6:$C$201&amp;ĐGVC!$D$6:$D$201&amp;ĐGVC!$E$6:$E$201),"")</f>
        <v/>
      </c>
    </row>
    <row r="67" spans="1:5" x14ac:dyDescent="0.35">
      <c r="A67" s="7"/>
      <c r="B67" s="7"/>
      <c r="C67" s="7"/>
      <c r="D67" s="7"/>
      <c r="E67" s="54" t="str" cm="1">
        <f t="array" ref="E67">IF(A67&lt;&gt;"",OR(_xlfn.TEXTJOIN("",FALSE,A67:D67)=ĐGVC!$B$6:$B$201&amp;ĐGVC!$C$6:$C$201&amp;ĐGVC!$D$6:$D$201&amp;ĐGVC!$E$6:$E$201),"")</f>
        <v/>
      </c>
    </row>
    <row r="68" spans="1:5" x14ac:dyDescent="0.35">
      <c r="A68" s="7"/>
      <c r="B68" s="7"/>
      <c r="C68" s="7"/>
      <c r="D68" s="7"/>
      <c r="E68" s="54" t="str" cm="1">
        <f t="array" ref="E68">IF(A68&lt;&gt;"",OR(_xlfn.TEXTJOIN("",FALSE,A68:D68)=ĐGVC!$B$6:$B$201&amp;ĐGVC!$C$6:$C$201&amp;ĐGVC!$D$6:$D$201&amp;ĐGVC!$E$6:$E$201),"")</f>
        <v/>
      </c>
    </row>
    <row r="69" spans="1:5" x14ac:dyDescent="0.35">
      <c r="A69" s="7"/>
      <c r="B69" s="7"/>
      <c r="C69" s="7"/>
      <c r="D69" s="7"/>
      <c r="E69" s="54" t="str" cm="1">
        <f t="array" ref="E69">IF(A69&lt;&gt;"",OR(_xlfn.TEXTJOIN("",FALSE,A69:D69)=ĐGVC!$B$6:$B$201&amp;ĐGVC!$C$6:$C$201&amp;ĐGVC!$D$6:$D$201&amp;ĐGVC!$E$6:$E$201),"")</f>
        <v/>
      </c>
    </row>
    <row r="70" spans="1:5" x14ac:dyDescent="0.35">
      <c r="A70" s="7"/>
      <c r="B70" s="7"/>
      <c r="C70" s="7"/>
      <c r="D70" s="7"/>
      <c r="E70" s="54" t="str" cm="1">
        <f t="array" ref="E70">IF(A70&lt;&gt;"",OR(_xlfn.TEXTJOIN("",FALSE,A70:D70)=ĐGVC!$B$6:$B$201&amp;ĐGVC!$C$6:$C$201&amp;ĐGVC!$D$6:$D$201&amp;ĐGVC!$E$6:$E$201),"")</f>
        <v/>
      </c>
    </row>
    <row r="71" spans="1:5" x14ac:dyDescent="0.35">
      <c r="A71" s="7"/>
      <c r="B71" s="7"/>
      <c r="C71" s="7"/>
      <c r="D71" s="7"/>
      <c r="E71" s="54" t="str" cm="1">
        <f t="array" ref="E71">IF(A71&lt;&gt;"",OR(_xlfn.TEXTJOIN("",FALSE,A71:D71)=ĐGVC!$B$6:$B$201&amp;ĐGVC!$C$6:$C$201&amp;ĐGVC!$D$6:$D$201&amp;ĐGVC!$E$6:$E$201),"")</f>
        <v/>
      </c>
    </row>
    <row r="72" spans="1:5" x14ac:dyDescent="0.35">
      <c r="A72" s="7"/>
      <c r="B72" s="7"/>
      <c r="C72" s="7"/>
      <c r="D72" s="7"/>
      <c r="E72" s="54" t="str" cm="1">
        <f t="array" ref="E72">IF(A72&lt;&gt;"",OR(_xlfn.TEXTJOIN("",FALSE,A72:D72)=ĐGVC!$B$6:$B$201&amp;ĐGVC!$C$6:$C$201&amp;ĐGVC!$D$6:$D$201&amp;ĐGVC!$E$6:$E$201),"")</f>
        <v/>
      </c>
    </row>
    <row r="73" spans="1:5" x14ac:dyDescent="0.35">
      <c r="A73" s="7"/>
      <c r="B73" s="7"/>
      <c r="C73" s="7"/>
      <c r="D73" s="7"/>
      <c r="E73" s="54" t="str" cm="1">
        <f t="array" ref="E73">IF(A73&lt;&gt;"",OR(_xlfn.TEXTJOIN("",FALSE,A73:D73)=ĐGVC!$B$6:$B$201&amp;ĐGVC!$C$6:$C$201&amp;ĐGVC!$D$6:$D$201&amp;ĐGVC!$E$6:$E$201),"")</f>
        <v/>
      </c>
    </row>
    <row r="74" spans="1:5" x14ac:dyDescent="0.35">
      <c r="A74" s="7"/>
      <c r="B74" s="7"/>
      <c r="C74" s="7"/>
      <c r="D74" s="7"/>
      <c r="E74" s="54" t="str" cm="1">
        <f t="array" ref="E74">IF(A74&lt;&gt;"",OR(_xlfn.TEXTJOIN("",FALSE,A74:D74)=ĐGVC!$B$6:$B$201&amp;ĐGVC!$C$6:$C$201&amp;ĐGVC!$D$6:$D$201&amp;ĐGVC!$E$6:$E$201),"")</f>
        <v/>
      </c>
    </row>
    <row r="75" spans="1:5" x14ac:dyDescent="0.35">
      <c r="A75" s="7"/>
      <c r="B75" s="7"/>
      <c r="C75" s="7"/>
      <c r="D75" s="7"/>
      <c r="E75" s="54" t="str" cm="1">
        <f t="array" ref="E75">IF(A75&lt;&gt;"",OR(_xlfn.TEXTJOIN("",FALSE,A75:D75)=ĐGVC!$B$6:$B$201&amp;ĐGVC!$C$6:$C$201&amp;ĐGVC!$D$6:$D$201&amp;ĐGVC!$E$6:$E$201),"")</f>
        <v/>
      </c>
    </row>
    <row r="76" spans="1:5" x14ac:dyDescent="0.35">
      <c r="A76" s="7"/>
      <c r="B76" s="7"/>
      <c r="C76" s="7"/>
      <c r="D76" s="7"/>
      <c r="E76" s="54" t="str" cm="1">
        <f t="array" ref="E76">IF(A76&lt;&gt;"",OR(_xlfn.TEXTJOIN("",FALSE,A76:D76)=ĐGVC!$B$6:$B$201&amp;ĐGVC!$C$6:$C$201&amp;ĐGVC!$D$6:$D$201&amp;ĐGVC!$E$6:$E$201),"")</f>
        <v/>
      </c>
    </row>
    <row r="77" spans="1:5" x14ac:dyDescent="0.35">
      <c r="A77" s="7"/>
      <c r="B77" s="7"/>
      <c r="C77" s="7"/>
      <c r="D77" s="7"/>
      <c r="E77" s="54" t="str" cm="1">
        <f t="array" ref="E77">IF(A77&lt;&gt;"",OR(_xlfn.TEXTJOIN("",FALSE,A77:D77)=ĐGVC!$B$6:$B$201&amp;ĐGVC!$C$6:$C$201&amp;ĐGVC!$D$6:$D$201&amp;ĐGVC!$E$6:$E$201),"")</f>
        <v/>
      </c>
    </row>
    <row r="78" spans="1:5" x14ac:dyDescent="0.35">
      <c r="A78" s="7"/>
      <c r="B78" s="7"/>
      <c r="C78" s="7"/>
      <c r="D78" s="7"/>
      <c r="E78" s="54" t="str" cm="1">
        <f t="array" ref="E78">IF(A78&lt;&gt;"",OR(_xlfn.TEXTJOIN("",FALSE,A78:D78)=ĐGVC!$B$6:$B$201&amp;ĐGVC!$C$6:$C$201&amp;ĐGVC!$D$6:$D$201&amp;ĐGVC!$E$6:$E$201),"")</f>
        <v/>
      </c>
    </row>
    <row r="79" spans="1:5" x14ac:dyDescent="0.35">
      <c r="A79" s="7"/>
      <c r="B79" s="7"/>
      <c r="C79" s="7"/>
      <c r="D79" s="7"/>
      <c r="E79" s="54" t="str" cm="1">
        <f t="array" ref="E79">IF(A79&lt;&gt;"",OR(_xlfn.TEXTJOIN("",FALSE,A79:D79)=ĐGVC!$B$6:$B$201&amp;ĐGVC!$C$6:$C$201&amp;ĐGVC!$D$6:$D$201&amp;ĐGVC!$E$6:$E$201),"")</f>
        <v/>
      </c>
    </row>
    <row r="80" spans="1:5" x14ac:dyDescent="0.35">
      <c r="A80" s="7"/>
      <c r="B80" s="7"/>
      <c r="C80" s="7"/>
      <c r="D80" s="7"/>
      <c r="E80" s="54" t="str" cm="1">
        <f t="array" ref="E80">IF(A80&lt;&gt;"",OR(_xlfn.TEXTJOIN("",FALSE,A80:D80)=ĐGVC!$B$6:$B$201&amp;ĐGVC!$C$6:$C$201&amp;ĐGVC!$D$6:$D$201&amp;ĐGVC!$E$6:$E$201),"")</f>
        <v/>
      </c>
    </row>
    <row r="81" spans="1:5" x14ac:dyDescent="0.35">
      <c r="A81" s="7"/>
      <c r="B81" s="7"/>
      <c r="C81" s="7"/>
      <c r="D81" s="7"/>
      <c r="E81" s="54" t="str" cm="1">
        <f t="array" ref="E81">IF(A81&lt;&gt;"",OR(_xlfn.TEXTJOIN("",FALSE,A81:D81)=ĐGVC!$B$6:$B$201&amp;ĐGVC!$C$6:$C$201&amp;ĐGVC!$D$6:$D$201&amp;ĐGVC!$E$6:$E$201),"")</f>
        <v/>
      </c>
    </row>
    <row r="82" spans="1:5" x14ac:dyDescent="0.35">
      <c r="A82" s="7"/>
      <c r="B82" s="7"/>
      <c r="C82" s="7"/>
      <c r="D82" s="7"/>
      <c r="E82" s="54" t="str" cm="1">
        <f t="array" ref="E82">IF(A82&lt;&gt;"",OR(_xlfn.TEXTJOIN("",FALSE,A82:D82)=ĐGVC!$B$6:$B$201&amp;ĐGVC!$C$6:$C$201&amp;ĐGVC!$D$6:$D$201&amp;ĐGVC!$E$6:$E$201),"")</f>
        <v/>
      </c>
    </row>
    <row r="83" spans="1:5" x14ac:dyDescent="0.35">
      <c r="A83" s="7"/>
      <c r="B83" s="7"/>
      <c r="C83" s="7"/>
      <c r="D83" s="7"/>
      <c r="E83" s="54" t="str" cm="1">
        <f t="array" ref="E83">IF(A83&lt;&gt;"",OR(_xlfn.TEXTJOIN("",FALSE,A83:D83)=ĐGVC!$B$6:$B$201&amp;ĐGVC!$C$6:$C$201&amp;ĐGVC!$D$6:$D$201&amp;ĐGVC!$E$6:$E$201),"")</f>
        <v/>
      </c>
    </row>
    <row r="84" spans="1:5" x14ac:dyDescent="0.35">
      <c r="A84" s="7"/>
      <c r="B84" s="7"/>
      <c r="C84" s="7"/>
      <c r="D84" s="7"/>
      <c r="E84" s="54" t="str" cm="1">
        <f t="array" ref="E84">IF(A84&lt;&gt;"",OR(_xlfn.TEXTJOIN("",FALSE,A84:D84)=ĐGVC!$B$6:$B$201&amp;ĐGVC!$C$6:$C$201&amp;ĐGVC!$D$6:$D$201&amp;ĐGVC!$E$6:$E$201),"")</f>
        <v/>
      </c>
    </row>
    <row r="85" spans="1:5" x14ac:dyDescent="0.35">
      <c r="A85" s="7"/>
      <c r="B85" s="7"/>
      <c r="C85" s="7"/>
      <c r="D85" s="7"/>
      <c r="E85" s="54" t="str" cm="1">
        <f t="array" ref="E85">IF(A85&lt;&gt;"",OR(_xlfn.TEXTJOIN("",FALSE,A85:D85)=ĐGVC!$B$6:$B$201&amp;ĐGVC!$C$6:$C$201&amp;ĐGVC!$D$6:$D$201&amp;ĐGVC!$E$6:$E$201),"")</f>
        <v/>
      </c>
    </row>
    <row r="86" spans="1:5" x14ac:dyDescent="0.35">
      <c r="A86" s="7"/>
      <c r="B86" s="7"/>
      <c r="C86" s="7"/>
      <c r="D86" s="7"/>
      <c r="E86" s="54" t="str" cm="1">
        <f t="array" ref="E86">IF(A86&lt;&gt;"",OR(_xlfn.TEXTJOIN("",FALSE,A86:D86)=ĐGVC!$B$6:$B$201&amp;ĐGVC!$C$6:$C$201&amp;ĐGVC!$D$6:$D$201&amp;ĐGVC!$E$6:$E$201),"")</f>
        <v/>
      </c>
    </row>
    <row r="87" spans="1:5" x14ac:dyDescent="0.35">
      <c r="A87" s="7"/>
      <c r="B87" s="7"/>
      <c r="C87" s="7"/>
      <c r="D87" s="7"/>
      <c r="E87" s="54" t="str" cm="1">
        <f t="array" ref="E87">IF(A87&lt;&gt;"",OR(_xlfn.TEXTJOIN("",FALSE,A87:D87)=ĐGVC!$B$6:$B$201&amp;ĐGVC!$C$6:$C$201&amp;ĐGVC!$D$6:$D$201&amp;ĐGVC!$E$6:$E$201),"")</f>
        <v/>
      </c>
    </row>
    <row r="88" spans="1:5" x14ac:dyDescent="0.35">
      <c r="A88" s="7"/>
      <c r="B88" s="7"/>
      <c r="C88" s="7"/>
      <c r="D88" s="7"/>
      <c r="E88" s="54" t="str" cm="1">
        <f t="array" ref="E88">IF(A88&lt;&gt;"",OR(_xlfn.TEXTJOIN("",FALSE,A88:D88)=ĐGVC!$B$6:$B$201&amp;ĐGVC!$C$6:$C$201&amp;ĐGVC!$D$6:$D$201&amp;ĐGVC!$E$6:$E$201),"")</f>
        <v/>
      </c>
    </row>
    <row r="89" spans="1:5" x14ac:dyDescent="0.35">
      <c r="A89" s="7"/>
      <c r="B89" s="7"/>
      <c r="C89" s="7"/>
      <c r="D89" s="7"/>
      <c r="E89" s="54" t="str" cm="1">
        <f t="array" ref="E89">IF(A89&lt;&gt;"",OR(_xlfn.TEXTJOIN("",FALSE,A89:D89)=ĐGVC!$B$6:$B$201&amp;ĐGVC!$C$6:$C$201&amp;ĐGVC!$D$6:$D$201&amp;ĐGVC!$E$6:$E$201),"")</f>
        <v/>
      </c>
    </row>
    <row r="90" spans="1:5" x14ac:dyDescent="0.35">
      <c r="A90" s="7"/>
      <c r="B90" s="7"/>
      <c r="C90" s="7"/>
      <c r="D90" s="7"/>
      <c r="E90" s="54" t="str" cm="1">
        <f t="array" ref="E90">IF(A90&lt;&gt;"",OR(_xlfn.TEXTJOIN("",FALSE,A90:D90)=ĐGVC!$B$6:$B$201&amp;ĐGVC!$C$6:$C$201&amp;ĐGVC!$D$6:$D$201&amp;ĐGVC!$E$6:$E$201),"")</f>
        <v/>
      </c>
    </row>
    <row r="91" spans="1:5" x14ac:dyDescent="0.35">
      <c r="A91" s="7"/>
      <c r="B91" s="7"/>
      <c r="C91" s="7"/>
      <c r="D91" s="7"/>
      <c r="E91" s="54" t="str" cm="1">
        <f t="array" ref="E91">IF(A91&lt;&gt;"",OR(_xlfn.TEXTJOIN("",FALSE,A91:D91)=ĐGVC!$B$6:$B$201&amp;ĐGVC!$C$6:$C$201&amp;ĐGVC!$D$6:$D$201&amp;ĐGVC!$E$6:$E$201),"")</f>
        <v/>
      </c>
    </row>
    <row r="92" spans="1:5" x14ac:dyDescent="0.35">
      <c r="A92" s="7"/>
      <c r="B92" s="7"/>
      <c r="C92" s="7"/>
      <c r="D92" s="7"/>
      <c r="E92" s="54" t="str" cm="1">
        <f t="array" ref="E92">IF(A92&lt;&gt;"",OR(_xlfn.TEXTJOIN("",FALSE,A92:D92)=ĐGVC!$B$6:$B$201&amp;ĐGVC!$C$6:$C$201&amp;ĐGVC!$D$6:$D$201&amp;ĐGVC!$E$6:$E$201),"")</f>
        <v/>
      </c>
    </row>
    <row r="93" spans="1:5" x14ac:dyDescent="0.35">
      <c r="A93" s="7"/>
      <c r="B93" s="7"/>
      <c r="C93" s="7"/>
      <c r="D93" s="7"/>
      <c r="E93" s="54" t="str" cm="1">
        <f t="array" ref="E93">IF(A93&lt;&gt;"",OR(_xlfn.TEXTJOIN("",FALSE,A93:D93)=ĐGVC!$B$6:$B$201&amp;ĐGVC!$C$6:$C$201&amp;ĐGVC!$D$6:$D$201&amp;ĐGVC!$E$6:$E$201),"")</f>
        <v/>
      </c>
    </row>
    <row r="94" spans="1:5" x14ac:dyDescent="0.35">
      <c r="A94" s="7"/>
      <c r="B94" s="7"/>
      <c r="C94" s="7"/>
      <c r="D94" s="7"/>
      <c r="E94" s="54" t="str" cm="1">
        <f t="array" ref="E94">IF(A94&lt;&gt;"",OR(_xlfn.TEXTJOIN("",FALSE,A94:D94)=ĐGVC!$B$6:$B$201&amp;ĐGVC!$C$6:$C$201&amp;ĐGVC!$D$6:$D$201&amp;ĐGVC!$E$6:$E$201),"")</f>
        <v/>
      </c>
    </row>
    <row r="95" spans="1:5" x14ac:dyDescent="0.35">
      <c r="A95" s="7"/>
      <c r="B95" s="7"/>
      <c r="C95" s="7"/>
      <c r="D95" s="7"/>
      <c r="E95" s="54" t="str" cm="1">
        <f t="array" ref="E95">IF(A95&lt;&gt;"",OR(_xlfn.TEXTJOIN("",FALSE,A95:D95)=ĐGVC!$B$6:$B$201&amp;ĐGVC!$C$6:$C$201&amp;ĐGVC!$D$6:$D$201&amp;ĐGVC!$E$6:$E$201),"")</f>
        <v/>
      </c>
    </row>
    <row r="96" spans="1:5" x14ac:dyDescent="0.35">
      <c r="A96" s="7"/>
      <c r="B96" s="7"/>
      <c r="C96" s="7"/>
      <c r="D96" s="7"/>
      <c r="E96" s="54" t="str" cm="1">
        <f t="array" ref="E96">IF(A96&lt;&gt;"",OR(_xlfn.TEXTJOIN("",FALSE,A96:D96)=ĐGVC!$B$6:$B$201&amp;ĐGVC!$C$6:$C$201&amp;ĐGVC!$D$6:$D$201&amp;ĐGVC!$E$6:$E$201),"")</f>
        <v/>
      </c>
    </row>
    <row r="97" spans="1:5" x14ac:dyDescent="0.35">
      <c r="A97" s="7"/>
      <c r="B97" s="7"/>
      <c r="C97" s="7"/>
      <c r="D97" s="7"/>
      <c r="E97" s="54" t="str" cm="1">
        <f t="array" ref="E97">IF(A97&lt;&gt;"",OR(_xlfn.TEXTJOIN("",FALSE,A97:D97)=ĐGVC!$B$6:$B$201&amp;ĐGVC!$C$6:$C$201&amp;ĐGVC!$D$6:$D$201&amp;ĐGVC!$E$6:$E$201),"")</f>
        <v/>
      </c>
    </row>
    <row r="98" spans="1:5" x14ac:dyDescent="0.35">
      <c r="A98" s="7"/>
      <c r="B98" s="7"/>
      <c r="C98" s="7"/>
      <c r="D98" s="7"/>
      <c r="E98" s="54" t="str" cm="1">
        <f t="array" ref="E98">IF(A98&lt;&gt;"",OR(_xlfn.TEXTJOIN("",FALSE,A98:D98)=ĐGVC!$B$6:$B$201&amp;ĐGVC!$C$6:$C$201&amp;ĐGVC!$D$6:$D$201&amp;ĐGVC!$E$6:$E$201),"")</f>
        <v/>
      </c>
    </row>
    <row r="99" spans="1:5" x14ac:dyDescent="0.35">
      <c r="A99" s="7"/>
      <c r="B99" s="7"/>
      <c r="C99" s="7"/>
      <c r="D99" s="7"/>
      <c r="E99" s="54" t="str" cm="1">
        <f t="array" ref="E99">IF(A99&lt;&gt;"",OR(_xlfn.TEXTJOIN("",FALSE,A99:D99)=ĐGVC!$B$6:$B$201&amp;ĐGVC!$C$6:$C$201&amp;ĐGVC!$D$6:$D$201&amp;ĐGVC!$E$6:$E$201),"")</f>
        <v/>
      </c>
    </row>
    <row r="100" spans="1:5" x14ac:dyDescent="0.35">
      <c r="A100" s="7"/>
      <c r="B100" s="7"/>
      <c r="C100" s="7"/>
      <c r="D100" s="7"/>
      <c r="E100" s="54" t="str" cm="1">
        <f t="array" ref="E100">IF(A100&lt;&gt;"",OR(_xlfn.TEXTJOIN("",FALSE,A100:D100)=ĐGVC!$B$6:$B$201&amp;ĐGVC!$C$6:$C$201&amp;ĐGVC!$D$6:$D$201&amp;ĐGVC!$E$6:$E$201),"")</f>
        <v/>
      </c>
    </row>
    <row r="101" spans="1:5" x14ac:dyDescent="0.35">
      <c r="A101" s="7"/>
      <c r="B101" s="7"/>
      <c r="C101" s="7"/>
      <c r="D101" s="7"/>
      <c r="E101" s="54" t="str" cm="1">
        <f t="array" ref="E101">IF(A101&lt;&gt;"",OR(_xlfn.TEXTJOIN("",FALSE,A101:D101)=ĐGVC!$B$6:$B$201&amp;ĐGVC!$C$6:$C$201&amp;ĐGVC!$D$6:$D$201&amp;ĐGVC!$E$6:$E$201),"")</f>
        <v/>
      </c>
    </row>
    <row r="102" spans="1:5" x14ac:dyDescent="0.35">
      <c r="A102" s="7"/>
      <c r="B102" s="7"/>
      <c r="C102" s="7"/>
      <c r="D102" s="7"/>
      <c r="E102" s="54" t="str" cm="1">
        <f t="array" ref="E102">IF(A102&lt;&gt;"",OR(_xlfn.TEXTJOIN("",FALSE,A102:D102)=ĐGVC!$B$6:$B$201&amp;ĐGVC!$C$6:$C$201&amp;ĐGVC!$D$6:$D$201&amp;ĐGVC!$E$6:$E$201),"")</f>
        <v/>
      </c>
    </row>
    <row r="103" spans="1:5" x14ac:dyDescent="0.35">
      <c r="A103" s="7"/>
      <c r="B103" s="7"/>
      <c r="C103" s="7"/>
      <c r="D103" s="7"/>
      <c r="E103" s="54" t="str" cm="1">
        <f t="array" ref="E103">IF(A103&lt;&gt;"",OR(_xlfn.TEXTJOIN("",FALSE,A103:D103)=ĐGVC!$B$6:$B$201&amp;ĐGVC!$C$6:$C$201&amp;ĐGVC!$D$6:$D$201&amp;ĐGVC!$E$6:$E$201),"")</f>
        <v/>
      </c>
    </row>
    <row r="104" spans="1:5" x14ac:dyDescent="0.35">
      <c r="A104" s="7"/>
      <c r="B104" s="7"/>
      <c r="C104" s="7"/>
      <c r="D104" s="7"/>
      <c r="E104" s="54" t="str" cm="1">
        <f t="array" ref="E104">IF(A104&lt;&gt;"",OR(_xlfn.TEXTJOIN("",FALSE,A104:D104)=ĐGVC!$B$6:$B$201&amp;ĐGVC!$C$6:$C$201&amp;ĐGVC!$D$6:$D$201&amp;ĐGVC!$E$6:$E$201),"")</f>
        <v/>
      </c>
    </row>
    <row r="105" spans="1:5" x14ac:dyDescent="0.35">
      <c r="A105" s="7"/>
      <c r="B105" s="7"/>
      <c r="C105" s="7"/>
      <c r="D105" s="7"/>
      <c r="E105" s="54" t="str" cm="1">
        <f t="array" ref="E105">IF(A105&lt;&gt;"",OR(_xlfn.TEXTJOIN("",FALSE,A105:D105)=ĐGVC!$B$6:$B$201&amp;ĐGVC!$C$6:$C$201&amp;ĐGVC!$D$6:$D$201&amp;ĐGVC!$E$6:$E$201),"")</f>
        <v/>
      </c>
    </row>
    <row r="106" spans="1:5" x14ac:dyDescent="0.35">
      <c r="A106" s="7"/>
      <c r="B106" s="7"/>
      <c r="C106" s="7"/>
      <c r="D106" s="7"/>
      <c r="E106" s="54" t="str" cm="1">
        <f t="array" ref="E106">IF(A106&lt;&gt;"",OR(_xlfn.TEXTJOIN("",FALSE,A106:D106)=ĐGVC!$B$6:$B$201&amp;ĐGVC!$C$6:$C$201&amp;ĐGVC!$D$6:$D$201&amp;ĐGVC!$E$6:$E$201),"")</f>
        <v/>
      </c>
    </row>
    <row r="107" spans="1:5" x14ac:dyDescent="0.35">
      <c r="A107" s="7"/>
      <c r="B107" s="7"/>
      <c r="C107" s="7"/>
      <c r="D107" s="7"/>
      <c r="E107" s="54" t="str" cm="1">
        <f t="array" ref="E107">IF(A107&lt;&gt;"",OR(_xlfn.TEXTJOIN("",FALSE,A107:D107)=ĐGVC!$B$6:$B$201&amp;ĐGVC!$C$6:$C$201&amp;ĐGVC!$D$6:$D$201&amp;ĐGVC!$E$6:$E$201),"")</f>
        <v/>
      </c>
    </row>
    <row r="108" spans="1:5" x14ac:dyDescent="0.35">
      <c r="A108" s="7"/>
      <c r="B108" s="7"/>
      <c r="C108" s="7"/>
      <c r="D108" s="7"/>
      <c r="E108" s="54" t="str" cm="1">
        <f t="array" ref="E108">IF(A108&lt;&gt;"",OR(_xlfn.TEXTJOIN("",FALSE,A108:D108)=ĐGVC!$B$6:$B$201&amp;ĐGVC!$C$6:$C$201&amp;ĐGVC!$D$6:$D$201&amp;ĐGVC!$E$6:$E$201),"")</f>
        <v/>
      </c>
    </row>
    <row r="109" spans="1:5" x14ac:dyDescent="0.35">
      <c r="A109" s="7"/>
      <c r="B109" s="7"/>
      <c r="C109" s="7"/>
      <c r="D109" s="7"/>
      <c r="E109" s="54" t="str" cm="1">
        <f t="array" ref="E109">IF(A109&lt;&gt;"",OR(_xlfn.TEXTJOIN("",FALSE,A109:D109)=ĐGVC!$B$6:$B$201&amp;ĐGVC!$C$6:$C$201&amp;ĐGVC!$D$6:$D$201&amp;ĐGVC!$E$6:$E$201),"")</f>
        <v/>
      </c>
    </row>
    <row r="110" spans="1:5" x14ac:dyDescent="0.35">
      <c r="A110" s="7"/>
      <c r="B110" s="7"/>
      <c r="C110" s="7"/>
      <c r="D110" s="7"/>
      <c r="E110" s="54" t="str" cm="1">
        <f t="array" ref="E110">IF(A110&lt;&gt;"",OR(_xlfn.TEXTJOIN("",FALSE,A110:D110)=ĐGVC!$B$6:$B$201&amp;ĐGVC!$C$6:$C$201&amp;ĐGVC!$D$6:$D$201&amp;ĐGVC!$E$6:$E$201),"")</f>
        <v/>
      </c>
    </row>
    <row r="111" spans="1:5" x14ac:dyDescent="0.35">
      <c r="A111" s="7"/>
      <c r="B111" s="7"/>
      <c r="C111" s="7"/>
      <c r="D111" s="7"/>
      <c r="E111" s="54" t="str" cm="1">
        <f t="array" ref="E111">IF(A111&lt;&gt;"",OR(_xlfn.TEXTJOIN("",FALSE,A111:D111)=ĐGVC!$B$6:$B$201&amp;ĐGVC!$C$6:$C$201&amp;ĐGVC!$D$6:$D$201&amp;ĐGVC!$E$6:$E$201),"")</f>
        <v/>
      </c>
    </row>
    <row r="112" spans="1:5" x14ac:dyDescent="0.35">
      <c r="A112" s="7"/>
      <c r="B112" s="7"/>
      <c r="C112" s="7"/>
      <c r="D112" s="7"/>
      <c r="E112" s="54" t="str" cm="1">
        <f t="array" ref="E112">IF(A112&lt;&gt;"",OR(_xlfn.TEXTJOIN("",FALSE,A112:D112)=ĐGVC!$B$6:$B$201&amp;ĐGVC!$C$6:$C$201&amp;ĐGVC!$D$6:$D$201&amp;ĐGVC!$E$6:$E$201),"")</f>
        <v/>
      </c>
    </row>
    <row r="113" spans="1:5" x14ac:dyDescent="0.35">
      <c r="A113" s="7"/>
      <c r="B113" s="7"/>
      <c r="C113" s="7"/>
      <c r="D113" s="7"/>
      <c r="E113" s="54" t="str" cm="1">
        <f t="array" ref="E113">IF(A113&lt;&gt;"",OR(_xlfn.TEXTJOIN("",FALSE,A113:D113)=ĐGVC!$B$6:$B$201&amp;ĐGVC!$C$6:$C$201&amp;ĐGVC!$D$6:$D$201&amp;ĐGVC!$E$6:$E$201),"")</f>
        <v/>
      </c>
    </row>
    <row r="114" spans="1:5" x14ac:dyDescent="0.35">
      <c r="A114" s="7"/>
      <c r="B114" s="7"/>
      <c r="C114" s="7"/>
      <c r="D114" s="7"/>
      <c r="E114" s="54" t="str" cm="1">
        <f t="array" ref="E114">IF(A114&lt;&gt;"",OR(_xlfn.TEXTJOIN("",FALSE,A114:D114)=ĐGVC!$B$6:$B$201&amp;ĐGVC!$C$6:$C$201&amp;ĐGVC!$D$6:$D$201&amp;ĐGVC!$E$6:$E$201),"")</f>
        <v/>
      </c>
    </row>
    <row r="115" spans="1:5" x14ac:dyDescent="0.35">
      <c r="A115" s="7"/>
      <c r="B115" s="7"/>
      <c r="C115" s="7"/>
      <c r="D115" s="7"/>
      <c r="E115" s="54" t="str" cm="1">
        <f t="array" ref="E115">IF(A115&lt;&gt;"",OR(_xlfn.TEXTJOIN("",FALSE,A115:D115)=ĐGVC!$B$6:$B$201&amp;ĐGVC!$C$6:$C$201&amp;ĐGVC!$D$6:$D$201&amp;ĐGVC!$E$6:$E$201),"")</f>
        <v/>
      </c>
    </row>
    <row r="116" spans="1:5" x14ac:dyDescent="0.35">
      <c r="A116" s="7"/>
      <c r="B116" s="7"/>
      <c r="C116" s="7"/>
      <c r="D116" s="7"/>
      <c r="E116" s="54" t="str" cm="1">
        <f t="array" ref="E116">IF(A116&lt;&gt;"",OR(_xlfn.TEXTJOIN("",FALSE,A116:D116)=ĐGVC!$B$6:$B$201&amp;ĐGVC!$C$6:$C$201&amp;ĐGVC!$D$6:$D$201&amp;ĐGVC!$E$6:$E$201),"")</f>
        <v/>
      </c>
    </row>
    <row r="117" spans="1:5" x14ac:dyDescent="0.35">
      <c r="A117" s="7"/>
      <c r="B117" s="7"/>
      <c r="C117" s="7"/>
      <c r="D117" s="7"/>
      <c r="E117" s="54" t="str" cm="1">
        <f t="array" ref="E117">IF(A117&lt;&gt;"",OR(_xlfn.TEXTJOIN("",FALSE,A117:D117)=ĐGVC!$B$6:$B$201&amp;ĐGVC!$C$6:$C$201&amp;ĐGVC!$D$6:$D$201&amp;ĐGVC!$E$6:$E$201),"")</f>
        <v/>
      </c>
    </row>
    <row r="118" spans="1:5" x14ac:dyDescent="0.35">
      <c r="A118" s="7"/>
      <c r="B118" s="7"/>
      <c r="C118" s="7"/>
      <c r="D118" s="7"/>
      <c r="E118" s="54" t="str" cm="1">
        <f t="array" ref="E118">IF(A118&lt;&gt;"",OR(_xlfn.TEXTJOIN("",FALSE,A118:D118)=ĐGVC!$B$6:$B$201&amp;ĐGVC!$C$6:$C$201&amp;ĐGVC!$D$6:$D$201&amp;ĐGVC!$E$6:$E$201),"")</f>
        <v/>
      </c>
    </row>
    <row r="119" spans="1:5" x14ac:dyDescent="0.35">
      <c r="A119" s="7"/>
      <c r="B119" s="7"/>
      <c r="C119" s="7"/>
      <c r="D119" s="7"/>
      <c r="E119" s="54" t="str" cm="1">
        <f t="array" ref="E119">IF(A119&lt;&gt;"",OR(_xlfn.TEXTJOIN("",FALSE,A119:D119)=ĐGVC!$B$6:$B$201&amp;ĐGVC!$C$6:$C$201&amp;ĐGVC!$D$6:$D$201&amp;ĐGVC!$E$6:$E$201),"")</f>
        <v/>
      </c>
    </row>
    <row r="120" spans="1:5" x14ac:dyDescent="0.35">
      <c r="A120" s="7"/>
      <c r="B120" s="7"/>
      <c r="C120" s="7"/>
      <c r="D120" s="7"/>
      <c r="E120" s="54" t="str" cm="1">
        <f t="array" ref="E120">IF(A120&lt;&gt;"",OR(_xlfn.TEXTJOIN("",FALSE,A120:D120)=ĐGVC!$B$6:$B$201&amp;ĐGVC!$C$6:$C$201&amp;ĐGVC!$D$6:$D$201&amp;ĐGVC!$E$6:$E$201),"")</f>
        <v/>
      </c>
    </row>
    <row r="121" spans="1:5" x14ac:dyDescent="0.35">
      <c r="A121" s="7"/>
      <c r="B121" s="7"/>
      <c r="C121" s="7"/>
      <c r="D121" s="7"/>
      <c r="E121" s="54" t="str" cm="1">
        <f t="array" ref="E121">IF(A121&lt;&gt;"",OR(_xlfn.TEXTJOIN("",FALSE,A121:D121)=ĐGVC!$B$6:$B$201&amp;ĐGVC!$C$6:$C$201&amp;ĐGVC!$D$6:$D$201&amp;ĐGVC!$E$6:$E$201),"")</f>
        <v/>
      </c>
    </row>
    <row r="122" spans="1:5" x14ac:dyDescent="0.35">
      <c r="A122" s="7"/>
      <c r="B122" s="7"/>
      <c r="C122" s="7"/>
      <c r="D122" s="7"/>
      <c r="E122" s="54" t="str" cm="1">
        <f t="array" ref="E122">IF(A122&lt;&gt;"",OR(_xlfn.TEXTJOIN("",FALSE,A122:D122)=ĐGVC!$B$6:$B$201&amp;ĐGVC!$C$6:$C$201&amp;ĐGVC!$D$6:$D$201&amp;ĐGVC!$E$6:$E$201),"")</f>
        <v/>
      </c>
    </row>
    <row r="123" spans="1:5" x14ac:dyDescent="0.35">
      <c r="A123" s="7"/>
      <c r="B123" s="7"/>
      <c r="C123" s="7"/>
      <c r="D123" s="7"/>
      <c r="E123" s="54" t="str" cm="1">
        <f t="array" ref="E123">IF(A123&lt;&gt;"",OR(_xlfn.TEXTJOIN("",FALSE,A123:D123)=ĐGVC!$B$6:$B$201&amp;ĐGVC!$C$6:$C$201&amp;ĐGVC!$D$6:$D$201&amp;ĐGVC!$E$6:$E$201),"")</f>
        <v/>
      </c>
    </row>
    <row r="124" spans="1:5" x14ac:dyDescent="0.35">
      <c r="A124" s="7"/>
      <c r="B124" s="7"/>
      <c r="C124" s="7"/>
      <c r="D124" s="7"/>
      <c r="E124" s="54" t="str" cm="1">
        <f t="array" ref="E124">IF(A124&lt;&gt;"",OR(_xlfn.TEXTJOIN("",FALSE,A124:D124)=ĐGVC!$B$6:$B$201&amp;ĐGVC!$C$6:$C$201&amp;ĐGVC!$D$6:$D$201&amp;ĐGVC!$E$6:$E$201),"")</f>
        <v/>
      </c>
    </row>
    <row r="125" spans="1:5" x14ac:dyDescent="0.35">
      <c r="A125" s="7"/>
      <c r="B125" s="7"/>
      <c r="C125" s="7"/>
      <c r="D125" s="7"/>
      <c r="E125" s="54" t="str" cm="1">
        <f t="array" ref="E125">IF(A125&lt;&gt;"",OR(_xlfn.TEXTJOIN("",FALSE,A125:D125)=ĐGVC!$B$6:$B$201&amp;ĐGVC!$C$6:$C$201&amp;ĐGVC!$D$6:$D$201&amp;ĐGVC!$E$6:$E$201),"")</f>
        <v/>
      </c>
    </row>
    <row r="126" spans="1:5" x14ac:dyDescent="0.35">
      <c r="A126" s="7"/>
      <c r="B126" s="7"/>
      <c r="C126" s="7"/>
      <c r="D126" s="7"/>
      <c r="E126" s="54" t="str" cm="1">
        <f t="array" ref="E126">IF(A126&lt;&gt;"",OR(_xlfn.TEXTJOIN("",FALSE,A126:D126)=ĐGVC!$B$6:$B$201&amp;ĐGVC!$C$6:$C$201&amp;ĐGVC!$D$6:$D$201&amp;ĐGVC!$E$6:$E$201),"")</f>
        <v/>
      </c>
    </row>
    <row r="127" spans="1:5" x14ac:dyDescent="0.35">
      <c r="A127" s="7"/>
      <c r="B127" s="7"/>
      <c r="C127" s="7"/>
      <c r="D127" s="7"/>
      <c r="E127" s="54" t="str" cm="1">
        <f t="array" ref="E127">IF(A127&lt;&gt;"",OR(_xlfn.TEXTJOIN("",FALSE,A127:D127)=ĐGVC!$B$6:$B$201&amp;ĐGVC!$C$6:$C$201&amp;ĐGVC!$D$6:$D$201&amp;ĐGVC!$E$6:$E$201),"")</f>
        <v/>
      </c>
    </row>
    <row r="128" spans="1:5" x14ac:dyDescent="0.35">
      <c r="A128" s="7"/>
      <c r="B128" s="7"/>
      <c r="C128" s="7"/>
      <c r="D128" s="7"/>
      <c r="E128" s="54" t="str" cm="1">
        <f t="array" ref="E128">IF(A128&lt;&gt;"",OR(_xlfn.TEXTJOIN("",FALSE,A128:D128)=ĐGVC!$B$6:$B$201&amp;ĐGVC!$C$6:$C$201&amp;ĐGVC!$D$6:$D$201&amp;ĐGVC!$E$6:$E$201),"")</f>
        <v/>
      </c>
    </row>
    <row r="129" spans="1:5" x14ac:dyDescent="0.35">
      <c r="A129" s="7"/>
      <c r="B129" s="7"/>
      <c r="C129" s="7"/>
      <c r="D129" s="7"/>
      <c r="E129" s="54" t="str" cm="1">
        <f t="array" ref="E129">IF(A129&lt;&gt;"",OR(_xlfn.TEXTJOIN("",FALSE,A129:D129)=ĐGVC!$B$6:$B$201&amp;ĐGVC!$C$6:$C$201&amp;ĐGVC!$D$6:$D$201&amp;ĐGVC!$E$6:$E$201),"")</f>
        <v/>
      </c>
    </row>
    <row r="130" spans="1:5" x14ac:dyDescent="0.35">
      <c r="A130" s="7"/>
      <c r="B130" s="7"/>
      <c r="C130" s="7"/>
      <c r="D130" s="7"/>
      <c r="E130" s="54" t="str" cm="1">
        <f t="array" ref="E130">IF(A130&lt;&gt;"",OR(_xlfn.TEXTJOIN("",FALSE,A130:D130)=ĐGVC!$B$6:$B$201&amp;ĐGVC!$C$6:$C$201&amp;ĐGVC!$D$6:$D$201&amp;ĐGVC!$E$6:$E$201),"")</f>
        <v/>
      </c>
    </row>
    <row r="131" spans="1:5" x14ac:dyDescent="0.35">
      <c r="A131" s="7"/>
      <c r="B131" s="7"/>
      <c r="C131" s="7"/>
      <c r="D131" s="7"/>
      <c r="E131" s="54" t="str" cm="1">
        <f t="array" ref="E131">IF(A131&lt;&gt;"",OR(_xlfn.TEXTJOIN("",FALSE,A131:D131)=ĐGVC!$B$6:$B$201&amp;ĐGVC!$C$6:$C$201&amp;ĐGVC!$D$6:$D$201&amp;ĐGVC!$E$6:$E$201),"")</f>
        <v/>
      </c>
    </row>
    <row r="132" spans="1:5" x14ac:dyDescent="0.35">
      <c r="A132" s="7"/>
      <c r="B132" s="7"/>
      <c r="C132" s="7"/>
      <c r="D132" s="7"/>
      <c r="E132" s="54" t="str" cm="1">
        <f t="array" ref="E132">IF(A132&lt;&gt;"",OR(_xlfn.TEXTJOIN("",FALSE,A132:D132)=ĐGVC!$B$6:$B$201&amp;ĐGVC!$C$6:$C$201&amp;ĐGVC!$D$6:$D$201&amp;ĐGVC!$E$6:$E$201),"")</f>
        <v/>
      </c>
    </row>
    <row r="133" spans="1:5" x14ac:dyDescent="0.35">
      <c r="A133" s="7"/>
      <c r="B133" s="7"/>
      <c r="C133" s="7"/>
      <c r="D133" s="7"/>
      <c r="E133" s="54" t="str" cm="1">
        <f t="array" ref="E133">IF(A133&lt;&gt;"",OR(_xlfn.TEXTJOIN("",FALSE,A133:D133)=ĐGVC!$B$6:$B$201&amp;ĐGVC!$C$6:$C$201&amp;ĐGVC!$D$6:$D$201&amp;ĐGVC!$E$6:$E$201),"")</f>
        <v/>
      </c>
    </row>
    <row r="134" spans="1:5" x14ac:dyDescent="0.35">
      <c r="A134" s="7"/>
      <c r="B134" s="7"/>
      <c r="C134" s="7"/>
      <c r="D134" s="7"/>
      <c r="E134" s="54" t="str" cm="1">
        <f t="array" ref="E134">IF(A134&lt;&gt;"",OR(_xlfn.TEXTJOIN("",FALSE,A134:D134)=ĐGVC!$B$6:$B$201&amp;ĐGVC!$C$6:$C$201&amp;ĐGVC!$D$6:$D$201&amp;ĐGVC!$E$6:$E$201),"")</f>
        <v/>
      </c>
    </row>
    <row r="135" spans="1:5" x14ac:dyDescent="0.35">
      <c r="A135" s="7"/>
      <c r="B135" s="7"/>
      <c r="C135" s="7"/>
      <c r="D135" s="7"/>
      <c r="E135" s="54" t="str" cm="1">
        <f t="array" ref="E135">IF(A135&lt;&gt;"",OR(_xlfn.TEXTJOIN("",FALSE,A135:D135)=ĐGVC!$B$6:$B$201&amp;ĐGVC!$C$6:$C$201&amp;ĐGVC!$D$6:$D$201&amp;ĐGVC!$E$6:$E$201),"")</f>
        <v/>
      </c>
    </row>
    <row r="136" spans="1:5" x14ac:dyDescent="0.35">
      <c r="A136" s="7"/>
      <c r="B136" s="7"/>
      <c r="C136" s="7"/>
      <c r="D136" s="7"/>
      <c r="E136" s="54" t="str" cm="1">
        <f t="array" ref="E136">IF(A136&lt;&gt;"",OR(_xlfn.TEXTJOIN("",FALSE,A136:D136)=ĐGVC!$B$6:$B$201&amp;ĐGVC!$C$6:$C$201&amp;ĐGVC!$D$6:$D$201&amp;ĐGVC!$E$6:$E$201),"")</f>
        <v/>
      </c>
    </row>
    <row r="137" spans="1:5" x14ac:dyDescent="0.35">
      <c r="A137" s="7"/>
      <c r="B137" s="7"/>
      <c r="C137" s="7"/>
      <c r="D137" s="7"/>
      <c r="E137" s="54" t="str" cm="1">
        <f t="array" ref="E137">IF(A137&lt;&gt;"",OR(_xlfn.TEXTJOIN("",FALSE,A137:D137)=ĐGVC!$B$6:$B$201&amp;ĐGVC!$C$6:$C$201&amp;ĐGVC!$D$6:$D$201&amp;ĐGVC!$E$6:$E$201),"")</f>
        <v/>
      </c>
    </row>
    <row r="138" spans="1:5" x14ac:dyDescent="0.35">
      <c r="A138" s="7"/>
      <c r="B138" s="7"/>
      <c r="C138" s="7"/>
      <c r="D138" s="7"/>
      <c r="E138" s="54" t="str" cm="1">
        <f t="array" ref="E138">IF(A138&lt;&gt;"",OR(_xlfn.TEXTJOIN("",FALSE,A138:D138)=ĐGVC!$B$6:$B$201&amp;ĐGVC!$C$6:$C$201&amp;ĐGVC!$D$6:$D$201&amp;ĐGVC!$E$6:$E$201),"")</f>
        <v/>
      </c>
    </row>
    <row r="139" spans="1:5" x14ac:dyDescent="0.35">
      <c r="A139" s="7"/>
      <c r="B139" s="7"/>
      <c r="C139" s="7"/>
      <c r="D139" s="7"/>
      <c r="E139" s="54" t="str" cm="1">
        <f t="array" ref="E139">IF(A139&lt;&gt;"",OR(_xlfn.TEXTJOIN("",FALSE,A139:D139)=ĐGVC!$B$6:$B$201&amp;ĐGVC!$C$6:$C$201&amp;ĐGVC!$D$6:$D$201&amp;ĐGVC!$E$6:$E$201),"")</f>
        <v/>
      </c>
    </row>
    <row r="140" spans="1:5" x14ac:dyDescent="0.35">
      <c r="A140" s="7"/>
      <c r="B140" s="7"/>
      <c r="C140" s="7"/>
      <c r="D140" s="7"/>
      <c r="E140" s="54" t="str" cm="1">
        <f t="array" ref="E140">IF(A140&lt;&gt;"",OR(_xlfn.TEXTJOIN("",FALSE,A140:D140)=ĐGVC!$B$6:$B$201&amp;ĐGVC!$C$6:$C$201&amp;ĐGVC!$D$6:$D$201&amp;ĐGVC!$E$6:$E$201),"")</f>
        <v/>
      </c>
    </row>
    <row r="141" spans="1:5" x14ac:dyDescent="0.35">
      <c r="A141" s="7"/>
      <c r="B141" s="7"/>
      <c r="C141" s="7"/>
      <c r="D141" s="7"/>
      <c r="E141" s="54" t="str" cm="1">
        <f t="array" ref="E141">IF(A141&lt;&gt;"",OR(_xlfn.TEXTJOIN("",FALSE,A141:D141)=ĐGVC!$B$6:$B$201&amp;ĐGVC!$C$6:$C$201&amp;ĐGVC!$D$6:$D$201&amp;ĐGVC!$E$6:$E$201),"")</f>
        <v/>
      </c>
    </row>
    <row r="142" spans="1:5" x14ac:dyDescent="0.35">
      <c r="A142" s="7"/>
      <c r="B142" s="7"/>
      <c r="C142" s="7"/>
      <c r="D142" s="7"/>
      <c r="E142" s="54" t="str" cm="1">
        <f t="array" ref="E142">IF(A142&lt;&gt;"",OR(_xlfn.TEXTJOIN("",FALSE,A142:D142)=ĐGVC!$B$6:$B$201&amp;ĐGVC!$C$6:$C$201&amp;ĐGVC!$D$6:$D$201&amp;ĐGVC!$E$6:$E$201),"")</f>
        <v/>
      </c>
    </row>
    <row r="143" spans="1:5" x14ac:dyDescent="0.35">
      <c r="A143" s="7"/>
      <c r="B143" s="7"/>
      <c r="C143" s="7"/>
      <c r="D143" s="7"/>
      <c r="E143" s="54" t="str" cm="1">
        <f t="array" ref="E143">IF(A143&lt;&gt;"",OR(_xlfn.TEXTJOIN("",FALSE,A143:D143)=ĐGVC!$B$6:$B$201&amp;ĐGVC!$C$6:$C$201&amp;ĐGVC!$D$6:$D$201&amp;ĐGVC!$E$6:$E$201),"")</f>
        <v/>
      </c>
    </row>
    <row r="144" spans="1:5" x14ac:dyDescent="0.35">
      <c r="A144" s="7"/>
      <c r="B144" s="7"/>
      <c r="C144" s="7"/>
      <c r="D144" s="7"/>
      <c r="E144" s="54" t="str" cm="1">
        <f t="array" ref="E144">IF(A144&lt;&gt;"",OR(_xlfn.TEXTJOIN("",FALSE,A144:D144)=ĐGVC!$B$6:$B$201&amp;ĐGVC!$C$6:$C$201&amp;ĐGVC!$D$6:$D$201&amp;ĐGVC!$E$6:$E$201),"")</f>
        <v/>
      </c>
    </row>
    <row r="145" spans="1:5" x14ac:dyDescent="0.35">
      <c r="A145" s="7"/>
      <c r="B145" s="7"/>
      <c r="C145" s="7"/>
      <c r="D145" s="7"/>
      <c r="E145" s="54" t="str" cm="1">
        <f t="array" ref="E145">IF(A145&lt;&gt;"",OR(_xlfn.TEXTJOIN("",FALSE,A145:D145)=ĐGVC!$B$6:$B$201&amp;ĐGVC!$C$6:$C$201&amp;ĐGVC!$D$6:$D$201&amp;ĐGVC!$E$6:$E$201),"")</f>
        <v/>
      </c>
    </row>
    <row r="146" spans="1:5" x14ac:dyDescent="0.35">
      <c r="A146" s="7"/>
      <c r="B146" s="7"/>
      <c r="C146" s="7"/>
      <c r="D146" s="7"/>
      <c r="E146" s="54" t="str" cm="1">
        <f t="array" ref="E146">IF(A146&lt;&gt;"",OR(_xlfn.TEXTJOIN("",FALSE,A146:D146)=ĐGVC!$B$6:$B$201&amp;ĐGVC!$C$6:$C$201&amp;ĐGVC!$D$6:$D$201&amp;ĐGVC!$E$6:$E$201),"")</f>
        <v/>
      </c>
    </row>
    <row r="147" spans="1:5" x14ac:dyDescent="0.35">
      <c r="A147" s="7"/>
      <c r="B147" s="7"/>
      <c r="C147" s="7"/>
      <c r="D147" s="7"/>
      <c r="E147" s="54" t="str" cm="1">
        <f t="array" ref="E147">IF(A147&lt;&gt;"",OR(_xlfn.TEXTJOIN("",FALSE,A147:D147)=ĐGVC!$B$6:$B$201&amp;ĐGVC!$C$6:$C$201&amp;ĐGVC!$D$6:$D$201&amp;ĐGVC!$E$6:$E$201),"")</f>
        <v/>
      </c>
    </row>
    <row r="148" spans="1:5" x14ac:dyDescent="0.35">
      <c r="A148" s="7"/>
      <c r="B148" s="7"/>
      <c r="C148" s="7"/>
      <c r="D148" s="7"/>
      <c r="E148" s="54" t="str" cm="1">
        <f t="array" ref="E148">IF(A148&lt;&gt;"",OR(_xlfn.TEXTJOIN("",FALSE,A148:D148)=ĐGVC!$B$6:$B$201&amp;ĐGVC!$C$6:$C$201&amp;ĐGVC!$D$6:$D$201&amp;ĐGVC!$E$6:$E$201),"")</f>
        <v/>
      </c>
    </row>
    <row r="149" spans="1:5" x14ac:dyDescent="0.35">
      <c r="A149" s="7"/>
      <c r="B149" s="7"/>
      <c r="C149" s="7"/>
      <c r="D149" s="7"/>
      <c r="E149" s="54" t="str" cm="1">
        <f t="array" ref="E149">IF(A149&lt;&gt;"",OR(_xlfn.TEXTJOIN("",FALSE,A149:D149)=ĐGVC!$B$6:$B$201&amp;ĐGVC!$C$6:$C$201&amp;ĐGVC!$D$6:$D$201&amp;ĐGVC!$E$6:$E$201),"")</f>
        <v/>
      </c>
    </row>
    <row r="150" spans="1:5" x14ac:dyDescent="0.35">
      <c r="A150" s="7"/>
      <c r="B150" s="7"/>
      <c r="C150" s="7"/>
      <c r="D150" s="7"/>
      <c r="E150" s="54" t="str" cm="1">
        <f t="array" ref="E150">IF(A150&lt;&gt;"",OR(_xlfn.TEXTJOIN("",FALSE,A150:D150)=ĐGVC!$B$6:$B$201&amp;ĐGVC!$C$6:$C$201&amp;ĐGVC!$D$6:$D$201&amp;ĐGVC!$E$6:$E$201),"")</f>
        <v/>
      </c>
    </row>
    <row r="151" spans="1:5" x14ac:dyDescent="0.35">
      <c r="A151" s="7"/>
      <c r="B151" s="7"/>
      <c r="C151" s="7"/>
      <c r="D151" s="7"/>
      <c r="E151" s="54" t="str" cm="1">
        <f t="array" ref="E151">IF(A151&lt;&gt;"",OR(_xlfn.TEXTJOIN("",FALSE,A151:D151)=ĐGVC!$B$6:$B$201&amp;ĐGVC!$C$6:$C$201&amp;ĐGVC!$D$6:$D$201&amp;ĐGVC!$E$6:$E$201),"")</f>
        <v/>
      </c>
    </row>
    <row r="152" spans="1:5" x14ac:dyDescent="0.35">
      <c r="A152" s="7"/>
      <c r="B152" s="7"/>
      <c r="C152" s="7"/>
      <c r="D152" s="7"/>
      <c r="E152" s="54" t="str" cm="1">
        <f t="array" ref="E152">IF(A152&lt;&gt;"",OR(_xlfn.TEXTJOIN("",FALSE,A152:D152)=ĐGVC!$B$6:$B$201&amp;ĐGVC!$C$6:$C$201&amp;ĐGVC!$D$6:$D$201&amp;ĐGVC!$E$6:$E$201),"")</f>
        <v/>
      </c>
    </row>
    <row r="153" spans="1:5" x14ac:dyDescent="0.35">
      <c r="A153" s="7"/>
      <c r="B153" s="7"/>
      <c r="C153" s="7"/>
      <c r="D153" s="7"/>
      <c r="E153" s="54" t="str" cm="1">
        <f t="array" ref="E153">IF(A153&lt;&gt;"",OR(_xlfn.TEXTJOIN("",FALSE,A153:D153)=ĐGVC!$B$6:$B$201&amp;ĐGVC!$C$6:$C$201&amp;ĐGVC!$D$6:$D$201&amp;ĐGVC!$E$6:$E$201),"")</f>
        <v/>
      </c>
    </row>
    <row r="154" spans="1:5" x14ac:dyDescent="0.35">
      <c r="A154" s="7"/>
      <c r="B154" s="7"/>
      <c r="C154" s="7"/>
      <c r="D154" s="7"/>
      <c r="E154" s="54" t="str" cm="1">
        <f t="array" ref="E154">IF(A154&lt;&gt;"",OR(_xlfn.TEXTJOIN("",FALSE,A154:D154)=ĐGVC!$B$6:$B$201&amp;ĐGVC!$C$6:$C$201&amp;ĐGVC!$D$6:$D$201&amp;ĐGVC!$E$6:$E$201),"")</f>
        <v/>
      </c>
    </row>
    <row r="155" spans="1:5" x14ac:dyDescent="0.35">
      <c r="A155" s="7"/>
      <c r="B155" s="7"/>
      <c r="C155" s="7"/>
      <c r="D155" s="7"/>
      <c r="E155" s="54" t="str" cm="1">
        <f t="array" ref="E155">IF(A155&lt;&gt;"",OR(_xlfn.TEXTJOIN("",FALSE,A155:D155)=ĐGVC!$B$6:$B$201&amp;ĐGVC!$C$6:$C$201&amp;ĐGVC!$D$6:$D$201&amp;ĐGVC!$E$6:$E$201),"")</f>
        <v/>
      </c>
    </row>
    <row r="156" spans="1:5" x14ac:dyDescent="0.35">
      <c r="A156" s="7"/>
      <c r="B156" s="7"/>
      <c r="C156" s="7"/>
      <c r="D156" s="7"/>
      <c r="E156" s="54" t="str" cm="1">
        <f t="array" ref="E156">IF(A156&lt;&gt;"",OR(_xlfn.TEXTJOIN("",FALSE,A156:D156)=ĐGVC!$B$6:$B$201&amp;ĐGVC!$C$6:$C$201&amp;ĐGVC!$D$6:$D$201&amp;ĐGVC!$E$6:$E$201),"")</f>
        <v/>
      </c>
    </row>
    <row r="157" spans="1:5" x14ac:dyDescent="0.35">
      <c r="A157" s="7"/>
      <c r="B157" s="7"/>
      <c r="C157" s="7"/>
      <c r="D157" s="7"/>
      <c r="E157" s="54" t="str" cm="1">
        <f t="array" ref="E157">IF(A157&lt;&gt;"",OR(_xlfn.TEXTJOIN("",FALSE,A157:D157)=ĐGVC!$B$6:$B$201&amp;ĐGVC!$C$6:$C$201&amp;ĐGVC!$D$6:$D$201&amp;ĐGVC!$E$6:$E$201),"")</f>
        <v/>
      </c>
    </row>
    <row r="158" spans="1:5" x14ac:dyDescent="0.35">
      <c r="A158" s="7"/>
      <c r="B158" s="7"/>
      <c r="C158" s="7"/>
      <c r="D158" s="7"/>
      <c r="E158" s="54" t="str" cm="1">
        <f t="array" ref="E158">IF(A158&lt;&gt;"",OR(_xlfn.TEXTJOIN("",FALSE,A158:D158)=ĐGVC!$B$6:$B$201&amp;ĐGVC!$C$6:$C$201&amp;ĐGVC!$D$6:$D$201&amp;ĐGVC!$E$6:$E$201),"")</f>
        <v/>
      </c>
    </row>
    <row r="159" spans="1:5" x14ac:dyDescent="0.35">
      <c r="A159" s="7"/>
      <c r="B159" s="7"/>
      <c r="C159" s="7"/>
      <c r="D159" s="7"/>
      <c r="E159" s="54" t="str" cm="1">
        <f t="array" ref="E159">IF(A159&lt;&gt;"",OR(_xlfn.TEXTJOIN("",FALSE,A159:D159)=ĐGVC!$B$6:$B$201&amp;ĐGVC!$C$6:$C$201&amp;ĐGVC!$D$6:$D$201&amp;ĐGVC!$E$6:$E$201),"")</f>
        <v/>
      </c>
    </row>
    <row r="160" spans="1:5" x14ac:dyDescent="0.35">
      <c r="A160" s="7"/>
      <c r="B160" s="7"/>
      <c r="C160" s="7"/>
      <c r="D160" s="7"/>
      <c r="E160" s="54" t="str" cm="1">
        <f t="array" ref="E160">IF(A160&lt;&gt;"",OR(_xlfn.TEXTJOIN("",FALSE,A160:D160)=ĐGVC!$B$6:$B$201&amp;ĐGVC!$C$6:$C$201&amp;ĐGVC!$D$6:$D$201&amp;ĐGVC!$E$6:$E$201),"")</f>
        <v/>
      </c>
    </row>
    <row r="161" spans="1:5" x14ac:dyDescent="0.35">
      <c r="A161" s="7"/>
      <c r="B161" s="7"/>
      <c r="C161" s="7"/>
      <c r="D161" s="7"/>
      <c r="E161" s="54" t="str" cm="1">
        <f t="array" ref="E161">IF(A161&lt;&gt;"",OR(_xlfn.TEXTJOIN("",FALSE,A161:D161)=ĐGVC!$B$6:$B$201&amp;ĐGVC!$C$6:$C$201&amp;ĐGVC!$D$6:$D$201&amp;ĐGVC!$E$6:$E$201),"")</f>
        <v/>
      </c>
    </row>
    <row r="162" spans="1:5" x14ac:dyDescent="0.35">
      <c r="A162" s="7"/>
      <c r="B162" s="7"/>
      <c r="C162" s="7"/>
      <c r="D162" s="7"/>
      <c r="E162" s="54" t="str" cm="1">
        <f t="array" ref="E162">IF(A162&lt;&gt;"",OR(_xlfn.TEXTJOIN("",FALSE,A162:D162)=ĐGVC!$B$6:$B$201&amp;ĐGVC!$C$6:$C$201&amp;ĐGVC!$D$6:$D$201&amp;ĐGVC!$E$6:$E$201),"")</f>
        <v/>
      </c>
    </row>
    <row r="163" spans="1:5" x14ac:dyDescent="0.35">
      <c r="A163" s="7"/>
      <c r="B163" s="7"/>
      <c r="C163" s="7"/>
      <c r="D163" s="7"/>
      <c r="E163" s="54" t="str" cm="1">
        <f t="array" ref="E163">IF(A163&lt;&gt;"",OR(_xlfn.TEXTJOIN("",FALSE,A163:D163)=ĐGVC!$B$6:$B$201&amp;ĐGVC!$C$6:$C$201&amp;ĐGVC!$D$6:$D$201&amp;ĐGVC!$E$6:$E$201),"")</f>
        <v/>
      </c>
    </row>
    <row r="164" spans="1:5" x14ac:dyDescent="0.35">
      <c r="A164" s="7"/>
      <c r="B164" s="7"/>
      <c r="C164" s="7"/>
      <c r="D164" s="7"/>
      <c r="E164" s="54" t="str" cm="1">
        <f t="array" ref="E164">IF(A164&lt;&gt;"",OR(_xlfn.TEXTJOIN("",FALSE,A164:D164)=ĐGVC!$B$6:$B$201&amp;ĐGVC!$C$6:$C$201&amp;ĐGVC!$D$6:$D$201&amp;ĐGVC!$E$6:$E$201),"")</f>
        <v/>
      </c>
    </row>
    <row r="165" spans="1:5" x14ac:dyDescent="0.35">
      <c r="A165" s="7"/>
      <c r="B165" s="7"/>
      <c r="C165" s="7"/>
      <c r="D165" s="7"/>
      <c r="E165" s="54" t="str" cm="1">
        <f t="array" ref="E165">IF(A165&lt;&gt;"",OR(_xlfn.TEXTJOIN("",FALSE,A165:D165)=ĐGVC!$B$6:$B$201&amp;ĐGVC!$C$6:$C$201&amp;ĐGVC!$D$6:$D$201&amp;ĐGVC!$E$6:$E$201),"")</f>
        <v/>
      </c>
    </row>
    <row r="166" spans="1:5" x14ac:dyDescent="0.35">
      <c r="A166" s="7"/>
      <c r="B166" s="7"/>
      <c r="C166" s="7"/>
      <c r="D166" s="7"/>
      <c r="E166" s="54" t="str" cm="1">
        <f t="array" ref="E166">IF(A166&lt;&gt;"",OR(_xlfn.TEXTJOIN("",FALSE,A166:D166)=ĐGVC!$B$6:$B$201&amp;ĐGVC!$C$6:$C$201&amp;ĐGVC!$D$6:$D$201&amp;ĐGVC!$E$6:$E$201),"")</f>
        <v/>
      </c>
    </row>
    <row r="167" spans="1:5" x14ac:dyDescent="0.35">
      <c r="A167" s="7"/>
      <c r="B167" s="7"/>
      <c r="C167" s="7"/>
      <c r="D167" s="7"/>
      <c r="E167" s="54" t="str" cm="1">
        <f t="array" ref="E167">IF(A167&lt;&gt;"",OR(_xlfn.TEXTJOIN("",FALSE,A167:D167)=ĐGVC!$B$6:$B$201&amp;ĐGVC!$C$6:$C$201&amp;ĐGVC!$D$6:$D$201&amp;ĐGVC!$E$6:$E$201),"")</f>
        <v/>
      </c>
    </row>
    <row r="168" spans="1:5" x14ac:dyDescent="0.35">
      <c r="A168" s="7"/>
      <c r="B168" s="7"/>
      <c r="C168" s="7"/>
      <c r="D168" s="7"/>
      <c r="E168" s="54" t="str" cm="1">
        <f t="array" ref="E168">IF(A168&lt;&gt;"",OR(_xlfn.TEXTJOIN("",FALSE,A168:D168)=ĐGVC!$B$6:$B$201&amp;ĐGVC!$C$6:$C$201&amp;ĐGVC!$D$6:$D$201&amp;ĐGVC!$E$6:$E$201),"")</f>
        <v/>
      </c>
    </row>
    <row r="169" spans="1:5" x14ac:dyDescent="0.35">
      <c r="A169" s="7"/>
      <c r="B169" s="7"/>
      <c r="C169" s="7"/>
      <c r="D169" s="7"/>
      <c r="E169" s="54" t="str" cm="1">
        <f t="array" ref="E169">IF(A169&lt;&gt;"",OR(_xlfn.TEXTJOIN("",FALSE,A169:D169)=ĐGVC!$B$6:$B$201&amp;ĐGVC!$C$6:$C$201&amp;ĐGVC!$D$6:$D$201&amp;ĐGVC!$E$6:$E$201),"")</f>
        <v/>
      </c>
    </row>
    <row r="170" spans="1:5" x14ac:dyDescent="0.35">
      <c r="A170" s="7"/>
      <c r="B170" s="7"/>
      <c r="C170" s="7"/>
      <c r="D170" s="7"/>
      <c r="E170" s="54" t="str" cm="1">
        <f t="array" ref="E170">IF(A170&lt;&gt;"",OR(_xlfn.TEXTJOIN("",FALSE,A170:D170)=ĐGVC!$B$6:$B$201&amp;ĐGVC!$C$6:$C$201&amp;ĐGVC!$D$6:$D$201&amp;ĐGVC!$E$6:$E$201),"")</f>
        <v/>
      </c>
    </row>
    <row r="171" spans="1:5" x14ac:dyDescent="0.35">
      <c r="A171" s="7"/>
      <c r="B171" s="7"/>
      <c r="C171" s="7"/>
      <c r="D171" s="7"/>
      <c r="E171" s="54" t="str" cm="1">
        <f t="array" ref="E171">IF(A171&lt;&gt;"",OR(_xlfn.TEXTJOIN("",FALSE,A171:D171)=ĐGVC!$B$6:$B$201&amp;ĐGVC!$C$6:$C$201&amp;ĐGVC!$D$6:$D$201&amp;ĐGVC!$E$6:$E$201),"")</f>
        <v/>
      </c>
    </row>
    <row r="172" spans="1:5" x14ac:dyDescent="0.35">
      <c r="A172" s="7"/>
      <c r="B172" s="7"/>
      <c r="C172" s="7"/>
      <c r="D172" s="7"/>
      <c r="E172" s="54" t="str" cm="1">
        <f t="array" ref="E172">IF(A172&lt;&gt;"",OR(_xlfn.TEXTJOIN("",FALSE,A172:D172)=ĐGVC!$B$6:$B$201&amp;ĐGVC!$C$6:$C$201&amp;ĐGVC!$D$6:$D$201&amp;ĐGVC!$E$6:$E$201),"")</f>
        <v/>
      </c>
    </row>
    <row r="173" spans="1:5" x14ac:dyDescent="0.35">
      <c r="A173" s="7"/>
      <c r="B173" s="7"/>
      <c r="C173" s="7"/>
      <c r="D173" s="7"/>
      <c r="E173" s="54" t="str" cm="1">
        <f t="array" ref="E173">IF(A173&lt;&gt;"",OR(_xlfn.TEXTJOIN("",FALSE,A173:D173)=ĐGVC!$B$6:$B$201&amp;ĐGVC!$C$6:$C$201&amp;ĐGVC!$D$6:$D$201&amp;ĐGVC!$E$6:$E$201),"")</f>
        <v/>
      </c>
    </row>
    <row r="174" spans="1:5" x14ac:dyDescent="0.35">
      <c r="A174" s="7"/>
      <c r="B174" s="7"/>
      <c r="C174" s="7"/>
      <c r="D174" s="7"/>
      <c r="E174" s="54" t="str" cm="1">
        <f t="array" ref="E174">IF(A174&lt;&gt;"",OR(_xlfn.TEXTJOIN("",FALSE,A174:D174)=ĐGVC!$B$6:$B$201&amp;ĐGVC!$C$6:$C$201&amp;ĐGVC!$D$6:$D$201&amp;ĐGVC!$E$6:$E$201),"")</f>
        <v/>
      </c>
    </row>
    <row r="175" spans="1:5" x14ac:dyDescent="0.35">
      <c r="A175" s="7"/>
      <c r="B175" s="7"/>
      <c r="C175" s="7"/>
      <c r="D175" s="7"/>
      <c r="E175" s="54" t="str" cm="1">
        <f t="array" ref="E175">IF(A175&lt;&gt;"",OR(_xlfn.TEXTJOIN("",FALSE,A175:D175)=ĐGVC!$B$6:$B$201&amp;ĐGVC!$C$6:$C$201&amp;ĐGVC!$D$6:$D$201&amp;ĐGVC!$E$6:$E$201),"")</f>
        <v/>
      </c>
    </row>
    <row r="176" spans="1:5" x14ac:dyDescent="0.35">
      <c r="A176" s="7"/>
      <c r="B176" s="7"/>
      <c r="C176" s="7"/>
      <c r="D176" s="7"/>
      <c r="E176" s="54" t="str" cm="1">
        <f t="array" ref="E176">IF(A176&lt;&gt;"",OR(_xlfn.TEXTJOIN("",FALSE,A176:D176)=ĐGVC!$B$6:$B$201&amp;ĐGVC!$C$6:$C$201&amp;ĐGVC!$D$6:$D$201&amp;ĐGVC!$E$6:$E$201),"")</f>
        <v/>
      </c>
    </row>
    <row r="177" spans="1:5" x14ac:dyDescent="0.35">
      <c r="A177" s="7"/>
      <c r="B177" s="7"/>
      <c r="C177" s="7"/>
      <c r="D177" s="7"/>
      <c r="E177" s="54" t="str" cm="1">
        <f t="array" ref="E177">IF(A177&lt;&gt;"",OR(_xlfn.TEXTJOIN("",FALSE,A177:D177)=ĐGVC!$B$6:$B$201&amp;ĐGVC!$C$6:$C$201&amp;ĐGVC!$D$6:$D$201&amp;ĐGVC!$E$6:$E$201),"")</f>
        <v/>
      </c>
    </row>
    <row r="178" spans="1:5" x14ac:dyDescent="0.35">
      <c r="A178" s="7"/>
      <c r="B178" s="7"/>
      <c r="C178" s="7"/>
      <c r="D178" s="7"/>
      <c r="E178" s="54" t="str" cm="1">
        <f t="array" ref="E178">IF(A178&lt;&gt;"",OR(_xlfn.TEXTJOIN("",FALSE,A178:D178)=ĐGVC!$B$6:$B$201&amp;ĐGVC!$C$6:$C$201&amp;ĐGVC!$D$6:$D$201&amp;ĐGVC!$E$6:$E$201),"")</f>
        <v/>
      </c>
    </row>
    <row r="179" spans="1:5" x14ac:dyDescent="0.35">
      <c r="A179" s="7"/>
      <c r="B179" s="7"/>
      <c r="C179" s="7"/>
      <c r="D179" s="7"/>
      <c r="E179" s="54" t="str" cm="1">
        <f t="array" ref="E179">IF(A179&lt;&gt;"",OR(_xlfn.TEXTJOIN("",FALSE,A179:D179)=ĐGVC!$B$6:$B$201&amp;ĐGVC!$C$6:$C$201&amp;ĐGVC!$D$6:$D$201&amp;ĐGVC!$E$6:$E$201),"")</f>
        <v/>
      </c>
    </row>
    <row r="180" spans="1:5" x14ac:dyDescent="0.35">
      <c r="A180" s="7"/>
      <c r="B180" s="7"/>
      <c r="C180" s="7"/>
      <c r="D180" s="7"/>
      <c r="E180" s="54" t="str" cm="1">
        <f t="array" ref="E180">IF(A180&lt;&gt;"",OR(_xlfn.TEXTJOIN("",FALSE,A180:D180)=ĐGVC!$B$6:$B$201&amp;ĐGVC!$C$6:$C$201&amp;ĐGVC!$D$6:$D$201&amp;ĐGVC!$E$6:$E$201),"")</f>
        <v/>
      </c>
    </row>
    <row r="181" spans="1:5" x14ac:dyDescent="0.35">
      <c r="A181" s="7"/>
      <c r="B181" s="7"/>
      <c r="C181" s="7"/>
      <c r="D181" s="7"/>
      <c r="E181" s="54" t="str" cm="1">
        <f t="array" ref="E181">IF(A181&lt;&gt;"",OR(_xlfn.TEXTJOIN("",FALSE,A181:D181)=ĐGVC!$B$6:$B$201&amp;ĐGVC!$C$6:$C$201&amp;ĐGVC!$D$6:$D$201&amp;ĐGVC!$E$6:$E$201),"")</f>
        <v/>
      </c>
    </row>
    <row r="182" spans="1:5" x14ac:dyDescent="0.35">
      <c r="A182" s="7"/>
      <c r="B182" s="7"/>
      <c r="C182" s="7"/>
      <c r="D182" s="7"/>
      <c r="E182" s="54" t="str" cm="1">
        <f t="array" ref="E182">IF(A182&lt;&gt;"",OR(_xlfn.TEXTJOIN("",FALSE,A182:D182)=ĐGVC!$B$6:$B$201&amp;ĐGVC!$C$6:$C$201&amp;ĐGVC!$D$6:$D$201&amp;ĐGVC!$E$6:$E$201),"")</f>
        <v/>
      </c>
    </row>
    <row r="183" spans="1:5" x14ac:dyDescent="0.35">
      <c r="A183" s="7"/>
      <c r="B183" s="7"/>
      <c r="C183" s="7"/>
      <c r="D183" s="7"/>
      <c r="E183" s="54" t="str" cm="1">
        <f t="array" ref="E183">IF(A183&lt;&gt;"",OR(_xlfn.TEXTJOIN("",FALSE,A183:D183)=ĐGVC!$B$6:$B$201&amp;ĐGVC!$C$6:$C$201&amp;ĐGVC!$D$6:$D$201&amp;ĐGVC!$E$6:$E$201),"")</f>
        <v/>
      </c>
    </row>
    <row r="184" spans="1:5" x14ac:dyDescent="0.35">
      <c r="A184" s="7"/>
      <c r="B184" s="7"/>
      <c r="C184" s="7"/>
      <c r="D184" s="7"/>
      <c r="E184" s="54" t="str" cm="1">
        <f t="array" ref="E184">IF(A184&lt;&gt;"",OR(_xlfn.TEXTJOIN("",FALSE,A184:D184)=ĐGVC!$B$6:$B$201&amp;ĐGVC!$C$6:$C$201&amp;ĐGVC!$D$6:$D$201&amp;ĐGVC!$E$6:$E$201),"")</f>
        <v/>
      </c>
    </row>
    <row r="185" spans="1:5" x14ac:dyDescent="0.35">
      <c r="A185" s="7"/>
      <c r="B185" s="7"/>
      <c r="C185" s="7"/>
      <c r="D185" s="7"/>
      <c r="E185" s="54" t="str" cm="1">
        <f t="array" ref="E185">IF(A185&lt;&gt;"",OR(_xlfn.TEXTJOIN("",FALSE,A185:D185)=ĐGVC!$B$6:$B$201&amp;ĐGVC!$C$6:$C$201&amp;ĐGVC!$D$6:$D$201&amp;ĐGVC!$E$6:$E$201),"")</f>
        <v/>
      </c>
    </row>
    <row r="186" spans="1:5" x14ac:dyDescent="0.35">
      <c r="A186" s="7"/>
      <c r="B186" s="7"/>
      <c r="C186" s="7"/>
      <c r="D186" s="7"/>
      <c r="E186" s="54" t="str" cm="1">
        <f t="array" ref="E186">IF(A186&lt;&gt;"",OR(_xlfn.TEXTJOIN("",FALSE,A186:D186)=ĐGVC!$B$6:$B$201&amp;ĐGVC!$C$6:$C$201&amp;ĐGVC!$D$6:$D$201&amp;ĐGVC!$E$6:$E$201),"")</f>
        <v/>
      </c>
    </row>
    <row r="187" spans="1:5" x14ac:dyDescent="0.35">
      <c r="A187" s="7"/>
      <c r="B187" s="7"/>
      <c r="C187" s="7"/>
      <c r="D187" s="7"/>
      <c r="E187" s="54" t="str" cm="1">
        <f t="array" ref="E187">IF(A187&lt;&gt;"",OR(_xlfn.TEXTJOIN("",FALSE,A187:D187)=ĐGVC!$B$6:$B$201&amp;ĐGVC!$C$6:$C$201&amp;ĐGVC!$D$6:$D$201&amp;ĐGVC!$E$6:$E$201),"")</f>
        <v/>
      </c>
    </row>
    <row r="188" spans="1:5" x14ac:dyDescent="0.35">
      <c r="A188" s="7"/>
      <c r="B188" s="7"/>
      <c r="C188" s="7"/>
      <c r="D188" s="7"/>
      <c r="E188" s="54" t="str" cm="1">
        <f t="array" ref="E188">IF(A188&lt;&gt;"",OR(_xlfn.TEXTJOIN("",FALSE,A188:D188)=ĐGVC!$B$6:$B$201&amp;ĐGVC!$C$6:$C$201&amp;ĐGVC!$D$6:$D$201&amp;ĐGVC!$E$6:$E$201),"")</f>
        <v/>
      </c>
    </row>
    <row r="189" spans="1:5" x14ac:dyDescent="0.35">
      <c r="A189" s="7"/>
      <c r="B189" s="7"/>
      <c r="C189" s="7"/>
      <c r="D189" s="7"/>
      <c r="E189" s="54" t="str" cm="1">
        <f t="array" ref="E189">IF(A189&lt;&gt;"",OR(_xlfn.TEXTJOIN("",FALSE,A189:D189)=ĐGVC!$B$6:$B$201&amp;ĐGVC!$C$6:$C$201&amp;ĐGVC!$D$6:$D$201&amp;ĐGVC!$E$6:$E$201),"")</f>
        <v/>
      </c>
    </row>
    <row r="190" spans="1:5" x14ac:dyDescent="0.35">
      <c r="A190" s="7"/>
      <c r="B190" s="7"/>
      <c r="C190" s="7"/>
      <c r="D190" s="7"/>
      <c r="E190" s="54" t="str" cm="1">
        <f t="array" ref="E190">IF(A190&lt;&gt;"",OR(_xlfn.TEXTJOIN("",FALSE,A190:D190)=ĐGVC!$B$6:$B$201&amp;ĐGVC!$C$6:$C$201&amp;ĐGVC!$D$6:$D$201&amp;ĐGVC!$E$6:$E$201),"")</f>
        <v/>
      </c>
    </row>
    <row r="191" spans="1:5" x14ac:dyDescent="0.35">
      <c r="A191" s="7"/>
      <c r="B191" s="7"/>
      <c r="C191" s="7"/>
      <c r="D191" s="7"/>
      <c r="E191" s="54" t="str" cm="1">
        <f t="array" ref="E191">IF(A191&lt;&gt;"",OR(_xlfn.TEXTJOIN("",FALSE,A191:D191)=ĐGVC!$B$6:$B$201&amp;ĐGVC!$C$6:$C$201&amp;ĐGVC!$D$6:$D$201&amp;ĐGVC!$E$6:$E$201),"")</f>
        <v/>
      </c>
    </row>
    <row r="192" spans="1:5" x14ac:dyDescent="0.35">
      <c r="A192" s="7"/>
      <c r="B192" s="7"/>
      <c r="C192" s="7"/>
      <c r="D192" s="7"/>
      <c r="E192" s="54" t="str" cm="1">
        <f t="array" ref="E192">IF(A192&lt;&gt;"",OR(_xlfn.TEXTJOIN("",FALSE,A192:D192)=ĐGVC!$B$6:$B$201&amp;ĐGVC!$C$6:$C$201&amp;ĐGVC!$D$6:$D$201&amp;ĐGVC!$E$6:$E$201),"")</f>
        <v/>
      </c>
    </row>
    <row r="193" spans="1:5" x14ac:dyDescent="0.35">
      <c r="A193" s="7"/>
      <c r="B193" s="7"/>
      <c r="C193" s="7"/>
      <c r="D193" s="7"/>
      <c r="E193" s="54" t="str" cm="1">
        <f t="array" ref="E193">IF(A193&lt;&gt;"",OR(_xlfn.TEXTJOIN("",FALSE,A193:D193)=ĐGVC!$B$6:$B$201&amp;ĐGVC!$C$6:$C$201&amp;ĐGVC!$D$6:$D$201&amp;ĐGVC!$E$6:$E$201),"")</f>
        <v/>
      </c>
    </row>
    <row r="194" spans="1:5" x14ac:dyDescent="0.35">
      <c r="A194" s="7"/>
      <c r="B194" s="7"/>
      <c r="C194" s="7"/>
      <c r="D194" s="7"/>
      <c r="E194" s="54" t="str" cm="1">
        <f t="array" ref="E194">IF(A194&lt;&gt;"",OR(_xlfn.TEXTJOIN("",FALSE,A194:D194)=ĐGVC!$B$6:$B$201&amp;ĐGVC!$C$6:$C$201&amp;ĐGVC!$D$6:$D$201&amp;ĐGVC!$E$6:$E$201),"")</f>
        <v/>
      </c>
    </row>
    <row r="195" spans="1:5" x14ac:dyDescent="0.35">
      <c r="A195" s="7"/>
      <c r="B195" s="7"/>
      <c r="C195" s="7"/>
      <c r="D195" s="7"/>
      <c r="E195" s="54" t="str" cm="1">
        <f t="array" ref="E195">IF(A195&lt;&gt;"",OR(_xlfn.TEXTJOIN("",FALSE,A195:D195)=ĐGVC!$B$6:$B$201&amp;ĐGVC!$C$6:$C$201&amp;ĐGVC!$D$6:$D$201&amp;ĐGVC!$E$6:$E$201),"")</f>
        <v/>
      </c>
    </row>
    <row r="196" spans="1:5" x14ac:dyDescent="0.35">
      <c r="A196" s="7"/>
      <c r="B196" s="7"/>
      <c r="C196" s="7"/>
      <c r="D196" s="7"/>
      <c r="E196" s="54" t="str" cm="1">
        <f t="array" ref="E196">IF(A196&lt;&gt;"",OR(_xlfn.TEXTJOIN("",FALSE,A196:D196)=ĐGVC!$B$6:$B$201&amp;ĐGVC!$C$6:$C$201&amp;ĐGVC!$D$6:$D$201&amp;ĐGVC!$E$6:$E$201),"")</f>
        <v/>
      </c>
    </row>
    <row r="197" spans="1:5" x14ac:dyDescent="0.35">
      <c r="A197" s="7"/>
      <c r="B197" s="7"/>
      <c r="C197" s="7"/>
      <c r="D197" s="7"/>
      <c r="E197" s="54" t="str" cm="1">
        <f t="array" ref="E197">IF(A197&lt;&gt;"",OR(_xlfn.TEXTJOIN("",FALSE,A197:D197)=ĐGVC!$B$6:$B$201&amp;ĐGVC!$C$6:$C$201&amp;ĐGVC!$D$6:$D$201&amp;ĐGVC!$E$6:$E$201),"")</f>
        <v/>
      </c>
    </row>
    <row r="198" spans="1:5" x14ac:dyDescent="0.35">
      <c r="A198" s="7"/>
      <c r="B198" s="7"/>
      <c r="C198" s="7"/>
      <c r="D198" s="7"/>
      <c r="E198" s="54" t="str" cm="1">
        <f t="array" ref="E198">IF(A198&lt;&gt;"",OR(_xlfn.TEXTJOIN("",FALSE,A198:D198)=ĐGVC!$B$6:$B$201&amp;ĐGVC!$C$6:$C$201&amp;ĐGVC!$D$6:$D$201&amp;ĐGVC!$E$6:$E$201),"")</f>
        <v/>
      </c>
    </row>
    <row r="199" spans="1:5" x14ac:dyDescent="0.35">
      <c r="A199" s="7"/>
      <c r="B199" s="7"/>
      <c r="C199" s="7"/>
      <c r="D199" s="7"/>
      <c r="E199" s="54" t="str" cm="1">
        <f t="array" ref="E199">IF(A199&lt;&gt;"",OR(_xlfn.TEXTJOIN("",FALSE,A199:D199)=ĐGVC!$B$6:$B$201&amp;ĐGVC!$C$6:$C$201&amp;ĐGVC!$D$6:$D$201&amp;ĐGVC!$E$6:$E$201),"")</f>
        <v/>
      </c>
    </row>
    <row r="200" spans="1:5" x14ac:dyDescent="0.35">
      <c r="A200" s="7"/>
      <c r="B200" s="7"/>
      <c r="C200" s="7"/>
      <c r="D200" s="7"/>
      <c r="E200" s="54" t="str" cm="1">
        <f t="array" ref="E200">IF(A200&lt;&gt;"",OR(_xlfn.TEXTJOIN("",FALSE,A200:D200)=ĐGVC!$B$6:$B$201&amp;ĐGVC!$C$6:$C$201&amp;ĐGVC!$D$6:$D$201&amp;ĐGVC!$E$6:$E$201),"")</f>
        <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42EEB-39D6-4066-A1E1-64AB30E0102A}">
  <dimension ref="A1:I33"/>
  <sheetViews>
    <sheetView zoomScale="160" zoomScaleNormal="160" workbookViewId="0">
      <selection activeCell="F19" sqref="F19:F21"/>
    </sheetView>
  </sheetViews>
  <sheetFormatPr defaultRowHeight="14.5" x14ac:dyDescent="0.35"/>
  <cols>
    <col min="1" max="1" width="13" bestFit="1" customWidth="1"/>
    <col min="2" max="2" width="15.58203125" bestFit="1" customWidth="1"/>
    <col min="5" max="5" width="24.33203125" bestFit="1" customWidth="1"/>
    <col min="6" max="6" width="16.75" bestFit="1" customWidth="1"/>
    <col min="8" max="8" width="17.75" bestFit="1" customWidth="1"/>
    <col min="9" max="9" width="16.5" bestFit="1" customWidth="1"/>
  </cols>
  <sheetData>
    <row r="1" spans="1:9" x14ac:dyDescent="0.35">
      <c r="A1" s="61" t="s">
        <v>107</v>
      </c>
      <c r="B1" s="99" t="s">
        <v>1707</v>
      </c>
      <c r="E1" s="183" t="s">
        <v>40</v>
      </c>
      <c r="F1" s="99" t="s">
        <v>55</v>
      </c>
      <c r="H1" s="183" t="s">
        <v>94</v>
      </c>
      <c r="I1" s="99" t="s">
        <v>75</v>
      </c>
    </row>
    <row r="2" spans="1:9" x14ac:dyDescent="0.35">
      <c r="A2" s="61" t="s">
        <v>40</v>
      </c>
      <c r="B2" t="s">
        <v>55</v>
      </c>
      <c r="H2" s="183" t="s">
        <v>341</v>
      </c>
      <c r="I2" s="99" t="s">
        <v>1707</v>
      </c>
    </row>
    <row r="3" spans="1:9" x14ac:dyDescent="0.35">
      <c r="E3" s="183" t="s">
        <v>1706</v>
      </c>
      <c r="F3" s="99" t="s">
        <v>1705</v>
      </c>
    </row>
    <row r="4" spans="1:9" x14ac:dyDescent="0.35">
      <c r="A4" s="183" t="s">
        <v>1706</v>
      </c>
      <c r="B4" s="99" t="s">
        <v>1705</v>
      </c>
      <c r="E4" s="181" t="s">
        <v>4</v>
      </c>
      <c r="F4" s="99">
        <v>46346.956201430934</v>
      </c>
      <c r="H4" s="183" t="s">
        <v>1706</v>
      </c>
      <c r="I4" s="99" t="s">
        <v>1705</v>
      </c>
    </row>
    <row r="5" spans="1:9" x14ac:dyDescent="0.35">
      <c r="A5" s="181" t="s">
        <v>4</v>
      </c>
      <c r="B5" s="99">
        <v>46346.956201430934</v>
      </c>
      <c r="E5" s="182" t="s">
        <v>31</v>
      </c>
      <c r="F5" s="99">
        <v>6358.1562014309338</v>
      </c>
      <c r="H5" s="181" t="s">
        <v>41</v>
      </c>
      <c r="I5" s="99">
        <v>5844</v>
      </c>
    </row>
    <row r="6" spans="1:9" x14ac:dyDescent="0.35">
      <c r="A6" s="181" t="s">
        <v>75</v>
      </c>
      <c r="B6" s="99">
        <v>6624</v>
      </c>
      <c r="E6" s="182" t="s">
        <v>28</v>
      </c>
      <c r="F6" s="99">
        <v>19336.900000000001</v>
      </c>
      <c r="H6" s="181" t="s">
        <v>49</v>
      </c>
      <c r="I6" s="99">
        <v>780</v>
      </c>
    </row>
    <row r="7" spans="1:9" x14ac:dyDescent="0.35">
      <c r="A7" s="181" t="s">
        <v>74</v>
      </c>
      <c r="B7" s="99">
        <v>1039.0438000000001</v>
      </c>
      <c r="E7" s="182" t="s">
        <v>30</v>
      </c>
      <c r="F7" s="99">
        <v>10794.900000000001</v>
      </c>
      <c r="H7" s="181" t="s">
        <v>18</v>
      </c>
      <c r="I7" s="99">
        <v>6624</v>
      </c>
    </row>
    <row r="8" spans="1:9" x14ac:dyDescent="0.35">
      <c r="A8" s="181" t="s">
        <v>21</v>
      </c>
      <c r="B8" s="99">
        <v>858</v>
      </c>
      <c r="E8" s="182" t="s">
        <v>29</v>
      </c>
      <c r="F8" s="99">
        <v>9857</v>
      </c>
    </row>
    <row r="9" spans="1:9" x14ac:dyDescent="0.35">
      <c r="A9" s="181" t="s">
        <v>86</v>
      </c>
      <c r="B9" s="99">
        <v>132</v>
      </c>
      <c r="E9" s="181" t="s">
        <v>74</v>
      </c>
      <c r="F9" s="99">
        <v>1039.0438000000001</v>
      </c>
    </row>
    <row r="10" spans="1:9" x14ac:dyDescent="0.35">
      <c r="A10" s="181" t="s">
        <v>76</v>
      </c>
      <c r="B10" s="99">
        <v>0</v>
      </c>
      <c r="E10" s="182" t="s">
        <v>32</v>
      </c>
      <c r="F10" s="99">
        <v>1039.0438000000001</v>
      </c>
    </row>
    <row r="11" spans="1:9" x14ac:dyDescent="0.35">
      <c r="A11" s="181" t="s">
        <v>18</v>
      </c>
      <c r="B11" s="99">
        <v>55000.000001430933</v>
      </c>
      <c r="E11" s="182" t="s">
        <v>33</v>
      </c>
      <c r="F11" s="99">
        <v>0</v>
      </c>
    </row>
    <row r="12" spans="1:9" x14ac:dyDescent="0.35">
      <c r="E12" s="181" t="s">
        <v>18</v>
      </c>
      <c r="F12" s="99">
        <v>47386.000001430933</v>
      </c>
    </row>
    <row r="14" spans="1:9" x14ac:dyDescent="0.35">
      <c r="E14" s="183" t="s">
        <v>40</v>
      </c>
      <c r="F14" s="99" t="s">
        <v>55</v>
      </c>
    </row>
    <row r="15" spans="1:9" x14ac:dyDescent="0.35">
      <c r="E15" s="183" t="s">
        <v>107</v>
      </c>
      <c r="F15" s="99" t="s">
        <v>28</v>
      </c>
    </row>
    <row r="17" spans="5:8" x14ac:dyDescent="0.35">
      <c r="E17" s="183" t="s">
        <v>1706</v>
      </c>
      <c r="F17" s="99" t="s">
        <v>1705</v>
      </c>
    </row>
    <row r="18" spans="5:8" x14ac:dyDescent="0.35">
      <c r="E18" s="181" t="s">
        <v>4</v>
      </c>
      <c r="F18" s="99">
        <v>19336.900000000001</v>
      </c>
    </row>
    <row r="19" spans="5:8" x14ac:dyDescent="0.35">
      <c r="E19" s="182" t="s">
        <v>6</v>
      </c>
      <c r="F19" s="99">
        <v>13200</v>
      </c>
      <c r="G19">
        <f>GETPIVOTDATA("SL-KH26",$E$17,"Parent Account","Niagara Bottling, LLC","Ngành hàng","rPET")/GETPIVOTDATA("SL-KH26",$E$17,"Ngành hàng","rPET")</f>
        <v>0.68263268672848276</v>
      </c>
      <c r="H19">
        <f>GETPIVOTDATA("SL-KH26",$E$17,"Parent Account","Niagara Bottling, LLC","Ngành hàng","rPET")/GETPIVOTDATA("SL-KH26",$E$3)</f>
        <v>0.27856328872665753</v>
      </c>
    </row>
    <row r="20" spans="5:8" x14ac:dyDescent="0.35">
      <c r="E20" s="182" t="s">
        <v>5</v>
      </c>
      <c r="F20" s="99">
        <v>3300</v>
      </c>
    </row>
    <row r="21" spans="5:8" x14ac:dyDescent="0.35">
      <c r="E21" s="182" t="s">
        <v>16</v>
      </c>
      <c r="F21" s="99">
        <v>1320</v>
      </c>
    </row>
    <row r="22" spans="5:8" x14ac:dyDescent="0.35">
      <c r="E22" s="182" t="s">
        <v>122</v>
      </c>
      <c r="F22" s="99">
        <v>482.9</v>
      </c>
    </row>
    <row r="23" spans="5:8" x14ac:dyDescent="0.35">
      <c r="E23" s="182" t="s">
        <v>100</v>
      </c>
      <c r="F23" s="99">
        <v>286</v>
      </c>
    </row>
    <row r="24" spans="5:8" x14ac:dyDescent="0.35">
      <c r="E24" s="182" t="s">
        <v>130</v>
      </c>
      <c r="F24" s="99">
        <v>264</v>
      </c>
    </row>
    <row r="25" spans="5:8" x14ac:dyDescent="0.35">
      <c r="E25" s="182" t="s">
        <v>47</v>
      </c>
      <c r="F25" s="99">
        <v>132</v>
      </c>
    </row>
    <row r="26" spans="5:8" x14ac:dyDescent="0.35">
      <c r="E26" s="182" t="s">
        <v>102</v>
      </c>
      <c r="F26" s="99">
        <v>132</v>
      </c>
    </row>
    <row r="27" spans="5:8" x14ac:dyDescent="0.35">
      <c r="E27" s="182" t="s">
        <v>134</v>
      </c>
      <c r="F27" s="99">
        <v>132</v>
      </c>
    </row>
    <row r="28" spans="5:8" x14ac:dyDescent="0.35">
      <c r="E28" s="182" t="s">
        <v>105</v>
      </c>
      <c r="F28" s="99">
        <v>77</v>
      </c>
    </row>
    <row r="29" spans="5:8" x14ac:dyDescent="0.35">
      <c r="E29" s="182" t="s">
        <v>71</v>
      </c>
      <c r="F29" s="99">
        <v>11</v>
      </c>
    </row>
    <row r="30" spans="5:8" x14ac:dyDescent="0.35">
      <c r="E30" s="182" t="s">
        <v>118</v>
      </c>
      <c r="F30" s="99">
        <v>0</v>
      </c>
    </row>
    <row r="31" spans="5:8" x14ac:dyDescent="0.35">
      <c r="E31" s="182" t="s">
        <v>114</v>
      </c>
      <c r="F31" s="99">
        <v>0</v>
      </c>
    </row>
    <row r="32" spans="5:8" x14ac:dyDescent="0.35">
      <c r="E32" s="182" t="s">
        <v>147</v>
      </c>
      <c r="F32" s="99">
        <v>0</v>
      </c>
    </row>
    <row r="33" spans="5:6" x14ac:dyDescent="0.35">
      <c r="E33" s="181" t="s">
        <v>18</v>
      </c>
      <c r="F33" s="99">
        <v>19336.900000000001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5DEA2-F8E8-4A54-B02C-7EF1B49A4B0F}">
  <sheetPr>
    <tabColor theme="6" tint="0.39997558519241921"/>
  </sheetPr>
  <dimension ref="A1:ED204"/>
  <sheetViews>
    <sheetView showGridLines="0" topLeftCell="DC2" zoomScale="70" zoomScaleNormal="70" workbookViewId="0">
      <pane ySplit="4" topLeftCell="A37" activePane="bottomLeft" state="frozen"/>
      <selection activeCell="T2" sqref="T2"/>
      <selection pane="bottomLeft" activeCell="DA37" sqref="DA37:DM37"/>
    </sheetView>
  </sheetViews>
  <sheetFormatPr defaultRowHeight="15" customHeight="1" outlineLevelCol="1" x14ac:dyDescent="0.35"/>
  <cols>
    <col min="1" max="1" width="12.33203125" hidden="1" customWidth="1"/>
    <col min="2" max="2" width="11.25" hidden="1" customWidth="1"/>
    <col min="3" max="3" width="15.08203125" hidden="1" customWidth="1" outlineLevel="1"/>
    <col min="4" max="4" width="20.08203125" customWidth="1" collapsed="1"/>
    <col min="5" max="5" width="17.33203125" customWidth="1"/>
    <col min="6" max="6" width="40" bestFit="1" customWidth="1"/>
    <col min="7" max="7" width="9.25" customWidth="1"/>
    <col min="8" max="8" width="13.5" customWidth="1"/>
    <col min="9" max="10" width="12.75" customWidth="1"/>
    <col min="11" max="11" width="9.58203125" customWidth="1"/>
    <col min="12" max="12" width="10.58203125" customWidth="1" outlineLevel="1"/>
    <col min="13" max="13" width="13" customWidth="1"/>
    <col min="14" max="14" width="18.6640625" customWidth="1"/>
    <col min="15" max="15" width="7.83203125" customWidth="1"/>
    <col min="16" max="18" width="15" customWidth="1" outlineLevel="1"/>
    <col min="19" max="19" width="9.75" customWidth="1" outlineLevel="1"/>
    <col min="20" max="20" width="30" customWidth="1"/>
    <col min="21" max="21" width="6.5" customWidth="1"/>
    <col min="22" max="22" width="10.75" customWidth="1" outlineLevel="1"/>
    <col min="23" max="24" width="8.83203125" customWidth="1" outlineLevel="1"/>
    <col min="25" max="25" width="10.5" customWidth="1" outlineLevel="1"/>
    <col min="26" max="27" width="8.83203125" customWidth="1" outlineLevel="1"/>
    <col min="28" max="28" width="10.5" customWidth="1" outlineLevel="1"/>
    <col min="29" max="30" width="8.83203125" customWidth="1" outlineLevel="1"/>
    <col min="31" max="31" width="10.5" customWidth="1" outlineLevel="1"/>
    <col min="32" max="33" width="8.83203125" customWidth="1" outlineLevel="1"/>
    <col min="34" max="34" width="10.83203125" customWidth="1" outlineLevel="1"/>
    <col min="35" max="35" width="10.33203125" customWidth="1"/>
    <col min="36" max="36" width="9.33203125" customWidth="1"/>
    <col min="37" max="37" width="10.75" customWidth="1"/>
    <col min="38" max="38" width="9.33203125" customWidth="1"/>
    <col min="39" max="50" width="8" customWidth="1"/>
    <col min="51" max="51" width="11.6640625" customWidth="1"/>
    <col min="52" max="52" width="9.75" customWidth="1"/>
    <col min="53" max="53" width="8.58203125" customWidth="1"/>
    <col min="54" max="54" width="9.75" customWidth="1"/>
    <col min="55" max="55" width="47.75" customWidth="1"/>
    <col min="56" max="67" width="18.08203125" customWidth="1"/>
    <col min="68" max="68" width="25.25" customWidth="1"/>
    <col min="69" max="69" width="17.33203125" customWidth="1"/>
    <col min="70" max="70" width="20.33203125" customWidth="1"/>
    <col min="71" max="71" width="9.33203125" customWidth="1"/>
    <col min="72" max="72" width="10.08203125" customWidth="1" outlineLevel="1"/>
    <col min="73" max="74" width="12.75" customWidth="1" outlineLevel="1"/>
    <col min="75" max="75" width="17" bestFit="1" customWidth="1"/>
    <col min="76" max="76" width="17.33203125" hidden="1" customWidth="1" outlineLevel="1"/>
    <col min="77" max="77" width="17" hidden="1" customWidth="1" outlineLevel="1"/>
    <col min="78" max="78" width="17.33203125" hidden="1" customWidth="1" outlineLevel="1"/>
    <col min="79" max="79" width="16.75" hidden="1" customWidth="1" outlineLevel="1"/>
    <col min="80" max="80" width="16.25" hidden="1" customWidth="1" outlineLevel="1"/>
    <col min="81" max="81" width="16.75" hidden="1" customWidth="1" outlineLevel="1"/>
    <col min="82" max="82" width="16.25" hidden="1" customWidth="1" outlineLevel="1"/>
    <col min="83" max="83" width="16.75" hidden="1" customWidth="1" outlineLevel="1"/>
    <col min="84" max="84" width="16.25" hidden="1" customWidth="1" outlineLevel="1"/>
    <col min="85" max="85" width="17.33203125" hidden="1" customWidth="1" outlineLevel="1"/>
    <col min="86" max="86" width="17" bestFit="1" customWidth="1" collapsed="1"/>
    <col min="87" max="87" width="18.25" bestFit="1" customWidth="1"/>
    <col min="88" max="88" width="17" customWidth="1"/>
    <col min="89" max="89" width="18.75" customWidth="1"/>
    <col min="90" max="90" width="17.75" customWidth="1" outlineLevel="1"/>
    <col min="91" max="91" width="14.33203125" customWidth="1" outlineLevel="1"/>
    <col min="92" max="92" width="18.75" bestFit="1" customWidth="1"/>
    <col min="93" max="93" width="18.25" bestFit="1" customWidth="1" outlineLevel="1"/>
    <col min="94" max="94" width="19.25" bestFit="1" customWidth="1" outlineLevel="1"/>
    <col min="95" max="95" width="18.5" bestFit="1" customWidth="1" outlineLevel="1"/>
    <col min="96" max="96" width="19.25" bestFit="1" customWidth="1" outlineLevel="1"/>
    <col min="97" max="98" width="18.5" bestFit="1" customWidth="1" outlineLevel="1"/>
    <col min="99" max="99" width="18.75" bestFit="1" customWidth="1" outlineLevel="1"/>
    <col min="100" max="100" width="19" bestFit="1" customWidth="1" outlineLevel="1"/>
    <col min="101" max="101" width="18.5" bestFit="1" customWidth="1" outlineLevel="1"/>
    <col min="102" max="102" width="18.75" bestFit="1" customWidth="1" outlineLevel="1"/>
    <col min="103" max="103" width="19" bestFit="1" customWidth="1"/>
    <col min="104" max="104" width="20.33203125" bestFit="1" customWidth="1"/>
    <col min="105" max="117" width="26.83203125" bestFit="1" customWidth="1"/>
    <col min="118" max="121" width="9" customWidth="1"/>
    <col min="122" max="133" width="16.25" bestFit="1" customWidth="1"/>
    <col min="134" max="134" width="19.25" bestFit="1" customWidth="1"/>
  </cols>
  <sheetData>
    <row r="1" spans="1:134" ht="14.5" x14ac:dyDescent="0.35">
      <c r="H1">
        <v>-7200</v>
      </c>
      <c r="I1" s="99"/>
      <c r="W1" s="90">
        <v>0.9</v>
      </c>
      <c r="AI1" s="99"/>
      <c r="AM1" s="155"/>
      <c r="AP1">
        <v>1203</v>
      </c>
      <c r="AQ1">
        <v>1184</v>
      </c>
      <c r="AR1">
        <v>1165</v>
      </c>
      <c r="AS1">
        <v>1146</v>
      </c>
      <c r="AT1">
        <v>1127</v>
      </c>
      <c r="AU1">
        <v>1108</v>
      </c>
      <c r="AV1">
        <v>1089</v>
      </c>
      <c r="AW1">
        <v>1070</v>
      </c>
      <c r="AX1">
        <v>1051</v>
      </c>
      <c r="BD1" s="12"/>
      <c r="BP1" s="100">
        <f ca="1">BP2*EXR</f>
        <v>373028177500000</v>
      </c>
    </row>
    <row r="2" spans="1:134" s="1" customFormat="1" ht="13.5" customHeight="1" thickBot="1" x14ac:dyDescent="0.4">
      <c r="W2" s="81">
        <f>SUBTOTAL(9,KH_26_OPT4_KTQT_v4[SL-01])</f>
        <v>0</v>
      </c>
      <c r="X2" s="81">
        <f>SUBTOTAL(9,KH_26_OPT4_KTQT_v4[SL-02])</f>
        <v>0</v>
      </c>
      <c r="Y2" s="81">
        <f>SUBTOTAL(9,KH_26_OPT4_KTQT_v4[SL-03])</f>
        <v>44</v>
      </c>
      <c r="Z2" s="81">
        <f>SUBTOTAL(9,KH_26_OPT4_KTQT_v4[SL-04])</f>
        <v>44</v>
      </c>
      <c r="AA2" s="81">
        <f>SUBTOTAL(9,KH_26_OPT4_KTQT_v4[SL-05])</f>
        <v>88</v>
      </c>
      <c r="AB2" s="81">
        <f>SUBTOTAL(9,KH_26_OPT4_KTQT_v4[SL-06])</f>
        <v>44</v>
      </c>
      <c r="AC2" s="81">
        <f>SUBTOTAL(9,KH_26_OPT4_KTQT_v4[SL-07])</f>
        <v>64.900000000000006</v>
      </c>
      <c r="AD2" s="81">
        <f>SUBTOTAL(9,KH_26_OPT4_KTQT_v4[SL-08])</f>
        <v>66</v>
      </c>
      <c r="AE2" s="81">
        <f>SUBTOTAL(9,KH_26_OPT4_KTQT_v4[SL-09])</f>
        <v>0</v>
      </c>
      <c r="AF2" s="81">
        <f>SUBTOTAL(9,KH_26_OPT4_KTQT_v4[SL-10])</f>
        <v>0</v>
      </c>
      <c r="AG2" s="81">
        <f>SUBTOTAL(9,KH_26_OPT4_KTQT_v4[SL-11])</f>
        <v>66</v>
      </c>
      <c r="AH2" s="81">
        <f>SUBTOTAL(9,KH_26_OPT4_KTQT_v4[SL-12])</f>
        <v>66</v>
      </c>
      <c r="AI2" s="98">
        <f ca="1">SUBTOTAL(9,KH_26_OPT4_KTQT_v4[SL-KH26])</f>
        <v>482.9</v>
      </c>
      <c r="AJ2" s="81">
        <f ca="1">SUBTOTAL(9,KH_26_OPT4_KTQT_v4[SL-DB25])</f>
        <v>482.9</v>
      </c>
      <c r="AK2" s="81">
        <f ca="1">AI2-AJ2</f>
        <v>0</v>
      </c>
      <c r="AM2" s="81"/>
      <c r="BP2" s="83">
        <f ca="1">SUBTOTAL(9,KH_26_OPT4_KTQT_v4[DT-EXW-KH26])</f>
        <v>14076535000</v>
      </c>
      <c r="BQ2" s="81">
        <f ca="1">SUBTOTAL(9,KH_26_OPT4_KTQT_v4[DT-EXW-DB25])</f>
        <v>11150621465.401171</v>
      </c>
      <c r="BR2" s="82">
        <f ca="1">BP2-BQ2</f>
        <v>2925913534.5988293</v>
      </c>
      <c r="BW2" s="81">
        <f>SUBTOTAL(9,KH_26_OPT4_KTQT_v4[CPHH-01])</f>
        <v>0</v>
      </c>
      <c r="BX2" s="81">
        <f>SUBTOTAL(9,KH_26_OPT4_KTQT_v4[CPHH-02])</f>
        <v>0</v>
      </c>
      <c r="BY2" s="81">
        <f>SUBTOTAL(9,KH_26_OPT4_KTQT_v4[CPHH-03])</f>
        <v>0</v>
      </c>
      <c r="BZ2" s="81">
        <f>SUBTOTAL(9,KH_26_OPT4_KTQT_v4[CPHH-04])</f>
        <v>0</v>
      </c>
      <c r="CA2" s="81">
        <f>SUBTOTAL(9,KH_26_OPT4_KTQT_v4[CPHH-05])</f>
        <v>0</v>
      </c>
      <c r="CB2" s="81">
        <f>SUBTOTAL(9,KH_26_OPT4_KTQT_v4[CPHH-06])</f>
        <v>0</v>
      </c>
      <c r="CC2" s="81">
        <f>SUBTOTAL(9,KH_26_OPT4_KTQT_v4[CPHH-07])</f>
        <v>0</v>
      </c>
      <c r="CD2" s="81">
        <f>SUBTOTAL(9,KH_26_OPT4_KTQT_v4[CPHH-08])</f>
        <v>0</v>
      </c>
      <c r="CE2" s="81">
        <f>SUBTOTAL(9,KH_26_OPT4_KTQT_v4[CPHH-09])</f>
        <v>0</v>
      </c>
      <c r="CF2" s="81">
        <f>SUBTOTAL(9,KH_26_OPT4_KTQT_v4[CPHH-10])</f>
        <v>0</v>
      </c>
      <c r="CG2" s="81">
        <f>SUBTOTAL(9,KH_26_OPT4_KTQT_v4[CPHH-11])</f>
        <v>0</v>
      </c>
      <c r="CH2" s="81">
        <f>SUBTOTAL(9,KH_26_OPT4_KTQT_v4[CPHH-12])</f>
        <v>0</v>
      </c>
      <c r="CI2" s="81">
        <f ca="1">SUBTOTAL(9,KH_26_OPT4_KTQT_v4[CPHH-KH26])</f>
        <v>0</v>
      </c>
      <c r="CJ2" s="1" t="s">
        <v>332</v>
      </c>
      <c r="CK2" s="1" t="s">
        <v>332</v>
      </c>
      <c r="CL2" s="1" t="s">
        <v>332</v>
      </c>
      <c r="CM2" s="1" t="s">
        <v>332</v>
      </c>
      <c r="CN2" s="81">
        <f ca="1">SUBTOTAL(9,KH_26_OPT4_KTQT_v4[CPVC-01])</f>
        <v>0</v>
      </c>
      <c r="CO2" s="81">
        <f ca="1">SUBTOTAL(9,KH_26_OPT4_KTQT_v4[CPVC-02])</f>
        <v>0</v>
      </c>
      <c r="CP2" s="81">
        <f ca="1">SUBTOTAL(9,KH_26_OPT4_KTQT_v4[CPVC-03])</f>
        <v>23320000</v>
      </c>
      <c r="CQ2" s="81">
        <f ca="1">SUBTOTAL(9,KH_26_OPT4_KTQT_v4[CPVC-04])</f>
        <v>23320000</v>
      </c>
      <c r="CR2" s="81">
        <f ca="1">SUBTOTAL(9,KH_26_OPT4_KTQT_v4[CPVC-05])</f>
        <v>46640000</v>
      </c>
      <c r="CS2" s="81">
        <f ca="1">SUBTOTAL(9,KH_26_OPT4_KTQT_v4[CPVC-06])</f>
        <v>23320000</v>
      </c>
      <c r="CT2" s="81">
        <f ca="1">SUBTOTAL(9,KH_26_OPT4_KTQT_v4[CPVC-07])</f>
        <v>34397000</v>
      </c>
      <c r="CU2" s="81">
        <f ca="1">SUBTOTAL(9,KH_26_OPT4_KTQT_v4[CPVC-08])</f>
        <v>34980000</v>
      </c>
      <c r="CV2" s="81">
        <f ca="1">SUBTOTAL(9,KH_26_OPT4_KTQT_v4[CPVC-09])</f>
        <v>0</v>
      </c>
      <c r="CW2" s="81">
        <f ca="1">SUBTOTAL(9,KH_26_OPT4_KTQT_v4[CPVC-10])</f>
        <v>0</v>
      </c>
      <c r="CX2" s="81">
        <f ca="1">SUBTOTAL(9,KH_26_OPT4_KTQT_v4[CPVC-11])</f>
        <v>34980000</v>
      </c>
      <c r="CY2" s="81">
        <f ca="1">SUBTOTAL(9,KH_26_OPT4_KTQT_v4[CPVC-12])</f>
        <v>34980000</v>
      </c>
      <c r="CZ2" s="81">
        <f ca="1">SUBTOTAL(9,KH_26_OPT4_KTQT_v4[CPVC-KH26])</f>
        <v>255937000</v>
      </c>
      <c r="DA2" s="1" t="s">
        <v>332</v>
      </c>
      <c r="DB2" s="1" t="s">
        <v>332</v>
      </c>
      <c r="DC2" s="1" t="s">
        <v>332</v>
      </c>
      <c r="DD2" s="1" t="s">
        <v>332</v>
      </c>
      <c r="DE2" s="1" t="s">
        <v>332</v>
      </c>
      <c r="DF2" s="1" t="s">
        <v>332</v>
      </c>
      <c r="DG2" s="1" t="s">
        <v>332</v>
      </c>
      <c r="DH2" s="1" t="s">
        <v>332</v>
      </c>
      <c r="DI2" s="1" t="s">
        <v>332</v>
      </c>
      <c r="DJ2" s="1" t="s">
        <v>332</v>
      </c>
      <c r="DK2" s="1" t="s">
        <v>332</v>
      </c>
      <c r="DL2" s="1" t="s">
        <v>332</v>
      </c>
      <c r="DM2" s="81">
        <f ca="1">SUBTOTAL(9,KH_26_OPT4_KTQT_v4[DT-KH26])</f>
        <v>14332472000</v>
      </c>
      <c r="DN2" s="1" t="s">
        <v>332</v>
      </c>
      <c r="DO2" s="1" t="s">
        <v>332</v>
      </c>
      <c r="DP2" s="1" t="s">
        <v>332</v>
      </c>
      <c r="DR2" s="81">
        <f t="shared" ref="DR2:EC2" si="0">SUBTOTAL(9,DR6:DR1048576)</f>
        <v>0</v>
      </c>
      <c r="DS2" s="81">
        <f t="shared" si="0"/>
        <v>0</v>
      </c>
      <c r="DT2" s="81">
        <f t="shared" si="0"/>
        <v>0</v>
      </c>
      <c r="DU2" s="81">
        <f t="shared" si="0"/>
        <v>0</v>
      </c>
      <c r="DV2" s="81">
        <f t="shared" si="0"/>
        <v>0</v>
      </c>
      <c r="DW2" s="81">
        <f t="shared" si="0"/>
        <v>0</v>
      </c>
      <c r="DX2" s="81">
        <f t="shared" si="0"/>
        <v>0</v>
      </c>
      <c r="DY2" s="81">
        <f t="shared" si="0"/>
        <v>0</v>
      </c>
      <c r="DZ2" s="81">
        <f t="shared" si="0"/>
        <v>0</v>
      </c>
      <c r="EA2" s="81">
        <f t="shared" si="0"/>
        <v>0</v>
      </c>
      <c r="EB2" s="81">
        <f t="shared" si="0"/>
        <v>0</v>
      </c>
      <c r="EC2" s="81">
        <f t="shared" si="0"/>
        <v>0</v>
      </c>
      <c r="ED2" s="81">
        <f ca="1">SUBTOTAL(9,KH_26_OPT4_KTQT_v4[CPDP-KH26])</f>
        <v>0</v>
      </c>
    </row>
    <row r="3" spans="1:134" s="10" customFormat="1" thickTop="1" x14ac:dyDescent="0.35">
      <c r="A3" s="189" t="s">
        <v>223</v>
      </c>
      <c r="B3" s="189" t="s">
        <v>333</v>
      </c>
      <c r="C3" s="189" t="s">
        <v>334</v>
      </c>
      <c r="D3" s="189" t="s">
        <v>335</v>
      </c>
      <c r="E3" s="189" t="s">
        <v>336</v>
      </c>
      <c r="F3" s="189" t="s">
        <v>337</v>
      </c>
      <c r="G3" s="189" t="s">
        <v>338</v>
      </c>
      <c r="H3" s="189" t="s">
        <v>245</v>
      </c>
      <c r="I3" s="189" t="s">
        <v>246</v>
      </c>
      <c r="J3" s="189" t="s">
        <v>247</v>
      </c>
      <c r="K3" s="189" t="s">
        <v>330</v>
      </c>
      <c r="L3" s="189" t="s">
        <v>248</v>
      </c>
      <c r="M3" s="190" t="s">
        <v>339</v>
      </c>
      <c r="N3" s="190" t="s">
        <v>340</v>
      </c>
      <c r="O3" s="190" t="s">
        <v>94</v>
      </c>
      <c r="P3" s="190" t="s">
        <v>0</v>
      </c>
      <c r="Q3" s="190" t="s">
        <v>107</v>
      </c>
      <c r="R3" s="190" t="s">
        <v>40</v>
      </c>
      <c r="S3" s="190" t="s">
        <v>341</v>
      </c>
      <c r="T3" s="153" t="s">
        <v>98</v>
      </c>
      <c r="U3" s="153"/>
      <c r="V3" s="190" t="s">
        <v>342</v>
      </c>
      <c r="W3" s="193" t="s">
        <v>343</v>
      </c>
      <c r="X3" s="193"/>
      <c r="Y3" s="193"/>
      <c r="Z3" s="193"/>
      <c r="AA3" s="193"/>
      <c r="AB3" s="193"/>
      <c r="AC3" s="193"/>
      <c r="AD3" s="193"/>
      <c r="AE3" s="193"/>
      <c r="AF3" s="193"/>
      <c r="AG3" s="193"/>
      <c r="AH3" s="193"/>
      <c r="AI3" s="194" t="s">
        <v>344</v>
      </c>
      <c r="AJ3" s="194" t="s">
        <v>345</v>
      </c>
      <c r="AK3" s="195" t="s">
        <v>346</v>
      </c>
      <c r="AL3" s="195" t="s">
        <v>347</v>
      </c>
      <c r="AM3" s="196" t="s">
        <v>1687</v>
      </c>
      <c r="AN3" s="196"/>
      <c r="AO3" s="196"/>
      <c r="AP3" s="196"/>
      <c r="AQ3" s="196"/>
      <c r="AR3" s="196"/>
      <c r="AS3" s="196"/>
      <c r="AT3" s="196"/>
      <c r="AU3" s="196"/>
      <c r="AV3" s="196"/>
      <c r="AW3" s="196"/>
      <c r="AX3" s="196"/>
      <c r="AY3" s="192" t="s">
        <v>344</v>
      </c>
      <c r="AZ3" s="192" t="s">
        <v>345</v>
      </c>
      <c r="BA3" s="191" t="s">
        <v>346</v>
      </c>
      <c r="BB3" s="191" t="s">
        <v>347</v>
      </c>
      <c r="BC3" s="113"/>
      <c r="BD3" s="198" t="s">
        <v>348</v>
      </c>
      <c r="BE3" s="198"/>
      <c r="BF3" s="198"/>
      <c r="BG3" s="198"/>
      <c r="BH3" s="198"/>
      <c r="BI3" s="198"/>
      <c r="BJ3" s="198"/>
      <c r="BK3" s="198"/>
      <c r="BL3" s="198"/>
      <c r="BM3" s="198"/>
      <c r="BN3" s="198"/>
      <c r="BO3" s="198"/>
      <c r="BP3" s="199" t="s">
        <v>344</v>
      </c>
      <c r="BQ3" s="199" t="s">
        <v>345</v>
      </c>
      <c r="BR3" s="200" t="s">
        <v>346</v>
      </c>
      <c r="BS3" s="200" t="s">
        <v>347</v>
      </c>
      <c r="BT3" s="201" t="s">
        <v>349</v>
      </c>
      <c r="BU3" s="201"/>
      <c r="BV3" s="201"/>
      <c r="BW3" s="201"/>
      <c r="BX3" s="201"/>
      <c r="BY3" s="201"/>
      <c r="BZ3" s="201"/>
      <c r="CA3" s="201"/>
      <c r="CB3" s="201"/>
      <c r="CC3" s="201"/>
      <c r="CD3" s="201"/>
      <c r="CE3" s="201"/>
      <c r="CF3" s="201"/>
      <c r="CG3" s="201"/>
      <c r="CH3" s="201"/>
      <c r="CI3" s="201" t="s">
        <v>350</v>
      </c>
      <c r="CJ3" s="202" t="s">
        <v>351</v>
      </c>
      <c r="CK3" s="202" t="s">
        <v>352</v>
      </c>
      <c r="CL3" s="203" t="s">
        <v>353</v>
      </c>
      <c r="CM3" s="203" t="s">
        <v>354</v>
      </c>
      <c r="CN3" s="197" t="s">
        <v>355</v>
      </c>
      <c r="CO3" s="197"/>
      <c r="CP3" s="197"/>
      <c r="CQ3" s="197"/>
      <c r="CR3" s="197"/>
      <c r="CS3" s="197"/>
      <c r="CT3" s="197"/>
      <c r="CU3" s="197"/>
      <c r="CV3" s="197"/>
      <c r="CW3" s="197"/>
      <c r="CX3" s="197"/>
      <c r="CY3" s="197"/>
      <c r="CZ3" s="206" t="s">
        <v>344</v>
      </c>
      <c r="DA3" s="207" t="s">
        <v>356</v>
      </c>
      <c r="DB3" s="208"/>
      <c r="DC3" s="208"/>
      <c r="DD3" s="208"/>
      <c r="DE3" s="208"/>
      <c r="DF3" s="208"/>
      <c r="DG3" s="208"/>
      <c r="DH3" s="208"/>
      <c r="DI3" s="208"/>
      <c r="DJ3" s="208"/>
      <c r="DK3" s="208"/>
      <c r="DL3" s="208"/>
      <c r="DM3" s="209" t="s">
        <v>344</v>
      </c>
      <c r="DN3" s="209" t="s">
        <v>345</v>
      </c>
      <c r="DO3" s="211" t="s">
        <v>346</v>
      </c>
      <c r="DP3" s="212" t="s">
        <v>347</v>
      </c>
      <c r="DQ3" s="204" t="s">
        <v>512</v>
      </c>
      <c r="DR3" s="198"/>
      <c r="DS3" s="198"/>
      <c r="DT3" s="198"/>
      <c r="DU3" s="198"/>
      <c r="DV3" s="198"/>
      <c r="DW3" s="198"/>
      <c r="DX3" s="198"/>
      <c r="DY3" s="198"/>
      <c r="DZ3" s="198"/>
      <c r="EA3" s="198"/>
      <c r="EB3" s="198"/>
      <c r="EC3" s="198"/>
      <c r="ED3" s="205" t="s">
        <v>344</v>
      </c>
    </row>
    <row r="4" spans="1:134" s="15" customFormat="1" ht="15" customHeight="1" x14ac:dyDescent="0.35">
      <c r="A4" s="189"/>
      <c r="B4" s="189"/>
      <c r="C4" s="189"/>
      <c r="D4" s="189"/>
      <c r="E4" s="189"/>
      <c r="F4" s="189"/>
      <c r="G4" s="189"/>
      <c r="H4" s="189"/>
      <c r="I4" s="189"/>
      <c r="J4" s="189"/>
      <c r="K4" s="189"/>
      <c r="L4" s="189"/>
      <c r="M4" s="190"/>
      <c r="N4" s="190"/>
      <c r="O4" s="190"/>
      <c r="P4" s="190"/>
      <c r="Q4" s="190"/>
      <c r="R4" s="190"/>
      <c r="S4" s="190"/>
      <c r="T4" s="153" t="s">
        <v>538</v>
      </c>
      <c r="U4" s="153"/>
      <c r="V4" s="190"/>
      <c r="W4" s="11" t="s">
        <v>357</v>
      </c>
      <c r="X4" s="11" t="s">
        <v>358</v>
      </c>
      <c r="Y4" s="11" t="s">
        <v>359</v>
      </c>
      <c r="Z4" s="11" t="s">
        <v>360</v>
      </c>
      <c r="AA4" s="11" t="s">
        <v>361</v>
      </c>
      <c r="AB4" s="11" t="s">
        <v>362</v>
      </c>
      <c r="AC4" s="11" t="s">
        <v>363</v>
      </c>
      <c r="AD4" s="11" t="s">
        <v>364</v>
      </c>
      <c r="AE4" s="11" t="s">
        <v>365</v>
      </c>
      <c r="AF4" s="11" t="s">
        <v>366</v>
      </c>
      <c r="AG4" s="11" t="s">
        <v>367</v>
      </c>
      <c r="AH4" s="11" t="s">
        <v>368</v>
      </c>
      <c r="AI4" s="194"/>
      <c r="AJ4" s="194"/>
      <c r="AK4" s="194"/>
      <c r="AL4" s="194"/>
      <c r="AM4" s="16" t="s">
        <v>369</v>
      </c>
      <c r="AN4" s="16" t="s">
        <v>370</v>
      </c>
      <c r="AO4" s="16" t="s">
        <v>371</v>
      </c>
      <c r="AP4" s="16" t="s">
        <v>372</v>
      </c>
      <c r="AQ4" s="16" t="s">
        <v>373</v>
      </c>
      <c r="AR4" s="16" t="s">
        <v>374</v>
      </c>
      <c r="AS4" s="16" t="s">
        <v>375</v>
      </c>
      <c r="AT4" s="16" t="s">
        <v>376</v>
      </c>
      <c r="AU4" s="16" t="s">
        <v>377</v>
      </c>
      <c r="AV4" s="16" t="s">
        <v>378</v>
      </c>
      <c r="AW4" s="16" t="s">
        <v>379</v>
      </c>
      <c r="AX4" s="16" t="s">
        <v>380</v>
      </c>
      <c r="AY4" s="192"/>
      <c r="AZ4" s="192"/>
      <c r="BA4" s="192"/>
      <c r="BB4" s="192"/>
      <c r="BC4" s="112"/>
      <c r="BD4" s="17" t="s">
        <v>381</v>
      </c>
      <c r="BE4" s="17" t="s">
        <v>382</v>
      </c>
      <c r="BF4" s="17" t="s">
        <v>383</v>
      </c>
      <c r="BG4" s="17" t="s">
        <v>384</v>
      </c>
      <c r="BH4" s="17" t="s">
        <v>385</v>
      </c>
      <c r="BI4" s="17" t="s">
        <v>386</v>
      </c>
      <c r="BJ4" s="17" t="s">
        <v>387</v>
      </c>
      <c r="BK4" s="17" t="s">
        <v>388</v>
      </c>
      <c r="BL4" s="17" t="s">
        <v>389</v>
      </c>
      <c r="BM4" s="17" t="s">
        <v>390</v>
      </c>
      <c r="BN4" s="17" t="s">
        <v>391</v>
      </c>
      <c r="BO4" s="17" t="s">
        <v>392</v>
      </c>
      <c r="BP4" s="199"/>
      <c r="BQ4" s="199"/>
      <c r="BR4" s="199"/>
      <c r="BS4" s="199"/>
      <c r="BT4" s="55" t="s">
        <v>393</v>
      </c>
      <c r="BU4" s="55" t="s">
        <v>393</v>
      </c>
      <c r="BV4" s="55" t="s">
        <v>513</v>
      </c>
      <c r="BW4" s="53" t="s">
        <v>394</v>
      </c>
      <c r="BX4" s="53" t="s">
        <v>395</v>
      </c>
      <c r="BY4" s="53" t="s">
        <v>396</v>
      </c>
      <c r="BZ4" s="53" t="s">
        <v>397</v>
      </c>
      <c r="CA4" s="53" t="s">
        <v>398</v>
      </c>
      <c r="CB4" s="53" t="s">
        <v>399</v>
      </c>
      <c r="CC4" s="53" t="s">
        <v>400</v>
      </c>
      <c r="CD4" s="53" t="s">
        <v>401</v>
      </c>
      <c r="CE4" s="53" t="s">
        <v>402</v>
      </c>
      <c r="CF4" s="53" t="s">
        <v>403</v>
      </c>
      <c r="CG4" s="53" t="s">
        <v>404</v>
      </c>
      <c r="CH4" s="53" t="s">
        <v>405</v>
      </c>
      <c r="CI4" s="201"/>
      <c r="CJ4" s="202"/>
      <c r="CK4" s="202"/>
      <c r="CL4" s="203"/>
      <c r="CM4" s="203"/>
      <c r="CN4" s="40" t="s">
        <v>406</v>
      </c>
      <c r="CO4" s="40" t="s">
        <v>407</v>
      </c>
      <c r="CP4" s="40" t="s">
        <v>408</v>
      </c>
      <c r="CQ4" s="40" t="s">
        <v>409</v>
      </c>
      <c r="CR4" s="40" t="s">
        <v>410</v>
      </c>
      <c r="CS4" s="40" t="s">
        <v>411</v>
      </c>
      <c r="CT4" s="40" t="s">
        <v>412</v>
      </c>
      <c r="CU4" s="40" t="s">
        <v>413</v>
      </c>
      <c r="CV4" s="40" t="s">
        <v>414</v>
      </c>
      <c r="CW4" s="40" t="s">
        <v>415</v>
      </c>
      <c r="CX4" s="40" t="s">
        <v>416</v>
      </c>
      <c r="CY4" s="40" t="s">
        <v>417</v>
      </c>
      <c r="CZ4" s="206"/>
      <c r="DA4" s="119" t="s">
        <v>418</v>
      </c>
      <c r="DB4" s="49" t="s">
        <v>419</v>
      </c>
      <c r="DC4" s="49" t="s">
        <v>420</v>
      </c>
      <c r="DD4" s="49" t="s">
        <v>421</v>
      </c>
      <c r="DE4" s="49" t="s">
        <v>422</v>
      </c>
      <c r="DF4" s="49" t="s">
        <v>423</v>
      </c>
      <c r="DG4" s="49" t="s">
        <v>424</v>
      </c>
      <c r="DH4" s="49" t="s">
        <v>425</v>
      </c>
      <c r="DI4" s="49" t="s">
        <v>426</v>
      </c>
      <c r="DJ4" s="49" t="s">
        <v>427</v>
      </c>
      <c r="DK4" s="49" t="s">
        <v>428</v>
      </c>
      <c r="DL4" s="49" t="s">
        <v>429</v>
      </c>
      <c r="DM4" s="210"/>
      <c r="DN4" s="210"/>
      <c r="DO4" s="210"/>
      <c r="DP4" s="213"/>
      <c r="DQ4" s="134" t="s">
        <v>514</v>
      </c>
      <c r="DR4" s="17" t="s">
        <v>515</v>
      </c>
      <c r="DS4" s="17" t="s">
        <v>516</v>
      </c>
      <c r="DT4" s="17" t="s">
        <v>517</v>
      </c>
      <c r="DU4" s="17" t="s">
        <v>518</v>
      </c>
      <c r="DV4" s="17" t="s">
        <v>519</v>
      </c>
      <c r="DW4" s="17" t="s">
        <v>520</v>
      </c>
      <c r="DX4" s="17" t="s">
        <v>521</v>
      </c>
      <c r="DY4" s="17" t="s">
        <v>522</v>
      </c>
      <c r="DZ4" s="17" t="s">
        <v>523</v>
      </c>
      <c r="EA4" s="17" t="s">
        <v>524</v>
      </c>
      <c r="EB4" s="17" t="s">
        <v>525</v>
      </c>
      <c r="EC4" s="17" t="s">
        <v>526</v>
      </c>
      <c r="ED4" s="205"/>
    </row>
    <row r="5" spans="1:134" s="14" customFormat="1" ht="14.5" x14ac:dyDescent="0.35">
      <c r="A5" s="13" t="s">
        <v>223</v>
      </c>
      <c r="B5" s="13" t="s">
        <v>333</v>
      </c>
      <c r="C5" s="13" t="s">
        <v>430</v>
      </c>
      <c r="D5" s="14" t="s">
        <v>335</v>
      </c>
      <c r="E5" s="14" t="s">
        <v>336</v>
      </c>
      <c r="F5" s="14" t="s">
        <v>431</v>
      </c>
      <c r="G5" s="14" t="s">
        <v>338</v>
      </c>
      <c r="H5" s="14" t="s">
        <v>245</v>
      </c>
      <c r="I5" s="14" t="s">
        <v>246</v>
      </c>
      <c r="J5" s="14" t="s">
        <v>247</v>
      </c>
      <c r="K5" s="14" t="s">
        <v>330</v>
      </c>
      <c r="L5" s="14" t="s">
        <v>248</v>
      </c>
      <c r="M5" s="14" t="s">
        <v>339</v>
      </c>
      <c r="N5" s="14" t="s">
        <v>432</v>
      </c>
      <c r="O5" s="14" t="s">
        <v>94</v>
      </c>
      <c r="P5" s="14" t="s">
        <v>0</v>
      </c>
      <c r="Q5" s="14" t="s">
        <v>107</v>
      </c>
      <c r="R5" s="14" t="s">
        <v>40</v>
      </c>
      <c r="S5" s="14" t="s">
        <v>341</v>
      </c>
      <c r="T5" s="14" t="s">
        <v>539</v>
      </c>
      <c r="U5" s="14" t="s">
        <v>1689</v>
      </c>
      <c r="V5" s="14" t="s">
        <v>342</v>
      </c>
      <c r="W5" s="14" t="s">
        <v>357</v>
      </c>
      <c r="X5" s="14" t="s">
        <v>358</v>
      </c>
      <c r="Y5" s="14" t="s">
        <v>359</v>
      </c>
      <c r="Z5" s="14" t="s">
        <v>360</v>
      </c>
      <c r="AA5" s="14" t="s">
        <v>361</v>
      </c>
      <c r="AB5" s="14" t="s">
        <v>362</v>
      </c>
      <c r="AC5" s="14" t="s">
        <v>363</v>
      </c>
      <c r="AD5" s="14" t="s">
        <v>364</v>
      </c>
      <c r="AE5" s="14" t="s">
        <v>365</v>
      </c>
      <c r="AF5" s="14" t="s">
        <v>366</v>
      </c>
      <c r="AG5" s="14" t="s">
        <v>367</v>
      </c>
      <c r="AH5" s="14" t="s">
        <v>368</v>
      </c>
      <c r="AI5" s="14" t="s">
        <v>433</v>
      </c>
      <c r="AJ5" s="14" t="s">
        <v>434</v>
      </c>
      <c r="AK5" s="14" t="s">
        <v>435</v>
      </c>
      <c r="AL5" s="14" t="s">
        <v>436</v>
      </c>
      <c r="AM5" s="14" t="s">
        <v>369</v>
      </c>
      <c r="AN5" s="14" t="s">
        <v>370</v>
      </c>
      <c r="AO5" s="14" t="s">
        <v>371</v>
      </c>
      <c r="AP5" s="14" t="s">
        <v>372</v>
      </c>
      <c r="AQ5" s="14" t="s">
        <v>373</v>
      </c>
      <c r="AR5" s="14" t="s">
        <v>374</v>
      </c>
      <c r="AS5" s="14" t="s">
        <v>375</v>
      </c>
      <c r="AT5" s="14" t="s">
        <v>376</v>
      </c>
      <c r="AU5" s="14" t="s">
        <v>377</v>
      </c>
      <c r="AV5" s="14" t="s">
        <v>378</v>
      </c>
      <c r="AW5" s="14" t="s">
        <v>379</v>
      </c>
      <c r="AX5" s="14" t="s">
        <v>380</v>
      </c>
      <c r="AY5" s="14" t="s">
        <v>437</v>
      </c>
      <c r="AZ5" s="14" t="s">
        <v>438</v>
      </c>
      <c r="BA5" s="14" t="s">
        <v>439</v>
      </c>
      <c r="BB5" s="14" t="s">
        <v>440</v>
      </c>
      <c r="BC5" s="14" t="s">
        <v>225</v>
      </c>
      <c r="BD5" s="14" t="s">
        <v>381</v>
      </c>
      <c r="BE5" s="14" t="s">
        <v>382</v>
      </c>
      <c r="BF5" s="14" t="s">
        <v>383</v>
      </c>
      <c r="BG5" s="14" t="s">
        <v>384</v>
      </c>
      <c r="BH5" s="14" t="s">
        <v>385</v>
      </c>
      <c r="BI5" s="14" t="s">
        <v>386</v>
      </c>
      <c r="BJ5" s="14" t="s">
        <v>387</v>
      </c>
      <c r="BK5" s="14" t="s">
        <v>388</v>
      </c>
      <c r="BL5" s="14" t="s">
        <v>389</v>
      </c>
      <c r="BM5" s="14" t="s">
        <v>390</v>
      </c>
      <c r="BN5" s="14" t="s">
        <v>391</v>
      </c>
      <c r="BO5" s="14" t="s">
        <v>392</v>
      </c>
      <c r="BP5" s="14" t="s">
        <v>441</v>
      </c>
      <c r="BQ5" s="14" t="s">
        <v>442</v>
      </c>
      <c r="BR5" s="14" t="s">
        <v>443</v>
      </c>
      <c r="BS5" s="14" t="s">
        <v>444</v>
      </c>
      <c r="BT5" s="14" t="s">
        <v>527</v>
      </c>
      <c r="BU5" s="14" t="s">
        <v>445</v>
      </c>
      <c r="BV5" s="14" t="s">
        <v>528</v>
      </c>
      <c r="BW5" s="14" t="s">
        <v>394</v>
      </c>
      <c r="BX5" s="14" t="s">
        <v>395</v>
      </c>
      <c r="BY5" s="14" t="s">
        <v>396</v>
      </c>
      <c r="BZ5" s="14" t="s">
        <v>397</v>
      </c>
      <c r="CA5" s="14" t="s">
        <v>398</v>
      </c>
      <c r="CB5" s="14" t="s">
        <v>399</v>
      </c>
      <c r="CC5" s="14" t="s">
        <v>400</v>
      </c>
      <c r="CD5" s="14" t="s">
        <v>401</v>
      </c>
      <c r="CE5" s="14" t="s">
        <v>402</v>
      </c>
      <c r="CF5" s="14" t="s">
        <v>403</v>
      </c>
      <c r="CG5" s="14" t="s">
        <v>404</v>
      </c>
      <c r="CH5" s="14" t="s">
        <v>405</v>
      </c>
      <c r="CI5" s="14" t="s">
        <v>446</v>
      </c>
      <c r="CJ5" s="14" t="s">
        <v>447</v>
      </c>
      <c r="CK5" s="14" t="s">
        <v>448</v>
      </c>
      <c r="CL5" s="14" t="s">
        <v>449</v>
      </c>
      <c r="CM5" s="14" t="s">
        <v>450</v>
      </c>
      <c r="CN5" s="14" t="s">
        <v>406</v>
      </c>
      <c r="CO5" s="14" t="s">
        <v>407</v>
      </c>
      <c r="CP5" s="14" t="s">
        <v>408</v>
      </c>
      <c r="CQ5" s="14" t="s">
        <v>409</v>
      </c>
      <c r="CR5" s="14" t="s">
        <v>410</v>
      </c>
      <c r="CS5" s="14" t="s">
        <v>411</v>
      </c>
      <c r="CT5" s="14" t="s">
        <v>412</v>
      </c>
      <c r="CU5" s="14" t="s">
        <v>413</v>
      </c>
      <c r="CV5" s="14" t="s">
        <v>414</v>
      </c>
      <c r="CW5" s="14" t="s">
        <v>415</v>
      </c>
      <c r="CX5" s="14" t="s">
        <v>416</v>
      </c>
      <c r="CY5" s="14" t="s">
        <v>417</v>
      </c>
      <c r="CZ5" s="14" t="s">
        <v>451</v>
      </c>
      <c r="DA5" s="120" t="s">
        <v>418</v>
      </c>
      <c r="DB5" s="14" t="s">
        <v>419</v>
      </c>
      <c r="DC5" s="14" t="s">
        <v>420</v>
      </c>
      <c r="DD5" s="14" t="s">
        <v>421</v>
      </c>
      <c r="DE5" s="14" t="s">
        <v>422</v>
      </c>
      <c r="DF5" s="14" t="s">
        <v>423</v>
      </c>
      <c r="DG5" s="14" t="s">
        <v>424</v>
      </c>
      <c r="DH5" s="14" t="s">
        <v>425</v>
      </c>
      <c r="DI5" s="14" t="s">
        <v>426</v>
      </c>
      <c r="DJ5" s="14" t="s">
        <v>427</v>
      </c>
      <c r="DK5" s="14" t="s">
        <v>428</v>
      </c>
      <c r="DL5" s="14" t="s">
        <v>429</v>
      </c>
      <c r="DM5" s="14" t="s">
        <v>452</v>
      </c>
      <c r="DN5" s="14" t="s">
        <v>453</v>
      </c>
      <c r="DO5" s="14" t="s">
        <v>454</v>
      </c>
      <c r="DP5" s="121" t="s">
        <v>455</v>
      </c>
      <c r="DQ5" s="14" t="s">
        <v>529</v>
      </c>
      <c r="DR5" s="14" t="s">
        <v>515</v>
      </c>
      <c r="DS5" s="14" t="s">
        <v>516</v>
      </c>
      <c r="DT5" s="14" t="s">
        <v>517</v>
      </c>
      <c r="DU5" s="14" t="s">
        <v>518</v>
      </c>
      <c r="DV5" s="14" t="s">
        <v>519</v>
      </c>
      <c r="DW5" s="14" t="s">
        <v>520</v>
      </c>
      <c r="DX5" s="14" t="s">
        <v>521</v>
      </c>
      <c r="DY5" s="14" t="s">
        <v>522</v>
      </c>
      <c r="DZ5" s="14" t="s">
        <v>523</v>
      </c>
      <c r="EA5" s="14" t="s">
        <v>524</v>
      </c>
      <c r="EB5" s="14" t="s">
        <v>525</v>
      </c>
      <c r="EC5" s="14" t="s">
        <v>526</v>
      </c>
      <c r="ED5" s="14" t="s">
        <v>530</v>
      </c>
    </row>
    <row r="6" spans="1:134" ht="14.5" hidden="1" x14ac:dyDescent="0.35">
      <c r="A6" s="18">
        <v>1</v>
      </c>
      <c r="B6" s="71" t="s">
        <v>110</v>
      </c>
      <c r="C6" s="18" t="str">
        <f>IFERROR(_xlfn.XLOOKUP(KH_26_OPT4_KTQT_v4[[#This Row],[Salesman]],MD_Salesman[Salesman],MD_Salesman[SalesManager]),"")</f>
        <v>Quốc Anh</v>
      </c>
      <c r="D6" s="72" t="str">
        <f>IFERROR(INDEX(MD_Customer[Mã khách],MATCH(KH_26_OPT4_KTQT_v4[[#This Row],[Tên khách]],MD_Customer[Tên khách-rút gọn],0)),"")</f>
        <v>200319</v>
      </c>
      <c r="E6" s="7" t="str">
        <f>IFERROR(INDEX(MD_Customer[Parent Account],MATCH(KH_26_OPT4_KTQT_v4[[#This Row],[Tên khách]],MD_Customer[Tên khách-rút gọn],0)),"")</f>
        <v>Niagara Bottling, LLC</v>
      </c>
      <c r="F6" s="35" t="s">
        <v>6</v>
      </c>
      <c r="G6" s="7" t="str">
        <f>IFERROR(INDEX(MD_Customer[Phân loại],MATCH(KH_26_OPT4_KTQT_v4[[#This Row],[Tên khách]],MD_Customer[Tên khách-rút gọn],0)),"")</f>
        <v>Hiện hữu</v>
      </c>
      <c r="H6" s="7" t="str">
        <f>IFERROR(INDEX(MD_Customer[Kênh bán hàng],MATCH(KH_26_OPT4_KTQT_v4[[#This Row],[Tên khách]],MD_Customer[Tên khách-rút gọn],0)),"")</f>
        <v>Xuất khẩu</v>
      </c>
      <c r="I6" s="35" t="s">
        <v>277</v>
      </c>
      <c r="J6" s="7" t="str">
        <f>IFERROR(INDEX(MD_Destination[Nước],MATCH(KH_26_OPT4_KTQT_v4[[#This Row],[Địa điểm đến]],MD_Destination[Địa điểm đến],0)),"")</f>
        <v>Mỹ</v>
      </c>
      <c r="K6" s="7" t="str">
        <f>IFERROR(INDEX(MD_Destination[Khu vực],MATCH(KH_26_OPT4_KTQT_v4[[#This Row],[Địa điểm đến]],MD_Destination[Địa điểm đến],0)),"")</f>
        <v>Châu Mỹ</v>
      </c>
      <c r="L6" s="35" t="s">
        <v>278</v>
      </c>
      <c r="M6" s="7" t="str">
        <f>IFERROR(INDEX(MD_SKU[Mã SKU],MATCH(KH_26_OPT4_KTQT_v4[[#This Row],[Tên sản phẩm]],MD_SKU[Tên SKU-rút gọn],0)),"")</f>
        <v>110000354</v>
      </c>
      <c r="N6" s="35" t="s">
        <v>456</v>
      </c>
      <c r="O6" s="7" t="str">
        <f>IFERROR(INDEX(MD_SKU[Ngành hàng],MATCH(KH_26_OPT4_KTQT_v4[[#This Row],[Tên sản phẩm]],MD_SKU[Tên SKU-rút gọn],0)),"")</f>
        <v>rPET</v>
      </c>
      <c r="P6" s="7" t="str">
        <f>IFERROR(INDEX(MD_SKU[Nhóm ngành],MATCH(KH_26_OPT4_KTQT_v4[[#This Row],[Tên sản phẩm]],MD_SKU[Tên SKU-rút gọn],0)),"")</f>
        <v>Hạt PET</v>
      </c>
      <c r="Q6" s="7" t="str">
        <f>IFERROR(
   IF(INDEX(MD_SKU[IV/IM],MATCH(KH_26_OPT4_KTQT_v4[[#This Row],[Tên sản phẩm]],MD_SKU[Tên SKU-rút gọn],0))=0,
      "",
      INDEX(MD_SKU[IV/IM],MATCH(KH_26_OPT4_KTQT_v4[[#This Row],[Tên sản phẩm]],MD_SKU[Tên SKU-rút gọn],0))
   ),
"")</f>
        <v>0.78 ± 0.02</v>
      </c>
      <c r="R6" s="44">
        <f>IFERROR(INDEX(MD_SKU[Application],MATCH(KH_26_OPT4_KTQT_v4[[#This Row],[Tên sản phẩm]],MD_SKU[Tên SKU-rút gọn],0)),"")</f>
        <v>0</v>
      </c>
      <c r="S6" s="7" t="str">
        <f>IFERROR(INDEX(MD_SKU[Phân loại],MATCH(KH_26_OPT4_KTQT_v4[[#This Row],[Tên sản phẩm]],MD_SKU[Tên SKU-rút gọn],0)),"")</f>
        <v>Cũ</v>
      </c>
      <c r="T6" s="7" t="s">
        <v>6</v>
      </c>
      <c r="U6" s="7" t="s">
        <v>1508</v>
      </c>
      <c r="V6" s="70">
        <v>0.8</v>
      </c>
      <c r="W6" s="102">
        <v>660</v>
      </c>
      <c r="X6" s="102">
        <v>660</v>
      </c>
      <c r="Y6" s="102">
        <v>660</v>
      </c>
      <c r="Z6" s="102">
        <v>660</v>
      </c>
      <c r="AA6" s="102">
        <v>660</v>
      </c>
      <c r="AB6" s="102">
        <v>660</v>
      </c>
      <c r="AC6" s="102">
        <v>660</v>
      </c>
      <c r="AD6" s="102">
        <v>660</v>
      </c>
      <c r="AE6" s="102">
        <v>660</v>
      </c>
      <c r="AF6" s="102">
        <v>660</v>
      </c>
      <c r="AG6" s="102">
        <v>660</v>
      </c>
      <c r="AH6" s="102">
        <v>660</v>
      </c>
      <c r="AI6" s="47">
        <f ca="1">SUM(KH_26_OPT4_KTQT_v4[[#This Row],[SL-01]:[SL-12]])</f>
        <v>7920</v>
      </c>
      <c r="AJ6" s="47">
        <f ca="1">SUMIFS(DB_25[SL-DB25],DB_25[Mã khách],KH_26_OPT4_KTQT_v4[[#This Row],[Mã khách]],DB_25[Mã sản phẩm],KH_26_OPT4_KTQT_v4[[#This Row],[Mã sản phẩm]])</f>
        <v>13002</v>
      </c>
      <c r="AK6" s="20">
        <f ca="1">KH_26_OPT4_KTQT_v4[[#This Row],[SL-KH26]]-KH_26_OPT4_KTQT_v4[[#This Row],[SL-DB25]]</f>
        <v>-5082</v>
      </c>
      <c r="AL6" s="21">
        <f ca="1">IFERROR(KH_26_OPT4_KTQT_v4[[#This Row],[SL-+/-]]/KH_26_OPT4_KTQT_v4[[#This Row],[SL-DB25]],0)</f>
        <v>-0.39086294416243655</v>
      </c>
      <c r="AM6" s="51">
        <v>1044</v>
      </c>
      <c r="AN6" s="51">
        <v>1044</v>
      </c>
      <c r="AO6" s="51">
        <v>1044</v>
      </c>
      <c r="AP6" s="51">
        <v>1044</v>
      </c>
      <c r="AQ6" s="51">
        <v>1044</v>
      </c>
      <c r="AR6" s="51">
        <v>1044</v>
      </c>
      <c r="AS6" s="51">
        <v>1044</v>
      </c>
      <c r="AT6" s="51">
        <v>1044</v>
      </c>
      <c r="AU6" s="51">
        <v>1044</v>
      </c>
      <c r="AV6" s="51">
        <v>1044</v>
      </c>
      <c r="AW6" s="51">
        <v>1044</v>
      </c>
      <c r="AX6" s="51">
        <v>1044</v>
      </c>
      <c r="AY6" s="23">
        <v>1080</v>
      </c>
      <c r="AZ6" s="7"/>
      <c r="BA6" s="24">
        <f>KH_26_OPT4_KTQT_v4[[#This Row],[GB-DB25]]-KH_26_OPT4_KTQT_v4[[#This Row],[GB-KH25]]</f>
        <v>1080</v>
      </c>
      <c r="BB6" s="21">
        <f>IFERROR(KH_26_OPT4_KTQT_v4[[#This Row],[GB-+/-]]/KH_26_OPT4_KTQT_v4[[#This Row],[GB-KH25]],0)</f>
        <v>0</v>
      </c>
      <c r="BC6" s="21" t="s">
        <v>531</v>
      </c>
      <c r="BD6" s="47">
        <f>KH_26_OPT4_KTQT_v4[[#This Row],[SL-01]]*KH_26_OPT4_KTQT_v4[[#This Row],[GB-01]]*EXR</f>
        <v>18259560000</v>
      </c>
      <c r="BE6" s="47">
        <f>KH_26_OPT4_KTQT_v4[[#This Row],[SL-02]]*KH_26_OPT4_KTQT_v4[[#This Row],[GB-02]]*EXR</f>
        <v>18259560000</v>
      </c>
      <c r="BF6" s="47">
        <f>KH_26_OPT4_KTQT_v4[[#This Row],[SL-03]]*KH_26_OPT4_KTQT_v4[[#This Row],[GB-03]]*EXR</f>
        <v>18259560000</v>
      </c>
      <c r="BG6" s="47">
        <f>KH_26_OPT4_KTQT_v4[[#This Row],[SL-04]]*KH_26_OPT4_KTQT_v4[[#This Row],[GB-04]]*EXR</f>
        <v>18259560000</v>
      </c>
      <c r="BH6" s="47">
        <f>KH_26_OPT4_KTQT_v4[[#This Row],[SL-05]]*KH_26_OPT4_KTQT_v4[[#This Row],[GB-05]]*EXR</f>
        <v>18259560000</v>
      </c>
      <c r="BI6" s="47">
        <f>KH_26_OPT4_KTQT_v4[[#This Row],[SL-06]]*KH_26_OPT4_KTQT_v4[[#This Row],[GB-06]]*EXR</f>
        <v>18259560000</v>
      </c>
      <c r="BJ6" s="47">
        <f>KH_26_OPT4_KTQT_v4[[#This Row],[SL-07]]*KH_26_OPT4_KTQT_v4[[#This Row],[GB-07]]*EXR</f>
        <v>18259560000</v>
      </c>
      <c r="BK6" s="47">
        <f>KH_26_OPT4_KTQT_v4[[#This Row],[SL-08]]*KH_26_OPT4_KTQT_v4[[#This Row],[GB-08]]*EXR</f>
        <v>18259560000</v>
      </c>
      <c r="BL6" s="47">
        <f>KH_26_OPT4_KTQT_v4[[#This Row],[SL-09]]*KH_26_OPT4_KTQT_v4[[#This Row],[GB-09]]*EXR</f>
        <v>18259560000</v>
      </c>
      <c r="BM6" s="47">
        <f>KH_26_OPT4_KTQT_v4[[#This Row],[SL-10]]*KH_26_OPT4_KTQT_v4[[#This Row],[GB-10]]*EXR</f>
        <v>18259560000</v>
      </c>
      <c r="BN6" s="47">
        <f>KH_26_OPT4_KTQT_v4[[#This Row],[SL-11]]*KH_26_OPT4_KTQT_v4[[#This Row],[GB-11]]*EXR</f>
        <v>18259560000</v>
      </c>
      <c r="BO6" s="47">
        <f>KH_26_OPT4_KTQT_v4[[#This Row],[SL-12]]*KH_26_OPT4_KTQT_v4[[#This Row],[GB-12]]*EXR</f>
        <v>18259560000</v>
      </c>
      <c r="BP6" s="47">
        <f ca="1">SUM(KH_26_OPT4_KTQT_v4[[#This Row],[DT-EXW-01]:[DT-EXW-12]])</f>
        <v>219114720000</v>
      </c>
      <c r="BQ6" s="47">
        <f ca="1">SUMIFS(DB_25[DT-DB25],DB_25[Mã khách],KH_26_OPT4_KTQT_v4[[#This Row],[Mã khách]],DB_25[Mã sản phẩm],KH_26_OPT4_KTQT_v4[[#This Row],[Mã sản phẩm]])</f>
        <v>369590112179.51868</v>
      </c>
      <c r="BR6" s="47">
        <f ca="1">KH_26_OPT4_KTQT_v4[[#This Row],[DT-EXW-KH26]]-KH_26_OPT4_KTQT_v4[[#This Row],[DT-EXW-DB25]]</f>
        <v>-150475392179.51868</v>
      </c>
      <c r="BS6" s="21">
        <f ca="1">IFERROR(KH_26_OPT4_KTQT_v4[[#This Row],[DT-EXW-+/-]]/KH_26_OPT4_KTQT_v4[[#This Row],[DT-EXW-DB25]],0)</f>
        <v>-0.40714128224953489</v>
      </c>
      <c r="BT6" s="138" t="s">
        <v>532</v>
      </c>
      <c r="BU6" s="94">
        <v>1.4999999999999999E-2</v>
      </c>
      <c r="BV6" s="141"/>
      <c r="BW6" s="50">
        <f>IF(KH_26_OPT4_KTQT_v4[[#This Row],[CPHH-%-SL]]="Dthu",KH_26_OPT4_KTQT_v4[[#This Row],[%HH]]*KH_26_OPT4_KTQT_v4[[#This Row],[DT-EXW-01]],KH_26_OPT4_KTQT_v4[[#This Row],[HH-SL]]*KH_26_OPT4_KTQT_v4[[#This Row],[SL-01]])</f>
        <v>273893400</v>
      </c>
      <c r="BX6" s="50">
        <f>IF(KH_26_OPT4_KTQT_v4[[#This Row],[CPHH-%-SL]]="Dthu",KH_26_OPT4_KTQT_v4[[#This Row],[%HH]]*KH_26_OPT4_KTQT_v4[[#This Row],[DT-EXW-02]],KH_26_OPT4_KTQT_v4[[#This Row],[HH-SL]]*KH_26_OPT4_KTQT_v4[[#This Row],[SL-02]])</f>
        <v>273893400</v>
      </c>
      <c r="BY6" s="50">
        <f>IF(KH_26_OPT4_KTQT_v4[[#This Row],[CPHH-%-SL]]="Dthu",KH_26_OPT4_KTQT_v4[[#This Row],[%HH]]*KH_26_OPT4_KTQT_v4[[#This Row],[DT-EXW-03]],KH_26_OPT4_KTQT_v4[[#This Row],[HH-SL]]*KH_26_OPT4_KTQT_v4[[#This Row],[SL-03]])</f>
        <v>273893400</v>
      </c>
      <c r="BZ6" s="50">
        <f>IF(KH_26_OPT4_KTQT_v4[[#This Row],[CPHH-%-SL]]="Dthu",KH_26_OPT4_KTQT_v4[[#This Row],[%HH]]*KH_26_OPT4_KTQT_v4[[#This Row],[DT-EXW-04]],KH_26_OPT4_KTQT_v4[[#This Row],[HH-SL]]*KH_26_OPT4_KTQT_v4[[#This Row],[SL-04]])</f>
        <v>273893400</v>
      </c>
      <c r="CA6" s="50">
        <f>IF(KH_26_OPT4_KTQT_v4[[#This Row],[CPHH-%-SL]]="Dthu",KH_26_OPT4_KTQT_v4[[#This Row],[%HH]]*KH_26_OPT4_KTQT_v4[[#This Row],[DT-EXW-05]],KH_26_OPT4_KTQT_v4[[#This Row],[HH-SL]]*KH_26_OPT4_KTQT_v4[[#This Row],[SL-05]])</f>
        <v>273893400</v>
      </c>
      <c r="CB6" s="50">
        <f>IF(KH_26_OPT4_KTQT_v4[[#This Row],[CPHH-%-SL]]="Dthu",KH_26_OPT4_KTQT_v4[[#This Row],[%HH]]*KH_26_OPT4_KTQT_v4[[#This Row],[DT-EXW-06]],KH_26_OPT4_KTQT_v4[[#This Row],[HH-SL]]*KH_26_OPT4_KTQT_v4[[#This Row],[SL-06]])</f>
        <v>273893400</v>
      </c>
      <c r="CC6" s="50">
        <f>IF(KH_26_OPT4_KTQT_v4[[#This Row],[CPHH-%-SL]]="Dthu",KH_26_OPT4_KTQT_v4[[#This Row],[%HH]]*KH_26_OPT4_KTQT_v4[[#This Row],[DT-EXW-07]],KH_26_OPT4_KTQT_v4[[#This Row],[HH-SL]]*KH_26_OPT4_KTQT_v4[[#This Row],[SL-07]])</f>
        <v>273893400</v>
      </c>
      <c r="CD6" s="50">
        <f>IF(KH_26_OPT4_KTQT_v4[[#This Row],[CPHH-%-SL]]="Dthu",KH_26_OPT4_KTQT_v4[[#This Row],[%HH]]*KH_26_OPT4_KTQT_v4[[#This Row],[DT-EXW-08]],KH_26_OPT4_KTQT_v4[[#This Row],[HH-SL]]*KH_26_OPT4_KTQT_v4[[#This Row],[SL-08]])</f>
        <v>273893400</v>
      </c>
      <c r="CE6" s="50">
        <f>IF(KH_26_OPT4_KTQT_v4[[#This Row],[CPHH-%-SL]]="Dthu",KH_26_OPT4_KTQT_v4[[#This Row],[%HH]]*KH_26_OPT4_KTQT_v4[[#This Row],[DT-EXW-09]],KH_26_OPT4_KTQT_v4[[#This Row],[HH-SL]]*KH_26_OPT4_KTQT_v4[[#This Row],[SL-09]])</f>
        <v>273893400</v>
      </c>
      <c r="CF6" s="50">
        <f>IF(KH_26_OPT4_KTQT_v4[[#This Row],[CPHH-%-SL]]="Dthu",KH_26_OPT4_KTQT_v4[[#This Row],[%HH]]*KH_26_OPT4_KTQT_v4[[#This Row],[DT-EXW-10]],KH_26_OPT4_KTQT_v4[[#This Row],[HH-SL]]*KH_26_OPT4_KTQT_v4[[#This Row],[SL-10]])</f>
        <v>273893400</v>
      </c>
      <c r="CG6" s="50">
        <f>IF(KH_26_OPT4_KTQT_v4[[#This Row],[CPHH-%-SL]]="Dthu",KH_26_OPT4_KTQT_v4[[#This Row],[%HH]]*KH_26_OPT4_KTQT_v4[[#This Row],[DT-EXW-11]],KH_26_OPT4_KTQT_v4[[#This Row],[HH-SL]]*KH_26_OPT4_KTQT_v4[[#This Row],[SL-11]])</f>
        <v>273893400</v>
      </c>
      <c r="CH6" s="50">
        <f>IF(KH_26_OPT4_KTQT_v4[[#This Row],[CPHH-%-SL]]="Dthu",KH_26_OPT4_KTQT_v4[[#This Row],[%HH]]*KH_26_OPT4_KTQT_v4[[#This Row],[DT-EXW-12]],KH_26_OPT4_KTQT_v4[[#This Row],[HH-SL]]*KH_26_OPT4_KTQT_v4[[#This Row],[SL-12]])</f>
        <v>273893400</v>
      </c>
      <c r="CI6" s="50">
        <f ca="1">SUM(KH_26_OPT4_KTQT_v4[[#This Row],[CPHH-01]:[CPHH-12]])</f>
        <v>3286720800</v>
      </c>
      <c r="CJ6" s="47" cm="1">
        <f t="array" ref="CJ6">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6" s="19">
        <f ca="1">SUM(KH_26_OPT4_KTQT_v4[[#This Row],[ĐGVCNĐ-KXK]:[ĐGVCCT-KXK]])</f>
        <v>530000</v>
      </c>
      <c r="CL6" s="47" cm="1">
        <f t="array" ref="CL6">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530000</v>
      </c>
      <c r="CM6" s="47" cm="1">
        <f t="array" ref="CM6">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6" s="50">
        <f ca="1">(KH_26_OPT4_KTQT_v4[[#This Row],[ĐGVC-KNĐ]]+KH_26_OPT4_KTQT_v4[[#This Row],[ĐGVC-KXK]])*KH_26_OPT4_KTQT_v4[[#This Row],[SL-01]]</f>
        <v>349800000</v>
      </c>
      <c r="CO6" s="50">
        <f ca="1">(KH_26_OPT4_KTQT_v4[[#This Row],[ĐGVC-KNĐ]]+KH_26_OPT4_KTQT_v4[[#This Row],[ĐGVC-KXK]])*KH_26_OPT4_KTQT_v4[[#This Row],[SL-02]]</f>
        <v>349800000</v>
      </c>
      <c r="CP6" s="50">
        <f ca="1">(KH_26_OPT4_KTQT_v4[[#This Row],[ĐGVC-KNĐ]]+KH_26_OPT4_KTQT_v4[[#This Row],[ĐGVC-KXK]])*KH_26_OPT4_KTQT_v4[[#This Row],[SL-03]]</f>
        <v>349800000</v>
      </c>
      <c r="CQ6" s="50">
        <f ca="1">(KH_26_OPT4_KTQT_v4[[#This Row],[ĐGVC-KNĐ]]+KH_26_OPT4_KTQT_v4[[#This Row],[ĐGVC-KXK]])*KH_26_OPT4_KTQT_v4[[#This Row],[SL-04]]</f>
        <v>349800000</v>
      </c>
      <c r="CR6" s="50">
        <f ca="1">(KH_26_OPT4_KTQT_v4[[#This Row],[ĐGVC-KNĐ]]+KH_26_OPT4_KTQT_v4[[#This Row],[ĐGVC-KXK]])*KH_26_OPT4_KTQT_v4[[#This Row],[SL-05]]</f>
        <v>349800000</v>
      </c>
      <c r="CS6" s="50">
        <f ca="1">(KH_26_OPT4_KTQT_v4[[#This Row],[ĐGVC-KNĐ]]+KH_26_OPT4_KTQT_v4[[#This Row],[ĐGVC-KXK]])*KH_26_OPT4_KTQT_v4[[#This Row],[SL-06]]</f>
        <v>349800000</v>
      </c>
      <c r="CT6" s="50">
        <f ca="1">(KH_26_OPT4_KTQT_v4[[#This Row],[ĐGVC-KNĐ]]+KH_26_OPT4_KTQT_v4[[#This Row],[ĐGVC-KXK]])*KH_26_OPT4_KTQT_v4[[#This Row],[SL-07]]</f>
        <v>349800000</v>
      </c>
      <c r="CU6" s="50">
        <f ca="1">(KH_26_OPT4_KTQT_v4[[#This Row],[ĐGVC-KNĐ]]+KH_26_OPT4_KTQT_v4[[#This Row],[ĐGVC-KXK]])*KH_26_OPT4_KTQT_v4[[#This Row],[SL-08]]</f>
        <v>349800000</v>
      </c>
      <c r="CV6" s="50">
        <f ca="1">(KH_26_OPT4_KTQT_v4[[#This Row],[ĐGVC-KNĐ]]+KH_26_OPT4_KTQT_v4[[#This Row],[ĐGVC-KXK]])*KH_26_OPT4_KTQT_v4[[#This Row],[SL-09]]</f>
        <v>349800000</v>
      </c>
      <c r="CW6" s="50">
        <f ca="1">(KH_26_OPT4_KTQT_v4[[#This Row],[ĐGVC-KNĐ]]+KH_26_OPT4_KTQT_v4[[#This Row],[ĐGVC-KXK]])*KH_26_OPT4_KTQT_v4[[#This Row],[SL-10]]</f>
        <v>349800000</v>
      </c>
      <c r="CX6" s="50">
        <f ca="1">(KH_26_OPT4_KTQT_v4[[#This Row],[ĐGVC-KNĐ]]+KH_26_OPT4_KTQT_v4[[#This Row],[ĐGVC-KXK]])*KH_26_OPT4_KTQT_v4[[#This Row],[SL-11]]</f>
        <v>349800000</v>
      </c>
      <c r="CY6" s="50">
        <f ca="1">(KH_26_OPT4_KTQT_v4[[#This Row],[ĐGVC-KNĐ]]+KH_26_OPT4_KTQT_v4[[#This Row],[ĐGVC-KXK]])*KH_26_OPT4_KTQT_v4[[#This Row],[SL-12]]</f>
        <v>349800000</v>
      </c>
      <c r="CZ6" s="50">
        <f ca="1">SUM(KH_26_OPT4_KTQT_v4[[#This Row],[CPVC-01]:[CPVC-12]])</f>
        <v>4197600000</v>
      </c>
      <c r="DA6" s="122">
        <f ca="1">KH_26_OPT4_KTQT_v4[[#This Row],[DT-EXW-01]]+KH_26_OPT4_KTQT_v4[[#This Row],[CPVC-01]]+KH_26_OPT4_KTQT_v4[[#This Row],[CPHH-01]]</f>
        <v>18883253400</v>
      </c>
      <c r="DB6" s="50">
        <f ca="1">KH_26_OPT4_KTQT_v4[[#This Row],[DT-EXW-02]]+KH_26_OPT4_KTQT_v4[[#This Row],[CPVC-02]]+KH_26_OPT4_KTQT_v4[[#This Row],[CPHH-02]]</f>
        <v>18883253400</v>
      </c>
      <c r="DC6" s="50">
        <f ca="1">KH_26_OPT4_KTQT_v4[[#This Row],[DT-EXW-03]]+KH_26_OPT4_KTQT_v4[[#This Row],[CPVC-03]]+KH_26_OPT4_KTQT_v4[[#This Row],[CPHH-03]]</f>
        <v>18883253400</v>
      </c>
      <c r="DD6" s="50">
        <f ca="1">KH_26_OPT4_KTQT_v4[[#This Row],[DT-EXW-04]]+KH_26_OPT4_KTQT_v4[[#This Row],[CPVC-04]]+KH_26_OPT4_KTQT_v4[[#This Row],[CPHH-04]]</f>
        <v>18883253400</v>
      </c>
      <c r="DE6" s="50">
        <f ca="1">KH_26_OPT4_KTQT_v4[[#This Row],[DT-EXW-05]]+KH_26_OPT4_KTQT_v4[[#This Row],[CPVC-05]]+KH_26_OPT4_KTQT_v4[[#This Row],[CPHH-05]]</f>
        <v>18883253400</v>
      </c>
      <c r="DF6" s="50">
        <f ca="1">KH_26_OPT4_KTQT_v4[[#This Row],[DT-EXW-06]]+KH_26_OPT4_KTQT_v4[[#This Row],[CPVC-06]]+KH_26_OPT4_KTQT_v4[[#This Row],[CPHH-06]]</f>
        <v>18883253400</v>
      </c>
      <c r="DG6" s="50">
        <f ca="1">KH_26_OPT4_KTQT_v4[[#This Row],[DT-EXW-07]]+KH_26_OPT4_KTQT_v4[[#This Row],[CPVC-07]]+KH_26_OPT4_KTQT_v4[[#This Row],[CPHH-07]]</f>
        <v>18883253400</v>
      </c>
      <c r="DH6" s="50">
        <f ca="1">KH_26_OPT4_KTQT_v4[[#This Row],[DT-EXW-08]]+KH_26_OPT4_KTQT_v4[[#This Row],[CPVC-08]]+KH_26_OPT4_KTQT_v4[[#This Row],[CPHH-08]]</f>
        <v>18883253400</v>
      </c>
      <c r="DI6" s="50">
        <f ca="1">KH_26_OPT4_KTQT_v4[[#This Row],[DT-EXW-09]]+KH_26_OPT4_KTQT_v4[[#This Row],[CPVC-09]]+KH_26_OPT4_KTQT_v4[[#This Row],[CPHH-09]]</f>
        <v>18883253400</v>
      </c>
      <c r="DJ6" s="50">
        <f ca="1">KH_26_OPT4_KTQT_v4[[#This Row],[DT-EXW-10]]+KH_26_OPT4_KTQT_v4[[#This Row],[CPVC-10]]+KH_26_OPT4_KTQT_v4[[#This Row],[CPHH-10]]</f>
        <v>18883253400</v>
      </c>
      <c r="DK6" s="50">
        <f ca="1">KH_26_OPT4_KTQT_v4[[#This Row],[DT-EXW-11]]+KH_26_OPT4_KTQT_v4[[#This Row],[CPVC-11]]+KH_26_OPT4_KTQT_v4[[#This Row],[CPHH-11]]</f>
        <v>18883253400</v>
      </c>
      <c r="DL6" s="50">
        <f ca="1">KH_26_OPT4_KTQT_v4[[#This Row],[DT-EXW-12]]+KH_26_OPT4_KTQT_v4[[#This Row],[CPVC-12]]+KH_26_OPT4_KTQT_v4[[#This Row],[CPHH-12]]</f>
        <v>18883253400</v>
      </c>
      <c r="DM6" s="50">
        <f ca="1">SUM(KH_26_OPT4_KTQT_v4[[#This Row],[DT-01]:[DT-12]])</f>
        <v>226599040800</v>
      </c>
      <c r="DN6" s="9"/>
      <c r="DO6" s="9"/>
      <c r="DP6" s="123"/>
      <c r="DQ6" s="135"/>
      <c r="DR6" s="116">
        <f>IFERROR(KH_26_OPT4_KTQT_v4[[#This Row],[DT-EXW-01]]*KH_26_OPT4_KTQT_v4[[#This Row],[%CPDP]],0)</f>
        <v>0</v>
      </c>
      <c r="DS6" s="116">
        <f>IFERROR(KH_26_OPT4_KTQT_v4[[#This Row],[DT-EXW-02]]*KH_26_OPT4_KTQT_v4[[#This Row],[%CPDP]],0)</f>
        <v>0</v>
      </c>
      <c r="DT6" s="116">
        <f>IFERROR(KH_26_OPT4_KTQT_v4[[#This Row],[DT-EXW-03]]*KH_26_OPT4_KTQT_v4[[#This Row],[%CPDP]],0)</f>
        <v>0</v>
      </c>
      <c r="DU6" s="116">
        <f>IFERROR(KH_26_OPT4_KTQT_v4[[#This Row],[DT-EXW-04]]*KH_26_OPT4_KTQT_v4[[#This Row],[%CPDP]],0)</f>
        <v>0</v>
      </c>
      <c r="DV6" s="116">
        <f>IFERROR(KH_26_OPT4_KTQT_v4[[#This Row],[DT-EXW-05]]*KH_26_OPT4_KTQT_v4[[#This Row],[%CPDP]],0)</f>
        <v>0</v>
      </c>
      <c r="DW6" s="116">
        <f>IFERROR(KH_26_OPT4_KTQT_v4[[#This Row],[DT-EXW-06]]*KH_26_OPT4_KTQT_v4[[#This Row],[%CPDP]],0)</f>
        <v>0</v>
      </c>
      <c r="DX6" s="116">
        <f>IFERROR(KH_26_OPT4_KTQT_v4[[#This Row],[DT-EXW-07]]*KH_26_OPT4_KTQT_v4[[#This Row],[%CPDP]],0)</f>
        <v>0</v>
      </c>
      <c r="DY6" s="116">
        <f>IFERROR(KH_26_OPT4_KTQT_v4[[#This Row],[DT-EXW-08]]*KH_26_OPT4_KTQT_v4[[#This Row],[%CPDP]],0)</f>
        <v>0</v>
      </c>
      <c r="DZ6" s="116">
        <f>IFERROR(KH_26_OPT4_KTQT_v4[[#This Row],[DT-EXW-09]]*KH_26_OPT4_KTQT_v4[[#This Row],[%CPDP]],0)</f>
        <v>0</v>
      </c>
      <c r="EA6" s="116">
        <f>IFERROR(KH_26_OPT4_KTQT_v4[[#This Row],[DT-EXW-10]]*KH_26_OPT4_KTQT_v4[[#This Row],[%CPDP]],0)</f>
        <v>0</v>
      </c>
      <c r="EB6" s="116">
        <f>IFERROR(KH_26_OPT4_KTQT_v4[[#This Row],[DT-EXW-11]]*KH_26_OPT4_KTQT_v4[[#This Row],[%CPDP]],0)</f>
        <v>0</v>
      </c>
      <c r="EC6" s="116">
        <f>IFERROR(KH_26_OPT4_KTQT_v4[[#This Row],[DT-EXW-12]]*KH_26_OPT4_KTQT_v4[[#This Row],[%CPDP]],0)</f>
        <v>0</v>
      </c>
      <c r="ED6" s="130">
        <f ca="1">SUM(KH_26_OPT4_KTQT_v4[[#This Row],[CPDP-01]:[CPDP-12]])</f>
        <v>0</v>
      </c>
    </row>
    <row r="7" spans="1:134" ht="14.5" hidden="1" x14ac:dyDescent="0.35">
      <c r="A7" s="18">
        <v>2</v>
      </c>
      <c r="B7" s="71" t="s">
        <v>110</v>
      </c>
      <c r="C7" s="18" t="str">
        <f>IFERROR(_xlfn.XLOOKUP(KH_26_OPT4_KTQT_v4[[#This Row],[Salesman]],MD_Salesman[Salesman],MD_Salesman[SalesManager]),"")</f>
        <v>Quốc Anh</v>
      </c>
      <c r="D7" s="72" t="str">
        <f>IFERROR(INDEX(MD_Customer[Mã khách],MATCH(KH_26_OPT4_KTQT_v4[[#This Row],[Tên khách]],MD_Customer[Tên khách-rút gọn],0)),"")</f>
        <v>200319</v>
      </c>
      <c r="E7" s="7" t="str">
        <f>IFERROR(INDEX(MD_Customer[Parent Account],MATCH(KH_26_OPT4_KTQT_v4[[#This Row],[Tên khách]],MD_Customer[Tên khách-rút gọn],0)),"")</f>
        <v>Niagara Bottling, LLC</v>
      </c>
      <c r="F7" s="35" t="s">
        <v>6</v>
      </c>
      <c r="G7" s="7" t="str">
        <f>IFERROR(INDEX(MD_Customer[Phân loại],MATCH(KH_26_OPT4_KTQT_v4[[#This Row],[Tên khách]],MD_Customer[Tên khách-rút gọn],0)),"")</f>
        <v>Hiện hữu</v>
      </c>
      <c r="H7" s="7" t="str">
        <f>IFERROR(INDEX(MD_Customer[Kênh bán hàng],MATCH(KH_26_OPT4_KTQT_v4[[#This Row],[Tên khách]],MD_Customer[Tên khách-rút gọn],0)),"")</f>
        <v>Xuất khẩu</v>
      </c>
      <c r="I7" s="35" t="s">
        <v>280</v>
      </c>
      <c r="J7" s="7" t="str">
        <f>IFERROR(INDEX(MD_Destination[Nước],MATCH(KH_26_OPT4_KTQT_v4[[#This Row],[Địa điểm đến]],MD_Destination[Địa điểm đến],0)),"")</f>
        <v>UK</v>
      </c>
      <c r="K7" s="7" t="str">
        <f>IFERROR(INDEX(MD_Destination[Khu vực],MATCH(KH_26_OPT4_KTQT_v4[[#This Row],[Địa điểm đến]],MD_Destination[Địa điểm đến],0)),"")</f>
        <v>Châu Âu</v>
      </c>
      <c r="L7" s="35" t="s">
        <v>278</v>
      </c>
      <c r="M7" s="7" t="str">
        <f>IFERROR(INDEX(MD_SKU[Mã SKU],MATCH(KH_26_OPT4_KTQT_v4[[#This Row],[Tên sản phẩm]],MD_SKU[Tên SKU-rút gọn],0)),"")</f>
        <v>110000354</v>
      </c>
      <c r="N7" s="35" t="s">
        <v>456</v>
      </c>
      <c r="O7" s="7" t="str">
        <f>IFERROR(INDEX(MD_SKU[Ngành hàng],MATCH(KH_26_OPT4_KTQT_v4[[#This Row],[Tên sản phẩm]],MD_SKU[Tên SKU-rút gọn],0)),"")</f>
        <v>rPET</v>
      </c>
      <c r="P7" s="7" t="str">
        <f>IFERROR(INDEX(MD_SKU[Nhóm ngành],MATCH(KH_26_OPT4_KTQT_v4[[#This Row],[Tên sản phẩm]],MD_SKU[Tên SKU-rút gọn],0)),"")</f>
        <v>Hạt PET</v>
      </c>
      <c r="Q7" s="7" t="str">
        <f>IFERROR(
   IF(INDEX(MD_SKU[IV/IM],MATCH(KH_26_OPT4_KTQT_v4[[#This Row],[Tên sản phẩm]],MD_SKU[Tên SKU-rút gọn],0))=0,
      "",
      INDEX(MD_SKU[IV/IM],MATCH(KH_26_OPT4_KTQT_v4[[#This Row],[Tên sản phẩm]],MD_SKU[Tên SKU-rút gọn],0))
   ),
"")</f>
        <v>0.78 ± 0.02</v>
      </c>
      <c r="R7" s="44">
        <f>IFERROR(INDEX(MD_SKU[Application],MATCH(KH_26_OPT4_KTQT_v4[[#This Row],[Tên sản phẩm]],MD_SKU[Tên SKU-rút gọn],0)),"")</f>
        <v>0</v>
      </c>
      <c r="S7" s="7" t="str">
        <f>IFERROR(INDEX(MD_SKU[Phân loại],MATCH(KH_26_OPT4_KTQT_v4[[#This Row],[Tên sản phẩm]],MD_SKU[Tên SKU-rút gọn],0)),"")</f>
        <v>Cũ</v>
      </c>
      <c r="T7" s="7" t="s">
        <v>6</v>
      </c>
      <c r="U7" s="7" t="s">
        <v>1508</v>
      </c>
      <c r="V7" s="70">
        <v>0.8</v>
      </c>
      <c r="W7" s="102">
        <v>440</v>
      </c>
      <c r="X7" s="102">
        <v>440</v>
      </c>
      <c r="Y7" s="102">
        <v>440</v>
      </c>
      <c r="Z7" s="102">
        <v>440</v>
      </c>
      <c r="AA7" s="102">
        <v>440</v>
      </c>
      <c r="AB7" s="102">
        <v>440</v>
      </c>
      <c r="AC7" s="102">
        <v>440</v>
      </c>
      <c r="AD7" s="102">
        <v>440</v>
      </c>
      <c r="AE7" s="102">
        <v>440</v>
      </c>
      <c r="AF7" s="102">
        <v>440</v>
      </c>
      <c r="AG7" s="102">
        <v>440</v>
      </c>
      <c r="AH7" s="102">
        <v>440</v>
      </c>
      <c r="AI7" s="47">
        <f ca="1">SUM(KH_26_OPT4_KTQT_v4[[#This Row],[SL-01]:[SL-12]])</f>
        <v>5280</v>
      </c>
      <c r="AJ7" s="47">
        <f ca="1">SUMIFS(DB_25[SL-DB25],DB_25[Mã khách],KH_26_OPT4_KTQT_v4[[#This Row],[Mã khách]],DB_25[Mã sản phẩm],KH_26_OPT4_KTQT_v4[[#This Row],[Mã sản phẩm]])</f>
        <v>13002</v>
      </c>
      <c r="AK7" s="20">
        <f ca="1">KH_26_OPT4_KTQT_v4[[#This Row],[SL-KH26]]-KH_26_OPT4_KTQT_v4[[#This Row],[SL-DB25]]</f>
        <v>-7722</v>
      </c>
      <c r="AL7" s="21">
        <f ca="1">IFERROR(KH_26_OPT4_KTQT_v4[[#This Row],[SL-+/-]]/KH_26_OPT4_KTQT_v4[[#This Row],[SL-DB25]],0)</f>
        <v>-0.59390862944162437</v>
      </c>
      <c r="AM7" s="51">
        <v>1084</v>
      </c>
      <c r="AN7" s="51">
        <v>1084</v>
      </c>
      <c r="AO7" s="51">
        <v>1084</v>
      </c>
      <c r="AP7" s="51">
        <v>1084</v>
      </c>
      <c r="AQ7" s="51">
        <v>1084</v>
      </c>
      <c r="AR7" s="51">
        <v>1084</v>
      </c>
      <c r="AS7" s="51">
        <v>1084</v>
      </c>
      <c r="AT7" s="51">
        <v>1084</v>
      </c>
      <c r="AU7" s="51">
        <v>1084</v>
      </c>
      <c r="AV7" s="51">
        <v>1084</v>
      </c>
      <c r="AW7" s="51">
        <v>1084</v>
      </c>
      <c r="AX7" s="51">
        <v>1084</v>
      </c>
      <c r="AY7" s="23">
        <v>1150</v>
      </c>
      <c r="AZ7" s="7"/>
      <c r="BA7" s="24">
        <f>KH_26_OPT4_KTQT_v4[[#This Row],[GB-DB25]]-KH_26_OPT4_KTQT_v4[[#This Row],[GB-KH25]]</f>
        <v>1150</v>
      </c>
      <c r="BB7" s="21">
        <f>IFERROR(KH_26_OPT4_KTQT_v4[[#This Row],[GB-+/-]]/KH_26_OPT4_KTQT_v4[[#This Row],[GB-KH25]],0)</f>
        <v>0</v>
      </c>
      <c r="BC7" s="21"/>
      <c r="BD7" s="47">
        <f>KH_26_OPT4_KTQT_v4[[#This Row],[SL-01]]*KH_26_OPT4_KTQT_v4[[#This Row],[GB-01]]*EXR</f>
        <v>12639440000</v>
      </c>
      <c r="BE7" s="47">
        <f>KH_26_OPT4_KTQT_v4[[#This Row],[SL-02]]*KH_26_OPT4_KTQT_v4[[#This Row],[GB-02]]*EXR</f>
        <v>12639440000</v>
      </c>
      <c r="BF7" s="47">
        <f>KH_26_OPT4_KTQT_v4[[#This Row],[SL-03]]*KH_26_OPT4_KTQT_v4[[#This Row],[GB-03]]*EXR</f>
        <v>12639440000</v>
      </c>
      <c r="BG7" s="47">
        <f>KH_26_OPT4_KTQT_v4[[#This Row],[SL-04]]*KH_26_OPT4_KTQT_v4[[#This Row],[GB-04]]*EXR</f>
        <v>12639440000</v>
      </c>
      <c r="BH7" s="47">
        <f>KH_26_OPT4_KTQT_v4[[#This Row],[SL-05]]*KH_26_OPT4_KTQT_v4[[#This Row],[GB-05]]*EXR</f>
        <v>12639440000</v>
      </c>
      <c r="BI7" s="47">
        <f>KH_26_OPT4_KTQT_v4[[#This Row],[SL-06]]*KH_26_OPT4_KTQT_v4[[#This Row],[GB-06]]*EXR</f>
        <v>12639440000</v>
      </c>
      <c r="BJ7" s="47">
        <f>KH_26_OPT4_KTQT_v4[[#This Row],[SL-07]]*KH_26_OPT4_KTQT_v4[[#This Row],[GB-07]]*EXR</f>
        <v>12639440000</v>
      </c>
      <c r="BK7" s="47">
        <f>KH_26_OPT4_KTQT_v4[[#This Row],[SL-08]]*KH_26_OPT4_KTQT_v4[[#This Row],[GB-08]]*EXR</f>
        <v>12639440000</v>
      </c>
      <c r="BL7" s="47">
        <f>KH_26_OPT4_KTQT_v4[[#This Row],[SL-09]]*KH_26_OPT4_KTQT_v4[[#This Row],[GB-09]]*EXR</f>
        <v>12639440000</v>
      </c>
      <c r="BM7" s="47">
        <f>KH_26_OPT4_KTQT_v4[[#This Row],[SL-10]]*KH_26_OPT4_KTQT_v4[[#This Row],[GB-10]]*EXR</f>
        <v>12639440000</v>
      </c>
      <c r="BN7" s="47">
        <f>KH_26_OPT4_KTQT_v4[[#This Row],[SL-11]]*KH_26_OPT4_KTQT_v4[[#This Row],[GB-11]]*EXR</f>
        <v>12639440000</v>
      </c>
      <c r="BO7" s="47">
        <f>KH_26_OPT4_KTQT_v4[[#This Row],[SL-12]]*KH_26_OPT4_KTQT_v4[[#This Row],[GB-12]]*EXR</f>
        <v>12639440000</v>
      </c>
      <c r="BP7" s="47">
        <f ca="1">SUM(KH_26_OPT4_KTQT_v4[[#This Row],[DT-EXW-01]:[DT-EXW-12]])</f>
        <v>151673280000</v>
      </c>
      <c r="BQ7" s="47">
        <f ca="1">SUMIFS(DB_25[DT-DB25],DB_25[Mã khách],KH_26_OPT4_KTQT_v4[[#This Row],[Mã khách]],DB_25[Mã sản phẩm],KH_26_OPT4_KTQT_v4[[#This Row],[Mã sản phẩm]])</f>
        <v>369590112179.51868</v>
      </c>
      <c r="BR7" s="47">
        <f ca="1">KH_26_OPT4_KTQT_v4[[#This Row],[DT-EXW-KH26]]-KH_26_OPT4_KTQT_v4[[#This Row],[DT-EXW-DB25]]</f>
        <v>-217916832179.51868</v>
      </c>
      <c r="BS7" s="21">
        <f ca="1">IFERROR(KH_26_OPT4_KTQT_v4[[#This Row],[DT-EXW-+/-]]/KH_26_OPT4_KTQT_v4[[#This Row],[DT-EXW-DB25]],0)</f>
        <v>-0.58961759256608925</v>
      </c>
      <c r="BT7" s="138" t="s">
        <v>532</v>
      </c>
      <c r="BU7" s="94">
        <v>1.4999999999999999E-2</v>
      </c>
      <c r="BV7" s="141"/>
      <c r="BW7" s="50">
        <f>IF(KH_26_OPT4_KTQT_v4[[#This Row],[CPHH-%-SL]]="Dthu",KH_26_OPT4_KTQT_v4[[#This Row],[%HH]]*KH_26_OPT4_KTQT_v4[[#This Row],[DT-EXW-01]],KH_26_OPT4_KTQT_v4[[#This Row],[HH-SL]]*KH_26_OPT4_KTQT_v4[[#This Row],[SL-01]])</f>
        <v>189591600</v>
      </c>
      <c r="BX7" s="50">
        <f>IF(KH_26_OPT4_KTQT_v4[[#This Row],[CPHH-%-SL]]="Dthu",KH_26_OPT4_KTQT_v4[[#This Row],[%HH]]*KH_26_OPT4_KTQT_v4[[#This Row],[DT-EXW-02]],KH_26_OPT4_KTQT_v4[[#This Row],[HH-SL]]*KH_26_OPT4_KTQT_v4[[#This Row],[SL-02]])</f>
        <v>189591600</v>
      </c>
      <c r="BY7" s="50">
        <f>IF(KH_26_OPT4_KTQT_v4[[#This Row],[CPHH-%-SL]]="Dthu",KH_26_OPT4_KTQT_v4[[#This Row],[%HH]]*KH_26_OPT4_KTQT_v4[[#This Row],[DT-EXW-03]],KH_26_OPT4_KTQT_v4[[#This Row],[HH-SL]]*KH_26_OPT4_KTQT_v4[[#This Row],[SL-03]])</f>
        <v>189591600</v>
      </c>
      <c r="BZ7" s="50">
        <f>IF(KH_26_OPT4_KTQT_v4[[#This Row],[CPHH-%-SL]]="Dthu",KH_26_OPT4_KTQT_v4[[#This Row],[%HH]]*KH_26_OPT4_KTQT_v4[[#This Row],[DT-EXW-04]],KH_26_OPT4_KTQT_v4[[#This Row],[HH-SL]]*KH_26_OPT4_KTQT_v4[[#This Row],[SL-04]])</f>
        <v>189591600</v>
      </c>
      <c r="CA7" s="50">
        <f>IF(KH_26_OPT4_KTQT_v4[[#This Row],[CPHH-%-SL]]="Dthu",KH_26_OPT4_KTQT_v4[[#This Row],[%HH]]*KH_26_OPT4_KTQT_v4[[#This Row],[DT-EXW-05]],KH_26_OPT4_KTQT_v4[[#This Row],[HH-SL]]*KH_26_OPT4_KTQT_v4[[#This Row],[SL-05]])</f>
        <v>189591600</v>
      </c>
      <c r="CB7" s="50">
        <f>IF(KH_26_OPT4_KTQT_v4[[#This Row],[CPHH-%-SL]]="Dthu",KH_26_OPT4_KTQT_v4[[#This Row],[%HH]]*KH_26_OPT4_KTQT_v4[[#This Row],[DT-EXW-06]],KH_26_OPT4_KTQT_v4[[#This Row],[HH-SL]]*KH_26_OPT4_KTQT_v4[[#This Row],[SL-06]])</f>
        <v>189591600</v>
      </c>
      <c r="CC7" s="50">
        <f>IF(KH_26_OPT4_KTQT_v4[[#This Row],[CPHH-%-SL]]="Dthu",KH_26_OPT4_KTQT_v4[[#This Row],[%HH]]*KH_26_OPT4_KTQT_v4[[#This Row],[DT-EXW-07]],KH_26_OPT4_KTQT_v4[[#This Row],[HH-SL]]*KH_26_OPT4_KTQT_v4[[#This Row],[SL-07]])</f>
        <v>189591600</v>
      </c>
      <c r="CD7" s="50">
        <f>IF(KH_26_OPT4_KTQT_v4[[#This Row],[CPHH-%-SL]]="Dthu",KH_26_OPT4_KTQT_v4[[#This Row],[%HH]]*KH_26_OPT4_KTQT_v4[[#This Row],[DT-EXW-08]],KH_26_OPT4_KTQT_v4[[#This Row],[HH-SL]]*KH_26_OPT4_KTQT_v4[[#This Row],[SL-08]])</f>
        <v>189591600</v>
      </c>
      <c r="CE7" s="50">
        <f>IF(KH_26_OPT4_KTQT_v4[[#This Row],[CPHH-%-SL]]="Dthu",KH_26_OPT4_KTQT_v4[[#This Row],[%HH]]*KH_26_OPT4_KTQT_v4[[#This Row],[DT-EXW-09]],KH_26_OPT4_KTQT_v4[[#This Row],[HH-SL]]*KH_26_OPT4_KTQT_v4[[#This Row],[SL-09]])</f>
        <v>189591600</v>
      </c>
      <c r="CF7" s="50">
        <f>IF(KH_26_OPT4_KTQT_v4[[#This Row],[CPHH-%-SL]]="Dthu",KH_26_OPT4_KTQT_v4[[#This Row],[%HH]]*KH_26_OPT4_KTQT_v4[[#This Row],[DT-EXW-10]],KH_26_OPT4_KTQT_v4[[#This Row],[HH-SL]]*KH_26_OPT4_KTQT_v4[[#This Row],[SL-10]])</f>
        <v>189591600</v>
      </c>
      <c r="CG7" s="50">
        <f>IF(KH_26_OPT4_KTQT_v4[[#This Row],[CPHH-%-SL]]="Dthu",KH_26_OPT4_KTQT_v4[[#This Row],[%HH]]*KH_26_OPT4_KTQT_v4[[#This Row],[DT-EXW-11]],KH_26_OPT4_KTQT_v4[[#This Row],[HH-SL]]*KH_26_OPT4_KTQT_v4[[#This Row],[SL-11]])</f>
        <v>189591600</v>
      </c>
      <c r="CH7" s="50">
        <f>IF(KH_26_OPT4_KTQT_v4[[#This Row],[CPHH-%-SL]]="Dthu",KH_26_OPT4_KTQT_v4[[#This Row],[%HH]]*KH_26_OPT4_KTQT_v4[[#This Row],[DT-EXW-12]],KH_26_OPT4_KTQT_v4[[#This Row],[HH-SL]]*KH_26_OPT4_KTQT_v4[[#This Row],[SL-12]])</f>
        <v>189591600</v>
      </c>
      <c r="CI7" s="50">
        <f ca="1">SUM(KH_26_OPT4_KTQT_v4[[#This Row],[CPHH-01]:[CPHH-12]])</f>
        <v>2275099200</v>
      </c>
      <c r="CJ7" s="47" cm="1">
        <f t="array" ref="CJ7">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7" s="19">
        <f ca="1">SUM(KH_26_OPT4_KTQT_v4[[#This Row],[ĐGVCNĐ-KXK]:[ĐGVCCT-KXK]])</f>
        <v>530000</v>
      </c>
      <c r="CL7" s="47" cm="1">
        <f t="array" ref="CL7">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530000</v>
      </c>
      <c r="CM7" s="47" cm="1">
        <f t="array" ref="CM7">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7" s="50">
        <f ca="1">(KH_26_OPT4_KTQT_v4[[#This Row],[ĐGVC-KNĐ]]+KH_26_OPT4_KTQT_v4[[#This Row],[ĐGVC-KXK]])*KH_26_OPT4_KTQT_v4[[#This Row],[SL-01]]</f>
        <v>233200000</v>
      </c>
      <c r="CO7" s="50">
        <f ca="1">(KH_26_OPT4_KTQT_v4[[#This Row],[ĐGVC-KNĐ]]+KH_26_OPT4_KTQT_v4[[#This Row],[ĐGVC-KXK]])*KH_26_OPT4_KTQT_v4[[#This Row],[SL-02]]</f>
        <v>233200000</v>
      </c>
      <c r="CP7" s="50">
        <f ca="1">(KH_26_OPT4_KTQT_v4[[#This Row],[ĐGVC-KNĐ]]+KH_26_OPT4_KTQT_v4[[#This Row],[ĐGVC-KXK]])*KH_26_OPT4_KTQT_v4[[#This Row],[SL-03]]</f>
        <v>233200000</v>
      </c>
      <c r="CQ7" s="50">
        <f ca="1">(KH_26_OPT4_KTQT_v4[[#This Row],[ĐGVC-KNĐ]]+KH_26_OPT4_KTQT_v4[[#This Row],[ĐGVC-KXK]])*KH_26_OPT4_KTQT_v4[[#This Row],[SL-04]]</f>
        <v>233200000</v>
      </c>
      <c r="CR7" s="50">
        <f ca="1">(KH_26_OPT4_KTQT_v4[[#This Row],[ĐGVC-KNĐ]]+KH_26_OPT4_KTQT_v4[[#This Row],[ĐGVC-KXK]])*KH_26_OPT4_KTQT_v4[[#This Row],[SL-05]]</f>
        <v>233200000</v>
      </c>
      <c r="CS7" s="50">
        <f ca="1">(KH_26_OPT4_KTQT_v4[[#This Row],[ĐGVC-KNĐ]]+KH_26_OPT4_KTQT_v4[[#This Row],[ĐGVC-KXK]])*KH_26_OPT4_KTQT_v4[[#This Row],[SL-06]]</f>
        <v>233200000</v>
      </c>
      <c r="CT7" s="50">
        <f ca="1">(KH_26_OPT4_KTQT_v4[[#This Row],[ĐGVC-KNĐ]]+KH_26_OPT4_KTQT_v4[[#This Row],[ĐGVC-KXK]])*KH_26_OPT4_KTQT_v4[[#This Row],[SL-07]]</f>
        <v>233200000</v>
      </c>
      <c r="CU7" s="50">
        <f ca="1">(KH_26_OPT4_KTQT_v4[[#This Row],[ĐGVC-KNĐ]]+KH_26_OPT4_KTQT_v4[[#This Row],[ĐGVC-KXK]])*KH_26_OPT4_KTQT_v4[[#This Row],[SL-08]]</f>
        <v>233200000</v>
      </c>
      <c r="CV7" s="50">
        <f ca="1">(KH_26_OPT4_KTQT_v4[[#This Row],[ĐGVC-KNĐ]]+KH_26_OPT4_KTQT_v4[[#This Row],[ĐGVC-KXK]])*KH_26_OPT4_KTQT_v4[[#This Row],[SL-09]]</f>
        <v>233200000</v>
      </c>
      <c r="CW7" s="50">
        <f ca="1">(KH_26_OPT4_KTQT_v4[[#This Row],[ĐGVC-KNĐ]]+KH_26_OPT4_KTQT_v4[[#This Row],[ĐGVC-KXK]])*KH_26_OPT4_KTQT_v4[[#This Row],[SL-10]]</f>
        <v>233200000</v>
      </c>
      <c r="CX7" s="50">
        <f ca="1">(KH_26_OPT4_KTQT_v4[[#This Row],[ĐGVC-KNĐ]]+KH_26_OPT4_KTQT_v4[[#This Row],[ĐGVC-KXK]])*KH_26_OPT4_KTQT_v4[[#This Row],[SL-11]]</f>
        <v>233200000</v>
      </c>
      <c r="CY7" s="50">
        <f ca="1">(KH_26_OPT4_KTQT_v4[[#This Row],[ĐGVC-KNĐ]]+KH_26_OPT4_KTQT_v4[[#This Row],[ĐGVC-KXK]])*KH_26_OPT4_KTQT_v4[[#This Row],[SL-12]]</f>
        <v>233200000</v>
      </c>
      <c r="CZ7" s="50">
        <f ca="1">SUM(KH_26_OPT4_KTQT_v4[[#This Row],[CPVC-01]:[CPVC-12]])</f>
        <v>2798400000</v>
      </c>
      <c r="DA7" s="122">
        <f ca="1">KH_26_OPT4_KTQT_v4[[#This Row],[DT-EXW-01]]+KH_26_OPT4_KTQT_v4[[#This Row],[CPVC-01]]+KH_26_OPT4_KTQT_v4[[#This Row],[CPHH-01]]</f>
        <v>13062231600</v>
      </c>
      <c r="DB7" s="50">
        <f ca="1">KH_26_OPT4_KTQT_v4[[#This Row],[DT-EXW-02]]+KH_26_OPT4_KTQT_v4[[#This Row],[CPVC-02]]+KH_26_OPT4_KTQT_v4[[#This Row],[CPHH-02]]</f>
        <v>13062231600</v>
      </c>
      <c r="DC7" s="50">
        <f ca="1">KH_26_OPT4_KTQT_v4[[#This Row],[DT-EXW-03]]+KH_26_OPT4_KTQT_v4[[#This Row],[CPVC-03]]+KH_26_OPT4_KTQT_v4[[#This Row],[CPHH-03]]</f>
        <v>13062231600</v>
      </c>
      <c r="DD7" s="50">
        <f ca="1">KH_26_OPT4_KTQT_v4[[#This Row],[DT-EXW-04]]+KH_26_OPT4_KTQT_v4[[#This Row],[CPVC-04]]+KH_26_OPT4_KTQT_v4[[#This Row],[CPHH-04]]</f>
        <v>13062231600</v>
      </c>
      <c r="DE7" s="50">
        <f ca="1">KH_26_OPT4_KTQT_v4[[#This Row],[DT-EXW-05]]+KH_26_OPT4_KTQT_v4[[#This Row],[CPVC-05]]+KH_26_OPT4_KTQT_v4[[#This Row],[CPHH-05]]</f>
        <v>13062231600</v>
      </c>
      <c r="DF7" s="50">
        <f ca="1">KH_26_OPT4_KTQT_v4[[#This Row],[DT-EXW-06]]+KH_26_OPT4_KTQT_v4[[#This Row],[CPVC-06]]+KH_26_OPT4_KTQT_v4[[#This Row],[CPHH-06]]</f>
        <v>13062231600</v>
      </c>
      <c r="DG7" s="50">
        <f ca="1">KH_26_OPT4_KTQT_v4[[#This Row],[DT-EXW-07]]+KH_26_OPT4_KTQT_v4[[#This Row],[CPVC-07]]+KH_26_OPT4_KTQT_v4[[#This Row],[CPHH-07]]</f>
        <v>13062231600</v>
      </c>
      <c r="DH7" s="50">
        <f ca="1">KH_26_OPT4_KTQT_v4[[#This Row],[DT-EXW-08]]+KH_26_OPT4_KTQT_v4[[#This Row],[CPVC-08]]+KH_26_OPT4_KTQT_v4[[#This Row],[CPHH-08]]</f>
        <v>13062231600</v>
      </c>
      <c r="DI7" s="50">
        <f ca="1">KH_26_OPT4_KTQT_v4[[#This Row],[DT-EXW-09]]+KH_26_OPT4_KTQT_v4[[#This Row],[CPVC-09]]+KH_26_OPT4_KTQT_v4[[#This Row],[CPHH-09]]</f>
        <v>13062231600</v>
      </c>
      <c r="DJ7" s="50">
        <f ca="1">KH_26_OPT4_KTQT_v4[[#This Row],[DT-EXW-10]]+KH_26_OPT4_KTQT_v4[[#This Row],[CPVC-10]]+KH_26_OPT4_KTQT_v4[[#This Row],[CPHH-10]]</f>
        <v>13062231600</v>
      </c>
      <c r="DK7" s="50">
        <f ca="1">KH_26_OPT4_KTQT_v4[[#This Row],[DT-EXW-11]]+KH_26_OPT4_KTQT_v4[[#This Row],[CPVC-11]]+KH_26_OPT4_KTQT_v4[[#This Row],[CPHH-11]]</f>
        <v>13062231600</v>
      </c>
      <c r="DL7" s="50">
        <f ca="1">KH_26_OPT4_KTQT_v4[[#This Row],[DT-EXW-12]]+KH_26_OPT4_KTQT_v4[[#This Row],[CPVC-12]]+KH_26_OPT4_KTQT_v4[[#This Row],[CPHH-12]]</f>
        <v>13062231600</v>
      </c>
      <c r="DM7" s="50">
        <f ca="1">SUM(KH_26_OPT4_KTQT_v4[[#This Row],[DT-01]:[DT-12]])</f>
        <v>156746779200</v>
      </c>
      <c r="DN7" s="9"/>
      <c r="DO7" s="9"/>
      <c r="DP7" s="123"/>
      <c r="DQ7" s="136"/>
      <c r="DR7" s="132">
        <f>IFERROR(KH_26_OPT4_KTQT_v4[[#This Row],[DT-EXW-01]]*KH_26_OPT4_KTQT_v4[[#This Row],[%CPDP]],0)</f>
        <v>0</v>
      </c>
      <c r="DS7" s="132">
        <f>IFERROR(KH_26_OPT4_KTQT_v4[[#This Row],[DT-EXW-02]]*KH_26_OPT4_KTQT_v4[[#This Row],[%CPDP]],0)</f>
        <v>0</v>
      </c>
      <c r="DT7" s="132">
        <f>IFERROR(KH_26_OPT4_KTQT_v4[[#This Row],[DT-EXW-03]]*KH_26_OPT4_KTQT_v4[[#This Row],[%CPDP]],0)</f>
        <v>0</v>
      </c>
      <c r="DU7" s="132">
        <f>IFERROR(KH_26_OPT4_KTQT_v4[[#This Row],[DT-EXW-04]]*KH_26_OPT4_KTQT_v4[[#This Row],[%CPDP]],0)</f>
        <v>0</v>
      </c>
      <c r="DV7" s="132">
        <f>IFERROR(KH_26_OPT4_KTQT_v4[[#This Row],[DT-EXW-05]]*KH_26_OPT4_KTQT_v4[[#This Row],[%CPDP]],0)</f>
        <v>0</v>
      </c>
      <c r="DW7" s="132">
        <f>IFERROR(KH_26_OPT4_KTQT_v4[[#This Row],[DT-EXW-06]]*KH_26_OPT4_KTQT_v4[[#This Row],[%CPDP]],0)</f>
        <v>0</v>
      </c>
      <c r="DX7" s="132">
        <f>IFERROR(KH_26_OPT4_KTQT_v4[[#This Row],[DT-EXW-07]]*KH_26_OPT4_KTQT_v4[[#This Row],[%CPDP]],0)</f>
        <v>0</v>
      </c>
      <c r="DY7" s="132">
        <f>IFERROR(KH_26_OPT4_KTQT_v4[[#This Row],[DT-EXW-08]]*KH_26_OPT4_KTQT_v4[[#This Row],[%CPDP]],0)</f>
        <v>0</v>
      </c>
      <c r="DZ7" s="132">
        <f>IFERROR(KH_26_OPT4_KTQT_v4[[#This Row],[DT-EXW-09]]*KH_26_OPT4_KTQT_v4[[#This Row],[%CPDP]],0)</f>
        <v>0</v>
      </c>
      <c r="EA7" s="132">
        <f>IFERROR(KH_26_OPT4_KTQT_v4[[#This Row],[DT-EXW-10]]*KH_26_OPT4_KTQT_v4[[#This Row],[%CPDP]],0)</f>
        <v>0</v>
      </c>
      <c r="EB7" s="132">
        <f>IFERROR(KH_26_OPT4_KTQT_v4[[#This Row],[DT-EXW-11]]*KH_26_OPT4_KTQT_v4[[#This Row],[%CPDP]],0)</f>
        <v>0</v>
      </c>
      <c r="EC7" s="132">
        <f>IFERROR(KH_26_OPT4_KTQT_v4[[#This Row],[DT-EXW-12]]*KH_26_OPT4_KTQT_v4[[#This Row],[%CPDP]],0)</f>
        <v>0</v>
      </c>
      <c r="ED7" s="131">
        <f ca="1">SUM(KH_26_OPT4_KTQT_v4[[#This Row],[CPDP-01]:[CPDP-12]])</f>
        <v>0</v>
      </c>
    </row>
    <row r="8" spans="1:134" ht="14.5" hidden="1" x14ac:dyDescent="0.35">
      <c r="A8" s="18">
        <v>3</v>
      </c>
      <c r="B8" s="71" t="s">
        <v>104</v>
      </c>
      <c r="C8" s="18" t="str">
        <f>IFERROR(_xlfn.XLOOKUP(KH_26_OPT4_KTQT_v4[[#This Row],[Salesman]],MD_Salesman[Salesman],MD_Salesman[SalesManager]),"")</f>
        <v>Quốc Anh</v>
      </c>
      <c r="D8" s="72" t="str">
        <f>IFERROR(INDEX(MD_Customer[Mã khách],MATCH(KH_26_OPT4_KTQT_v4[[#This Row],[Tên khách]],MD_Customer[Tên khách-rút gọn],0)),"")</f>
        <v>200332</v>
      </c>
      <c r="E8" s="7" t="str">
        <f>IFERROR(INDEX(MD_Customer[Parent Account],MATCH(KH_26_OPT4_KTQT_v4[[#This Row],[Tên khách]],MD_Customer[Tên khách-rút gọn],0)),"")</f>
        <v>OUTEIRINHO TURISMO E INDUSTRIA SA</v>
      </c>
      <c r="F8" s="35" t="s">
        <v>9</v>
      </c>
      <c r="G8" s="7" t="str">
        <f>IFERROR(INDEX(MD_Customer[Phân loại],MATCH(KH_26_OPT4_KTQT_v4[[#This Row],[Tên khách]],MD_Customer[Tên khách-rút gọn],0)),"")</f>
        <v>Hiện hữu</v>
      </c>
      <c r="H8" s="7" t="str">
        <f>IFERROR(INDEX(MD_Customer[Kênh bán hàng],MATCH(KH_26_OPT4_KTQT_v4[[#This Row],[Tên khách]],MD_Customer[Tên khách-rút gọn],0)),"")</f>
        <v>Xuất khẩu</v>
      </c>
      <c r="I8" s="35" t="s">
        <v>282</v>
      </c>
      <c r="J8" s="7" t="str">
        <f>IFERROR(INDEX(MD_Destination[Nước],MATCH(KH_26_OPT4_KTQT_v4[[#This Row],[Địa điểm đến]],MD_Destination[Địa điểm đến],0)),"")</f>
        <v>Bồ Đào Nha</v>
      </c>
      <c r="K8" s="7" t="str">
        <f>IFERROR(INDEX(MD_Destination[Khu vực],MATCH(KH_26_OPT4_KTQT_v4[[#This Row],[Địa điểm đến]],MD_Destination[Địa điểm đến],0)),"")</f>
        <v>Châu Âu</v>
      </c>
      <c r="L8" s="35" t="s">
        <v>278</v>
      </c>
      <c r="M8" s="7" t="str">
        <f>IFERROR(INDEX(MD_SKU[Mã SKU],MATCH(KH_26_OPT4_KTQT_v4[[#This Row],[Tên sản phẩm]],MD_SKU[Tên SKU-rút gọn],0)),"")</f>
        <v>110000507</v>
      </c>
      <c r="N8" s="35" t="s">
        <v>14</v>
      </c>
      <c r="O8" s="7" t="str">
        <f>IFERROR(INDEX(MD_SKU[Ngành hàng],MATCH(KH_26_OPT4_KTQT_v4[[#This Row],[Tên sản phẩm]],MD_SKU[Tên SKU-rút gọn],0)),"")</f>
        <v>rPET</v>
      </c>
      <c r="P8" s="7" t="str">
        <f>IFERROR(INDEX(MD_SKU[Nhóm ngành],MATCH(KH_26_OPT4_KTQT_v4[[#This Row],[Tên sản phẩm]],MD_SKU[Tên SKU-rút gọn],0)),"")</f>
        <v>Vảy PET</v>
      </c>
      <c r="Q8" s="7" t="str">
        <f>IFERROR(
   IF(INDEX(MD_SKU[IV/IM],MATCH(KH_26_OPT4_KTQT_v4[[#This Row],[Tên sản phẩm]],MD_SKU[Tên SKU-rút gọn],0))=0,
      "",
      INDEX(MD_SKU[IV/IM],MATCH(KH_26_OPT4_KTQT_v4[[#This Row],[Tên sản phẩm]],MD_SKU[Tên SKU-rút gọn],0))
   ),
"")</f>
        <v/>
      </c>
      <c r="R8" s="44">
        <f>IFERROR(INDEX(MD_SKU[Application],MATCH(KH_26_OPT4_KTQT_v4[[#This Row],[Tên sản phẩm]],MD_SKU[Tên SKU-rút gọn],0)),"")</f>
        <v>0</v>
      </c>
      <c r="S8" s="7" t="str">
        <f>IFERROR(INDEX(MD_SKU[Phân loại],MATCH(KH_26_OPT4_KTQT_v4[[#This Row],[Tên sản phẩm]],MD_SKU[Tên SKU-rút gọn],0)),"")</f>
        <v>Cũ</v>
      </c>
      <c r="T8" s="7" t="s">
        <v>9</v>
      </c>
      <c r="U8" s="7" t="s">
        <v>1508</v>
      </c>
      <c r="V8" s="70">
        <v>0.8</v>
      </c>
      <c r="W8" s="97"/>
      <c r="X8" s="97"/>
      <c r="Y8" s="97"/>
      <c r="Z8" s="97"/>
      <c r="AA8" s="97"/>
      <c r="AB8" s="97"/>
      <c r="AC8" s="97"/>
      <c r="AD8" s="97"/>
      <c r="AE8" s="97"/>
      <c r="AF8" s="97"/>
      <c r="AG8" s="97"/>
      <c r="AH8" s="97"/>
      <c r="AI8" s="47">
        <f ca="1">SUM(KH_26_OPT4_KTQT_v4[[#This Row],[SL-01]:[SL-12]])</f>
        <v>0</v>
      </c>
      <c r="AJ8" s="47">
        <f ca="1">SUMIFS(DB_25[SL-DB25],DB_25[Mã khách],KH_26_OPT4_KTQT_v4[[#This Row],[Mã khách]],DB_25[Mã sản phẩm],KH_26_OPT4_KTQT_v4[[#This Row],[Mã sản phẩm]])</f>
        <v>0</v>
      </c>
      <c r="AK8" s="20">
        <f ca="1">KH_26_OPT4_KTQT_v4[[#This Row],[SL-KH26]]-KH_26_OPT4_KTQT_v4[[#This Row],[SL-DB25]]</f>
        <v>0</v>
      </c>
      <c r="AL8" s="21">
        <f ca="1">IFERROR(KH_26_OPT4_KTQT_v4[[#This Row],[SL-+/-]]/KH_26_OPT4_KTQT_v4[[#This Row],[SL-DB25]],0)</f>
        <v>0</v>
      </c>
      <c r="AM8" s="51">
        <v>750</v>
      </c>
      <c r="AN8" s="51">
        <v>750</v>
      </c>
      <c r="AO8" s="51">
        <v>750</v>
      </c>
      <c r="AP8" s="51">
        <v>750</v>
      </c>
      <c r="AQ8" s="51">
        <v>750</v>
      </c>
      <c r="AR8" s="51">
        <v>750</v>
      </c>
      <c r="AS8" s="51">
        <v>750</v>
      </c>
      <c r="AT8" s="51">
        <v>750</v>
      </c>
      <c r="AU8" s="51">
        <v>750</v>
      </c>
      <c r="AV8" s="51">
        <v>750</v>
      </c>
      <c r="AW8" s="51">
        <v>750</v>
      </c>
      <c r="AX8" s="51">
        <v>750</v>
      </c>
      <c r="AY8" s="23">
        <v>750</v>
      </c>
      <c r="AZ8" s="7"/>
      <c r="BA8" s="24">
        <f>KH_26_OPT4_KTQT_v4[[#This Row],[GB-DB25]]-KH_26_OPT4_KTQT_v4[[#This Row],[GB-KH25]]</f>
        <v>750</v>
      </c>
      <c r="BB8" s="21">
        <f>IFERROR(KH_26_OPT4_KTQT_v4[[#This Row],[GB-+/-]]/KH_26_OPT4_KTQT_v4[[#This Row],[GB-KH25]],0)</f>
        <v>0</v>
      </c>
      <c r="BC8" s="21"/>
      <c r="BD8" s="47">
        <f>KH_26_OPT4_KTQT_v4[[#This Row],[SL-01]]*KH_26_OPT4_KTQT_v4[[#This Row],[GB-01]]*EXR</f>
        <v>0</v>
      </c>
      <c r="BE8" s="47">
        <f>KH_26_OPT4_KTQT_v4[[#This Row],[SL-02]]*KH_26_OPT4_KTQT_v4[[#This Row],[GB-02]]*EXR</f>
        <v>0</v>
      </c>
      <c r="BF8" s="47">
        <f>KH_26_OPT4_KTQT_v4[[#This Row],[SL-03]]*KH_26_OPT4_KTQT_v4[[#This Row],[GB-03]]*EXR</f>
        <v>0</v>
      </c>
      <c r="BG8" s="47">
        <f>KH_26_OPT4_KTQT_v4[[#This Row],[SL-04]]*KH_26_OPT4_KTQT_v4[[#This Row],[GB-04]]*EXR</f>
        <v>0</v>
      </c>
      <c r="BH8" s="47">
        <f>KH_26_OPT4_KTQT_v4[[#This Row],[SL-05]]*KH_26_OPT4_KTQT_v4[[#This Row],[GB-05]]*EXR</f>
        <v>0</v>
      </c>
      <c r="BI8" s="47">
        <f>KH_26_OPT4_KTQT_v4[[#This Row],[SL-06]]*KH_26_OPT4_KTQT_v4[[#This Row],[GB-06]]*EXR</f>
        <v>0</v>
      </c>
      <c r="BJ8" s="47">
        <f>KH_26_OPT4_KTQT_v4[[#This Row],[SL-07]]*KH_26_OPT4_KTQT_v4[[#This Row],[GB-07]]*EXR</f>
        <v>0</v>
      </c>
      <c r="BK8" s="47">
        <f>KH_26_OPT4_KTQT_v4[[#This Row],[SL-08]]*KH_26_OPT4_KTQT_v4[[#This Row],[GB-08]]*EXR</f>
        <v>0</v>
      </c>
      <c r="BL8" s="47">
        <f>KH_26_OPT4_KTQT_v4[[#This Row],[SL-09]]*KH_26_OPT4_KTQT_v4[[#This Row],[GB-09]]*EXR</f>
        <v>0</v>
      </c>
      <c r="BM8" s="47">
        <f>KH_26_OPT4_KTQT_v4[[#This Row],[SL-10]]*KH_26_OPT4_KTQT_v4[[#This Row],[GB-10]]*EXR</f>
        <v>0</v>
      </c>
      <c r="BN8" s="47">
        <f>KH_26_OPT4_KTQT_v4[[#This Row],[SL-11]]*KH_26_OPT4_KTQT_v4[[#This Row],[GB-11]]*EXR</f>
        <v>0</v>
      </c>
      <c r="BO8" s="47">
        <f>KH_26_OPT4_KTQT_v4[[#This Row],[SL-12]]*KH_26_OPT4_KTQT_v4[[#This Row],[GB-12]]*EXR</f>
        <v>0</v>
      </c>
      <c r="BP8" s="47">
        <f ca="1">SUM(KH_26_OPT4_KTQT_v4[[#This Row],[DT-EXW-01]:[DT-EXW-12]])</f>
        <v>0</v>
      </c>
      <c r="BQ8" s="47">
        <f ca="1">SUMIFS(DB_25[DT-DB25],DB_25[Mã khách],KH_26_OPT4_KTQT_v4[[#This Row],[Mã khách]],DB_25[Mã sản phẩm],KH_26_OPT4_KTQT_v4[[#This Row],[Mã sản phẩm]])</f>
        <v>0</v>
      </c>
      <c r="BR8" s="19">
        <f ca="1">KH_26_OPT4_KTQT_v4[[#This Row],[DT-EXW-KH26]]-KH_26_OPT4_KTQT_v4[[#This Row],[DT-EXW-DB25]]</f>
        <v>0</v>
      </c>
      <c r="BS8" s="21">
        <f ca="1">IFERROR(KH_26_OPT4_KTQT_v4[[#This Row],[DT-EXW-+/-]]/KH_26_OPT4_KTQT_v4[[#This Row],[DT-EXW-DB25]],0)</f>
        <v>0</v>
      </c>
      <c r="BT8" s="139"/>
      <c r="BU8" s="57"/>
      <c r="BV8" s="51"/>
      <c r="BW8" s="47">
        <f>IF(KH_26_OPT4_KTQT_v4[[#This Row],[CPHH-%-SL]]="Dthu",KH_26_OPT4_KTQT_v4[[#This Row],[%HH]]*KH_26_OPT4_KTQT_v4[[#This Row],[DT-EXW-01]],KH_26_OPT4_KTQT_v4[[#This Row],[HH-SL]]*KH_26_OPT4_KTQT_v4[[#This Row],[SL-01]])</f>
        <v>0</v>
      </c>
      <c r="BX8" s="47">
        <f>IF(KH_26_OPT4_KTQT_v4[[#This Row],[CPHH-%-SL]]="Dthu",KH_26_OPT4_KTQT_v4[[#This Row],[%HH]]*KH_26_OPT4_KTQT_v4[[#This Row],[DT-EXW-02]],KH_26_OPT4_KTQT_v4[[#This Row],[HH-SL]]*KH_26_OPT4_KTQT_v4[[#This Row],[SL-02]])</f>
        <v>0</v>
      </c>
      <c r="BY8" s="47">
        <f>IF(KH_26_OPT4_KTQT_v4[[#This Row],[CPHH-%-SL]]="Dthu",KH_26_OPT4_KTQT_v4[[#This Row],[%HH]]*KH_26_OPT4_KTQT_v4[[#This Row],[DT-EXW-03]],KH_26_OPT4_KTQT_v4[[#This Row],[HH-SL]]*KH_26_OPT4_KTQT_v4[[#This Row],[SL-03]])</f>
        <v>0</v>
      </c>
      <c r="BZ8" s="47">
        <f>IF(KH_26_OPT4_KTQT_v4[[#This Row],[CPHH-%-SL]]="Dthu",KH_26_OPT4_KTQT_v4[[#This Row],[%HH]]*KH_26_OPT4_KTQT_v4[[#This Row],[DT-EXW-04]],KH_26_OPT4_KTQT_v4[[#This Row],[HH-SL]]*KH_26_OPT4_KTQT_v4[[#This Row],[SL-04]])</f>
        <v>0</v>
      </c>
      <c r="CA8" s="47">
        <f>IF(KH_26_OPT4_KTQT_v4[[#This Row],[CPHH-%-SL]]="Dthu",KH_26_OPT4_KTQT_v4[[#This Row],[%HH]]*KH_26_OPT4_KTQT_v4[[#This Row],[DT-EXW-05]],KH_26_OPT4_KTQT_v4[[#This Row],[HH-SL]]*KH_26_OPT4_KTQT_v4[[#This Row],[SL-05]])</f>
        <v>0</v>
      </c>
      <c r="CB8" s="47">
        <f>IF(KH_26_OPT4_KTQT_v4[[#This Row],[CPHH-%-SL]]="Dthu",KH_26_OPT4_KTQT_v4[[#This Row],[%HH]]*KH_26_OPT4_KTQT_v4[[#This Row],[DT-EXW-06]],KH_26_OPT4_KTQT_v4[[#This Row],[HH-SL]]*KH_26_OPT4_KTQT_v4[[#This Row],[SL-06]])</f>
        <v>0</v>
      </c>
      <c r="CC8" s="47">
        <f>IF(KH_26_OPT4_KTQT_v4[[#This Row],[CPHH-%-SL]]="Dthu",KH_26_OPT4_KTQT_v4[[#This Row],[%HH]]*KH_26_OPT4_KTQT_v4[[#This Row],[DT-EXW-07]],KH_26_OPT4_KTQT_v4[[#This Row],[HH-SL]]*KH_26_OPT4_KTQT_v4[[#This Row],[SL-07]])</f>
        <v>0</v>
      </c>
      <c r="CD8" s="47">
        <f>IF(KH_26_OPT4_KTQT_v4[[#This Row],[CPHH-%-SL]]="Dthu",KH_26_OPT4_KTQT_v4[[#This Row],[%HH]]*KH_26_OPT4_KTQT_v4[[#This Row],[DT-EXW-08]],KH_26_OPT4_KTQT_v4[[#This Row],[HH-SL]]*KH_26_OPT4_KTQT_v4[[#This Row],[SL-08]])</f>
        <v>0</v>
      </c>
      <c r="CE8" s="47">
        <f>IF(KH_26_OPT4_KTQT_v4[[#This Row],[CPHH-%-SL]]="Dthu",KH_26_OPT4_KTQT_v4[[#This Row],[%HH]]*KH_26_OPT4_KTQT_v4[[#This Row],[DT-EXW-09]],KH_26_OPT4_KTQT_v4[[#This Row],[HH-SL]]*KH_26_OPT4_KTQT_v4[[#This Row],[SL-09]])</f>
        <v>0</v>
      </c>
      <c r="CF8" s="47">
        <f>IF(KH_26_OPT4_KTQT_v4[[#This Row],[CPHH-%-SL]]="Dthu",KH_26_OPT4_KTQT_v4[[#This Row],[%HH]]*KH_26_OPT4_KTQT_v4[[#This Row],[DT-EXW-10]],KH_26_OPT4_KTQT_v4[[#This Row],[HH-SL]]*KH_26_OPT4_KTQT_v4[[#This Row],[SL-10]])</f>
        <v>0</v>
      </c>
      <c r="CG8" s="47">
        <f>IF(KH_26_OPT4_KTQT_v4[[#This Row],[CPHH-%-SL]]="Dthu",KH_26_OPT4_KTQT_v4[[#This Row],[%HH]]*KH_26_OPT4_KTQT_v4[[#This Row],[DT-EXW-11]],KH_26_OPT4_KTQT_v4[[#This Row],[HH-SL]]*KH_26_OPT4_KTQT_v4[[#This Row],[SL-11]])</f>
        <v>0</v>
      </c>
      <c r="CH8" s="47">
        <f>IF(KH_26_OPT4_KTQT_v4[[#This Row],[CPHH-%-SL]]="Dthu",KH_26_OPT4_KTQT_v4[[#This Row],[%HH]]*KH_26_OPT4_KTQT_v4[[#This Row],[DT-EXW-12]],KH_26_OPT4_KTQT_v4[[#This Row],[HH-SL]]*KH_26_OPT4_KTQT_v4[[#This Row],[SL-12]])</f>
        <v>0</v>
      </c>
      <c r="CI8" s="47">
        <f ca="1">SUM(KH_26_OPT4_KTQT_v4[[#This Row],[CPHH-01]:[CPHH-12]])</f>
        <v>0</v>
      </c>
      <c r="CJ8" s="47" cm="1">
        <f t="array" ref="CJ8">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8" s="19">
        <f ca="1">SUM(KH_26_OPT4_KTQT_v4[[#This Row],[ĐGVCNĐ-KXK]:[ĐGVCCT-KXK]])</f>
        <v>530000</v>
      </c>
      <c r="CL8" s="47" cm="1">
        <f t="array" ref="CL8">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530000</v>
      </c>
      <c r="CM8" s="47" cm="1">
        <f t="array" ref="CM8">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8" s="47">
        <f ca="1">(KH_26_OPT4_KTQT_v4[[#This Row],[ĐGVC-KNĐ]]+KH_26_OPT4_KTQT_v4[[#This Row],[ĐGVC-KXK]])*KH_26_OPT4_KTQT_v4[[#This Row],[SL-01]]</f>
        <v>0</v>
      </c>
      <c r="CO8" s="47">
        <f ca="1">(KH_26_OPT4_KTQT_v4[[#This Row],[ĐGVC-KNĐ]]+KH_26_OPT4_KTQT_v4[[#This Row],[ĐGVC-KXK]])*KH_26_OPT4_KTQT_v4[[#This Row],[SL-02]]</f>
        <v>0</v>
      </c>
      <c r="CP8" s="47">
        <f ca="1">(KH_26_OPT4_KTQT_v4[[#This Row],[ĐGVC-KNĐ]]+KH_26_OPT4_KTQT_v4[[#This Row],[ĐGVC-KXK]])*KH_26_OPT4_KTQT_v4[[#This Row],[SL-03]]</f>
        <v>0</v>
      </c>
      <c r="CQ8" s="47">
        <f ca="1">(KH_26_OPT4_KTQT_v4[[#This Row],[ĐGVC-KNĐ]]+KH_26_OPT4_KTQT_v4[[#This Row],[ĐGVC-KXK]])*KH_26_OPT4_KTQT_v4[[#This Row],[SL-04]]</f>
        <v>0</v>
      </c>
      <c r="CR8" s="47">
        <f ca="1">(KH_26_OPT4_KTQT_v4[[#This Row],[ĐGVC-KNĐ]]+KH_26_OPT4_KTQT_v4[[#This Row],[ĐGVC-KXK]])*KH_26_OPT4_KTQT_v4[[#This Row],[SL-05]]</f>
        <v>0</v>
      </c>
      <c r="CS8" s="47">
        <f ca="1">(KH_26_OPT4_KTQT_v4[[#This Row],[ĐGVC-KNĐ]]+KH_26_OPT4_KTQT_v4[[#This Row],[ĐGVC-KXK]])*KH_26_OPT4_KTQT_v4[[#This Row],[SL-06]]</f>
        <v>0</v>
      </c>
      <c r="CT8" s="47">
        <f ca="1">(KH_26_OPT4_KTQT_v4[[#This Row],[ĐGVC-KNĐ]]+KH_26_OPT4_KTQT_v4[[#This Row],[ĐGVC-KXK]])*KH_26_OPT4_KTQT_v4[[#This Row],[SL-07]]</f>
        <v>0</v>
      </c>
      <c r="CU8" s="47">
        <f ca="1">(KH_26_OPT4_KTQT_v4[[#This Row],[ĐGVC-KNĐ]]+KH_26_OPT4_KTQT_v4[[#This Row],[ĐGVC-KXK]])*KH_26_OPT4_KTQT_v4[[#This Row],[SL-08]]</f>
        <v>0</v>
      </c>
      <c r="CV8" s="47">
        <f ca="1">(KH_26_OPT4_KTQT_v4[[#This Row],[ĐGVC-KNĐ]]+KH_26_OPT4_KTQT_v4[[#This Row],[ĐGVC-KXK]])*KH_26_OPT4_KTQT_v4[[#This Row],[SL-09]]</f>
        <v>0</v>
      </c>
      <c r="CW8" s="47">
        <f ca="1">(KH_26_OPT4_KTQT_v4[[#This Row],[ĐGVC-KNĐ]]+KH_26_OPT4_KTQT_v4[[#This Row],[ĐGVC-KXK]])*KH_26_OPT4_KTQT_v4[[#This Row],[SL-10]]</f>
        <v>0</v>
      </c>
      <c r="CX8" s="47">
        <f ca="1">(KH_26_OPT4_KTQT_v4[[#This Row],[ĐGVC-KNĐ]]+KH_26_OPT4_KTQT_v4[[#This Row],[ĐGVC-KXK]])*KH_26_OPT4_KTQT_v4[[#This Row],[SL-11]]</f>
        <v>0</v>
      </c>
      <c r="CY8" s="47">
        <f ca="1">(KH_26_OPT4_KTQT_v4[[#This Row],[ĐGVC-KNĐ]]+KH_26_OPT4_KTQT_v4[[#This Row],[ĐGVC-KXK]])*KH_26_OPT4_KTQT_v4[[#This Row],[SL-12]]</f>
        <v>0</v>
      </c>
      <c r="CZ8" s="47">
        <f ca="1">SUM(KH_26_OPT4_KTQT_v4[[#This Row],[CPVC-01]:[CPVC-12]])</f>
        <v>0</v>
      </c>
      <c r="DA8" s="124">
        <f ca="1">KH_26_OPT4_KTQT_v4[[#This Row],[DT-EXW-01]]+KH_26_OPT4_KTQT_v4[[#This Row],[CPVC-01]]+KH_26_OPT4_KTQT_v4[[#This Row],[CPHH-01]]</f>
        <v>0</v>
      </c>
      <c r="DB8" s="47">
        <f ca="1">KH_26_OPT4_KTQT_v4[[#This Row],[DT-EXW-02]]+KH_26_OPT4_KTQT_v4[[#This Row],[CPVC-02]]+KH_26_OPT4_KTQT_v4[[#This Row],[CPHH-02]]</f>
        <v>0</v>
      </c>
      <c r="DC8" s="47">
        <f ca="1">KH_26_OPT4_KTQT_v4[[#This Row],[DT-EXW-03]]+KH_26_OPT4_KTQT_v4[[#This Row],[CPVC-03]]+KH_26_OPT4_KTQT_v4[[#This Row],[CPHH-03]]</f>
        <v>0</v>
      </c>
      <c r="DD8" s="47">
        <f ca="1">KH_26_OPT4_KTQT_v4[[#This Row],[DT-EXW-04]]+KH_26_OPT4_KTQT_v4[[#This Row],[CPVC-04]]+KH_26_OPT4_KTQT_v4[[#This Row],[CPHH-04]]</f>
        <v>0</v>
      </c>
      <c r="DE8" s="47">
        <f ca="1">KH_26_OPT4_KTQT_v4[[#This Row],[DT-EXW-05]]+KH_26_OPT4_KTQT_v4[[#This Row],[CPVC-05]]+KH_26_OPT4_KTQT_v4[[#This Row],[CPHH-05]]</f>
        <v>0</v>
      </c>
      <c r="DF8" s="47">
        <f ca="1">KH_26_OPT4_KTQT_v4[[#This Row],[DT-EXW-06]]+KH_26_OPT4_KTQT_v4[[#This Row],[CPVC-06]]+KH_26_OPT4_KTQT_v4[[#This Row],[CPHH-06]]</f>
        <v>0</v>
      </c>
      <c r="DG8" s="47">
        <f ca="1">KH_26_OPT4_KTQT_v4[[#This Row],[DT-EXW-07]]+KH_26_OPT4_KTQT_v4[[#This Row],[CPVC-07]]+KH_26_OPT4_KTQT_v4[[#This Row],[CPHH-07]]</f>
        <v>0</v>
      </c>
      <c r="DH8" s="47">
        <f ca="1">KH_26_OPT4_KTQT_v4[[#This Row],[DT-EXW-08]]+KH_26_OPT4_KTQT_v4[[#This Row],[CPVC-08]]+KH_26_OPT4_KTQT_v4[[#This Row],[CPHH-08]]</f>
        <v>0</v>
      </c>
      <c r="DI8" s="47">
        <f ca="1">KH_26_OPT4_KTQT_v4[[#This Row],[DT-EXW-09]]+KH_26_OPT4_KTQT_v4[[#This Row],[CPVC-09]]+KH_26_OPT4_KTQT_v4[[#This Row],[CPHH-09]]</f>
        <v>0</v>
      </c>
      <c r="DJ8" s="47">
        <f ca="1">KH_26_OPT4_KTQT_v4[[#This Row],[DT-EXW-10]]+KH_26_OPT4_KTQT_v4[[#This Row],[CPVC-10]]+KH_26_OPT4_KTQT_v4[[#This Row],[CPHH-10]]</f>
        <v>0</v>
      </c>
      <c r="DK8" s="47">
        <f ca="1">KH_26_OPT4_KTQT_v4[[#This Row],[DT-EXW-11]]+KH_26_OPT4_KTQT_v4[[#This Row],[CPVC-11]]+KH_26_OPT4_KTQT_v4[[#This Row],[CPHH-11]]</f>
        <v>0</v>
      </c>
      <c r="DL8" s="47">
        <f ca="1">KH_26_OPT4_KTQT_v4[[#This Row],[DT-EXW-12]]+KH_26_OPT4_KTQT_v4[[#This Row],[CPVC-12]]+KH_26_OPT4_KTQT_v4[[#This Row],[CPHH-12]]</f>
        <v>0</v>
      </c>
      <c r="DM8" s="47">
        <f ca="1">SUM(KH_26_OPT4_KTQT_v4[[#This Row],[DT-01]:[DT-12]])</f>
        <v>0</v>
      </c>
      <c r="DN8" s="7"/>
      <c r="DO8" s="7"/>
      <c r="DP8" s="125"/>
      <c r="DQ8" s="136"/>
      <c r="DR8" s="132">
        <f>IFERROR(KH_26_OPT4_KTQT_v4[[#This Row],[DT-EXW-01]]*KH_26_OPT4_KTQT_v4[[#This Row],[%CPDP]],0)</f>
        <v>0</v>
      </c>
      <c r="DS8" s="132">
        <f>IFERROR(KH_26_OPT4_KTQT_v4[[#This Row],[DT-EXW-02]]*KH_26_OPT4_KTQT_v4[[#This Row],[%CPDP]],0)</f>
        <v>0</v>
      </c>
      <c r="DT8" s="132">
        <f>IFERROR(KH_26_OPT4_KTQT_v4[[#This Row],[DT-EXW-03]]*KH_26_OPT4_KTQT_v4[[#This Row],[%CPDP]],0)</f>
        <v>0</v>
      </c>
      <c r="DU8" s="132">
        <f>IFERROR(KH_26_OPT4_KTQT_v4[[#This Row],[DT-EXW-04]]*KH_26_OPT4_KTQT_v4[[#This Row],[%CPDP]],0)</f>
        <v>0</v>
      </c>
      <c r="DV8" s="132">
        <f>IFERROR(KH_26_OPT4_KTQT_v4[[#This Row],[DT-EXW-05]]*KH_26_OPT4_KTQT_v4[[#This Row],[%CPDP]],0)</f>
        <v>0</v>
      </c>
      <c r="DW8" s="132">
        <f>IFERROR(KH_26_OPT4_KTQT_v4[[#This Row],[DT-EXW-06]]*KH_26_OPT4_KTQT_v4[[#This Row],[%CPDP]],0)</f>
        <v>0</v>
      </c>
      <c r="DX8" s="132">
        <f>IFERROR(KH_26_OPT4_KTQT_v4[[#This Row],[DT-EXW-07]]*KH_26_OPT4_KTQT_v4[[#This Row],[%CPDP]],0)</f>
        <v>0</v>
      </c>
      <c r="DY8" s="132">
        <f>IFERROR(KH_26_OPT4_KTQT_v4[[#This Row],[DT-EXW-08]]*KH_26_OPT4_KTQT_v4[[#This Row],[%CPDP]],0)</f>
        <v>0</v>
      </c>
      <c r="DZ8" s="132">
        <f>IFERROR(KH_26_OPT4_KTQT_v4[[#This Row],[DT-EXW-09]]*KH_26_OPT4_KTQT_v4[[#This Row],[%CPDP]],0)</f>
        <v>0</v>
      </c>
      <c r="EA8" s="132">
        <f>IFERROR(KH_26_OPT4_KTQT_v4[[#This Row],[DT-EXW-10]]*KH_26_OPT4_KTQT_v4[[#This Row],[%CPDP]],0)</f>
        <v>0</v>
      </c>
      <c r="EB8" s="132">
        <f>IFERROR(KH_26_OPT4_KTQT_v4[[#This Row],[DT-EXW-11]]*KH_26_OPT4_KTQT_v4[[#This Row],[%CPDP]],0)</f>
        <v>0</v>
      </c>
      <c r="EC8" s="132">
        <f>IFERROR(KH_26_OPT4_KTQT_v4[[#This Row],[DT-EXW-12]]*KH_26_OPT4_KTQT_v4[[#This Row],[%CPDP]],0)</f>
        <v>0</v>
      </c>
      <c r="ED8" s="131">
        <f ca="1">SUM(KH_26_OPT4_KTQT_v4[[#This Row],[CPDP-01]:[CPDP-12]])</f>
        <v>0</v>
      </c>
    </row>
    <row r="9" spans="1:134" ht="14.5" hidden="1" x14ac:dyDescent="0.35">
      <c r="A9" s="18">
        <v>4</v>
      </c>
      <c r="B9" s="71" t="s">
        <v>104</v>
      </c>
      <c r="C9" s="18" t="str">
        <f>IFERROR(_xlfn.XLOOKUP(KH_26_OPT4_KTQT_v4[[#This Row],[Salesman]],MD_Salesman[Salesman],MD_Salesman[SalesManager]),"")</f>
        <v>Quốc Anh</v>
      </c>
      <c r="D9" s="72" t="str">
        <f>IFERROR(INDEX(MD_Customer[Mã khách],MATCH(KH_26_OPT4_KTQT_v4[[#This Row],[Tên khách]],MD_Customer[Tên khách-rút gọn],0)),"")</f>
        <v>200332</v>
      </c>
      <c r="E9" s="7" t="str">
        <f>IFERROR(INDEX(MD_Customer[Parent Account],MATCH(KH_26_OPT4_KTQT_v4[[#This Row],[Tên khách]],MD_Customer[Tên khách-rút gọn],0)),"")</f>
        <v>OUTEIRINHO TURISMO E INDUSTRIA SA</v>
      </c>
      <c r="F9" s="35" t="s">
        <v>9</v>
      </c>
      <c r="G9" s="7" t="str">
        <f>IFERROR(INDEX(MD_Customer[Phân loại],MATCH(KH_26_OPT4_KTQT_v4[[#This Row],[Tên khách]],MD_Customer[Tên khách-rút gọn],0)),"")</f>
        <v>Hiện hữu</v>
      </c>
      <c r="H9" s="7" t="str">
        <f>IFERROR(INDEX(MD_Customer[Kênh bán hàng],MATCH(KH_26_OPT4_KTQT_v4[[#This Row],[Tên khách]],MD_Customer[Tên khách-rút gọn],0)),"")</f>
        <v>Xuất khẩu</v>
      </c>
      <c r="I9" s="35" t="s">
        <v>282</v>
      </c>
      <c r="J9" s="7" t="str">
        <f>IFERROR(INDEX(MD_Destination[Nước],MATCH(KH_26_OPT4_KTQT_v4[[#This Row],[Địa điểm đến]],MD_Destination[Địa điểm đến],0)),"")</f>
        <v>Bồ Đào Nha</v>
      </c>
      <c r="K9" s="7" t="str">
        <f>IFERROR(INDEX(MD_Destination[Khu vực],MATCH(KH_26_OPT4_KTQT_v4[[#This Row],[Địa điểm đến]],MD_Destination[Địa điểm đến],0)),"")</f>
        <v>Châu Âu</v>
      </c>
      <c r="L9" s="35" t="s">
        <v>278</v>
      </c>
      <c r="M9" s="7" t="str">
        <f>IFERROR(INDEX(MD_SKU[Mã SKU],MATCH(KH_26_OPT4_KTQT_v4[[#This Row],[Tên sản phẩm]],MD_SKU[Tên SKU-rút gọn],0)),"")</f>
        <v>110000355</v>
      </c>
      <c r="N9" s="35" t="s">
        <v>469</v>
      </c>
      <c r="O9" s="7" t="str">
        <f>IFERROR(INDEX(MD_SKU[Ngành hàng],MATCH(KH_26_OPT4_KTQT_v4[[#This Row],[Tên sản phẩm]],MD_SKU[Tên SKU-rút gọn],0)),"")</f>
        <v>rPET</v>
      </c>
      <c r="P9" s="7" t="str">
        <f>IFERROR(INDEX(MD_SKU[Nhóm ngành],MATCH(KH_26_OPT4_KTQT_v4[[#This Row],[Tên sản phẩm]],MD_SKU[Tên SKU-rút gọn],0)),"")</f>
        <v>Hạt PET</v>
      </c>
      <c r="Q9" s="7" t="str">
        <f>IFERROR(
   IF(INDEX(MD_SKU[IV/IM],MATCH(KH_26_OPT4_KTQT_v4[[#This Row],[Tên sản phẩm]],MD_SKU[Tên SKU-rút gọn],0))=0,
      "",
      INDEX(MD_SKU[IV/IM],MATCH(KH_26_OPT4_KTQT_v4[[#This Row],[Tên sản phẩm]],MD_SKU[Tên SKU-rút gọn],0))
   ),
"")</f>
        <v>0.80 ± 0.02</v>
      </c>
      <c r="R9" s="44">
        <f>IFERROR(INDEX(MD_SKU[Application],MATCH(KH_26_OPT4_KTQT_v4[[#This Row],[Tên sản phẩm]],MD_SKU[Tên SKU-rút gọn],0)),"")</f>
        <v>0</v>
      </c>
      <c r="S9" s="7" t="str">
        <f>IFERROR(INDEX(MD_SKU[Phân loại],MATCH(KH_26_OPT4_KTQT_v4[[#This Row],[Tên sản phẩm]],MD_SKU[Tên SKU-rút gọn],0)),"")</f>
        <v>Cũ</v>
      </c>
      <c r="T9" s="180" t="s">
        <v>9</v>
      </c>
      <c r="U9" s="7" t="s">
        <v>1508</v>
      </c>
      <c r="V9" s="70">
        <v>0.8</v>
      </c>
      <c r="W9" s="102">
        <v>330</v>
      </c>
      <c r="X9" s="102">
        <v>330</v>
      </c>
      <c r="Y9" s="102">
        <v>330</v>
      </c>
      <c r="Z9" s="102">
        <v>330</v>
      </c>
      <c r="AA9" s="102">
        <v>330</v>
      </c>
      <c r="AB9" s="102">
        <v>330</v>
      </c>
      <c r="AC9" s="102">
        <v>330</v>
      </c>
      <c r="AD9" s="102">
        <v>330</v>
      </c>
      <c r="AE9" s="102">
        <v>330</v>
      </c>
      <c r="AF9" s="102">
        <v>330</v>
      </c>
      <c r="AG9" s="102">
        <v>330</v>
      </c>
      <c r="AH9" s="102">
        <v>330</v>
      </c>
      <c r="AI9" s="47">
        <f ca="1">SUM(KH_26_OPT4_KTQT_v4[[#This Row],[SL-01]:[SL-12]])</f>
        <v>3960</v>
      </c>
      <c r="AJ9" s="47">
        <f ca="1">SUMIFS(DB_25[SL-DB25],DB_25[Mã khách],KH_26_OPT4_KTQT_v4[[#This Row],[Mã khách]],DB_25[Mã sản phẩm],KH_26_OPT4_KTQT_v4[[#This Row],[Mã sản phẩm]])</f>
        <v>6160</v>
      </c>
      <c r="AK9" s="20">
        <f ca="1">KH_26_OPT4_KTQT_v4[[#This Row],[SL-KH26]]-KH_26_OPT4_KTQT_v4[[#This Row],[SL-DB25]]</f>
        <v>-2200</v>
      </c>
      <c r="AL9" s="21">
        <f ca="1">IFERROR(KH_26_OPT4_KTQT_v4[[#This Row],[SL-+/-]]/KH_26_OPT4_KTQT_v4[[#This Row],[SL-DB25]],0)</f>
        <v>-0.35714285714285715</v>
      </c>
      <c r="AM9" s="51">
        <v>1200</v>
      </c>
      <c r="AN9" s="51">
        <v>1200</v>
      </c>
      <c r="AO9" s="51">
        <v>1200</v>
      </c>
      <c r="AP9" s="51">
        <v>1200</v>
      </c>
      <c r="AQ9" s="51">
        <v>1200</v>
      </c>
      <c r="AR9" s="51">
        <v>1200</v>
      </c>
      <c r="AS9" s="51">
        <v>1200</v>
      </c>
      <c r="AT9" s="51">
        <v>1200</v>
      </c>
      <c r="AU9" s="51">
        <v>1200</v>
      </c>
      <c r="AV9" s="51">
        <v>1200</v>
      </c>
      <c r="AW9" s="51">
        <v>1200</v>
      </c>
      <c r="AX9" s="51">
        <v>1200</v>
      </c>
      <c r="AY9" s="23">
        <v>1180</v>
      </c>
      <c r="AZ9" s="7"/>
      <c r="BA9" s="24">
        <f>KH_26_OPT4_KTQT_v4[[#This Row],[GB-DB25]]-KH_26_OPT4_KTQT_v4[[#This Row],[GB-KH25]]</f>
        <v>1180</v>
      </c>
      <c r="BB9" s="21">
        <f>IFERROR(KH_26_OPT4_KTQT_v4[[#This Row],[GB-+/-]]/KH_26_OPT4_KTQT_v4[[#This Row],[GB-KH25]],0)</f>
        <v>0</v>
      </c>
      <c r="BC9" s="21" t="s">
        <v>531</v>
      </c>
      <c r="BD9" s="47">
        <f>KH_26_OPT4_KTQT_v4[[#This Row],[SL-01]]*KH_26_OPT4_KTQT_v4[[#This Row],[GB-01]]*EXR</f>
        <v>10494000000</v>
      </c>
      <c r="BE9" s="47">
        <f>KH_26_OPT4_KTQT_v4[[#This Row],[SL-02]]*KH_26_OPT4_KTQT_v4[[#This Row],[GB-02]]*EXR</f>
        <v>10494000000</v>
      </c>
      <c r="BF9" s="47">
        <f>KH_26_OPT4_KTQT_v4[[#This Row],[SL-03]]*KH_26_OPT4_KTQT_v4[[#This Row],[GB-03]]*EXR</f>
        <v>10494000000</v>
      </c>
      <c r="BG9" s="47">
        <f>KH_26_OPT4_KTQT_v4[[#This Row],[SL-04]]*KH_26_OPT4_KTQT_v4[[#This Row],[GB-04]]*EXR</f>
        <v>10494000000</v>
      </c>
      <c r="BH9" s="47">
        <f>KH_26_OPT4_KTQT_v4[[#This Row],[SL-05]]*KH_26_OPT4_KTQT_v4[[#This Row],[GB-05]]*EXR</f>
        <v>10494000000</v>
      </c>
      <c r="BI9" s="47">
        <f>KH_26_OPT4_KTQT_v4[[#This Row],[SL-06]]*KH_26_OPT4_KTQT_v4[[#This Row],[GB-06]]*EXR</f>
        <v>10494000000</v>
      </c>
      <c r="BJ9" s="47">
        <f>KH_26_OPT4_KTQT_v4[[#This Row],[SL-07]]*KH_26_OPT4_KTQT_v4[[#This Row],[GB-07]]*EXR</f>
        <v>10494000000</v>
      </c>
      <c r="BK9" s="47">
        <f>KH_26_OPT4_KTQT_v4[[#This Row],[SL-08]]*KH_26_OPT4_KTQT_v4[[#This Row],[GB-08]]*EXR</f>
        <v>10494000000</v>
      </c>
      <c r="BL9" s="47">
        <f>KH_26_OPT4_KTQT_v4[[#This Row],[SL-09]]*KH_26_OPT4_KTQT_v4[[#This Row],[GB-09]]*EXR</f>
        <v>10494000000</v>
      </c>
      <c r="BM9" s="47">
        <f>KH_26_OPT4_KTQT_v4[[#This Row],[SL-10]]*KH_26_OPT4_KTQT_v4[[#This Row],[GB-10]]*EXR</f>
        <v>10494000000</v>
      </c>
      <c r="BN9" s="47">
        <f>KH_26_OPT4_KTQT_v4[[#This Row],[SL-11]]*KH_26_OPT4_KTQT_v4[[#This Row],[GB-11]]*EXR</f>
        <v>10494000000</v>
      </c>
      <c r="BO9" s="47">
        <f>KH_26_OPT4_KTQT_v4[[#This Row],[SL-12]]*KH_26_OPT4_KTQT_v4[[#This Row],[GB-12]]*EXR</f>
        <v>10494000000</v>
      </c>
      <c r="BP9" s="47">
        <f ca="1">SUM(KH_26_OPT4_KTQT_v4[[#This Row],[DT-EXW-01]:[DT-EXW-12]])</f>
        <v>125928000000</v>
      </c>
      <c r="BQ9" s="47">
        <f ca="1">SUMIFS(DB_25[DT-DB25],DB_25[Mã khách],KH_26_OPT4_KTQT_v4[[#This Row],[Mã khách]],DB_25[Mã sản phẩm],KH_26_OPT4_KTQT_v4[[#This Row],[Mã sản phẩm]])</f>
        <v>195215645002.66504</v>
      </c>
      <c r="BR9" s="47">
        <f ca="1">KH_26_OPT4_KTQT_v4[[#This Row],[DT-EXW-KH26]]-KH_26_OPT4_KTQT_v4[[#This Row],[DT-EXW-DB25]]</f>
        <v>-69287645002.665039</v>
      </c>
      <c r="BS9" s="21">
        <f ca="1">IFERROR(KH_26_OPT4_KTQT_v4[[#This Row],[DT-EXW-+/-]]/KH_26_OPT4_KTQT_v4[[#This Row],[DT-EXW-DB25]],0)</f>
        <v>-0.35492875072445723</v>
      </c>
      <c r="BT9" s="139"/>
      <c r="BU9" s="57"/>
      <c r="BV9" s="51"/>
      <c r="BW9" s="47">
        <f>IF(KH_26_OPT4_KTQT_v4[[#This Row],[CPHH-%-SL]]="Dthu",KH_26_OPT4_KTQT_v4[[#This Row],[%HH]]*KH_26_OPT4_KTQT_v4[[#This Row],[DT-EXW-01]],KH_26_OPT4_KTQT_v4[[#This Row],[HH-SL]]*KH_26_OPT4_KTQT_v4[[#This Row],[SL-01]])</f>
        <v>0</v>
      </c>
      <c r="BX9" s="47">
        <f>IF(KH_26_OPT4_KTQT_v4[[#This Row],[CPHH-%-SL]]="Dthu",KH_26_OPT4_KTQT_v4[[#This Row],[%HH]]*KH_26_OPT4_KTQT_v4[[#This Row],[DT-EXW-02]],KH_26_OPT4_KTQT_v4[[#This Row],[HH-SL]]*KH_26_OPT4_KTQT_v4[[#This Row],[SL-02]])</f>
        <v>0</v>
      </c>
      <c r="BY9" s="47">
        <f>IF(KH_26_OPT4_KTQT_v4[[#This Row],[CPHH-%-SL]]="Dthu",KH_26_OPT4_KTQT_v4[[#This Row],[%HH]]*KH_26_OPT4_KTQT_v4[[#This Row],[DT-EXW-03]],KH_26_OPT4_KTQT_v4[[#This Row],[HH-SL]]*KH_26_OPT4_KTQT_v4[[#This Row],[SL-03]])</f>
        <v>0</v>
      </c>
      <c r="BZ9" s="47">
        <f>IF(KH_26_OPT4_KTQT_v4[[#This Row],[CPHH-%-SL]]="Dthu",KH_26_OPT4_KTQT_v4[[#This Row],[%HH]]*KH_26_OPT4_KTQT_v4[[#This Row],[DT-EXW-04]],KH_26_OPT4_KTQT_v4[[#This Row],[HH-SL]]*KH_26_OPT4_KTQT_v4[[#This Row],[SL-04]])</f>
        <v>0</v>
      </c>
      <c r="CA9" s="47">
        <f>IF(KH_26_OPT4_KTQT_v4[[#This Row],[CPHH-%-SL]]="Dthu",KH_26_OPT4_KTQT_v4[[#This Row],[%HH]]*KH_26_OPT4_KTQT_v4[[#This Row],[DT-EXW-05]],KH_26_OPT4_KTQT_v4[[#This Row],[HH-SL]]*KH_26_OPT4_KTQT_v4[[#This Row],[SL-05]])</f>
        <v>0</v>
      </c>
      <c r="CB9" s="47">
        <f>IF(KH_26_OPT4_KTQT_v4[[#This Row],[CPHH-%-SL]]="Dthu",KH_26_OPT4_KTQT_v4[[#This Row],[%HH]]*KH_26_OPT4_KTQT_v4[[#This Row],[DT-EXW-06]],KH_26_OPT4_KTQT_v4[[#This Row],[HH-SL]]*KH_26_OPT4_KTQT_v4[[#This Row],[SL-06]])</f>
        <v>0</v>
      </c>
      <c r="CC9" s="47">
        <f>IF(KH_26_OPT4_KTQT_v4[[#This Row],[CPHH-%-SL]]="Dthu",KH_26_OPT4_KTQT_v4[[#This Row],[%HH]]*KH_26_OPT4_KTQT_v4[[#This Row],[DT-EXW-07]],KH_26_OPT4_KTQT_v4[[#This Row],[HH-SL]]*KH_26_OPT4_KTQT_v4[[#This Row],[SL-07]])</f>
        <v>0</v>
      </c>
      <c r="CD9" s="47">
        <f>IF(KH_26_OPT4_KTQT_v4[[#This Row],[CPHH-%-SL]]="Dthu",KH_26_OPT4_KTQT_v4[[#This Row],[%HH]]*KH_26_OPT4_KTQT_v4[[#This Row],[DT-EXW-08]],KH_26_OPT4_KTQT_v4[[#This Row],[HH-SL]]*KH_26_OPT4_KTQT_v4[[#This Row],[SL-08]])</f>
        <v>0</v>
      </c>
      <c r="CE9" s="47">
        <f>IF(KH_26_OPT4_KTQT_v4[[#This Row],[CPHH-%-SL]]="Dthu",KH_26_OPT4_KTQT_v4[[#This Row],[%HH]]*KH_26_OPT4_KTQT_v4[[#This Row],[DT-EXW-09]],KH_26_OPT4_KTQT_v4[[#This Row],[HH-SL]]*KH_26_OPT4_KTQT_v4[[#This Row],[SL-09]])</f>
        <v>0</v>
      </c>
      <c r="CF9" s="47">
        <f>IF(KH_26_OPT4_KTQT_v4[[#This Row],[CPHH-%-SL]]="Dthu",KH_26_OPT4_KTQT_v4[[#This Row],[%HH]]*KH_26_OPT4_KTQT_v4[[#This Row],[DT-EXW-10]],KH_26_OPT4_KTQT_v4[[#This Row],[HH-SL]]*KH_26_OPT4_KTQT_v4[[#This Row],[SL-10]])</f>
        <v>0</v>
      </c>
      <c r="CG9" s="47">
        <f>IF(KH_26_OPT4_KTQT_v4[[#This Row],[CPHH-%-SL]]="Dthu",KH_26_OPT4_KTQT_v4[[#This Row],[%HH]]*KH_26_OPT4_KTQT_v4[[#This Row],[DT-EXW-11]],KH_26_OPT4_KTQT_v4[[#This Row],[HH-SL]]*KH_26_OPT4_KTQT_v4[[#This Row],[SL-11]])</f>
        <v>0</v>
      </c>
      <c r="CH9" s="47">
        <f>IF(KH_26_OPT4_KTQT_v4[[#This Row],[CPHH-%-SL]]="Dthu",KH_26_OPT4_KTQT_v4[[#This Row],[%HH]]*KH_26_OPT4_KTQT_v4[[#This Row],[DT-EXW-12]],KH_26_OPT4_KTQT_v4[[#This Row],[HH-SL]]*KH_26_OPT4_KTQT_v4[[#This Row],[SL-12]])</f>
        <v>0</v>
      </c>
      <c r="CI9" s="47">
        <f ca="1">SUM(KH_26_OPT4_KTQT_v4[[#This Row],[CPHH-01]:[CPHH-12]])</f>
        <v>0</v>
      </c>
      <c r="CJ9" s="47" cm="1">
        <f t="array" ref="CJ9">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9" s="19">
        <f ca="1">SUM(KH_26_OPT4_KTQT_v4[[#This Row],[ĐGVCNĐ-KXK]:[ĐGVCCT-KXK]])</f>
        <v>530000</v>
      </c>
      <c r="CL9" s="47" cm="1">
        <f t="array" ref="CL9">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530000</v>
      </c>
      <c r="CM9" s="47" cm="1">
        <f t="array" ref="CM9">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9" s="47">
        <f ca="1">(KH_26_OPT4_KTQT_v4[[#This Row],[ĐGVC-KNĐ]]+KH_26_OPT4_KTQT_v4[[#This Row],[ĐGVC-KXK]])*KH_26_OPT4_KTQT_v4[[#This Row],[SL-01]]</f>
        <v>174900000</v>
      </c>
      <c r="CO9" s="47">
        <f ca="1">(KH_26_OPT4_KTQT_v4[[#This Row],[ĐGVC-KNĐ]]+KH_26_OPT4_KTQT_v4[[#This Row],[ĐGVC-KXK]])*KH_26_OPT4_KTQT_v4[[#This Row],[SL-02]]</f>
        <v>174900000</v>
      </c>
      <c r="CP9" s="47">
        <f ca="1">(KH_26_OPT4_KTQT_v4[[#This Row],[ĐGVC-KNĐ]]+KH_26_OPT4_KTQT_v4[[#This Row],[ĐGVC-KXK]])*KH_26_OPT4_KTQT_v4[[#This Row],[SL-03]]</f>
        <v>174900000</v>
      </c>
      <c r="CQ9" s="47">
        <f ca="1">(KH_26_OPT4_KTQT_v4[[#This Row],[ĐGVC-KNĐ]]+KH_26_OPT4_KTQT_v4[[#This Row],[ĐGVC-KXK]])*KH_26_OPT4_KTQT_v4[[#This Row],[SL-04]]</f>
        <v>174900000</v>
      </c>
      <c r="CR9" s="47">
        <f ca="1">(KH_26_OPT4_KTQT_v4[[#This Row],[ĐGVC-KNĐ]]+KH_26_OPT4_KTQT_v4[[#This Row],[ĐGVC-KXK]])*KH_26_OPT4_KTQT_v4[[#This Row],[SL-05]]</f>
        <v>174900000</v>
      </c>
      <c r="CS9" s="47">
        <f ca="1">(KH_26_OPT4_KTQT_v4[[#This Row],[ĐGVC-KNĐ]]+KH_26_OPT4_KTQT_v4[[#This Row],[ĐGVC-KXK]])*KH_26_OPT4_KTQT_v4[[#This Row],[SL-06]]</f>
        <v>174900000</v>
      </c>
      <c r="CT9" s="47">
        <f ca="1">(KH_26_OPT4_KTQT_v4[[#This Row],[ĐGVC-KNĐ]]+KH_26_OPT4_KTQT_v4[[#This Row],[ĐGVC-KXK]])*KH_26_OPT4_KTQT_v4[[#This Row],[SL-07]]</f>
        <v>174900000</v>
      </c>
      <c r="CU9" s="47">
        <f ca="1">(KH_26_OPT4_KTQT_v4[[#This Row],[ĐGVC-KNĐ]]+KH_26_OPT4_KTQT_v4[[#This Row],[ĐGVC-KXK]])*KH_26_OPT4_KTQT_v4[[#This Row],[SL-08]]</f>
        <v>174900000</v>
      </c>
      <c r="CV9" s="47">
        <f ca="1">(KH_26_OPT4_KTQT_v4[[#This Row],[ĐGVC-KNĐ]]+KH_26_OPT4_KTQT_v4[[#This Row],[ĐGVC-KXK]])*KH_26_OPT4_KTQT_v4[[#This Row],[SL-09]]</f>
        <v>174900000</v>
      </c>
      <c r="CW9" s="47">
        <f ca="1">(KH_26_OPT4_KTQT_v4[[#This Row],[ĐGVC-KNĐ]]+KH_26_OPT4_KTQT_v4[[#This Row],[ĐGVC-KXK]])*KH_26_OPT4_KTQT_v4[[#This Row],[SL-10]]</f>
        <v>174900000</v>
      </c>
      <c r="CX9" s="47">
        <f ca="1">(KH_26_OPT4_KTQT_v4[[#This Row],[ĐGVC-KNĐ]]+KH_26_OPT4_KTQT_v4[[#This Row],[ĐGVC-KXK]])*KH_26_OPT4_KTQT_v4[[#This Row],[SL-11]]</f>
        <v>174900000</v>
      </c>
      <c r="CY9" s="47">
        <f ca="1">(KH_26_OPT4_KTQT_v4[[#This Row],[ĐGVC-KNĐ]]+KH_26_OPT4_KTQT_v4[[#This Row],[ĐGVC-KXK]])*KH_26_OPT4_KTQT_v4[[#This Row],[SL-12]]</f>
        <v>174900000</v>
      </c>
      <c r="CZ9" s="47">
        <f ca="1">SUM(KH_26_OPT4_KTQT_v4[[#This Row],[CPVC-01]:[CPVC-12]])</f>
        <v>2098800000</v>
      </c>
      <c r="DA9" s="124">
        <f ca="1">KH_26_OPT4_KTQT_v4[[#This Row],[DT-EXW-01]]+KH_26_OPT4_KTQT_v4[[#This Row],[CPVC-01]]+KH_26_OPT4_KTQT_v4[[#This Row],[CPHH-01]]</f>
        <v>10668900000</v>
      </c>
      <c r="DB9" s="47">
        <f ca="1">KH_26_OPT4_KTQT_v4[[#This Row],[DT-EXW-02]]+KH_26_OPT4_KTQT_v4[[#This Row],[CPVC-02]]+KH_26_OPT4_KTQT_v4[[#This Row],[CPHH-02]]</f>
        <v>10668900000</v>
      </c>
      <c r="DC9" s="47">
        <f ca="1">KH_26_OPT4_KTQT_v4[[#This Row],[DT-EXW-03]]+KH_26_OPT4_KTQT_v4[[#This Row],[CPVC-03]]+KH_26_OPT4_KTQT_v4[[#This Row],[CPHH-03]]</f>
        <v>10668900000</v>
      </c>
      <c r="DD9" s="47">
        <f ca="1">KH_26_OPT4_KTQT_v4[[#This Row],[DT-EXW-04]]+KH_26_OPT4_KTQT_v4[[#This Row],[CPVC-04]]+KH_26_OPT4_KTQT_v4[[#This Row],[CPHH-04]]</f>
        <v>10668900000</v>
      </c>
      <c r="DE9" s="47">
        <f ca="1">KH_26_OPT4_KTQT_v4[[#This Row],[DT-EXW-05]]+KH_26_OPT4_KTQT_v4[[#This Row],[CPVC-05]]+KH_26_OPT4_KTQT_v4[[#This Row],[CPHH-05]]</f>
        <v>10668900000</v>
      </c>
      <c r="DF9" s="47">
        <f ca="1">KH_26_OPT4_KTQT_v4[[#This Row],[DT-EXW-06]]+KH_26_OPT4_KTQT_v4[[#This Row],[CPVC-06]]+KH_26_OPT4_KTQT_v4[[#This Row],[CPHH-06]]</f>
        <v>10668900000</v>
      </c>
      <c r="DG9" s="47">
        <f ca="1">KH_26_OPT4_KTQT_v4[[#This Row],[DT-EXW-07]]+KH_26_OPT4_KTQT_v4[[#This Row],[CPVC-07]]+KH_26_OPT4_KTQT_v4[[#This Row],[CPHH-07]]</f>
        <v>10668900000</v>
      </c>
      <c r="DH9" s="47">
        <f ca="1">KH_26_OPT4_KTQT_v4[[#This Row],[DT-EXW-08]]+KH_26_OPT4_KTQT_v4[[#This Row],[CPVC-08]]+KH_26_OPT4_KTQT_v4[[#This Row],[CPHH-08]]</f>
        <v>10668900000</v>
      </c>
      <c r="DI9" s="47">
        <f ca="1">KH_26_OPT4_KTQT_v4[[#This Row],[DT-EXW-09]]+KH_26_OPT4_KTQT_v4[[#This Row],[CPVC-09]]+KH_26_OPT4_KTQT_v4[[#This Row],[CPHH-09]]</f>
        <v>10668900000</v>
      </c>
      <c r="DJ9" s="47">
        <f ca="1">KH_26_OPT4_KTQT_v4[[#This Row],[DT-EXW-10]]+KH_26_OPT4_KTQT_v4[[#This Row],[CPVC-10]]+KH_26_OPT4_KTQT_v4[[#This Row],[CPHH-10]]</f>
        <v>10668900000</v>
      </c>
      <c r="DK9" s="47">
        <f ca="1">KH_26_OPT4_KTQT_v4[[#This Row],[DT-EXW-11]]+KH_26_OPT4_KTQT_v4[[#This Row],[CPVC-11]]+KH_26_OPT4_KTQT_v4[[#This Row],[CPHH-11]]</f>
        <v>10668900000</v>
      </c>
      <c r="DL9" s="47">
        <f ca="1">KH_26_OPT4_KTQT_v4[[#This Row],[DT-EXW-12]]+KH_26_OPT4_KTQT_v4[[#This Row],[CPVC-12]]+KH_26_OPT4_KTQT_v4[[#This Row],[CPHH-12]]</f>
        <v>10668900000</v>
      </c>
      <c r="DM9" s="47">
        <f ca="1">SUM(KH_26_OPT4_KTQT_v4[[#This Row],[DT-01]:[DT-12]])</f>
        <v>128026800000</v>
      </c>
      <c r="DN9" s="7"/>
      <c r="DO9" s="7"/>
      <c r="DP9" s="125"/>
      <c r="DQ9" s="136">
        <v>0.1</v>
      </c>
      <c r="DR9" s="132">
        <f>IFERROR(KH_26_OPT4_KTQT_v4[[#This Row],[DT-EXW-01]]*KH_26_OPT4_KTQT_v4[[#This Row],[%CPDP]],0)</f>
        <v>1049400000</v>
      </c>
      <c r="DS9" s="132">
        <f>IFERROR(KH_26_OPT4_KTQT_v4[[#This Row],[DT-EXW-02]]*KH_26_OPT4_KTQT_v4[[#This Row],[%CPDP]],0)</f>
        <v>1049400000</v>
      </c>
      <c r="DT9" s="132">
        <f>IFERROR(KH_26_OPT4_KTQT_v4[[#This Row],[DT-EXW-03]]*KH_26_OPT4_KTQT_v4[[#This Row],[%CPDP]],0)</f>
        <v>1049400000</v>
      </c>
      <c r="DU9" s="132">
        <f>IFERROR(KH_26_OPT4_KTQT_v4[[#This Row],[DT-EXW-04]]*KH_26_OPT4_KTQT_v4[[#This Row],[%CPDP]],0)</f>
        <v>1049400000</v>
      </c>
      <c r="DV9" s="132">
        <f>IFERROR(KH_26_OPT4_KTQT_v4[[#This Row],[DT-EXW-05]]*KH_26_OPT4_KTQT_v4[[#This Row],[%CPDP]],0)</f>
        <v>1049400000</v>
      </c>
      <c r="DW9" s="132">
        <f>IFERROR(KH_26_OPT4_KTQT_v4[[#This Row],[DT-EXW-06]]*KH_26_OPT4_KTQT_v4[[#This Row],[%CPDP]],0)</f>
        <v>1049400000</v>
      </c>
      <c r="DX9" s="132">
        <f>IFERROR(KH_26_OPT4_KTQT_v4[[#This Row],[DT-EXW-07]]*KH_26_OPT4_KTQT_v4[[#This Row],[%CPDP]],0)</f>
        <v>1049400000</v>
      </c>
      <c r="DY9" s="132">
        <f>IFERROR(KH_26_OPT4_KTQT_v4[[#This Row],[DT-EXW-08]]*KH_26_OPT4_KTQT_v4[[#This Row],[%CPDP]],0)</f>
        <v>1049400000</v>
      </c>
      <c r="DZ9" s="132">
        <f>IFERROR(KH_26_OPT4_KTQT_v4[[#This Row],[DT-EXW-09]]*KH_26_OPT4_KTQT_v4[[#This Row],[%CPDP]],0)</f>
        <v>1049400000</v>
      </c>
      <c r="EA9" s="132">
        <f>IFERROR(KH_26_OPT4_KTQT_v4[[#This Row],[DT-EXW-10]]*KH_26_OPT4_KTQT_v4[[#This Row],[%CPDP]],0)</f>
        <v>1049400000</v>
      </c>
      <c r="EB9" s="132">
        <f>IFERROR(KH_26_OPT4_KTQT_v4[[#This Row],[DT-EXW-11]]*KH_26_OPT4_KTQT_v4[[#This Row],[%CPDP]],0)</f>
        <v>1049400000</v>
      </c>
      <c r="EC9" s="132">
        <f>IFERROR(KH_26_OPT4_KTQT_v4[[#This Row],[DT-EXW-12]]*KH_26_OPT4_KTQT_v4[[#This Row],[%CPDP]],0)</f>
        <v>1049400000</v>
      </c>
      <c r="ED9" s="131">
        <f ca="1">SUM(KH_26_OPT4_KTQT_v4[[#This Row],[CPDP-01]:[CPDP-12]])</f>
        <v>12592800000</v>
      </c>
    </row>
    <row r="10" spans="1:134" ht="14.5" hidden="1" x14ac:dyDescent="0.35">
      <c r="A10" s="18">
        <v>5</v>
      </c>
      <c r="B10" s="71" t="s">
        <v>95</v>
      </c>
      <c r="C10" s="18" t="str">
        <f>IFERROR(_xlfn.XLOOKUP(KH_26_OPT4_KTQT_v4[[#This Row],[Salesman]],MD_Salesman[Salesman],MD_Salesman[SalesManager]),"")</f>
        <v>Cường</v>
      </c>
      <c r="D10" s="72" t="str">
        <f>IFERROR(INDEX(MD_Customer[Mã khách],MATCH(KH_26_OPT4_KTQT_v4[[#This Row],[Tên khách]],MD_Customer[Tên khách-rút gọn],0)),"")</f>
        <v>104894</v>
      </c>
      <c r="E10" s="7" t="str">
        <f>IFERROR(INDEX(MD_Customer[Parent Account],MATCH(KH_26_OPT4_KTQT_v4[[#This Row],[Tên khách]],MD_Customer[Tên khách-rút gọn],0)),"")</f>
        <v>Unilever</v>
      </c>
      <c r="F10" s="35" t="s">
        <v>322</v>
      </c>
      <c r="G10" s="7" t="str">
        <f>IFERROR(INDEX(MD_Customer[Phân loại],MATCH(KH_26_OPT4_KTQT_v4[[#This Row],[Tên khách]],MD_Customer[Tên khách-rút gọn],0)),"")</f>
        <v>Hiện hữu</v>
      </c>
      <c r="H10" s="7" t="str">
        <f>IFERROR(INDEX(MD_Customer[Kênh bán hàng],MATCH(KH_26_OPT4_KTQT_v4[[#This Row],[Tên khách]],MD_Customer[Tên khách-rút gọn],0)),"")</f>
        <v>Nội địa</v>
      </c>
      <c r="I10" s="35" t="s">
        <v>261</v>
      </c>
      <c r="J10" s="7" t="str">
        <f>IFERROR(INDEX(MD_Destination[Nước],MATCH(KH_26_OPT4_KTQT_v4[[#This Row],[Địa điểm đến]],MD_Destination[Địa điểm đến],0)),"")</f>
        <v>Việt Nam</v>
      </c>
      <c r="K10" s="7" t="str">
        <f>IFERROR(INDEX(MD_Destination[Khu vực],MATCH(KH_26_OPT4_KTQT_v4[[#This Row],[Địa điểm đến]],MD_Destination[Địa điểm đến],0)),"")</f>
        <v>Châu Á</v>
      </c>
      <c r="L10" s="35" t="s">
        <v>262</v>
      </c>
      <c r="M10" s="7" t="str">
        <f>IFERROR(INDEX(MD_SKU[Mã SKU],MATCH(KH_26_OPT4_KTQT_v4[[#This Row],[Tên sản phẩm]],MD_SKU[Tên SKU-rút gọn],0)),"")</f>
        <v>110000354</v>
      </c>
      <c r="N10" s="35" t="s">
        <v>456</v>
      </c>
      <c r="O10" s="7" t="str">
        <f>IFERROR(INDEX(MD_SKU[Ngành hàng],MATCH(KH_26_OPT4_KTQT_v4[[#This Row],[Tên sản phẩm]],MD_SKU[Tên SKU-rút gọn],0)),"")</f>
        <v>rPET</v>
      </c>
      <c r="P10" s="7" t="str">
        <f>IFERROR(INDEX(MD_SKU[Nhóm ngành],MATCH(KH_26_OPT4_KTQT_v4[[#This Row],[Tên sản phẩm]],MD_SKU[Tên SKU-rút gọn],0)),"")</f>
        <v>Hạt PET</v>
      </c>
      <c r="Q10" s="7" t="str">
        <f>IFERROR(
   IF(INDEX(MD_SKU[IV/IM],MATCH(KH_26_OPT4_KTQT_v4[[#This Row],[Tên sản phẩm]],MD_SKU[Tên SKU-rút gọn],0))=0,
      "",
      INDEX(MD_SKU[IV/IM],MATCH(KH_26_OPT4_KTQT_v4[[#This Row],[Tên sản phẩm]],MD_SKU[Tên SKU-rút gọn],0))
   ),
"")</f>
        <v>0.78 ± 0.02</v>
      </c>
      <c r="R10" s="44">
        <f>IFERROR(INDEX(MD_SKU[Application],MATCH(KH_26_OPT4_KTQT_v4[[#This Row],[Tên sản phẩm]],MD_SKU[Tên SKU-rút gọn],0)),"")</f>
        <v>0</v>
      </c>
      <c r="S10" s="7" t="str">
        <f>IFERROR(INDEX(MD_SKU[Phân loại],MATCH(KH_26_OPT4_KTQT_v4[[#This Row],[Tên sản phẩm]],MD_SKU[Tên SKU-rút gọn],0)),"")</f>
        <v>Cũ</v>
      </c>
      <c r="T10" s="7" t="s">
        <v>5</v>
      </c>
      <c r="U10" s="7" t="s">
        <v>1508</v>
      </c>
      <c r="V10" s="70">
        <v>0.8</v>
      </c>
      <c r="W10" s="33">
        <v>220</v>
      </c>
      <c r="X10" s="33">
        <v>220</v>
      </c>
      <c r="Y10" s="33">
        <v>220</v>
      </c>
      <c r="Z10" s="33">
        <v>220</v>
      </c>
      <c r="AA10" s="33">
        <v>220</v>
      </c>
      <c r="AB10" s="33">
        <v>220</v>
      </c>
      <c r="AC10" s="33">
        <v>220</v>
      </c>
      <c r="AD10" s="33">
        <v>220</v>
      </c>
      <c r="AE10" s="33">
        <v>220</v>
      </c>
      <c r="AF10" s="33">
        <v>220</v>
      </c>
      <c r="AG10" s="33">
        <v>220</v>
      </c>
      <c r="AH10" s="33">
        <v>220</v>
      </c>
      <c r="AI10" s="47">
        <f ca="1">SUM(KH_26_OPT4_KTQT_v4[[#This Row],[SL-01]:[SL-12]])</f>
        <v>2640</v>
      </c>
      <c r="AJ10" s="47">
        <f ca="1">SUMIFS(DB_25[SL-DB25],DB_25[Mã khách],KH_26_OPT4_KTQT_v4[[#This Row],[Mã khách]],DB_25[Mã sản phẩm],KH_26_OPT4_KTQT_v4[[#This Row],[Mã sản phẩm]])</f>
        <v>3265.7</v>
      </c>
      <c r="AK10" s="20">
        <f ca="1">KH_26_OPT4_KTQT_v4[[#This Row],[SL-KH26]]-KH_26_OPT4_KTQT_v4[[#This Row],[SL-DB25]]</f>
        <v>-625.69999999999982</v>
      </c>
      <c r="AL10" s="21">
        <f ca="1">IFERROR(KH_26_OPT4_KTQT_v4[[#This Row],[SL-+/-]]/KH_26_OPT4_KTQT_v4[[#This Row],[SL-DB25]],0)</f>
        <v>-0.19159751354992799</v>
      </c>
      <c r="AM10" s="51">
        <f>1217+33</f>
        <v>1250</v>
      </c>
      <c r="AN10" s="51">
        <f t="shared" ref="AN10:AX10" si="1">1217+33</f>
        <v>1250</v>
      </c>
      <c r="AO10" s="51">
        <f t="shared" si="1"/>
        <v>1250</v>
      </c>
      <c r="AP10" s="51">
        <f t="shared" si="1"/>
        <v>1250</v>
      </c>
      <c r="AQ10" s="51">
        <f t="shared" si="1"/>
        <v>1250</v>
      </c>
      <c r="AR10" s="51">
        <f t="shared" si="1"/>
        <v>1250</v>
      </c>
      <c r="AS10" s="51">
        <f t="shared" si="1"/>
        <v>1250</v>
      </c>
      <c r="AT10" s="51">
        <f t="shared" si="1"/>
        <v>1250</v>
      </c>
      <c r="AU10" s="51">
        <f t="shared" si="1"/>
        <v>1250</v>
      </c>
      <c r="AV10" s="51">
        <f t="shared" si="1"/>
        <v>1250</v>
      </c>
      <c r="AW10" s="51">
        <f t="shared" si="1"/>
        <v>1250</v>
      </c>
      <c r="AX10" s="51">
        <f t="shared" si="1"/>
        <v>1250</v>
      </c>
      <c r="AY10" s="23">
        <v>1183</v>
      </c>
      <c r="AZ10" s="7"/>
      <c r="BA10" s="24">
        <f>KH_26_OPT4_KTQT_v4[[#This Row],[GB-DB25]]-KH_26_OPT4_KTQT_v4[[#This Row],[GB-KH25]]</f>
        <v>1183</v>
      </c>
      <c r="BB10" s="21">
        <f>IFERROR(KH_26_OPT4_KTQT_v4[[#This Row],[GB-+/-]]/KH_26_OPT4_KTQT_v4[[#This Row],[GB-KH25]],0)</f>
        <v>0</v>
      </c>
      <c r="BC10" s="21"/>
      <c r="BD10" s="47">
        <f>KH_26_OPT4_KTQT_v4[[#This Row],[SL-01]]*KH_26_OPT4_KTQT_v4[[#This Row],[GB-01]]*EXR</f>
        <v>7287500000</v>
      </c>
      <c r="BE10" s="47">
        <f>KH_26_OPT4_KTQT_v4[[#This Row],[SL-02]]*KH_26_OPT4_KTQT_v4[[#This Row],[GB-02]]*EXR</f>
        <v>7287500000</v>
      </c>
      <c r="BF10" s="47">
        <f>KH_26_OPT4_KTQT_v4[[#This Row],[SL-03]]*KH_26_OPT4_KTQT_v4[[#This Row],[GB-03]]*EXR</f>
        <v>7287500000</v>
      </c>
      <c r="BG10" s="47">
        <f>KH_26_OPT4_KTQT_v4[[#This Row],[SL-04]]*KH_26_OPT4_KTQT_v4[[#This Row],[GB-04]]*EXR</f>
        <v>7287500000</v>
      </c>
      <c r="BH10" s="47">
        <f>KH_26_OPT4_KTQT_v4[[#This Row],[SL-05]]*KH_26_OPT4_KTQT_v4[[#This Row],[GB-05]]*EXR</f>
        <v>7287500000</v>
      </c>
      <c r="BI10" s="47">
        <f>KH_26_OPT4_KTQT_v4[[#This Row],[SL-06]]*KH_26_OPT4_KTQT_v4[[#This Row],[GB-06]]*EXR</f>
        <v>7287500000</v>
      </c>
      <c r="BJ10" s="47">
        <f>KH_26_OPT4_KTQT_v4[[#This Row],[SL-07]]*KH_26_OPT4_KTQT_v4[[#This Row],[GB-07]]*EXR</f>
        <v>7287500000</v>
      </c>
      <c r="BK10" s="47">
        <f>KH_26_OPT4_KTQT_v4[[#This Row],[SL-08]]*KH_26_OPT4_KTQT_v4[[#This Row],[GB-08]]*EXR</f>
        <v>7287500000</v>
      </c>
      <c r="BL10" s="47">
        <f>KH_26_OPT4_KTQT_v4[[#This Row],[SL-09]]*KH_26_OPT4_KTQT_v4[[#This Row],[GB-09]]*EXR</f>
        <v>7287500000</v>
      </c>
      <c r="BM10" s="47">
        <f>KH_26_OPT4_KTQT_v4[[#This Row],[SL-10]]*KH_26_OPT4_KTQT_v4[[#This Row],[GB-10]]*EXR</f>
        <v>7287500000</v>
      </c>
      <c r="BN10" s="47">
        <f>KH_26_OPT4_KTQT_v4[[#This Row],[SL-11]]*KH_26_OPT4_KTQT_v4[[#This Row],[GB-11]]*EXR</f>
        <v>7287500000</v>
      </c>
      <c r="BO10" s="47">
        <f>KH_26_OPT4_KTQT_v4[[#This Row],[SL-12]]*KH_26_OPT4_KTQT_v4[[#This Row],[GB-12]]*EXR</f>
        <v>7287500000</v>
      </c>
      <c r="BP10" s="47">
        <f ca="1">SUM(KH_26_OPT4_KTQT_v4[[#This Row],[DT-EXW-01]:[DT-EXW-12]])</f>
        <v>87450000000</v>
      </c>
      <c r="BQ10" s="47">
        <f ca="1">SUMIFS(DB_25[DT-DB25],DB_25[Mã khách],KH_26_OPT4_KTQT_v4[[#This Row],[Mã khách]],DB_25[Mã sản phẩm],KH_26_OPT4_KTQT_v4[[#This Row],[Mã sản phẩm]])</f>
        <v>75849050314.347412</v>
      </c>
      <c r="BR10" s="47">
        <f ca="1">KH_26_OPT4_KTQT_v4[[#This Row],[DT-EXW-KH26]]-KH_26_OPT4_KTQT_v4[[#This Row],[DT-EXW-DB25]]</f>
        <v>11600949685.652588</v>
      </c>
      <c r="BS10" s="21">
        <f ca="1">IFERROR(KH_26_OPT4_KTQT_v4[[#This Row],[DT-EXW-+/-]]/KH_26_OPT4_KTQT_v4[[#This Row],[DT-EXW-DB25]],0)</f>
        <v>0.15294785679680661</v>
      </c>
      <c r="BT10" s="139"/>
      <c r="BU10" s="57"/>
      <c r="BV10" s="51"/>
      <c r="BW10" s="47">
        <f>IF(KH_26_OPT4_KTQT_v4[[#This Row],[CPHH-%-SL]]="Dthu",KH_26_OPT4_KTQT_v4[[#This Row],[%HH]]*KH_26_OPT4_KTQT_v4[[#This Row],[DT-EXW-01]],KH_26_OPT4_KTQT_v4[[#This Row],[HH-SL]]*KH_26_OPT4_KTQT_v4[[#This Row],[SL-01]])</f>
        <v>0</v>
      </c>
      <c r="BX10" s="47">
        <f>IF(KH_26_OPT4_KTQT_v4[[#This Row],[CPHH-%-SL]]="Dthu",KH_26_OPT4_KTQT_v4[[#This Row],[%HH]]*KH_26_OPT4_KTQT_v4[[#This Row],[DT-EXW-02]],KH_26_OPT4_KTQT_v4[[#This Row],[HH-SL]]*KH_26_OPT4_KTQT_v4[[#This Row],[SL-02]])</f>
        <v>0</v>
      </c>
      <c r="BY10" s="47">
        <f>IF(KH_26_OPT4_KTQT_v4[[#This Row],[CPHH-%-SL]]="Dthu",KH_26_OPT4_KTQT_v4[[#This Row],[%HH]]*KH_26_OPT4_KTQT_v4[[#This Row],[DT-EXW-03]],KH_26_OPT4_KTQT_v4[[#This Row],[HH-SL]]*KH_26_OPT4_KTQT_v4[[#This Row],[SL-03]])</f>
        <v>0</v>
      </c>
      <c r="BZ10" s="47">
        <f>IF(KH_26_OPT4_KTQT_v4[[#This Row],[CPHH-%-SL]]="Dthu",KH_26_OPT4_KTQT_v4[[#This Row],[%HH]]*KH_26_OPT4_KTQT_v4[[#This Row],[DT-EXW-04]],KH_26_OPT4_KTQT_v4[[#This Row],[HH-SL]]*KH_26_OPT4_KTQT_v4[[#This Row],[SL-04]])</f>
        <v>0</v>
      </c>
      <c r="CA10" s="47">
        <f>IF(KH_26_OPT4_KTQT_v4[[#This Row],[CPHH-%-SL]]="Dthu",KH_26_OPT4_KTQT_v4[[#This Row],[%HH]]*KH_26_OPT4_KTQT_v4[[#This Row],[DT-EXW-05]],KH_26_OPT4_KTQT_v4[[#This Row],[HH-SL]]*KH_26_OPT4_KTQT_v4[[#This Row],[SL-05]])</f>
        <v>0</v>
      </c>
      <c r="CB10" s="47">
        <f>IF(KH_26_OPT4_KTQT_v4[[#This Row],[CPHH-%-SL]]="Dthu",KH_26_OPT4_KTQT_v4[[#This Row],[%HH]]*KH_26_OPT4_KTQT_v4[[#This Row],[DT-EXW-06]],KH_26_OPT4_KTQT_v4[[#This Row],[HH-SL]]*KH_26_OPT4_KTQT_v4[[#This Row],[SL-06]])</f>
        <v>0</v>
      </c>
      <c r="CC10" s="47">
        <f>IF(KH_26_OPT4_KTQT_v4[[#This Row],[CPHH-%-SL]]="Dthu",KH_26_OPT4_KTQT_v4[[#This Row],[%HH]]*KH_26_OPT4_KTQT_v4[[#This Row],[DT-EXW-07]],KH_26_OPT4_KTQT_v4[[#This Row],[HH-SL]]*KH_26_OPT4_KTQT_v4[[#This Row],[SL-07]])</f>
        <v>0</v>
      </c>
      <c r="CD10" s="47">
        <f>IF(KH_26_OPT4_KTQT_v4[[#This Row],[CPHH-%-SL]]="Dthu",KH_26_OPT4_KTQT_v4[[#This Row],[%HH]]*KH_26_OPT4_KTQT_v4[[#This Row],[DT-EXW-08]],KH_26_OPT4_KTQT_v4[[#This Row],[HH-SL]]*KH_26_OPT4_KTQT_v4[[#This Row],[SL-08]])</f>
        <v>0</v>
      </c>
      <c r="CE10" s="47">
        <f>IF(KH_26_OPT4_KTQT_v4[[#This Row],[CPHH-%-SL]]="Dthu",KH_26_OPT4_KTQT_v4[[#This Row],[%HH]]*KH_26_OPT4_KTQT_v4[[#This Row],[DT-EXW-09]],KH_26_OPT4_KTQT_v4[[#This Row],[HH-SL]]*KH_26_OPT4_KTQT_v4[[#This Row],[SL-09]])</f>
        <v>0</v>
      </c>
      <c r="CF10" s="47">
        <f>IF(KH_26_OPT4_KTQT_v4[[#This Row],[CPHH-%-SL]]="Dthu",KH_26_OPT4_KTQT_v4[[#This Row],[%HH]]*KH_26_OPT4_KTQT_v4[[#This Row],[DT-EXW-10]],KH_26_OPT4_KTQT_v4[[#This Row],[HH-SL]]*KH_26_OPT4_KTQT_v4[[#This Row],[SL-10]])</f>
        <v>0</v>
      </c>
      <c r="CG10" s="47">
        <f>IF(KH_26_OPT4_KTQT_v4[[#This Row],[CPHH-%-SL]]="Dthu",KH_26_OPT4_KTQT_v4[[#This Row],[%HH]]*KH_26_OPT4_KTQT_v4[[#This Row],[DT-EXW-11]],KH_26_OPT4_KTQT_v4[[#This Row],[HH-SL]]*KH_26_OPT4_KTQT_v4[[#This Row],[SL-11]])</f>
        <v>0</v>
      </c>
      <c r="CH10" s="47">
        <f>IF(KH_26_OPT4_KTQT_v4[[#This Row],[CPHH-%-SL]]="Dthu",KH_26_OPT4_KTQT_v4[[#This Row],[%HH]]*KH_26_OPT4_KTQT_v4[[#This Row],[DT-EXW-12]],KH_26_OPT4_KTQT_v4[[#This Row],[HH-SL]]*KH_26_OPT4_KTQT_v4[[#This Row],[SL-12]])</f>
        <v>0</v>
      </c>
      <c r="CI10" s="47">
        <f ca="1">SUM(KH_26_OPT4_KTQT_v4[[#This Row],[CPHH-01]:[CPHH-12]])</f>
        <v>0</v>
      </c>
      <c r="CJ10" s="47" cm="1">
        <f t="array" ref="CJ10">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140000</v>
      </c>
      <c r="CK10" s="19">
        <f ca="1">SUM(KH_26_OPT4_KTQT_v4[[#This Row],[ĐGVCNĐ-KXK]:[ĐGVCCT-KXK]])</f>
        <v>0</v>
      </c>
      <c r="CL10" s="47" cm="1">
        <f t="array" ref="CL10">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10" s="47" cm="1">
        <f t="array" ref="CM10">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0" s="47">
        <f ca="1">(KH_26_OPT4_KTQT_v4[[#This Row],[ĐGVC-KNĐ]]+KH_26_OPT4_KTQT_v4[[#This Row],[ĐGVC-KXK]])*KH_26_OPT4_KTQT_v4[[#This Row],[SL-01]]</f>
        <v>30800000</v>
      </c>
      <c r="CO10" s="47">
        <f ca="1">(KH_26_OPT4_KTQT_v4[[#This Row],[ĐGVC-KNĐ]]+KH_26_OPT4_KTQT_v4[[#This Row],[ĐGVC-KXK]])*KH_26_OPT4_KTQT_v4[[#This Row],[SL-02]]</f>
        <v>30800000</v>
      </c>
      <c r="CP10" s="47">
        <f ca="1">(KH_26_OPT4_KTQT_v4[[#This Row],[ĐGVC-KNĐ]]+KH_26_OPT4_KTQT_v4[[#This Row],[ĐGVC-KXK]])*KH_26_OPT4_KTQT_v4[[#This Row],[SL-03]]</f>
        <v>30800000</v>
      </c>
      <c r="CQ10" s="47">
        <f ca="1">(KH_26_OPT4_KTQT_v4[[#This Row],[ĐGVC-KNĐ]]+KH_26_OPT4_KTQT_v4[[#This Row],[ĐGVC-KXK]])*KH_26_OPT4_KTQT_v4[[#This Row],[SL-04]]</f>
        <v>30800000</v>
      </c>
      <c r="CR10" s="47">
        <f ca="1">(KH_26_OPT4_KTQT_v4[[#This Row],[ĐGVC-KNĐ]]+KH_26_OPT4_KTQT_v4[[#This Row],[ĐGVC-KXK]])*KH_26_OPT4_KTQT_v4[[#This Row],[SL-05]]</f>
        <v>30800000</v>
      </c>
      <c r="CS10" s="47">
        <f ca="1">(KH_26_OPT4_KTQT_v4[[#This Row],[ĐGVC-KNĐ]]+KH_26_OPT4_KTQT_v4[[#This Row],[ĐGVC-KXK]])*KH_26_OPT4_KTQT_v4[[#This Row],[SL-06]]</f>
        <v>30800000</v>
      </c>
      <c r="CT10" s="47">
        <f ca="1">(KH_26_OPT4_KTQT_v4[[#This Row],[ĐGVC-KNĐ]]+KH_26_OPT4_KTQT_v4[[#This Row],[ĐGVC-KXK]])*KH_26_OPT4_KTQT_v4[[#This Row],[SL-07]]</f>
        <v>30800000</v>
      </c>
      <c r="CU10" s="47">
        <f ca="1">(KH_26_OPT4_KTQT_v4[[#This Row],[ĐGVC-KNĐ]]+KH_26_OPT4_KTQT_v4[[#This Row],[ĐGVC-KXK]])*KH_26_OPT4_KTQT_v4[[#This Row],[SL-08]]</f>
        <v>30800000</v>
      </c>
      <c r="CV10" s="47">
        <f ca="1">(KH_26_OPT4_KTQT_v4[[#This Row],[ĐGVC-KNĐ]]+KH_26_OPT4_KTQT_v4[[#This Row],[ĐGVC-KXK]])*KH_26_OPT4_KTQT_v4[[#This Row],[SL-09]]</f>
        <v>30800000</v>
      </c>
      <c r="CW10" s="47">
        <f ca="1">(KH_26_OPT4_KTQT_v4[[#This Row],[ĐGVC-KNĐ]]+KH_26_OPT4_KTQT_v4[[#This Row],[ĐGVC-KXK]])*KH_26_OPT4_KTQT_v4[[#This Row],[SL-10]]</f>
        <v>30800000</v>
      </c>
      <c r="CX10" s="47">
        <f ca="1">(KH_26_OPT4_KTQT_v4[[#This Row],[ĐGVC-KNĐ]]+KH_26_OPT4_KTQT_v4[[#This Row],[ĐGVC-KXK]])*KH_26_OPT4_KTQT_v4[[#This Row],[SL-11]]</f>
        <v>30800000</v>
      </c>
      <c r="CY10" s="47">
        <f ca="1">(KH_26_OPT4_KTQT_v4[[#This Row],[ĐGVC-KNĐ]]+KH_26_OPT4_KTQT_v4[[#This Row],[ĐGVC-KXK]])*KH_26_OPT4_KTQT_v4[[#This Row],[SL-12]]</f>
        <v>30800000</v>
      </c>
      <c r="CZ10" s="47">
        <f ca="1">SUM(KH_26_OPT4_KTQT_v4[[#This Row],[CPVC-01]:[CPVC-12]])</f>
        <v>369600000</v>
      </c>
      <c r="DA10" s="124">
        <f ca="1">KH_26_OPT4_KTQT_v4[[#This Row],[DT-EXW-01]]+KH_26_OPT4_KTQT_v4[[#This Row],[CPVC-01]]+KH_26_OPT4_KTQT_v4[[#This Row],[CPHH-01]]</f>
        <v>7318300000</v>
      </c>
      <c r="DB10" s="47">
        <f ca="1">KH_26_OPT4_KTQT_v4[[#This Row],[DT-EXW-02]]+KH_26_OPT4_KTQT_v4[[#This Row],[CPVC-02]]+KH_26_OPT4_KTQT_v4[[#This Row],[CPHH-02]]</f>
        <v>7318300000</v>
      </c>
      <c r="DC10" s="47">
        <f ca="1">KH_26_OPT4_KTQT_v4[[#This Row],[DT-EXW-03]]+KH_26_OPT4_KTQT_v4[[#This Row],[CPVC-03]]+KH_26_OPT4_KTQT_v4[[#This Row],[CPHH-03]]</f>
        <v>7318300000</v>
      </c>
      <c r="DD10" s="47">
        <f ca="1">KH_26_OPT4_KTQT_v4[[#This Row],[DT-EXW-04]]+KH_26_OPT4_KTQT_v4[[#This Row],[CPVC-04]]+KH_26_OPT4_KTQT_v4[[#This Row],[CPHH-04]]</f>
        <v>7318300000</v>
      </c>
      <c r="DE10" s="47">
        <f ca="1">KH_26_OPT4_KTQT_v4[[#This Row],[DT-EXW-05]]+KH_26_OPT4_KTQT_v4[[#This Row],[CPVC-05]]+KH_26_OPT4_KTQT_v4[[#This Row],[CPHH-05]]</f>
        <v>7318300000</v>
      </c>
      <c r="DF10" s="47">
        <f ca="1">KH_26_OPT4_KTQT_v4[[#This Row],[DT-EXW-06]]+KH_26_OPT4_KTQT_v4[[#This Row],[CPVC-06]]+KH_26_OPT4_KTQT_v4[[#This Row],[CPHH-06]]</f>
        <v>7318300000</v>
      </c>
      <c r="DG10" s="47">
        <f ca="1">KH_26_OPT4_KTQT_v4[[#This Row],[DT-EXW-07]]+KH_26_OPT4_KTQT_v4[[#This Row],[CPVC-07]]+KH_26_OPT4_KTQT_v4[[#This Row],[CPHH-07]]</f>
        <v>7318300000</v>
      </c>
      <c r="DH10" s="47">
        <f ca="1">KH_26_OPT4_KTQT_v4[[#This Row],[DT-EXW-08]]+KH_26_OPT4_KTQT_v4[[#This Row],[CPVC-08]]+KH_26_OPT4_KTQT_v4[[#This Row],[CPHH-08]]</f>
        <v>7318300000</v>
      </c>
      <c r="DI10" s="47">
        <f ca="1">KH_26_OPT4_KTQT_v4[[#This Row],[DT-EXW-09]]+KH_26_OPT4_KTQT_v4[[#This Row],[CPVC-09]]+KH_26_OPT4_KTQT_v4[[#This Row],[CPHH-09]]</f>
        <v>7318300000</v>
      </c>
      <c r="DJ10" s="47">
        <f ca="1">KH_26_OPT4_KTQT_v4[[#This Row],[DT-EXW-10]]+KH_26_OPT4_KTQT_v4[[#This Row],[CPVC-10]]+KH_26_OPT4_KTQT_v4[[#This Row],[CPHH-10]]</f>
        <v>7318300000</v>
      </c>
      <c r="DK10" s="47">
        <f ca="1">KH_26_OPT4_KTQT_v4[[#This Row],[DT-EXW-11]]+KH_26_OPT4_KTQT_v4[[#This Row],[CPVC-11]]+KH_26_OPT4_KTQT_v4[[#This Row],[CPHH-11]]</f>
        <v>7318300000</v>
      </c>
      <c r="DL10" s="47">
        <f ca="1">KH_26_OPT4_KTQT_v4[[#This Row],[DT-EXW-12]]+KH_26_OPT4_KTQT_v4[[#This Row],[CPVC-12]]+KH_26_OPT4_KTQT_v4[[#This Row],[CPHH-12]]</f>
        <v>7318300000</v>
      </c>
      <c r="DM10" s="47">
        <f ca="1">SUM(KH_26_OPT4_KTQT_v4[[#This Row],[DT-01]:[DT-12]])</f>
        <v>87819600000</v>
      </c>
      <c r="DN10" s="7"/>
      <c r="DO10" s="7"/>
      <c r="DP10" s="125"/>
      <c r="DQ10" s="136"/>
      <c r="DR10" s="132">
        <f>IFERROR(KH_26_OPT4_KTQT_v4[[#This Row],[DT-EXW-01]]*KH_26_OPT4_KTQT_v4[[#This Row],[%CPDP]],0)</f>
        <v>0</v>
      </c>
      <c r="DS10" s="132">
        <f>IFERROR(KH_26_OPT4_KTQT_v4[[#This Row],[DT-EXW-02]]*KH_26_OPT4_KTQT_v4[[#This Row],[%CPDP]],0)</f>
        <v>0</v>
      </c>
      <c r="DT10" s="132">
        <f>IFERROR(KH_26_OPT4_KTQT_v4[[#This Row],[DT-EXW-03]]*KH_26_OPT4_KTQT_v4[[#This Row],[%CPDP]],0)</f>
        <v>0</v>
      </c>
      <c r="DU10" s="132">
        <f>IFERROR(KH_26_OPT4_KTQT_v4[[#This Row],[DT-EXW-04]]*KH_26_OPT4_KTQT_v4[[#This Row],[%CPDP]],0)</f>
        <v>0</v>
      </c>
      <c r="DV10" s="132">
        <f>IFERROR(KH_26_OPT4_KTQT_v4[[#This Row],[DT-EXW-05]]*KH_26_OPT4_KTQT_v4[[#This Row],[%CPDP]],0)</f>
        <v>0</v>
      </c>
      <c r="DW10" s="132">
        <f>IFERROR(KH_26_OPT4_KTQT_v4[[#This Row],[DT-EXW-06]]*KH_26_OPT4_KTQT_v4[[#This Row],[%CPDP]],0)</f>
        <v>0</v>
      </c>
      <c r="DX10" s="132">
        <f>IFERROR(KH_26_OPT4_KTQT_v4[[#This Row],[DT-EXW-07]]*KH_26_OPT4_KTQT_v4[[#This Row],[%CPDP]],0)</f>
        <v>0</v>
      </c>
      <c r="DY10" s="132">
        <f>IFERROR(KH_26_OPT4_KTQT_v4[[#This Row],[DT-EXW-08]]*KH_26_OPT4_KTQT_v4[[#This Row],[%CPDP]],0)</f>
        <v>0</v>
      </c>
      <c r="DZ10" s="132">
        <f>IFERROR(KH_26_OPT4_KTQT_v4[[#This Row],[DT-EXW-09]]*KH_26_OPT4_KTQT_v4[[#This Row],[%CPDP]],0)</f>
        <v>0</v>
      </c>
      <c r="EA10" s="132">
        <f>IFERROR(KH_26_OPT4_KTQT_v4[[#This Row],[DT-EXW-10]]*KH_26_OPT4_KTQT_v4[[#This Row],[%CPDP]],0)</f>
        <v>0</v>
      </c>
      <c r="EB10" s="132">
        <f>IFERROR(KH_26_OPT4_KTQT_v4[[#This Row],[DT-EXW-11]]*KH_26_OPT4_KTQT_v4[[#This Row],[%CPDP]],0)</f>
        <v>0</v>
      </c>
      <c r="EC10" s="132">
        <f>IFERROR(KH_26_OPT4_KTQT_v4[[#This Row],[DT-EXW-12]]*KH_26_OPT4_KTQT_v4[[#This Row],[%CPDP]],0)</f>
        <v>0</v>
      </c>
      <c r="ED10" s="131">
        <f ca="1">SUM(KH_26_OPT4_KTQT_v4[[#This Row],[CPDP-01]:[CPDP-12]])</f>
        <v>0</v>
      </c>
    </row>
    <row r="11" spans="1:134" ht="14.5" hidden="1" x14ac:dyDescent="0.35">
      <c r="A11" s="18">
        <v>6</v>
      </c>
      <c r="B11" s="71" t="s">
        <v>97</v>
      </c>
      <c r="C11" s="18" t="str">
        <f>IFERROR(_xlfn.XLOOKUP(KH_26_OPT4_KTQT_v4[[#This Row],[Salesman]],MD_Salesman[Salesman],MD_Salesman[SalesManager]),"")</f>
        <v>Cường</v>
      </c>
      <c r="D11" s="72" t="str">
        <f>IFERROR(INDEX(MD_Customer[Mã khách],MATCH(KH_26_OPT4_KTQT_v4[[#This Row],[Tên khách]],MD_Customer[Tên khách-rút gọn],0)),"")</f>
        <v>105207</v>
      </c>
      <c r="E11" s="7" t="str">
        <f>IFERROR(INDEX(MD_Customer[Parent Account],MATCH(KH_26_OPT4_KTQT_v4[[#This Row],[Tên khách]],MD_Customer[Tên khách-rút gọn],0)),"")</f>
        <v>Suntory</v>
      </c>
      <c r="F11" s="35" t="s">
        <v>324</v>
      </c>
      <c r="G11" s="7" t="str">
        <f>IFERROR(INDEX(MD_Customer[Phân loại],MATCH(KH_26_OPT4_KTQT_v4[[#This Row],[Tên khách]],MD_Customer[Tên khách-rút gọn],0)),"")</f>
        <v>Hiện hữu</v>
      </c>
      <c r="H11" s="7" t="str">
        <f>IFERROR(INDEX(MD_Customer[Kênh bán hàng],MATCH(KH_26_OPT4_KTQT_v4[[#This Row],[Tên khách]],MD_Customer[Tên khách-rút gọn],0)),"")</f>
        <v>Nội địa</v>
      </c>
      <c r="I11" s="35" t="s">
        <v>264</v>
      </c>
      <c r="J11" s="7" t="str">
        <f>IFERROR(INDEX(MD_Destination[Nước],MATCH(KH_26_OPT4_KTQT_v4[[#This Row],[Địa điểm đến]],MD_Destination[Địa điểm đến],0)),"")</f>
        <v>Việt Nam</v>
      </c>
      <c r="K11" s="7" t="str">
        <f>IFERROR(INDEX(MD_Destination[Khu vực],MATCH(KH_26_OPT4_KTQT_v4[[#This Row],[Địa điểm đến]],MD_Destination[Địa điểm đến],0)),"")</f>
        <v>Châu Á</v>
      </c>
      <c r="L11" s="35" t="s">
        <v>262</v>
      </c>
      <c r="M11" s="7" t="str">
        <f>IFERROR(INDEX(MD_SKU[Mã SKU],MATCH(KH_26_OPT4_KTQT_v4[[#This Row],[Tên sản phẩm]],MD_SKU[Tên SKU-rút gọn],0)),"")</f>
        <v>110000332</v>
      </c>
      <c r="N11" s="35" t="s">
        <v>1124</v>
      </c>
      <c r="O11" s="7" t="str">
        <f>IFERROR(INDEX(MD_SKU[Ngành hàng],MATCH(KH_26_OPT4_KTQT_v4[[#This Row],[Tên sản phẩm]],MD_SKU[Tên SKU-rút gọn],0)),"")</f>
        <v>rPET</v>
      </c>
      <c r="P11" s="7" t="str">
        <f>IFERROR(INDEX(MD_SKU[Nhóm ngành],MATCH(KH_26_OPT4_KTQT_v4[[#This Row],[Tên sản phẩm]],MD_SKU[Tên SKU-rút gọn],0)),"")</f>
        <v>Hạt PET</v>
      </c>
      <c r="Q11" s="7" t="str">
        <f>IFERROR(
   IF(INDEX(MD_SKU[IV/IM],MATCH(KH_26_OPT4_KTQT_v4[[#This Row],[Tên sản phẩm]],MD_SKU[Tên SKU-rút gọn],0))=0,
      "",
      INDEX(MD_SKU[IV/IM],MATCH(KH_26_OPT4_KTQT_v4[[#This Row],[Tên sản phẩm]],MD_SKU[Tên SKU-rút gọn],0))
   ),
"")</f>
        <v>0.84 ± 0.03</v>
      </c>
      <c r="R11" s="44">
        <f>IFERROR(INDEX(MD_SKU[Application],MATCH(KH_26_OPT4_KTQT_v4[[#This Row],[Tên sản phẩm]],MD_SKU[Tên SKU-rút gọn],0)),"")</f>
        <v>0</v>
      </c>
      <c r="S11" s="7" t="str">
        <f>IFERROR(INDEX(MD_SKU[Phân loại],MATCH(KH_26_OPT4_KTQT_v4[[#This Row],[Tên sản phẩm]],MD_SKU[Tên SKU-rút gọn],0)),"")</f>
        <v>Cũ</v>
      </c>
      <c r="T11" s="7" t="s">
        <v>540</v>
      </c>
      <c r="U11" s="7" t="s">
        <v>1508</v>
      </c>
      <c r="V11" s="70">
        <v>0.8</v>
      </c>
      <c r="W11" s="51">
        <v>33</v>
      </c>
      <c r="X11" s="51">
        <v>33</v>
      </c>
      <c r="Y11" s="51">
        <v>33</v>
      </c>
      <c r="Z11" s="51">
        <v>55</v>
      </c>
      <c r="AA11" s="51">
        <v>55</v>
      </c>
      <c r="AB11" s="51">
        <v>55</v>
      </c>
      <c r="AC11" s="51">
        <v>55</v>
      </c>
      <c r="AD11" s="51">
        <v>55</v>
      </c>
      <c r="AE11" s="51">
        <v>55</v>
      </c>
      <c r="AF11" s="51">
        <v>55</v>
      </c>
      <c r="AG11" s="51">
        <v>61</v>
      </c>
      <c r="AH11" s="51">
        <v>66</v>
      </c>
      <c r="AI11" s="47">
        <f ca="1">SUM(KH_26_OPT4_KTQT_v4[[#This Row],[SL-01]:[SL-12]])</f>
        <v>611</v>
      </c>
      <c r="AJ11" s="47">
        <f ca="1">SUMIFS(DB_25[SL-DB25],DB_25[Mã khách],KH_26_OPT4_KTQT_v4[[#This Row],[Mã khách]],DB_25[Mã sản phẩm],KH_26_OPT4_KTQT_v4[[#This Row],[Mã sản phẩm]])</f>
        <v>194.4717</v>
      </c>
      <c r="AK11" s="20">
        <f ca="1">KH_26_OPT4_KTQT_v4[[#This Row],[SL-KH26]]-KH_26_OPT4_KTQT_v4[[#This Row],[SL-DB25]]</f>
        <v>416.5283</v>
      </c>
      <c r="AL11" s="21">
        <f ca="1">IFERROR(KH_26_OPT4_KTQT_v4[[#This Row],[SL-+/-]]/KH_26_OPT4_KTQT_v4[[#This Row],[SL-DB25]],0)</f>
        <v>2.1418453173392322</v>
      </c>
      <c r="AM11" s="51">
        <v>1260</v>
      </c>
      <c r="AN11" s="51">
        <v>1260</v>
      </c>
      <c r="AO11" s="51">
        <v>1260</v>
      </c>
      <c r="AP11" s="51">
        <v>1260</v>
      </c>
      <c r="AQ11" s="51">
        <v>1260</v>
      </c>
      <c r="AR11" s="51">
        <v>1260</v>
      </c>
      <c r="AS11" s="51">
        <v>1260</v>
      </c>
      <c r="AT11" s="51">
        <v>1260</v>
      </c>
      <c r="AU11" s="51">
        <v>1260</v>
      </c>
      <c r="AV11" s="51">
        <v>1260</v>
      </c>
      <c r="AW11" s="51">
        <v>1260</v>
      </c>
      <c r="AX11" s="51">
        <v>1260</v>
      </c>
      <c r="AY11" s="23">
        <v>1260</v>
      </c>
      <c r="AZ11" s="7"/>
      <c r="BA11" s="24">
        <f>KH_26_OPT4_KTQT_v4[[#This Row],[GB-DB25]]-KH_26_OPT4_KTQT_v4[[#This Row],[GB-KH25]]</f>
        <v>1260</v>
      </c>
      <c r="BB11" s="21">
        <f>IFERROR(KH_26_OPT4_KTQT_v4[[#This Row],[GB-+/-]]/KH_26_OPT4_KTQT_v4[[#This Row],[GB-KH25]],0)</f>
        <v>0</v>
      </c>
      <c r="BC11" s="21"/>
      <c r="BD11" s="47">
        <f>KH_26_OPT4_KTQT_v4[[#This Row],[SL-01]]*KH_26_OPT4_KTQT_v4[[#This Row],[GB-01]]*EXR</f>
        <v>1101870000</v>
      </c>
      <c r="BE11" s="47">
        <f>KH_26_OPT4_KTQT_v4[[#This Row],[SL-02]]*KH_26_OPT4_KTQT_v4[[#This Row],[GB-02]]*EXR</f>
        <v>1101870000</v>
      </c>
      <c r="BF11" s="47">
        <f>KH_26_OPT4_KTQT_v4[[#This Row],[SL-03]]*KH_26_OPT4_KTQT_v4[[#This Row],[GB-03]]*EXR</f>
        <v>1101870000</v>
      </c>
      <c r="BG11" s="47">
        <f>KH_26_OPT4_KTQT_v4[[#This Row],[SL-04]]*KH_26_OPT4_KTQT_v4[[#This Row],[GB-04]]*EXR</f>
        <v>1836450000</v>
      </c>
      <c r="BH11" s="47">
        <f>KH_26_OPT4_KTQT_v4[[#This Row],[SL-05]]*KH_26_OPT4_KTQT_v4[[#This Row],[GB-05]]*EXR</f>
        <v>1836450000</v>
      </c>
      <c r="BI11" s="47">
        <f>KH_26_OPT4_KTQT_v4[[#This Row],[SL-06]]*KH_26_OPT4_KTQT_v4[[#This Row],[GB-06]]*EXR</f>
        <v>1836450000</v>
      </c>
      <c r="BJ11" s="47">
        <f>KH_26_OPT4_KTQT_v4[[#This Row],[SL-07]]*KH_26_OPT4_KTQT_v4[[#This Row],[GB-07]]*EXR</f>
        <v>1836450000</v>
      </c>
      <c r="BK11" s="47">
        <f>KH_26_OPT4_KTQT_v4[[#This Row],[SL-08]]*KH_26_OPT4_KTQT_v4[[#This Row],[GB-08]]*EXR</f>
        <v>1836450000</v>
      </c>
      <c r="BL11" s="47">
        <f>KH_26_OPT4_KTQT_v4[[#This Row],[SL-09]]*KH_26_OPT4_KTQT_v4[[#This Row],[GB-09]]*EXR</f>
        <v>1836450000</v>
      </c>
      <c r="BM11" s="47">
        <f>KH_26_OPT4_KTQT_v4[[#This Row],[SL-10]]*KH_26_OPT4_KTQT_v4[[#This Row],[GB-10]]*EXR</f>
        <v>1836450000</v>
      </c>
      <c r="BN11" s="47">
        <f>KH_26_OPT4_KTQT_v4[[#This Row],[SL-11]]*KH_26_OPT4_KTQT_v4[[#This Row],[GB-11]]*EXR</f>
        <v>2036790000</v>
      </c>
      <c r="BO11" s="47">
        <f>KH_26_OPT4_KTQT_v4[[#This Row],[SL-12]]*KH_26_OPT4_KTQT_v4[[#This Row],[GB-12]]*EXR</f>
        <v>2203740000</v>
      </c>
      <c r="BP11" s="47">
        <f ca="1">SUM(KH_26_OPT4_KTQT_v4[[#This Row],[DT-EXW-01]:[DT-EXW-12]])</f>
        <v>20401290000</v>
      </c>
      <c r="BQ11" s="47">
        <f ca="1">SUMIFS(DB_25[DT-DB25],DB_25[Mã khách],KH_26_OPT4_KTQT_v4[[#This Row],[Mã khách]],DB_25[Mã sản phẩm],KH_26_OPT4_KTQT_v4[[#This Row],[Mã sản phẩm]])</f>
        <v>6774814988.3541889</v>
      </c>
      <c r="BR11" s="47">
        <f ca="1">KH_26_OPT4_KTQT_v4[[#This Row],[DT-EXW-KH26]]-KH_26_OPT4_KTQT_v4[[#This Row],[DT-EXW-DB25]]</f>
        <v>13626475011.645811</v>
      </c>
      <c r="BS11" s="21">
        <f ca="1">IFERROR(KH_26_OPT4_KTQT_v4[[#This Row],[DT-EXW-+/-]]/KH_26_OPT4_KTQT_v4[[#This Row],[DT-EXW-DB25]],0)</f>
        <v>2.0113427503289061</v>
      </c>
      <c r="BT11" s="139" t="s">
        <v>532</v>
      </c>
      <c r="BU11" s="57">
        <v>5.0000000000000001E-3</v>
      </c>
      <c r="BV11" s="51"/>
      <c r="BW11" s="47">
        <f>IF(KH_26_OPT4_KTQT_v4[[#This Row],[CPHH-%-SL]]="Dthu",KH_26_OPT4_KTQT_v4[[#This Row],[%HH]]*KH_26_OPT4_KTQT_v4[[#This Row],[DT-EXW-01]],KH_26_OPT4_KTQT_v4[[#This Row],[HH-SL]]*KH_26_OPT4_KTQT_v4[[#This Row],[SL-01]])</f>
        <v>5509350</v>
      </c>
      <c r="BX11" s="47">
        <f>IF(KH_26_OPT4_KTQT_v4[[#This Row],[CPHH-%-SL]]="Dthu",KH_26_OPT4_KTQT_v4[[#This Row],[%HH]]*KH_26_OPT4_KTQT_v4[[#This Row],[DT-EXW-02]],KH_26_OPT4_KTQT_v4[[#This Row],[HH-SL]]*KH_26_OPT4_KTQT_v4[[#This Row],[SL-02]])</f>
        <v>5509350</v>
      </c>
      <c r="BY11" s="47">
        <f>IF(KH_26_OPT4_KTQT_v4[[#This Row],[CPHH-%-SL]]="Dthu",KH_26_OPT4_KTQT_v4[[#This Row],[%HH]]*KH_26_OPT4_KTQT_v4[[#This Row],[DT-EXW-03]],KH_26_OPT4_KTQT_v4[[#This Row],[HH-SL]]*KH_26_OPT4_KTQT_v4[[#This Row],[SL-03]])</f>
        <v>5509350</v>
      </c>
      <c r="BZ11" s="47">
        <f>IF(KH_26_OPT4_KTQT_v4[[#This Row],[CPHH-%-SL]]="Dthu",KH_26_OPT4_KTQT_v4[[#This Row],[%HH]]*KH_26_OPT4_KTQT_v4[[#This Row],[DT-EXW-04]],KH_26_OPT4_KTQT_v4[[#This Row],[HH-SL]]*KH_26_OPT4_KTQT_v4[[#This Row],[SL-04]])</f>
        <v>9182250</v>
      </c>
      <c r="CA11" s="47">
        <f>IF(KH_26_OPT4_KTQT_v4[[#This Row],[CPHH-%-SL]]="Dthu",KH_26_OPT4_KTQT_v4[[#This Row],[%HH]]*KH_26_OPT4_KTQT_v4[[#This Row],[DT-EXW-05]],KH_26_OPT4_KTQT_v4[[#This Row],[HH-SL]]*KH_26_OPT4_KTQT_v4[[#This Row],[SL-05]])</f>
        <v>9182250</v>
      </c>
      <c r="CB11" s="47">
        <f>IF(KH_26_OPT4_KTQT_v4[[#This Row],[CPHH-%-SL]]="Dthu",KH_26_OPT4_KTQT_v4[[#This Row],[%HH]]*KH_26_OPT4_KTQT_v4[[#This Row],[DT-EXW-06]],KH_26_OPT4_KTQT_v4[[#This Row],[HH-SL]]*KH_26_OPT4_KTQT_v4[[#This Row],[SL-06]])</f>
        <v>9182250</v>
      </c>
      <c r="CC11" s="47">
        <f>IF(KH_26_OPT4_KTQT_v4[[#This Row],[CPHH-%-SL]]="Dthu",KH_26_OPT4_KTQT_v4[[#This Row],[%HH]]*KH_26_OPT4_KTQT_v4[[#This Row],[DT-EXW-07]],KH_26_OPT4_KTQT_v4[[#This Row],[HH-SL]]*KH_26_OPT4_KTQT_v4[[#This Row],[SL-07]])</f>
        <v>9182250</v>
      </c>
      <c r="CD11" s="47">
        <f>IF(KH_26_OPT4_KTQT_v4[[#This Row],[CPHH-%-SL]]="Dthu",KH_26_OPT4_KTQT_v4[[#This Row],[%HH]]*KH_26_OPT4_KTQT_v4[[#This Row],[DT-EXW-08]],KH_26_OPT4_KTQT_v4[[#This Row],[HH-SL]]*KH_26_OPT4_KTQT_v4[[#This Row],[SL-08]])</f>
        <v>9182250</v>
      </c>
      <c r="CE11" s="47">
        <f>IF(KH_26_OPT4_KTQT_v4[[#This Row],[CPHH-%-SL]]="Dthu",KH_26_OPT4_KTQT_v4[[#This Row],[%HH]]*KH_26_OPT4_KTQT_v4[[#This Row],[DT-EXW-09]],KH_26_OPT4_KTQT_v4[[#This Row],[HH-SL]]*KH_26_OPT4_KTQT_v4[[#This Row],[SL-09]])</f>
        <v>9182250</v>
      </c>
      <c r="CF11" s="47">
        <f>IF(KH_26_OPT4_KTQT_v4[[#This Row],[CPHH-%-SL]]="Dthu",KH_26_OPT4_KTQT_v4[[#This Row],[%HH]]*KH_26_OPT4_KTQT_v4[[#This Row],[DT-EXW-10]],KH_26_OPT4_KTQT_v4[[#This Row],[HH-SL]]*KH_26_OPT4_KTQT_v4[[#This Row],[SL-10]])</f>
        <v>9182250</v>
      </c>
      <c r="CG11" s="47">
        <f>IF(KH_26_OPT4_KTQT_v4[[#This Row],[CPHH-%-SL]]="Dthu",KH_26_OPT4_KTQT_v4[[#This Row],[%HH]]*KH_26_OPT4_KTQT_v4[[#This Row],[DT-EXW-11]],KH_26_OPT4_KTQT_v4[[#This Row],[HH-SL]]*KH_26_OPT4_KTQT_v4[[#This Row],[SL-11]])</f>
        <v>10183950</v>
      </c>
      <c r="CH11" s="47">
        <f>IF(KH_26_OPT4_KTQT_v4[[#This Row],[CPHH-%-SL]]="Dthu",KH_26_OPT4_KTQT_v4[[#This Row],[%HH]]*KH_26_OPT4_KTQT_v4[[#This Row],[DT-EXW-12]],KH_26_OPT4_KTQT_v4[[#This Row],[HH-SL]]*KH_26_OPT4_KTQT_v4[[#This Row],[SL-12]])</f>
        <v>11018700</v>
      </c>
      <c r="CI11" s="47">
        <f ca="1">SUM(KH_26_OPT4_KTQT_v4[[#This Row],[CPHH-01]:[CPHH-12]])</f>
        <v>102006450</v>
      </c>
      <c r="CJ11" s="47" cm="1">
        <f t="array" ref="CJ11">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160000</v>
      </c>
      <c r="CK11" s="19">
        <f ca="1">SUM(KH_26_OPT4_KTQT_v4[[#This Row],[ĐGVCNĐ-KXK]:[ĐGVCCT-KXK]])</f>
        <v>0</v>
      </c>
      <c r="CL11" s="47" cm="1">
        <f t="array" ref="CL11">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11" s="47" cm="1">
        <f t="array" ref="CM11">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1" s="47">
        <f ca="1">(KH_26_OPT4_KTQT_v4[[#This Row],[ĐGVC-KNĐ]]+KH_26_OPT4_KTQT_v4[[#This Row],[ĐGVC-KXK]])*KH_26_OPT4_KTQT_v4[[#This Row],[SL-01]]</f>
        <v>5280000</v>
      </c>
      <c r="CO11" s="47">
        <f ca="1">(KH_26_OPT4_KTQT_v4[[#This Row],[ĐGVC-KNĐ]]+KH_26_OPT4_KTQT_v4[[#This Row],[ĐGVC-KXK]])*KH_26_OPT4_KTQT_v4[[#This Row],[SL-02]]</f>
        <v>5280000</v>
      </c>
      <c r="CP11" s="47">
        <f ca="1">(KH_26_OPT4_KTQT_v4[[#This Row],[ĐGVC-KNĐ]]+KH_26_OPT4_KTQT_v4[[#This Row],[ĐGVC-KXK]])*KH_26_OPT4_KTQT_v4[[#This Row],[SL-03]]</f>
        <v>5280000</v>
      </c>
      <c r="CQ11" s="47">
        <f ca="1">(KH_26_OPT4_KTQT_v4[[#This Row],[ĐGVC-KNĐ]]+KH_26_OPT4_KTQT_v4[[#This Row],[ĐGVC-KXK]])*KH_26_OPT4_KTQT_v4[[#This Row],[SL-04]]</f>
        <v>8800000</v>
      </c>
      <c r="CR11" s="47">
        <f ca="1">(KH_26_OPT4_KTQT_v4[[#This Row],[ĐGVC-KNĐ]]+KH_26_OPT4_KTQT_v4[[#This Row],[ĐGVC-KXK]])*KH_26_OPT4_KTQT_v4[[#This Row],[SL-05]]</f>
        <v>8800000</v>
      </c>
      <c r="CS11" s="47">
        <f ca="1">(KH_26_OPT4_KTQT_v4[[#This Row],[ĐGVC-KNĐ]]+KH_26_OPT4_KTQT_v4[[#This Row],[ĐGVC-KXK]])*KH_26_OPT4_KTQT_v4[[#This Row],[SL-06]]</f>
        <v>8800000</v>
      </c>
      <c r="CT11" s="47">
        <f ca="1">(KH_26_OPT4_KTQT_v4[[#This Row],[ĐGVC-KNĐ]]+KH_26_OPT4_KTQT_v4[[#This Row],[ĐGVC-KXK]])*KH_26_OPT4_KTQT_v4[[#This Row],[SL-07]]</f>
        <v>8800000</v>
      </c>
      <c r="CU11" s="47">
        <f ca="1">(KH_26_OPT4_KTQT_v4[[#This Row],[ĐGVC-KNĐ]]+KH_26_OPT4_KTQT_v4[[#This Row],[ĐGVC-KXK]])*KH_26_OPT4_KTQT_v4[[#This Row],[SL-08]]</f>
        <v>8800000</v>
      </c>
      <c r="CV11" s="47">
        <f ca="1">(KH_26_OPT4_KTQT_v4[[#This Row],[ĐGVC-KNĐ]]+KH_26_OPT4_KTQT_v4[[#This Row],[ĐGVC-KXK]])*KH_26_OPT4_KTQT_v4[[#This Row],[SL-09]]</f>
        <v>8800000</v>
      </c>
      <c r="CW11" s="47">
        <f ca="1">(KH_26_OPT4_KTQT_v4[[#This Row],[ĐGVC-KNĐ]]+KH_26_OPT4_KTQT_v4[[#This Row],[ĐGVC-KXK]])*KH_26_OPT4_KTQT_v4[[#This Row],[SL-10]]</f>
        <v>8800000</v>
      </c>
      <c r="CX11" s="47">
        <f ca="1">(KH_26_OPT4_KTQT_v4[[#This Row],[ĐGVC-KNĐ]]+KH_26_OPT4_KTQT_v4[[#This Row],[ĐGVC-KXK]])*KH_26_OPT4_KTQT_v4[[#This Row],[SL-11]]</f>
        <v>9760000</v>
      </c>
      <c r="CY11" s="47">
        <f ca="1">(KH_26_OPT4_KTQT_v4[[#This Row],[ĐGVC-KNĐ]]+KH_26_OPT4_KTQT_v4[[#This Row],[ĐGVC-KXK]])*KH_26_OPT4_KTQT_v4[[#This Row],[SL-12]]</f>
        <v>10560000</v>
      </c>
      <c r="CZ11" s="47">
        <f ca="1">SUM(KH_26_OPT4_KTQT_v4[[#This Row],[CPVC-01]:[CPVC-12]])</f>
        <v>97760000</v>
      </c>
      <c r="DA11" s="124">
        <f ca="1">KH_26_OPT4_KTQT_v4[[#This Row],[DT-EXW-01]]+KH_26_OPT4_KTQT_v4[[#This Row],[CPVC-01]]+KH_26_OPT4_KTQT_v4[[#This Row],[CPHH-01]]</f>
        <v>1112659350</v>
      </c>
      <c r="DB11" s="47">
        <f ca="1">KH_26_OPT4_KTQT_v4[[#This Row],[DT-EXW-02]]+KH_26_OPT4_KTQT_v4[[#This Row],[CPVC-02]]+KH_26_OPT4_KTQT_v4[[#This Row],[CPHH-02]]</f>
        <v>1112659350</v>
      </c>
      <c r="DC11" s="47">
        <f ca="1">KH_26_OPT4_KTQT_v4[[#This Row],[DT-EXW-03]]+KH_26_OPT4_KTQT_v4[[#This Row],[CPVC-03]]+KH_26_OPT4_KTQT_v4[[#This Row],[CPHH-03]]</f>
        <v>1112659350</v>
      </c>
      <c r="DD11" s="47">
        <f ca="1">KH_26_OPT4_KTQT_v4[[#This Row],[DT-EXW-04]]+KH_26_OPT4_KTQT_v4[[#This Row],[CPVC-04]]+KH_26_OPT4_KTQT_v4[[#This Row],[CPHH-04]]</f>
        <v>1854432250</v>
      </c>
      <c r="DE11" s="47">
        <f ca="1">KH_26_OPT4_KTQT_v4[[#This Row],[DT-EXW-05]]+KH_26_OPT4_KTQT_v4[[#This Row],[CPVC-05]]+KH_26_OPT4_KTQT_v4[[#This Row],[CPHH-05]]</f>
        <v>1854432250</v>
      </c>
      <c r="DF11" s="47">
        <f ca="1">KH_26_OPT4_KTQT_v4[[#This Row],[DT-EXW-06]]+KH_26_OPT4_KTQT_v4[[#This Row],[CPVC-06]]+KH_26_OPT4_KTQT_v4[[#This Row],[CPHH-06]]</f>
        <v>1854432250</v>
      </c>
      <c r="DG11" s="47">
        <f ca="1">KH_26_OPT4_KTQT_v4[[#This Row],[DT-EXW-07]]+KH_26_OPT4_KTQT_v4[[#This Row],[CPVC-07]]+KH_26_OPT4_KTQT_v4[[#This Row],[CPHH-07]]</f>
        <v>1854432250</v>
      </c>
      <c r="DH11" s="47">
        <f ca="1">KH_26_OPT4_KTQT_v4[[#This Row],[DT-EXW-08]]+KH_26_OPT4_KTQT_v4[[#This Row],[CPVC-08]]+KH_26_OPT4_KTQT_v4[[#This Row],[CPHH-08]]</f>
        <v>1854432250</v>
      </c>
      <c r="DI11" s="47">
        <f ca="1">KH_26_OPT4_KTQT_v4[[#This Row],[DT-EXW-09]]+KH_26_OPT4_KTQT_v4[[#This Row],[CPVC-09]]+KH_26_OPT4_KTQT_v4[[#This Row],[CPHH-09]]</f>
        <v>1854432250</v>
      </c>
      <c r="DJ11" s="47">
        <f ca="1">KH_26_OPT4_KTQT_v4[[#This Row],[DT-EXW-10]]+KH_26_OPT4_KTQT_v4[[#This Row],[CPVC-10]]+KH_26_OPT4_KTQT_v4[[#This Row],[CPHH-10]]</f>
        <v>1854432250</v>
      </c>
      <c r="DK11" s="47">
        <f ca="1">KH_26_OPT4_KTQT_v4[[#This Row],[DT-EXW-11]]+KH_26_OPT4_KTQT_v4[[#This Row],[CPVC-11]]+KH_26_OPT4_KTQT_v4[[#This Row],[CPHH-11]]</f>
        <v>2056733950</v>
      </c>
      <c r="DL11" s="47">
        <f ca="1">KH_26_OPT4_KTQT_v4[[#This Row],[DT-EXW-12]]+KH_26_OPT4_KTQT_v4[[#This Row],[CPVC-12]]+KH_26_OPT4_KTQT_v4[[#This Row],[CPHH-12]]</f>
        <v>2225318700</v>
      </c>
      <c r="DM11" s="47">
        <f ca="1">SUM(KH_26_OPT4_KTQT_v4[[#This Row],[DT-01]:[DT-12]])</f>
        <v>20601056450</v>
      </c>
      <c r="DN11" s="7"/>
      <c r="DO11" s="7"/>
      <c r="DP11" s="125"/>
      <c r="DQ11" s="136"/>
      <c r="DR11" s="132">
        <f>IFERROR(KH_26_OPT4_KTQT_v4[[#This Row],[DT-EXW-01]]*KH_26_OPT4_KTQT_v4[[#This Row],[%CPDP]],0)</f>
        <v>0</v>
      </c>
      <c r="DS11" s="132">
        <f>IFERROR(KH_26_OPT4_KTQT_v4[[#This Row],[DT-EXW-02]]*KH_26_OPT4_KTQT_v4[[#This Row],[%CPDP]],0)</f>
        <v>0</v>
      </c>
      <c r="DT11" s="132">
        <f>IFERROR(KH_26_OPT4_KTQT_v4[[#This Row],[DT-EXW-03]]*KH_26_OPT4_KTQT_v4[[#This Row],[%CPDP]],0)</f>
        <v>0</v>
      </c>
      <c r="DU11" s="132">
        <f>IFERROR(KH_26_OPT4_KTQT_v4[[#This Row],[DT-EXW-04]]*KH_26_OPT4_KTQT_v4[[#This Row],[%CPDP]],0)</f>
        <v>0</v>
      </c>
      <c r="DV11" s="132">
        <f>IFERROR(KH_26_OPT4_KTQT_v4[[#This Row],[DT-EXW-05]]*KH_26_OPT4_KTQT_v4[[#This Row],[%CPDP]],0)</f>
        <v>0</v>
      </c>
      <c r="DW11" s="132">
        <f>IFERROR(KH_26_OPT4_KTQT_v4[[#This Row],[DT-EXW-06]]*KH_26_OPT4_KTQT_v4[[#This Row],[%CPDP]],0)</f>
        <v>0</v>
      </c>
      <c r="DX11" s="132">
        <f>IFERROR(KH_26_OPT4_KTQT_v4[[#This Row],[DT-EXW-07]]*KH_26_OPT4_KTQT_v4[[#This Row],[%CPDP]],0)</f>
        <v>0</v>
      </c>
      <c r="DY11" s="132">
        <f>IFERROR(KH_26_OPT4_KTQT_v4[[#This Row],[DT-EXW-08]]*KH_26_OPT4_KTQT_v4[[#This Row],[%CPDP]],0)</f>
        <v>0</v>
      </c>
      <c r="DZ11" s="132">
        <f>IFERROR(KH_26_OPT4_KTQT_v4[[#This Row],[DT-EXW-09]]*KH_26_OPT4_KTQT_v4[[#This Row],[%CPDP]],0)</f>
        <v>0</v>
      </c>
      <c r="EA11" s="132">
        <f>IFERROR(KH_26_OPT4_KTQT_v4[[#This Row],[DT-EXW-10]]*KH_26_OPT4_KTQT_v4[[#This Row],[%CPDP]],0)</f>
        <v>0</v>
      </c>
      <c r="EB11" s="132">
        <f>IFERROR(KH_26_OPT4_KTQT_v4[[#This Row],[DT-EXW-11]]*KH_26_OPT4_KTQT_v4[[#This Row],[%CPDP]],0)</f>
        <v>0</v>
      </c>
      <c r="EC11" s="132">
        <f>IFERROR(KH_26_OPT4_KTQT_v4[[#This Row],[DT-EXW-12]]*KH_26_OPT4_KTQT_v4[[#This Row],[%CPDP]],0)</f>
        <v>0</v>
      </c>
      <c r="ED11" s="131">
        <f ca="1">SUM(KH_26_OPT4_KTQT_v4[[#This Row],[CPDP-01]:[CPDP-12]])</f>
        <v>0</v>
      </c>
    </row>
    <row r="12" spans="1:134" ht="14.5" hidden="1" x14ac:dyDescent="0.35">
      <c r="A12" s="18">
        <v>7</v>
      </c>
      <c r="B12" s="71" t="s">
        <v>97</v>
      </c>
      <c r="C12" s="18" t="str">
        <f>IFERROR(_xlfn.XLOOKUP(KH_26_OPT4_KTQT_v4[[#This Row],[Salesman]],MD_Salesman[Salesman],MD_Salesman[SalesManager]),"")</f>
        <v>Cường</v>
      </c>
      <c r="D12" s="72" t="str">
        <f>IFERROR(INDEX(MD_Customer[Mã khách],MATCH(KH_26_OPT4_KTQT_v4[[#This Row],[Tên khách]],MD_Customer[Tên khách-rút gọn],0)),"")</f>
        <v>105271</v>
      </c>
      <c r="E12" s="7" t="str">
        <f>IFERROR(INDEX(MD_Customer[Parent Account],MATCH(KH_26_OPT4_KTQT_v4[[#This Row],[Tên khách]],MD_Customer[Tên khách-rút gọn],0)),"")</f>
        <v>Suntory</v>
      </c>
      <c r="F12" s="35" t="s">
        <v>325</v>
      </c>
      <c r="G12" s="7" t="str">
        <f>IFERROR(INDEX(MD_Customer[Phân loại],MATCH(KH_26_OPT4_KTQT_v4[[#This Row],[Tên khách]],MD_Customer[Tên khách-rút gọn],0)),"")</f>
        <v>Hiện hữu</v>
      </c>
      <c r="H12" s="7" t="str">
        <f>IFERROR(INDEX(MD_Customer[Kênh bán hàng],MATCH(KH_26_OPT4_KTQT_v4[[#This Row],[Tên khách]],MD_Customer[Tên khách-rút gọn],0)),"")</f>
        <v>Nội địa</v>
      </c>
      <c r="I12" s="35" t="s">
        <v>258</v>
      </c>
      <c r="J12" s="7" t="str">
        <f>IFERROR(INDEX(MD_Destination[Nước],MATCH(KH_26_OPT4_KTQT_v4[[#This Row],[Địa điểm đến]],MD_Destination[Địa điểm đến],0)),"")</f>
        <v>Việt Nam</v>
      </c>
      <c r="K12" s="7" t="str">
        <f>IFERROR(INDEX(MD_Destination[Khu vực],MATCH(KH_26_OPT4_KTQT_v4[[#This Row],[Địa điểm đến]],MD_Destination[Địa điểm đến],0)),"")</f>
        <v>Châu Á</v>
      </c>
      <c r="L12" s="35" t="s">
        <v>262</v>
      </c>
      <c r="M12" s="7" t="str">
        <f>IFERROR(INDEX(MD_SKU[Mã SKU],MATCH(KH_26_OPT4_KTQT_v4[[#This Row],[Tên sản phẩm]],MD_SKU[Tên SKU-rút gọn],0)),"")</f>
        <v>110000332</v>
      </c>
      <c r="N12" s="35" t="s">
        <v>1124</v>
      </c>
      <c r="O12" s="7" t="str">
        <f>IFERROR(INDEX(MD_SKU[Ngành hàng],MATCH(KH_26_OPT4_KTQT_v4[[#This Row],[Tên sản phẩm]],MD_SKU[Tên SKU-rút gọn],0)),"")</f>
        <v>rPET</v>
      </c>
      <c r="P12" s="7" t="str">
        <f>IFERROR(INDEX(MD_SKU[Nhóm ngành],MATCH(KH_26_OPT4_KTQT_v4[[#This Row],[Tên sản phẩm]],MD_SKU[Tên SKU-rút gọn],0)),"")</f>
        <v>Hạt PET</v>
      </c>
      <c r="Q12" s="7" t="str">
        <f>IFERROR(
   IF(INDEX(MD_SKU[IV/IM],MATCH(KH_26_OPT4_KTQT_v4[[#This Row],[Tên sản phẩm]],MD_SKU[Tên SKU-rút gọn],0))=0,
      "",
      INDEX(MD_SKU[IV/IM],MATCH(KH_26_OPT4_KTQT_v4[[#This Row],[Tên sản phẩm]],MD_SKU[Tên SKU-rút gọn],0))
   ),
"")</f>
        <v>0.84 ± 0.03</v>
      </c>
      <c r="R12" s="44">
        <f>IFERROR(INDEX(MD_SKU[Application],MATCH(KH_26_OPT4_KTQT_v4[[#This Row],[Tên sản phẩm]],MD_SKU[Tên SKU-rút gọn],0)),"")</f>
        <v>0</v>
      </c>
      <c r="S12" s="7" t="str">
        <f>IFERROR(INDEX(MD_SKU[Phân loại],MATCH(KH_26_OPT4_KTQT_v4[[#This Row],[Tên sản phẩm]],MD_SKU[Tên SKU-rút gọn],0)),"")</f>
        <v>Cũ</v>
      </c>
      <c r="T12" s="7" t="s">
        <v>540</v>
      </c>
      <c r="U12" s="7" t="s">
        <v>1508</v>
      </c>
      <c r="V12" s="70">
        <v>0.8</v>
      </c>
      <c r="W12" s="51">
        <v>33</v>
      </c>
      <c r="X12" s="51">
        <v>33</v>
      </c>
      <c r="Y12" s="51">
        <v>33</v>
      </c>
      <c r="Z12" s="51">
        <v>55</v>
      </c>
      <c r="AA12" s="51">
        <v>55</v>
      </c>
      <c r="AB12" s="51">
        <v>55</v>
      </c>
      <c r="AC12" s="51">
        <v>55</v>
      </c>
      <c r="AD12" s="51">
        <v>55</v>
      </c>
      <c r="AE12" s="51">
        <v>55</v>
      </c>
      <c r="AF12" s="51">
        <v>55</v>
      </c>
      <c r="AG12" s="51">
        <v>55</v>
      </c>
      <c r="AH12" s="51">
        <v>66</v>
      </c>
      <c r="AI12" s="47">
        <f ca="1">SUM(KH_26_OPT4_KTQT_v4[[#This Row],[SL-01]:[SL-12]])</f>
        <v>605</v>
      </c>
      <c r="AJ12" s="47">
        <f ca="1">SUMIFS(DB_25[SL-DB25],DB_25[Mã khách],KH_26_OPT4_KTQT_v4[[#This Row],[Mã khách]],DB_25[Mã sản phẩm],KH_26_OPT4_KTQT_v4[[#This Row],[Mã sản phẩm]])</f>
        <v>374</v>
      </c>
      <c r="AK12" s="20">
        <f ca="1">KH_26_OPT4_KTQT_v4[[#This Row],[SL-KH26]]-KH_26_OPT4_KTQT_v4[[#This Row],[SL-DB25]]</f>
        <v>231</v>
      </c>
      <c r="AL12" s="21">
        <f ca="1">IFERROR(KH_26_OPT4_KTQT_v4[[#This Row],[SL-+/-]]/KH_26_OPT4_KTQT_v4[[#This Row],[SL-DB25]],0)</f>
        <v>0.61764705882352944</v>
      </c>
      <c r="AM12" s="51">
        <v>1260</v>
      </c>
      <c r="AN12" s="51">
        <v>1260</v>
      </c>
      <c r="AO12" s="51">
        <v>1260</v>
      </c>
      <c r="AP12" s="51">
        <v>1260</v>
      </c>
      <c r="AQ12" s="51">
        <v>1260</v>
      </c>
      <c r="AR12" s="51">
        <v>1260</v>
      </c>
      <c r="AS12" s="51">
        <v>1260</v>
      </c>
      <c r="AT12" s="51">
        <v>1260</v>
      </c>
      <c r="AU12" s="51">
        <v>1260</v>
      </c>
      <c r="AV12" s="51">
        <v>1260</v>
      </c>
      <c r="AW12" s="51">
        <v>1260</v>
      </c>
      <c r="AX12" s="51">
        <v>1260</v>
      </c>
      <c r="AY12" s="23">
        <v>1260</v>
      </c>
      <c r="AZ12" s="7"/>
      <c r="BA12" s="24">
        <f>KH_26_OPT4_KTQT_v4[[#This Row],[GB-DB25]]-KH_26_OPT4_KTQT_v4[[#This Row],[GB-KH25]]</f>
        <v>1260</v>
      </c>
      <c r="BB12" s="21">
        <f>IFERROR(KH_26_OPT4_KTQT_v4[[#This Row],[GB-+/-]]/KH_26_OPT4_KTQT_v4[[#This Row],[GB-KH25]],0)</f>
        <v>0</v>
      </c>
      <c r="BC12" s="21"/>
      <c r="BD12" s="47">
        <f>KH_26_OPT4_KTQT_v4[[#This Row],[SL-01]]*KH_26_OPT4_KTQT_v4[[#This Row],[GB-01]]*EXR</f>
        <v>1101870000</v>
      </c>
      <c r="BE12" s="47">
        <f>KH_26_OPT4_KTQT_v4[[#This Row],[SL-02]]*KH_26_OPT4_KTQT_v4[[#This Row],[GB-02]]*EXR</f>
        <v>1101870000</v>
      </c>
      <c r="BF12" s="47">
        <f>KH_26_OPT4_KTQT_v4[[#This Row],[SL-03]]*KH_26_OPT4_KTQT_v4[[#This Row],[GB-03]]*EXR</f>
        <v>1101870000</v>
      </c>
      <c r="BG12" s="47">
        <f>KH_26_OPT4_KTQT_v4[[#This Row],[SL-04]]*KH_26_OPT4_KTQT_v4[[#This Row],[GB-04]]*EXR</f>
        <v>1836450000</v>
      </c>
      <c r="BH12" s="47">
        <f>KH_26_OPT4_KTQT_v4[[#This Row],[SL-05]]*KH_26_OPT4_KTQT_v4[[#This Row],[GB-05]]*EXR</f>
        <v>1836450000</v>
      </c>
      <c r="BI12" s="47">
        <f>KH_26_OPT4_KTQT_v4[[#This Row],[SL-06]]*KH_26_OPT4_KTQT_v4[[#This Row],[GB-06]]*EXR</f>
        <v>1836450000</v>
      </c>
      <c r="BJ12" s="47">
        <f>KH_26_OPT4_KTQT_v4[[#This Row],[SL-07]]*KH_26_OPT4_KTQT_v4[[#This Row],[GB-07]]*EXR</f>
        <v>1836450000</v>
      </c>
      <c r="BK12" s="47">
        <f>KH_26_OPT4_KTQT_v4[[#This Row],[SL-08]]*KH_26_OPT4_KTQT_v4[[#This Row],[GB-08]]*EXR</f>
        <v>1836450000</v>
      </c>
      <c r="BL12" s="47">
        <f>KH_26_OPT4_KTQT_v4[[#This Row],[SL-09]]*KH_26_OPT4_KTQT_v4[[#This Row],[GB-09]]*EXR</f>
        <v>1836450000</v>
      </c>
      <c r="BM12" s="47">
        <f>KH_26_OPT4_KTQT_v4[[#This Row],[SL-10]]*KH_26_OPT4_KTQT_v4[[#This Row],[GB-10]]*EXR</f>
        <v>1836450000</v>
      </c>
      <c r="BN12" s="47">
        <f>KH_26_OPT4_KTQT_v4[[#This Row],[SL-11]]*KH_26_OPT4_KTQT_v4[[#This Row],[GB-11]]*EXR</f>
        <v>1836450000</v>
      </c>
      <c r="BO12" s="47">
        <f>KH_26_OPT4_KTQT_v4[[#This Row],[SL-12]]*KH_26_OPT4_KTQT_v4[[#This Row],[GB-12]]*EXR</f>
        <v>2203740000</v>
      </c>
      <c r="BP12" s="47">
        <f ca="1">SUM(KH_26_OPT4_KTQT_v4[[#This Row],[DT-EXW-01]:[DT-EXW-12]])</f>
        <v>20200950000</v>
      </c>
      <c r="BQ12" s="47">
        <f ca="1">SUMIFS(DB_25[DT-DB25],DB_25[Mã khách],KH_26_OPT4_KTQT_v4[[#This Row],[Mã khách]],DB_25[Mã sản phẩm],KH_26_OPT4_KTQT_v4[[#This Row],[Mã sản phẩm]])</f>
        <v>13142063297.375744</v>
      </c>
      <c r="BR12" s="47">
        <f ca="1">KH_26_OPT4_KTQT_v4[[#This Row],[DT-EXW-KH26]]-KH_26_OPT4_KTQT_v4[[#This Row],[DT-EXW-DB25]]</f>
        <v>7058886702.6242561</v>
      </c>
      <c r="BS12" s="21">
        <f ca="1">IFERROR(KH_26_OPT4_KTQT_v4[[#This Row],[DT-EXW-+/-]]/KH_26_OPT4_KTQT_v4[[#This Row],[DT-EXW-DB25]],0)</f>
        <v>0.53712164847309785</v>
      </c>
      <c r="BT12" s="139" t="s">
        <v>532</v>
      </c>
      <c r="BU12" s="57">
        <v>5.0000000000000001E-3</v>
      </c>
      <c r="BV12" s="51"/>
      <c r="BW12" s="47">
        <f>IF(KH_26_OPT4_KTQT_v4[[#This Row],[CPHH-%-SL]]="Dthu",KH_26_OPT4_KTQT_v4[[#This Row],[%HH]]*KH_26_OPT4_KTQT_v4[[#This Row],[DT-EXW-01]],KH_26_OPT4_KTQT_v4[[#This Row],[HH-SL]]*KH_26_OPT4_KTQT_v4[[#This Row],[SL-01]])</f>
        <v>5509350</v>
      </c>
      <c r="BX12" s="47">
        <f>IF(KH_26_OPT4_KTQT_v4[[#This Row],[CPHH-%-SL]]="Dthu",KH_26_OPT4_KTQT_v4[[#This Row],[%HH]]*KH_26_OPT4_KTQT_v4[[#This Row],[DT-EXW-02]],KH_26_OPT4_KTQT_v4[[#This Row],[HH-SL]]*KH_26_OPT4_KTQT_v4[[#This Row],[SL-02]])</f>
        <v>5509350</v>
      </c>
      <c r="BY12" s="47">
        <f>IF(KH_26_OPT4_KTQT_v4[[#This Row],[CPHH-%-SL]]="Dthu",KH_26_OPT4_KTQT_v4[[#This Row],[%HH]]*KH_26_OPT4_KTQT_v4[[#This Row],[DT-EXW-03]],KH_26_OPT4_KTQT_v4[[#This Row],[HH-SL]]*KH_26_OPT4_KTQT_v4[[#This Row],[SL-03]])</f>
        <v>5509350</v>
      </c>
      <c r="BZ12" s="47">
        <f>IF(KH_26_OPT4_KTQT_v4[[#This Row],[CPHH-%-SL]]="Dthu",KH_26_OPT4_KTQT_v4[[#This Row],[%HH]]*KH_26_OPT4_KTQT_v4[[#This Row],[DT-EXW-04]],KH_26_OPT4_KTQT_v4[[#This Row],[HH-SL]]*KH_26_OPT4_KTQT_v4[[#This Row],[SL-04]])</f>
        <v>9182250</v>
      </c>
      <c r="CA12" s="47">
        <f>IF(KH_26_OPT4_KTQT_v4[[#This Row],[CPHH-%-SL]]="Dthu",KH_26_OPT4_KTQT_v4[[#This Row],[%HH]]*KH_26_OPT4_KTQT_v4[[#This Row],[DT-EXW-05]],KH_26_OPT4_KTQT_v4[[#This Row],[HH-SL]]*KH_26_OPT4_KTQT_v4[[#This Row],[SL-05]])</f>
        <v>9182250</v>
      </c>
      <c r="CB12" s="47">
        <f>IF(KH_26_OPT4_KTQT_v4[[#This Row],[CPHH-%-SL]]="Dthu",KH_26_OPT4_KTQT_v4[[#This Row],[%HH]]*KH_26_OPT4_KTQT_v4[[#This Row],[DT-EXW-06]],KH_26_OPT4_KTQT_v4[[#This Row],[HH-SL]]*KH_26_OPT4_KTQT_v4[[#This Row],[SL-06]])</f>
        <v>9182250</v>
      </c>
      <c r="CC12" s="47">
        <f>IF(KH_26_OPT4_KTQT_v4[[#This Row],[CPHH-%-SL]]="Dthu",KH_26_OPT4_KTQT_v4[[#This Row],[%HH]]*KH_26_OPT4_KTQT_v4[[#This Row],[DT-EXW-07]],KH_26_OPT4_KTQT_v4[[#This Row],[HH-SL]]*KH_26_OPT4_KTQT_v4[[#This Row],[SL-07]])</f>
        <v>9182250</v>
      </c>
      <c r="CD12" s="47">
        <f>IF(KH_26_OPT4_KTQT_v4[[#This Row],[CPHH-%-SL]]="Dthu",KH_26_OPT4_KTQT_v4[[#This Row],[%HH]]*KH_26_OPT4_KTQT_v4[[#This Row],[DT-EXW-08]],KH_26_OPT4_KTQT_v4[[#This Row],[HH-SL]]*KH_26_OPT4_KTQT_v4[[#This Row],[SL-08]])</f>
        <v>9182250</v>
      </c>
      <c r="CE12" s="47">
        <f>IF(KH_26_OPT4_KTQT_v4[[#This Row],[CPHH-%-SL]]="Dthu",KH_26_OPT4_KTQT_v4[[#This Row],[%HH]]*KH_26_OPT4_KTQT_v4[[#This Row],[DT-EXW-09]],KH_26_OPT4_KTQT_v4[[#This Row],[HH-SL]]*KH_26_OPT4_KTQT_v4[[#This Row],[SL-09]])</f>
        <v>9182250</v>
      </c>
      <c r="CF12" s="47">
        <f>IF(KH_26_OPT4_KTQT_v4[[#This Row],[CPHH-%-SL]]="Dthu",KH_26_OPT4_KTQT_v4[[#This Row],[%HH]]*KH_26_OPT4_KTQT_v4[[#This Row],[DT-EXW-10]],KH_26_OPT4_KTQT_v4[[#This Row],[HH-SL]]*KH_26_OPT4_KTQT_v4[[#This Row],[SL-10]])</f>
        <v>9182250</v>
      </c>
      <c r="CG12" s="47">
        <f>IF(KH_26_OPT4_KTQT_v4[[#This Row],[CPHH-%-SL]]="Dthu",KH_26_OPT4_KTQT_v4[[#This Row],[%HH]]*KH_26_OPT4_KTQT_v4[[#This Row],[DT-EXW-11]],KH_26_OPT4_KTQT_v4[[#This Row],[HH-SL]]*KH_26_OPT4_KTQT_v4[[#This Row],[SL-11]])</f>
        <v>9182250</v>
      </c>
      <c r="CH12" s="47">
        <f>IF(KH_26_OPT4_KTQT_v4[[#This Row],[CPHH-%-SL]]="Dthu",KH_26_OPT4_KTQT_v4[[#This Row],[%HH]]*KH_26_OPT4_KTQT_v4[[#This Row],[DT-EXW-12]],KH_26_OPT4_KTQT_v4[[#This Row],[HH-SL]]*KH_26_OPT4_KTQT_v4[[#This Row],[SL-12]])</f>
        <v>11018700</v>
      </c>
      <c r="CI12" s="47">
        <f ca="1">SUM(KH_26_OPT4_KTQT_v4[[#This Row],[CPHH-01]:[CPHH-12]])</f>
        <v>101004750</v>
      </c>
      <c r="CJ12" s="47" cm="1">
        <f t="array" ref="CJ12">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140000</v>
      </c>
      <c r="CK12" s="19">
        <f ca="1">SUM(KH_26_OPT4_KTQT_v4[[#This Row],[ĐGVCNĐ-KXK]:[ĐGVCCT-KXK]])</f>
        <v>0</v>
      </c>
      <c r="CL12" s="47" cm="1">
        <f t="array" ref="CL12">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12" s="47" cm="1">
        <f t="array" ref="CM12">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2" s="47">
        <f ca="1">(KH_26_OPT4_KTQT_v4[[#This Row],[ĐGVC-KNĐ]]+KH_26_OPT4_KTQT_v4[[#This Row],[ĐGVC-KXK]])*KH_26_OPT4_KTQT_v4[[#This Row],[SL-01]]</f>
        <v>4620000</v>
      </c>
      <c r="CO12" s="47">
        <f ca="1">(KH_26_OPT4_KTQT_v4[[#This Row],[ĐGVC-KNĐ]]+KH_26_OPT4_KTQT_v4[[#This Row],[ĐGVC-KXK]])*KH_26_OPT4_KTQT_v4[[#This Row],[SL-02]]</f>
        <v>4620000</v>
      </c>
      <c r="CP12" s="47">
        <f ca="1">(KH_26_OPT4_KTQT_v4[[#This Row],[ĐGVC-KNĐ]]+KH_26_OPT4_KTQT_v4[[#This Row],[ĐGVC-KXK]])*KH_26_OPT4_KTQT_v4[[#This Row],[SL-03]]</f>
        <v>4620000</v>
      </c>
      <c r="CQ12" s="47">
        <f ca="1">(KH_26_OPT4_KTQT_v4[[#This Row],[ĐGVC-KNĐ]]+KH_26_OPT4_KTQT_v4[[#This Row],[ĐGVC-KXK]])*KH_26_OPT4_KTQT_v4[[#This Row],[SL-04]]</f>
        <v>7700000</v>
      </c>
      <c r="CR12" s="47">
        <f ca="1">(KH_26_OPT4_KTQT_v4[[#This Row],[ĐGVC-KNĐ]]+KH_26_OPT4_KTQT_v4[[#This Row],[ĐGVC-KXK]])*KH_26_OPT4_KTQT_v4[[#This Row],[SL-05]]</f>
        <v>7700000</v>
      </c>
      <c r="CS12" s="47">
        <f ca="1">(KH_26_OPT4_KTQT_v4[[#This Row],[ĐGVC-KNĐ]]+KH_26_OPT4_KTQT_v4[[#This Row],[ĐGVC-KXK]])*KH_26_OPT4_KTQT_v4[[#This Row],[SL-06]]</f>
        <v>7700000</v>
      </c>
      <c r="CT12" s="47">
        <f ca="1">(KH_26_OPT4_KTQT_v4[[#This Row],[ĐGVC-KNĐ]]+KH_26_OPT4_KTQT_v4[[#This Row],[ĐGVC-KXK]])*KH_26_OPT4_KTQT_v4[[#This Row],[SL-07]]</f>
        <v>7700000</v>
      </c>
      <c r="CU12" s="47">
        <f ca="1">(KH_26_OPT4_KTQT_v4[[#This Row],[ĐGVC-KNĐ]]+KH_26_OPT4_KTQT_v4[[#This Row],[ĐGVC-KXK]])*KH_26_OPT4_KTQT_v4[[#This Row],[SL-08]]</f>
        <v>7700000</v>
      </c>
      <c r="CV12" s="47">
        <f ca="1">(KH_26_OPT4_KTQT_v4[[#This Row],[ĐGVC-KNĐ]]+KH_26_OPT4_KTQT_v4[[#This Row],[ĐGVC-KXK]])*KH_26_OPT4_KTQT_v4[[#This Row],[SL-09]]</f>
        <v>7700000</v>
      </c>
      <c r="CW12" s="47">
        <f ca="1">(KH_26_OPT4_KTQT_v4[[#This Row],[ĐGVC-KNĐ]]+KH_26_OPT4_KTQT_v4[[#This Row],[ĐGVC-KXK]])*KH_26_OPT4_KTQT_v4[[#This Row],[SL-10]]</f>
        <v>7700000</v>
      </c>
      <c r="CX12" s="47">
        <f ca="1">(KH_26_OPT4_KTQT_v4[[#This Row],[ĐGVC-KNĐ]]+KH_26_OPT4_KTQT_v4[[#This Row],[ĐGVC-KXK]])*KH_26_OPT4_KTQT_v4[[#This Row],[SL-11]]</f>
        <v>7700000</v>
      </c>
      <c r="CY12" s="47">
        <f ca="1">(KH_26_OPT4_KTQT_v4[[#This Row],[ĐGVC-KNĐ]]+KH_26_OPT4_KTQT_v4[[#This Row],[ĐGVC-KXK]])*KH_26_OPT4_KTQT_v4[[#This Row],[SL-12]]</f>
        <v>9240000</v>
      </c>
      <c r="CZ12" s="47">
        <f ca="1">SUM(KH_26_OPT4_KTQT_v4[[#This Row],[CPVC-01]:[CPVC-12]])</f>
        <v>84700000</v>
      </c>
      <c r="DA12" s="124">
        <f ca="1">KH_26_OPT4_KTQT_v4[[#This Row],[DT-EXW-01]]+KH_26_OPT4_KTQT_v4[[#This Row],[CPVC-01]]+KH_26_OPT4_KTQT_v4[[#This Row],[CPHH-01]]</f>
        <v>1111999350</v>
      </c>
      <c r="DB12" s="47">
        <f ca="1">KH_26_OPT4_KTQT_v4[[#This Row],[DT-EXW-02]]+KH_26_OPT4_KTQT_v4[[#This Row],[CPVC-02]]+KH_26_OPT4_KTQT_v4[[#This Row],[CPHH-02]]</f>
        <v>1111999350</v>
      </c>
      <c r="DC12" s="47">
        <f ca="1">KH_26_OPT4_KTQT_v4[[#This Row],[DT-EXW-03]]+KH_26_OPT4_KTQT_v4[[#This Row],[CPVC-03]]+KH_26_OPT4_KTQT_v4[[#This Row],[CPHH-03]]</f>
        <v>1111999350</v>
      </c>
      <c r="DD12" s="47">
        <f ca="1">KH_26_OPT4_KTQT_v4[[#This Row],[DT-EXW-04]]+KH_26_OPT4_KTQT_v4[[#This Row],[CPVC-04]]+KH_26_OPT4_KTQT_v4[[#This Row],[CPHH-04]]</f>
        <v>1853332250</v>
      </c>
      <c r="DE12" s="47">
        <f ca="1">KH_26_OPT4_KTQT_v4[[#This Row],[DT-EXW-05]]+KH_26_OPT4_KTQT_v4[[#This Row],[CPVC-05]]+KH_26_OPT4_KTQT_v4[[#This Row],[CPHH-05]]</f>
        <v>1853332250</v>
      </c>
      <c r="DF12" s="47">
        <f ca="1">KH_26_OPT4_KTQT_v4[[#This Row],[DT-EXW-06]]+KH_26_OPT4_KTQT_v4[[#This Row],[CPVC-06]]+KH_26_OPT4_KTQT_v4[[#This Row],[CPHH-06]]</f>
        <v>1853332250</v>
      </c>
      <c r="DG12" s="47">
        <f ca="1">KH_26_OPT4_KTQT_v4[[#This Row],[DT-EXW-07]]+KH_26_OPT4_KTQT_v4[[#This Row],[CPVC-07]]+KH_26_OPT4_KTQT_v4[[#This Row],[CPHH-07]]</f>
        <v>1853332250</v>
      </c>
      <c r="DH12" s="47">
        <f ca="1">KH_26_OPT4_KTQT_v4[[#This Row],[DT-EXW-08]]+KH_26_OPT4_KTQT_v4[[#This Row],[CPVC-08]]+KH_26_OPT4_KTQT_v4[[#This Row],[CPHH-08]]</f>
        <v>1853332250</v>
      </c>
      <c r="DI12" s="47">
        <f ca="1">KH_26_OPT4_KTQT_v4[[#This Row],[DT-EXW-09]]+KH_26_OPT4_KTQT_v4[[#This Row],[CPVC-09]]+KH_26_OPT4_KTQT_v4[[#This Row],[CPHH-09]]</f>
        <v>1853332250</v>
      </c>
      <c r="DJ12" s="47">
        <f ca="1">KH_26_OPT4_KTQT_v4[[#This Row],[DT-EXW-10]]+KH_26_OPT4_KTQT_v4[[#This Row],[CPVC-10]]+KH_26_OPT4_KTQT_v4[[#This Row],[CPHH-10]]</f>
        <v>1853332250</v>
      </c>
      <c r="DK12" s="47">
        <f ca="1">KH_26_OPT4_KTQT_v4[[#This Row],[DT-EXW-11]]+KH_26_OPT4_KTQT_v4[[#This Row],[CPVC-11]]+KH_26_OPT4_KTQT_v4[[#This Row],[CPHH-11]]</f>
        <v>1853332250</v>
      </c>
      <c r="DL12" s="47">
        <f ca="1">KH_26_OPT4_KTQT_v4[[#This Row],[DT-EXW-12]]+KH_26_OPT4_KTQT_v4[[#This Row],[CPVC-12]]+KH_26_OPT4_KTQT_v4[[#This Row],[CPHH-12]]</f>
        <v>2223998700</v>
      </c>
      <c r="DM12" s="47">
        <f ca="1">SUM(KH_26_OPT4_KTQT_v4[[#This Row],[DT-01]:[DT-12]])</f>
        <v>20386654750</v>
      </c>
      <c r="DN12" s="7"/>
      <c r="DO12" s="7"/>
      <c r="DP12" s="125"/>
      <c r="DQ12" s="136"/>
      <c r="DR12" s="132">
        <f>IFERROR(KH_26_OPT4_KTQT_v4[[#This Row],[DT-EXW-01]]*KH_26_OPT4_KTQT_v4[[#This Row],[%CPDP]],0)</f>
        <v>0</v>
      </c>
      <c r="DS12" s="132">
        <f>IFERROR(KH_26_OPT4_KTQT_v4[[#This Row],[DT-EXW-02]]*KH_26_OPT4_KTQT_v4[[#This Row],[%CPDP]],0)</f>
        <v>0</v>
      </c>
      <c r="DT12" s="132">
        <f>IFERROR(KH_26_OPT4_KTQT_v4[[#This Row],[DT-EXW-03]]*KH_26_OPT4_KTQT_v4[[#This Row],[%CPDP]],0)</f>
        <v>0</v>
      </c>
      <c r="DU12" s="132">
        <f>IFERROR(KH_26_OPT4_KTQT_v4[[#This Row],[DT-EXW-04]]*KH_26_OPT4_KTQT_v4[[#This Row],[%CPDP]],0)</f>
        <v>0</v>
      </c>
      <c r="DV12" s="132">
        <f>IFERROR(KH_26_OPT4_KTQT_v4[[#This Row],[DT-EXW-05]]*KH_26_OPT4_KTQT_v4[[#This Row],[%CPDP]],0)</f>
        <v>0</v>
      </c>
      <c r="DW12" s="132">
        <f>IFERROR(KH_26_OPT4_KTQT_v4[[#This Row],[DT-EXW-06]]*KH_26_OPT4_KTQT_v4[[#This Row],[%CPDP]],0)</f>
        <v>0</v>
      </c>
      <c r="DX12" s="132">
        <f>IFERROR(KH_26_OPT4_KTQT_v4[[#This Row],[DT-EXW-07]]*KH_26_OPT4_KTQT_v4[[#This Row],[%CPDP]],0)</f>
        <v>0</v>
      </c>
      <c r="DY12" s="132">
        <f>IFERROR(KH_26_OPT4_KTQT_v4[[#This Row],[DT-EXW-08]]*KH_26_OPT4_KTQT_v4[[#This Row],[%CPDP]],0)</f>
        <v>0</v>
      </c>
      <c r="DZ12" s="132">
        <f>IFERROR(KH_26_OPT4_KTQT_v4[[#This Row],[DT-EXW-09]]*KH_26_OPT4_KTQT_v4[[#This Row],[%CPDP]],0)</f>
        <v>0</v>
      </c>
      <c r="EA12" s="132">
        <f>IFERROR(KH_26_OPT4_KTQT_v4[[#This Row],[DT-EXW-10]]*KH_26_OPT4_KTQT_v4[[#This Row],[%CPDP]],0)</f>
        <v>0</v>
      </c>
      <c r="EB12" s="132">
        <f>IFERROR(KH_26_OPT4_KTQT_v4[[#This Row],[DT-EXW-11]]*KH_26_OPT4_KTQT_v4[[#This Row],[%CPDP]],0)</f>
        <v>0</v>
      </c>
      <c r="EC12" s="132">
        <f>IFERROR(KH_26_OPT4_KTQT_v4[[#This Row],[DT-EXW-12]]*KH_26_OPT4_KTQT_v4[[#This Row],[%CPDP]],0)</f>
        <v>0</v>
      </c>
      <c r="ED12" s="131">
        <f ca="1">SUM(KH_26_OPT4_KTQT_v4[[#This Row],[CPDP-01]:[CPDP-12]])</f>
        <v>0</v>
      </c>
    </row>
    <row r="13" spans="1:134" ht="14.5" hidden="1" x14ac:dyDescent="0.35">
      <c r="A13" s="18">
        <v>8</v>
      </c>
      <c r="B13" s="71" t="s">
        <v>97</v>
      </c>
      <c r="C13" s="18" t="str">
        <f>IFERROR(_xlfn.XLOOKUP(KH_26_OPT4_KTQT_v4[[#This Row],[Salesman]],MD_Salesman[Salesman],MD_Salesman[SalesManager]),"")</f>
        <v>Cường</v>
      </c>
      <c r="D13" s="72" t="str">
        <f>IFERROR(INDEX(MD_Customer[Mã khách],MATCH(KH_26_OPT4_KTQT_v4[[#This Row],[Tên khách]],MD_Customer[Tên khách-rút gọn],0)),"")</f>
        <v>105271-Thêm</v>
      </c>
      <c r="E13" s="156" t="str">
        <f>IFERROR(INDEX(MD_Customer[Parent Account],MATCH(KH_26_OPT4_KTQT_v4[[#This Row],[Tên khách]],MD_Customer[Tên khách-rút gọn],0)),"")</f>
        <v>Suntory</v>
      </c>
      <c r="F13" s="35" t="s">
        <v>1692</v>
      </c>
      <c r="G13" s="7" t="str">
        <f>IFERROR(INDEX(MD_Customer[Phân loại],MATCH(KH_26_OPT4_KTQT_v4[[#This Row],[Tên khách]],MD_Customer[Tên khách-rút gọn],0)),"")</f>
        <v>Hiện hữu</v>
      </c>
      <c r="H13" s="7" t="str">
        <f>IFERROR(INDEX(MD_Customer[Kênh bán hàng],MATCH(KH_26_OPT4_KTQT_v4[[#This Row],[Tên khách]],MD_Customer[Tên khách-rút gọn],0)),"")</f>
        <v>Nội địa</v>
      </c>
      <c r="I13" s="35" t="s">
        <v>258</v>
      </c>
      <c r="J13" s="7" t="str">
        <f>IFERROR(INDEX(MD_Destination[Nước],MATCH(KH_26_OPT4_KTQT_v4[[#This Row],[Địa điểm đến]],MD_Destination[Địa điểm đến],0)),"")</f>
        <v>Việt Nam</v>
      </c>
      <c r="K13" s="7" t="str">
        <f>IFERROR(INDEX(MD_Destination[Khu vực],MATCH(KH_26_OPT4_KTQT_v4[[#This Row],[Địa điểm đến]],MD_Destination[Địa điểm đến],0)),"")</f>
        <v>Châu Á</v>
      </c>
      <c r="L13" s="35" t="s">
        <v>262</v>
      </c>
      <c r="M13" s="7" t="str">
        <f>IFERROR(INDEX(MD_SKU[Mã SKU],MATCH(KH_26_OPT4_KTQT_v4[[#This Row],[Tên sản phẩm]],MD_SKU[Tên SKU-rút gọn],0)),"")</f>
        <v>110000332</v>
      </c>
      <c r="N13" s="35" t="s">
        <v>1124</v>
      </c>
      <c r="O13" s="7" t="str">
        <f>IFERROR(INDEX(MD_SKU[Ngành hàng],MATCH(KH_26_OPT4_KTQT_v4[[#This Row],[Tên sản phẩm]],MD_SKU[Tên SKU-rút gọn],0)),"")</f>
        <v>rPET</v>
      </c>
      <c r="P13" s="7" t="str">
        <f>IFERROR(INDEX(MD_SKU[Nhóm ngành],MATCH(KH_26_OPT4_KTQT_v4[[#This Row],[Tên sản phẩm]],MD_SKU[Tên SKU-rút gọn],0)),"")</f>
        <v>Hạt PET</v>
      </c>
      <c r="Q13" s="7" t="str">
        <f>IFERROR(
   IF(INDEX(MD_SKU[IV/IM],MATCH(KH_26_OPT4_KTQT_v4[[#This Row],[Tên sản phẩm]],MD_SKU[Tên SKU-rút gọn],0))=0,
      "",
      INDEX(MD_SKU[IV/IM],MATCH(KH_26_OPT4_KTQT_v4[[#This Row],[Tên sản phẩm]],MD_SKU[Tên SKU-rút gọn],0))
   ),
"")</f>
        <v>0.84 ± 0.03</v>
      </c>
      <c r="R13" s="44">
        <f>IFERROR(INDEX(MD_SKU[Application],MATCH(KH_26_OPT4_KTQT_v4[[#This Row],[Tên sản phẩm]],MD_SKU[Tên SKU-rút gọn],0)),"")</f>
        <v>0</v>
      </c>
      <c r="S13" s="7" t="str">
        <f>IFERROR(INDEX(MD_SKU[Phân loại],MATCH(KH_26_OPT4_KTQT_v4[[#This Row],[Tên sản phẩm]],MD_SKU[Tên SKU-rút gọn],0)),"")</f>
        <v>Cũ</v>
      </c>
      <c r="T13" s="7" t="s">
        <v>540</v>
      </c>
      <c r="U13" s="7" t="s">
        <v>1508</v>
      </c>
      <c r="V13" s="70">
        <v>0.8</v>
      </c>
      <c r="W13" s="51">
        <v>220</v>
      </c>
      <c r="X13" s="51">
        <v>220</v>
      </c>
      <c r="Y13" s="51">
        <v>220</v>
      </c>
      <c r="Z13" s="51">
        <v>220</v>
      </c>
      <c r="AA13" s="51">
        <v>220</v>
      </c>
      <c r="AB13" s="51">
        <v>220</v>
      </c>
      <c r="AC13" s="51">
        <v>220</v>
      </c>
      <c r="AD13" s="51">
        <v>220</v>
      </c>
      <c r="AE13" s="51">
        <v>220</v>
      </c>
      <c r="AF13" s="51">
        <v>220</v>
      </c>
      <c r="AG13" s="51">
        <v>220</v>
      </c>
      <c r="AH13" s="51">
        <v>220</v>
      </c>
      <c r="AI13" s="47">
        <f ca="1">SUM(KH_26_OPT4_KTQT_v4[[#This Row],[SL-01]:[SL-12]])</f>
        <v>2640</v>
      </c>
      <c r="AJ13" s="47">
        <f ca="1">SUMIFS(DB_25[SL-DB25],DB_25[Mã khách],KH_26_OPT4_KTQT_v4[[#This Row],[Mã khách]],DB_25[Mã sản phẩm],KH_26_OPT4_KTQT_v4[[#This Row],[Mã sản phẩm]])</f>
        <v>0</v>
      </c>
      <c r="AK13" s="20">
        <f ca="1">KH_26_OPT4_KTQT_v4[[#This Row],[SL-KH26]]-KH_26_OPT4_KTQT_v4[[#This Row],[SL-DB25]]</f>
        <v>2640</v>
      </c>
      <c r="AL13" s="21">
        <f ca="1">IFERROR(KH_26_OPT4_KTQT_v4[[#This Row],[SL-+/-]]/KH_26_OPT4_KTQT_v4[[#This Row],[SL-DB25]],0)</f>
        <v>0</v>
      </c>
      <c r="AM13" s="51">
        <v>1260</v>
      </c>
      <c r="AN13" s="51">
        <v>1260</v>
      </c>
      <c r="AO13" s="51">
        <v>1260</v>
      </c>
      <c r="AP13" s="51">
        <v>1260</v>
      </c>
      <c r="AQ13" s="51">
        <v>1260</v>
      </c>
      <c r="AR13" s="51">
        <v>1260</v>
      </c>
      <c r="AS13" s="51">
        <v>1260</v>
      </c>
      <c r="AT13" s="51">
        <v>1260</v>
      </c>
      <c r="AU13" s="51">
        <v>1260</v>
      </c>
      <c r="AV13" s="51">
        <v>1260</v>
      </c>
      <c r="AW13" s="51">
        <v>1260</v>
      </c>
      <c r="AX13" s="51">
        <v>1260</v>
      </c>
      <c r="AY13" s="23">
        <v>1260</v>
      </c>
      <c r="AZ13" s="7"/>
      <c r="BA13" s="24">
        <f>KH_26_OPT4_KTQT_v4[[#This Row],[GB-DB25]]-KH_26_OPT4_KTQT_v4[[#This Row],[GB-KH25]]</f>
        <v>1260</v>
      </c>
      <c r="BB13" s="21">
        <f>IFERROR(KH_26_OPT4_KTQT_v4[[#This Row],[GB-+/-]]/KH_26_OPT4_KTQT_v4[[#This Row],[GB-KH25]],0)</f>
        <v>0</v>
      </c>
      <c r="BC13" s="21"/>
      <c r="BD13" s="47">
        <f>KH_26_OPT4_KTQT_v4[[#This Row],[SL-01]]*KH_26_OPT4_KTQT_v4[[#This Row],[GB-01]]*EXR</f>
        <v>7345800000</v>
      </c>
      <c r="BE13" s="47">
        <f>KH_26_OPT4_KTQT_v4[[#This Row],[SL-02]]*KH_26_OPT4_KTQT_v4[[#This Row],[GB-02]]*EXR</f>
        <v>7345800000</v>
      </c>
      <c r="BF13" s="47">
        <f>KH_26_OPT4_KTQT_v4[[#This Row],[SL-03]]*KH_26_OPT4_KTQT_v4[[#This Row],[GB-03]]*EXR</f>
        <v>7345800000</v>
      </c>
      <c r="BG13" s="47">
        <f>KH_26_OPT4_KTQT_v4[[#This Row],[SL-04]]*KH_26_OPT4_KTQT_v4[[#This Row],[GB-04]]*EXR</f>
        <v>7345800000</v>
      </c>
      <c r="BH13" s="47">
        <f>KH_26_OPT4_KTQT_v4[[#This Row],[SL-05]]*KH_26_OPT4_KTQT_v4[[#This Row],[GB-05]]*EXR</f>
        <v>7345800000</v>
      </c>
      <c r="BI13" s="47">
        <f>KH_26_OPT4_KTQT_v4[[#This Row],[SL-06]]*KH_26_OPT4_KTQT_v4[[#This Row],[GB-06]]*EXR</f>
        <v>7345800000</v>
      </c>
      <c r="BJ13" s="47">
        <f>KH_26_OPT4_KTQT_v4[[#This Row],[SL-07]]*KH_26_OPT4_KTQT_v4[[#This Row],[GB-07]]*EXR</f>
        <v>7345800000</v>
      </c>
      <c r="BK13" s="47">
        <f>KH_26_OPT4_KTQT_v4[[#This Row],[SL-08]]*KH_26_OPT4_KTQT_v4[[#This Row],[GB-08]]*EXR</f>
        <v>7345800000</v>
      </c>
      <c r="BL13" s="47">
        <f>KH_26_OPT4_KTQT_v4[[#This Row],[SL-09]]*KH_26_OPT4_KTQT_v4[[#This Row],[GB-09]]*EXR</f>
        <v>7345800000</v>
      </c>
      <c r="BM13" s="47">
        <f>KH_26_OPT4_KTQT_v4[[#This Row],[SL-10]]*KH_26_OPT4_KTQT_v4[[#This Row],[GB-10]]*EXR</f>
        <v>7345800000</v>
      </c>
      <c r="BN13" s="47">
        <f>KH_26_OPT4_KTQT_v4[[#This Row],[SL-11]]*KH_26_OPT4_KTQT_v4[[#This Row],[GB-11]]*EXR</f>
        <v>7345800000</v>
      </c>
      <c r="BO13" s="47">
        <f>KH_26_OPT4_KTQT_v4[[#This Row],[SL-12]]*KH_26_OPT4_KTQT_v4[[#This Row],[GB-12]]*EXR</f>
        <v>7345800000</v>
      </c>
      <c r="BP13" s="47">
        <f ca="1">SUM(KH_26_OPT4_KTQT_v4[[#This Row],[DT-EXW-01]:[DT-EXW-12]])</f>
        <v>88149600000</v>
      </c>
      <c r="BQ13" s="47">
        <f ca="1">SUMIFS(DB_25[DT-DB25],DB_25[Mã khách],KH_26_OPT4_KTQT_v4[[#This Row],[Mã khách]],DB_25[Mã sản phẩm],KH_26_OPT4_KTQT_v4[[#This Row],[Mã sản phẩm]])</f>
        <v>0</v>
      </c>
      <c r="BR13" s="19">
        <f ca="1">KH_26_OPT4_KTQT_v4[[#This Row],[DT-EXW-KH26]]-KH_26_OPT4_KTQT_v4[[#This Row],[DT-EXW-DB25]]</f>
        <v>88149600000</v>
      </c>
      <c r="BS13" s="21">
        <f ca="1">IFERROR(KH_26_OPT4_KTQT_v4[[#This Row],[DT-EXW-+/-]]/KH_26_OPT4_KTQT_v4[[#This Row],[DT-EXW-DB25]],0)</f>
        <v>0</v>
      </c>
      <c r="BT13" s="139" t="s">
        <v>532</v>
      </c>
      <c r="BU13" s="57">
        <v>5.0000000000000001E-3</v>
      </c>
      <c r="BV13" s="57"/>
      <c r="BW13" s="47">
        <f>IF(KH_26_OPT4_KTQT_v4[[#This Row],[CPHH-%-SL]]="Dthu",KH_26_OPT4_KTQT_v4[[#This Row],[%HH]]*KH_26_OPT4_KTQT_v4[[#This Row],[DT-EXW-01]],KH_26_OPT4_KTQT_v4[[#This Row],[HH-SL]]*KH_26_OPT4_KTQT_v4[[#This Row],[SL-01]])</f>
        <v>36729000</v>
      </c>
      <c r="BX13" s="47">
        <f>IF(KH_26_OPT4_KTQT_v4[[#This Row],[CPHH-%-SL]]="Dthu",KH_26_OPT4_KTQT_v4[[#This Row],[%HH]]*KH_26_OPT4_KTQT_v4[[#This Row],[DT-EXW-02]],KH_26_OPT4_KTQT_v4[[#This Row],[HH-SL]]*KH_26_OPT4_KTQT_v4[[#This Row],[SL-02]])</f>
        <v>36729000</v>
      </c>
      <c r="BY13" s="47">
        <f>IF(KH_26_OPT4_KTQT_v4[[#This Row],[CPHH-%-SL]]="Dthu",KH_26_OPT4_KTQT_v4[[#This Row],[%HH]]*KH_26_OPT4_KTQT_v4[[#This Row],[DT-EXW-03]],KH_26_OPT4_KTQT_v4[[#This Row],[HH-SL]]*KH_26_OPT4_KTQT_v4[[#This Row],[SL-03]])</f>
        <v>36729000</v>
      </c>
      <c r="BZ13" s="47">
        <f>IF(KH_26_OPT4_KTQT_v4[[#This Row],[CPHH-%-SL]]="Dthu",KH_26_OPT4_KTQT_v4[[#This Row],[%HH]]*KH_26_OPT4_KTQT_v4[[#This Row],[DT-EXW-04]],KH_26_OPT4_KTQT_v4[[#This Row],[HH-SL]]*KH_26_OPT4_KTQT_v4[[#This Row],[SL-04]])</f>
        <v>36729000</v>
      </c>
      <c r="CA13" s="47">
        <f>IF(KH_26_OPT4_KTQT_v4[[#This Row],[CPHH-%-SL]]="Dthu",KH_26_OPT4_KTQT_v4[[#This Row],[%HH]]*KH_26_OPT4_KTQT_v4[[#This Row],[DT-EXW-05]],KH_26_OPT4_KTQT_v4[[#This Row],[HH-SL]]*KH_26_OPT4_KTQT_v4[[#This Row],[SL-05]])</f>
        <v>36729000</v>
      </c>
      <c r="CB13" s="47">
        <f>IF(KH_26_OPT4_KTQT_v4[[#This Row],[CPHH-%-SL]]="Dthu",KH_26_OPT4_KTQT_v4[[#This Row],[%HH]]*KH_26_OPT4_KTQT_v4[[#This Row],[DT-EXW-06]],KH_26_OPT4_KTQT_v4[[#This Row],[HH-SL]]*KH_26_OPT4_KTQT_v4[[#This Row],[SL-06]])</f>
        <v>36729000</v>
      </c>
      <c r="CC13" s="47">
        <f>IF(KH_26_OPT4_KTQT_v4[[#This Row],[CPHH-%-SL]]="Dthu",KH_26_OPT4_KTQT_v4[[#This Row],[%HH]]*KH_26_OPT4_KTQT_v4[[#This Row],[DT-EXW-07]],KH_26_OPT4_KTQT_v4[[#This Row],[HH-SL]]*KH_26_OPT4_KTQT_v4[[#This Row],[SL-07]])</f>
        <v>36729000</v>
      </c>
      <c r="CD13" s="47">
        <f>IF(KH_26_OPT4_KTQT_v4[[#This Row],[CPHH-%-SL]]="Dthu",KH_26_OPT4_KTQT_v4[[#This Row],[%HH]]*KH_26_OPT4_KTQT_v4[[#This Row],[DT-EXW-08]],KH_26_OPT4_KTQT_v4[[#This Row],[HH-SL]]*KH_26_OPT4_KTQT_v4[[#This Row],[SL-08]])</f>
        <v>36729000</v>
      </c>
      <c r="CE13" s="47">
        <f>IF(KH_26_OPT4_KTQT_v4[[#This Row],[CPHH-%-SL]]="Dthu",KH_26_OPT4_KTQT_v4[[#This Row],[%HH]]*KH_26_OPT4_KTQT_v4[[#This Row],[DT-EXW-09]],KH_26_OPT4_KTQT_v4[[#This Row],[HH-SL]]*KH_26_OPT4_KTQT_v4[[#This Row],[SL-09]])</f>
        <v>36729000</v>
      </c>
      <c r="CF13" s="47">
        <f>IF(KH_26_OPT4_KTQT_v4[[#This Row],[CPHH-%-SL]]="Dthu",KH_26_OPT4_KTQT_v4[[#This Row],[%HH]]*KH_26_OPT4_KTQT_v4[[#This Row],[DT-EXW-10]],KH_26_OPT4_KTQT_v4[[#This Row],[HH-SL]]*KH_26_OPT4_KTQT_v4[[#This Row],[SL-10]])</f>
        <v>36729000</v>
      </c>
      <c r="CG13" s="47">
        <f>IF(KH_26_OPT4_KTQT_v4[[#This Row],[CPHH-%-SL]]="Dthu",KH_26_OPT4_KTQT_v4[[#This Row],[%HH]]*KH_26_OPT4_KTQT_v4[[#This Row],[DT-EXW-11]],KH_26_OPT4_KTQT_v4[[#This Row],[HH-SL]]*KH_26_OPT4_KTQT_v4[[#This Row],[SL-11]])</f>
        <v>36729000</v>
      </c>
      <c r="CH13" s="47">
        <f>IF(KH_26_OPT4_KTQT_v4[[#This Row],[CPHH-%-SL]]="Dthu",KH_26_OPT4_KTQT_v4[[#This Row],[%HH]]*KH_26_OPT4_KTQT_v4[[#This Row],[DT-EXW-12]],KH_26_OPT4_KTQT_v4[[#This Row],[HH-SL]]*KH_26_OPT4_KTQT_v4[[#This Row],[SL-12]])</f>
        <v>36729000</v>
      </c>
      <c r="CI13" s="47">
        <f ca="1">SUM(KH_26_OPT4_KTQT_v4[[#This Row],[CPHH-01]:[CPHH-12]])</f>
        <v>440748000</v>
      </c>
      <c r="CJ13" s="47" cm="1">
        <f t="array" ref="CJ13">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140000</v>
      </c>
      <c r="CK13" s="19">
        <f ca="1">SUM(KH_26_OPT4_KTQT_v4[[#This Row],[ĐGVCNĐ-KXK]:[ĐGVCCT-KXK]])</f>
        <v>0</v>
      </c>
      <c r="CL13" s="47" cm="1">
        <f t="array" ref="CL13">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13" s="47" cm="1">
        <f t="array" ref="CM13">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3" s="47">
        <f ca="1">(KH_26_OPT4_KTQT_v4[[#This Row],[ĐGVC-KNĐ]]+KH_26_OPT4_KTQT_v4[[#This Row],[ĐGVC-KXK]])*KH_26_OPT4_KTQT_v4[[#This Row],[SL-01]]</f>
        <v>30800000</v>
      </c>
      <c r="CO13" s="47">
        <f ca="1">(KH_26_OPT4_KTQT_v4[[#This Row],[ĐGVC-KNĐ]]+KH_26_OPT4_KTQT_v4[[#This Row],[ĐGVC-KXK]])*KH_26_OPT4_KTQT_v4[[#This Row],[SL-02]]</f>
        <v>30800000</v>
      </c>
      <c r="CP13" s="47">
        <f ca="1">(KH_26_OPT4_KTQT_v4[[#This Row],[ĐGVC-KNĐ]]+KH_26_OPT4_KTQT_v4[[#This Row],[ĐGVC-KXK]])*KH_26_OPT4_KTQT_v4[[#This Row],[SL-03]]</f>
        <v>30800000</v>
      </c>
      <c r="CQ13" s="47">
        <f ca="1">(KH_26_OPT4_KTQT_v4[[#This Row],[ĐGVC-KNĐ]]+KH_26_OPT4_KTQT_v4[[#This Row],[ĐGVC-KXK]])*KH_26_OPT4_KTQT_v4[[#This Row],[SL-04]]</f>
        <v>30800000</v>
      </c>
      <c r="CR13" s="47">
        <f ca="1">(KH_26_OPT4_KTQT_v4[[#This Row],[ĐGVC-KNĐ]]+KH_26_OPT4_KTQT_v4[[#This Row],[ĐGVC-KXK]])*KH_26_OPT4_KTQT_v4[[#This Row],[SL-05]]</f>
        <v>30800000</v>
      </c>
      <c r="CS13" s="47">
        <f ca="1">(KH_26_OPT4_KTQT_v4[[#This Row],[ĐGVC-KNĐ]]+KH_26_OPT4_KTQT_v4[[#This Row],[ĐGVC-KXK]])*KH_26_OPT4_KTQT_v4[[#This Row],[SL-06]]</f>
        <v>30800000</v>
      </c>
      <c r="CT13" s="47">
        <f ca="1">(KH_26_OPT4_KTQT_v4[[#This Row],[ĐGVC-KNĐ]]+KH_26_OPT4_KTQT_v4[[#This Row],[ĐGVC-KXK]])*KH_26_OPT4_KTQT_v4[[#This Row],[SL-07]]</f>
        <v>30800000</v>
      </c>
      <c r="CU13" s="47">
        <f ca="1">(KH_26_OPT4_KTQT_v4[[#This Row],[ĐGVC-KNĐ]]+KH_26_OPT4_KTQT_v4[[#This Row],[ĐGVC-KXK]])*KH_26_OPT4_KTQT_v4[[#This Row],[SL-08]]</f>
        <v>30800000</v>
      </c>
      <c r="CV13" s="47">
        <f ca="1">(KH_26_OPT4_KTQT_v4[[#This Row],[ĐGVC-KNĐ]]+KH_26_OPT4_KTQT_v4[[#This Row],[ĐGVC-KXK]])*KH_26_OPT4_KTQT_v4[[#This Row],[SL-09]]</f>
        <v>30800000</v>
      </c>
      <c r="CW13" s="47">
        <f ca="1">(KH_26_OPT4_KTQT_v4[[#This Row],[ĐGVC-KNĐ]]+KH_26_OPT4_KTQT_v4[[#This Row],[ĐGVC-KXK]])*KH_26_OPT4_KTQT_v4[[#This Row],[SL-10]]</f>
        <v>30800000</v>
      </c>
      <c r="CX13" s="47">
        <f ca="1">(KH_26_OPT4_KTQT_v4[[#This Row],[ĐGVC-KNĐ]]+KH_26_OPT4_KTQT_v4[[#This Row],[ĐGVC-KXK]])*KH_26_OPT4_KTQT_v4[[#This Row],[SL-11]]</f>
        <v>30800000</v>
      </c>
      <c r="CY13" s="47">
        <f ca="1">(KH_26_OPT4_KTQT_v4[[#This Row],[ĐGVC-KNĐ]]+KH_26_OPT4_KTQT_v4[[#This Row],[ĐGVC-KXK]])*KH_26_OPT4_KTQT_v4[[#This Row],[SL-12]]</f>
        <v>30800000</v>
      </c>
      <c r="CZ13" s="47">
        <f ca="1">SUM(KH_26_OPT4_KTQT_v4[[#This Row],[CPVC-01]:[CPVC-12]])</f>
        <v>369600000</v>
      </c>
      <c r="DA13" s="124">
        <f ca="1">KH_26_OPT4_KTQT_v4[[#This Row],[DT-EXW-01]]+KH_26_OPT4_KTQT_v4[[#This Row],[CPVC-01]]+KH_26_OPT4_KTQT_v4[[#This Row],[CPHH-01]]</f>
        <v>7413329000</v>
      </c>
      <c r="DB13" s="47">
        <f ca="1">KH_26_OPT4_KTQT_v4[[#This Row],[DT-EXW-02]]+KH_26_OPT4_KTQT_v4[[#This Row],[CPVC-02]]+KH_26_OPT4_KTQT_v4[[#This Row],[CPHH-02]]</f>
        <v>7413329000</v>
      </c>
      <c r="DC13" s="47">
        <f ca="1">KH_26_OPT4_KTQT_v4[[#This Row],[DT-EXW-03]]+KH_26_OPT4_KTQT_v4[[#This Row],[CPVC-03]]+KH_26_OPT4_KTQT_v4[[#This Row],[CPHH-03]]</f>
        <v>7413329000</v>
      </c>
      <c r="DD13" s="47">
        <f ca="1">KH_26_OPT4_KTQT_v4[[#This Row],[DT-EXW-04]]+KH_26_OPT4_KTQT_v4[[#This Row],[CPVC-04]]+KH_26_OPT4_KTQT_v4[[#This Row],[CPHH-04]]</f>
        <v>7413329000</v>
      </c>
      <c r="DE13" s="47">
        <f ca="1">KH_26_OPT4_KTQT_v4[[#This Row],[DT-EXW-05]]+KH_26_OPT4_KTQT_v4[[#This Row],[CPVC-05]]+KH_26_OPT4_KTQT_v4[[#This Row],[CPHH-05]]</f>
        <v>7413329000</v>
      </c>
      <c r="DF13" s="47">
        <f ca="1">KH_26_OPT4_KTQT_v4[[#This Row],[DT-EXW-06]]+KH_26_OPT4_KTQT_v4[[#This Row],[CPVC-06]]+KH_26_OPT4_KTQT_v4[[#This Row],[CPHH-06]]</f>
        <v>7413329000</v>
      </c>
      <c r="DG13" s="47">
        <f ca="1">KH_26_OPT4_KTQT_v4[[#This Row],[DT-EXW-07]]+KH_26_OPT4_KTQT_v4[[#This Row],[CPVC-07]]+KH_26_OPT4_KTQT_v4[[#This Row],[CPHH-07]]</f>
        <v>7413329000</v>
      </c>
      <c r="DH13" s="47">
        <f ca="1">KH_26_OPT4_KTQT_v4[[#This Row],[DT-EXW-08]]+KH_26_OPT4_KTQT_v4[[#This Row],[CPVC-08]]+KH_26_OPT4_KTQT_v4[[#This Row],[CPHH-08]]</f>
        <v>7413329000</v>
      </c>
      <c r="DI13" s="47">
        <f ca="1">KH_26_OPT4_KTQT_v4[[#This Row],[DT-EXW-09]]+KH_26_OPT4_KTQT_v4[[#This Row],[CPVC-09]]+KH_26_OPT4_KTQT_v4[[#This Row],[CPHH-09]]</f>
        <v>7413329000</v>
      </c>
      <c r="DJ13" s="47">
        <f ca="1">KH_26_OPT4_KTQT_v4[[#This Row],[DT-EXW-10]]+KH_26_OPT4_KTQT_v4[[#This Row],[CPVC-10]]+KH_26_OPT4_KTQT_v4[[#This Row],[CPHH-10]]</f>
        <v>7413329000</v>
      </c>
      <c r="DK13" s="47">
        <f ca="1">KH_26_OPT4_KTQT_v4[[#This Row],[DT-EXW-11]]+KH_26_OPT4_KTQT_v4[[#This Row],[CPVC-11]]+KH_26_OPT4_KTQT_v4[[#This Row],[CPHH-11]]</f>
        <v>7413329000</v>
      </c>
      <c r="DL13" s="47">
        <f ca="1">KH_26_OPT4_KTQT_v4[[#This Row],[DT-EXW-12]]+KH_26_OPT4_KTQT_v4[[#This Row],[CPVC-12]]+KH_26_OPT4_KTQT_v4[[#This Row],[CPHH-12]]</f>
        <v>7413329000</v>
      </c>
      <c r="DM13" s="47">
        <f ca="1">SUM(KH_26_OPT4_KTQT_v4[[#This Row],[DT-01]:[DT-12]])</f>
        <v>88959948000</v>
      </c>
      <c r="DN13" s="7"/>
      <c r="DO13" s="7"/>
      <c r="DP13" s="125"/>
      <c r="DQ13" s="136"/>
      <c r="DR13" s="132">
        <f>IFERROR(KH_26_OPT4_KTQT_v4[[#This Row],[DT-EXW-01]]*KH_26_OPT4_KTQT_v4[[#This Row],[%CPDP]],0)</f>
        <v>0</v>
      </c>
      <c r="DS13" s="132">
        <f>IFERROR(KH_26_OPT4_KTQT_v4[[#This Row],[DT-EXW-02]]*KH_26_OPT4_KTQT_v4[[#This Row],[%CPDP]],0)</f>
        <v>0</v>
      </c>
      <c r="DT13" s="132">
        <f>IFERROR(KH_26_OPT4_KTQT_v4[[#This Row],[DT-EXW-03]]*KH_26_OPT4_KTQT_v4[[#This Row],[%CPDP]],0)</f>
        <v>0</v>
      </c>
      <c r="DU13" s="132">
        <f>IFERROR(KH_26_OPT4_KTQT_v4[[#This Row],[DT-EXW-04]]*KH_26_OPT4_KTQT_v4[[#This Row],[%CPDP]],0)</f>
        <v>0</v>
      </c>
      <c r="DV13" s="132">
        <f>IFERROR(KH_26_OPT4_KTQT_v4[[#This Row],[DT-EXW-05]]*KH_26_OPT4_KTQT_v4[[#This Row],[%CPDP]],0)</f>
        <v>0</v>
      </c>
      <c r="DW13" s="132">
        <f>IFERROR(KH_26_OPT4_KTQT_v4[[#This Row],[DT-EXW-06]]*KH_26_OPT4_KTQT_v4[[#This Row],[%CPDP]],0)</f>
        <v>0</v>
      </c>
      <c r="DX13" s="132">
        <f>IFERROR(KH_26_OPT4_KTQT_v4[[#This Row],[DT-EXW-07]]*KH_26_OPT4_KTQT_v4[[#This Row],[%CPDP]],0)</f>
        <v>0</v>
      </c>
      <c r="DY13" s="132">
        <f>IFERROR(KH_26_OPT4_KTQT_v4[[#This Row],[DT-EXW-08]]*KH_26_OPT4_KTQT_v4[[#This Row],[%CPDP]],0)</f>
        <v>0</v>
      </c>
      <c r="DZ13" s="132">
        <f>IFERROR(KH_26_OPT4_KTQT_v4[[#This Row],[DT-EXW-09]]*KH_26_OPT4_KTQT_v4[[#This Row],[%CPDP]],0)</f>
        <v>0</v>
      </c>
      <c r="EA13" s="132">
        <f>IFERROR(KH_26_OPT4_KTQT_v4[[#This Row],[DT-EXW-10]]*KH_26_OPT4_KTQT_v4[[#This Row],[%CPDP]],0)</f>
        <v>0</v>
      </c>
      <c r="EB13" s="132">
        <f>IFERROR(KH_26_OPT4_KTQT_v4[[#This Row],[DT-EXW-11]]*KH_26_OPT4_KTQT_v4[[#This Row],[%CPDP]],0)</f>
        <v>0</v>
      </c>
      <c r="EC13" s="132">
        <f>IFERROR(KH_26_OPT4_KTQT_v4[[#This Row],[DT-EXW-12]]*KH_26_OPT4_KTQT_v4[[#This Row],[%CPDP]],0)</f>
        <v>0</v>
      </c>
      <c r="ED13" s="132">
        <f ca="1">SUM(KH_26_OPT4_KTQT_v4[[#This Row],[CPDP-01]:[CPDP-12]])</f>
        <v>0</v>
      </c>
    </row>
    <row r="14" spans="1:134" ht="14.5" hidden="1" x14ac:dyDescent="0.35">
      <c r="A14" s="18">
        <v>9</v>
      </c>
      <c r="B14" s="71" t="s">
        <v>97</v>
      </c>
      <c r="C14" s="18" t="str">
        <f>IFERROR(_xlfn.XLOOKUP(KH_26_OPT4_KTQT_v4[[#This Row],[Salesman]],MD_Salesman[Salesman],MD_Salesman[SalesManager]),"")</f>
        <v>Cường</v>
      </c>
      <c r="D14" s="72" t="str">
        <f>IFERROR(INDEX(MD_Customer[Mã khách],MATCH(KH_26_OPT4_KTQT_v4[[#This Row],[Tên khách]],MD_Customer[Tên khách-rút gọn],0)),"")</f>
        <v>105350</v>
      </c>
      <c r="E14" s="7" t="str">
        <f>IFERROR(INDEX(MD_Customer[Parent Account],MATCH(KH_26_OPT4_KTQT_v4[[#This Row],[Tên khách]],MD_Customer[Tên khách-rút gọn],0)),"")</f>
        <v>Suntory</v>
      </c>
      <c r="F14" s="35" t="s">
        <v>326</v>
      </c>
      <c r="G14" s="7" t="str">
        <f>IFERROR(INDEX(MD_Customer[Phân loại],MATCH(KH_26_OPT4_KTQT_v4[[#This Row],[Tên khách]],MD_Customer[Tên khách-rút gọn],0)),"")</f>
        <v>Hiện hữu</v>
      </c>
      <c r="H14" s="7" t="str">
        <f>IFERROR(INDEX(MD_Customer[Kênh bán hàng],MATCH(KH_26_OPT4_KTQT_v4[[#This Row],[Tên khách]],MD_Customer[Tên khách-rút gọn],0)),"")</f>
        <v>Nội địa</v>
      </c>
      <c r="I14" s="35" t="s">
        <v>327</v>
      </c>
      <c r="J14" s="7" t="str">
        <f>IFERROR(INDEX(MD_Destination[Nước],MATCH(KH_26_OPT4_KTQT_v4[[#This Row],[Địa điểm đến]],MD_Destination[Địa điểm đến],0)),"")</f>
        <v>Việt Nam</v>
      </c>
      <c r="K14" s="7" t="str">
        <f>IFERROR(INDEX(MD_Destination[Khu vực],MATCH(KH_26_OPT4_KTQT_v4[[#This Row],[Địa điểm đến]],MD_Destination[Địa điểm đến],0)),"")</f>
        <v>Châu Á</v>
      </c>
      <c r="L14" s="35" t="s">
        <v>262</v>
      </c>
      <c r="M14" s="7" t="str">
        <f>IFERROR(INDEX(MD_SKU[Mã SKU],MATCH(KH_26_OPT4_KTQT_v4[[#This Row],[Tên sản phẩm]],MD_SKU[Tên SKU-rút gọn],0)),"")</f>
        <v>110000332</v>
      </c>
      <c r="N14" s="35" t="s">
        <v>1124</v>
      </c>
      <c r="O14" s="7" t="str">
        <f>IFERROR(INDEX(MD_SKU[Ngành hàng],MATCH(KH_26_OPT4_KTQT_v4[[#This Row],[Tên sản phẩm]],MD_SKU[Tên SKU-rút gọn],0)),"")</f>
        <v>rPET</v>
      </c>
      <c r="P14" s="7" t="str">
        <f>IFERROR(INDEX(MD_SKU[Nhóm ngành],MATCH(KH_26_OPT4_KTQT_v4[[#This Row],[Tên sản phẩm]],MD_SKU[Tên SKU-rút gọn],0)),"")</f>
        <v>Hạt PET</v>
      </c>
      <c r="Q14" s="7" t="str">
        <f>IFERROR(
   IF(INDEX(MD_SKU[IV/IM],MATCH(KH_26_OPT4_KTQT_v4[[#This Row],[Tên sản phẩm]],MD_SKU[Tên SKU-rút gọn],0))=0,
      "",
      INDEX(MD_SKU[IV/IM],MATCH(KH_26_OPT4_KTQT_v4[[#This Row],[Tên sản phẩm]],MD_SKU[Tên SKU-rút gọn],0))
   ),
"")</f>
        <v>0.84 ± 0.03</v>
      </c>
      <c r="R14" s="44">
        <f>IFERROR(INDEX(MD_SKU[Application],MATCH(KH_26_OPT4_KTQT_v4[[#This Row],[Tên sản phẩm]],MD_SKU[Tên SKU-rút gọn],0)),"")</f>
        <v>0</v>
      </c>
      <c r="S14" s="7" t="str">
        <f>IFERROR(INDEX(MD_SKU[Phân loại],MATCH(KH_26_OPT4_KTQT_v4[[#This Row],[Tên sản phẩm]],MD_SKU[Tên SKU-rút gọn],0)),"")</f>
        <v>Cũ</v>
      </c>
      <c r="T14" s="7" t="s">
        <v>540</v>
      </c>
      <c r="U14" s="7" t="s">
        <v>1508</v>
      </c>
      <c r="V14" s="70">
        <v>0.8</v>
      </c>
      <c r="W14" s="51">
        <v>44</v>
      </c>
      <c r="X14" s="51">
        <v>44</v>
      </c>
      <c r="Y14" s="51">
        <v>44</v>
      </c>
      <c r="Z14" s="51">
        <v>44</v>
      </c>
      <c r="AA14" s="51">
        <v>66</v>
      </c>
      <c r="AB14" s="51">
        <v>66</v>
      </c>
      <c r="AC14" s="51">
        <v>66</v>
      </c>
      <c r="AD14" s="51">
        <v>66</v>
      </c>
      <c r="AE14" s="51">
        <v>66</v>
      </c>
      <c r="AF14" s="51">
        <v>66</v>
      </c>
      <c r="AG14" s="51">
        <v>66</v>
      </c>
      <c r="AH14" s="51">
        <v>66</v>
      </c>
      <c r="AI14" s="47">
        <f ca="1">SUM(KH_26_OPT4_KTQT_v4[[#This Row],[SL-01]:[SL-12]])</f>
        <v>704</v>
      </c>
      <c r="AJ14" s="47">
        <f ca="1">SUMIFS(DB_25[SL-DB25],DB_25[Mã khách],KH_26_OPT4_KTQT_v4[[#This Row],[Mã khách]],DB_25[Mã sản phẩm],KH_26_OPT4_KTQT_v4[[#This Row],[Mã sản phẩm]])</f>
        <v>3.3</v>
      </c>
      <c r="AK14" s="20">
        <f ca="1">KH_26_OPT4_KTQT_v4[[#This Row],[SL-KH26]]-KH_26_OPT4_KTQT_v4[[#This Row],[SL-DB25]]</f>
        <v>700.7</v>
      </c>
      <c r="AL14" s="21">
        <f ca="1">IFERROR(KH_26_OPT4_KTQT_v4[[#This Row],[SL-+/-]]/KH_26_OPT4_KTQT_v4[[#This Row],[SL-DB25]],0)</f>
        <v>212.33333333333337</v>
      </c>
      <c r="AM14" s="51">
        <v>1260</v>
      </c>
      <c r="AN14" s="51">
        <v>1260</v>
      </c>
      <c r="AO14" s="51">
        <v>1260</v>
      </c>
      <c r="AP14" s="51">
        <v>1260</v>
      </c>
      <c r="AQ14" s="51">
        <v>1260</v>
      </c>
      <c r="AR14" s="51">
        <v>1260</v>
      </c>
      <c r="AS14" s="51">
        <v>1260</v>
      </c>
      <c r="AT14" s="51">
        <v>1260</v>
      </c>
      <c r="AU14" s="51">
        <v>1260</v>
      </c>
      <c r="AV14" s="51">
        <v>1260</v>
      </c>
      <c r="AW14" s="51">
        <v>1260</v>
      </c>
      <c r="AX14" s="51">
        <v>1260</v>
      </c>
      <c r="AY14" s="23">
        <v>1260</v>
      </c>
      <c r="AZ14" s="7"/>
      <c r="BA14" s="24">
        <f>KH_26_OPT4_KTQT_v4[[#This Row],[GB-DB25]]-KH_26_OPT4_KTQT_v4[[#This Row],[GB-KH25]]</f>
        <v>1260</v>
      </c>
      <c r="BB14" s="21">
        <f>IFERROR(KH_26_OPT4_KTQT_v4[[#This Row],[GB-+/-]]/KH_26_OPT4_KTQT_v4[[#This Row],[GB-KH25]],0)</f>
        <v>0</v>
      </c>
      <c r="BC14" s="21"/>
      <c r="BD14" s="47">
        <f>KH_26_OPT4_KTQT_v4[[#This Row],[SL-01]]*KH_26_OPT4_KTQT_v4[[#This Row],[GB-01]]*EXR</f>
        <v>1469160000</v>
      </c>
      <c r="BE14" s="47">
        <f>KH_26_OPT4_KTQT_v4[[#This Row],[SL-02]]*KH_26_OPT4_KTQT_v4[[#This Row],[GB-02]]*EXR</f>
        <v>1469160000</v>
      </c>
      <c r="BF14" s="47">
        <f>KH_26_OPT4_KTQT_v4[[#This Row],[SL-03]]*KH_26_OPT4_KTQT_v4[[#This Row],[GB-03]]*EXR</f>
        <v>1469160000</v>
      </c>
      <c r="BG14" s="47">
        <f>KH_26_OPT4_KTQT_v4[[#This Row],[SL-04]]*KH_26_OPT4_KTQT_v4[[#This Row],[GB-04]]*EXR</f>
        <v>1469160000</v>
      </c>
      <c r="BH14" s="47">
        <f>KH_26_OPT4_KTQT_v4[[#This Row],[SL-05]]*KH_26_OPT4_KTQT_v4[[#This Row],[GB-05]]*EXR</f>
        <v>2203740000</v>
      </c>
      <c r="BI14" s="47">
        <f>KH_26_OPT4_KTQT_v4[[#This Row],[SL-06]]*KH_26_OPT4_KTQT_v4[[#This Row],[GB-06]]*EXR</f>
        <v>2203740000</v>
      </c>
      <c r="BJ14" s="47">
        <f>KH_26_OPT4_KTQT_v4[[#This Row],[SL-07]]*KH_26_OPT4_KTQT_v4[[#This Row],[GB-07]]*EXR</f>
        <v>2203740000</v>
      </c>
      <c r="BK14" s="47">
        <f>KH_26_OPT4_KTQT_v4[[#This Row],[SL-08]]*KH_26_OPT4_KTQT_v4[[#This Row],[GB-08]]*EXR</f>
        <v>2203740000</v>
      </c>
      <c r="BL14" s="47">
        <f>KH_26_OPT4_KTQT_v4[[#This Row],[SL-09]]*KH_26_OPT4_KTQT_v4[[#This Row],[GB-09]]*EXR</f>
        <v>2203740000</v>
      </c>
      <c r="BM14" s="47">
        <f>KH_26_OPT4_KTQT_v4[[#This Row],[SL-10]]*KH_26_OPT4_KTQT_v4[[#This Row],[GB-10]]*EXR</f>
        <v>2203740000</v>
      </c>
      <c r="BN14" s="47">
        <f>KH_26_OPT4_KTQT_v4[[#This Row],[SL-11]]*KH_26_OPT4_KTQT_v4[[#This Row],[GB-11]]*EXR</f>
        <v>2203740000</v>
      </c>
      <c r="BO14" s="47">
        <f>KH_26_OPT4_KTQT_v4[[#This Row],[SL-12]]*KH_26_OPT4_KTQT_v4[[#This Row],[GB-12]]*EXR</f>
        <v>2203740000</v>
      </c>
      <c r="BP14" s="47">
        <f ca="1">SUM(KH_26_OPT4_KTQT_v4[[#This Row],[DT-EXW-01]:[DT-EXW-12]])</f>
        <v>23506560000</v>
      </c>
      <c r="BQ14" s="47">
        <f ca="1">SUMIFS(DB_25[DT-DB25],DB_25[Mã khách],KH_26_OPT4_KTQT_v4[[#This Row],[Mã khách]],DB_25[Mã sản phẩm],KH_26_OPT4_KTQT_v4[[#This Row],[Mã sản phẩm]])</f>
        <v>133958947.25040984</v>
      </c>
      <c r="BR14" s="47">
        <f ca="1">KH_26_OPT4_KTQT_v4[[#This Row],[DT-EXW-KH26]]-KH_26_OPT4_KTQT_v4[[#This Row],[DT-EXW-DB25]]</f>
        <v>23372601052.749592</v>
      </c>
      <c r="BS14" s="21">
        <f ca="1">IFERROR(KH_26_OPT4_KTQT_v4[[#This Row],[DT-EXW-+/-]]/KH_26_OPT4_KTQT_v4[[#This Row],[DT-EXW-DB25]],0)</f>
        <v>174.4758490006578</v>
      </c>
      <c r="BT14" s="139" t="s">
        <v>532</v>
      </c>
      <c r="BU14" s="57">
        <v>5.0000000000000001E-3</v>
      </c>
      <c r="BV14" s="51"/>
      <c r="BW14" s="47">
        <f>IF(KH_26_OPT4_KTQT_v4[[#This Row],[CPHH-%-SL]]="Dthu",KH_26_OPT4_KTQT_v4[[#This Row],[%HH]]*KH_26_OPT4_KTQT_v4[[#This Row],[DT-EXW-01]],KH_26_OPT4_KTQT_v4[[#This Row],[HH-SL]]*KH_26_OPT4_KTQT_v4[[#This Row],[SL-01]])</f>
        <v>7345800</v>
      </c>
      <c r="BX14" s="47">
        <f>IF(KH_26_OPT4_KTQT_v4[[#This Row],[CPHH-%-SL]]="Dthu",KH_26_OPT4_KTQT_v4[[#This Row],[%HH]]*KH_26_OPT4_KTQT_v4[[#This Row],[DT-EXW-02]],KH_26_OPT4_KTQT_v4[[#This Row],[HH-SL]]*KH_26_OPT4_KTQT_v4[[#This Row],[SL-02]])</f>
        <v>7345800</v>
      </c>
      <c r="BY14" s="47">
        <f>IF(KH_26_OPT4_KTQT_v4[[#This Row],[CPHH-%-SL]]="Dthu",KH_26_OPT4_KTQT_v4[[#This Row],[%HH]]*KH_26_OPT4_KTQT_v4[[#This Row],[DT-EXW-03]],KH_26_OPT4_KTQT_v4[[#This Row],[HH-SL]]*KH_26_OPT4_KTQT_v4[[#This Row],[SL-03]])</f>
        <v>7345800</v>
      </c>
      <c r="BZ14" s="47">
        <f>IF(KH_26_OPT4_KTQT_v4[[#This Row],[CPHH-%-SL]]="Dthu",KH_26_OPT4_KTQT_v4[[#This Row],[%HH]]*KH_26_OPT4_KTQT_v4[[#This Row],[DT-EXW-04]],KH_26_OPT4_KTQT_v4[[#This Row],[HH-SL]]*KH_26_OPT4_KTQT_v4[[#This Row],[SL-04]])</f>
        <v>7345800</v>
      </c>
      <c r="CA14" s="47">
        <f>IF(KH_26_OPT4_KTQT_v4[[#This Row],[CPHH-%-SL]]="Dthu",KH_26_OPT4_KTQT_v4[[#This Row],[%HH]]*KH_26_OPT4_KTQT_v4[[#This Row],[DT-EXW-05]],KH_26_OPT4_KTQT_v4[[#This Row],[HH-SL]]*KH_26_OPT4_KTQT_v4[[#This Row],[SL-05]])</f>
        <v>11018700</v>
      </c>
      <c r="CB14" s="47">
        <f>IF(KH_26_OPT4_KTQT_v4[[#This Row],[CPHH-%-SL]]="Dthu",KH_26_OPT4_KTQT_v4[[#This Row],[%HH]]*KH_26_OPT4_KTQT_v4[[#This Row],[DT-EXW-06]],KH_26_OPT4_KTQT_v4[[#This Row],[HH-SL]]*KH_26_OPT4_KTQT_v4[[#This Row],[SL-06]])</f>
        <v>11018700</v>
      </c>
      <c r="CC14" s="47">
        <f>IF(KH_26_OPT4_KTQT_v4[[#This Row],[CPHH-%-SL]]="Dthu",KH_26_OPT4_KTQT_v4[[#This Row],[%HH]]*KH_26_OPT4_KTQT_v4[[#This Row],[DT-EXW-07]],KH_26_OPT4_KTQT_v4[[#This Row],[HH-SL]]*KH_26_OPT4_KTQT_v4[[#This Row],[SL-07]])</f>
        <v>11018700</v>
      </c>
      <c r="CD14" s="47">
        <f>IF(KH_26_OPT4_KTQT_v4[[#This Row],[CPHH-%-SL]]="Dthu",KH_26_OPT4_KTQT_v4[[#This Row],[%HH]]*KH_26_OPT4_KTQT_v4[[#This Row],[DT-EXW-08]],KH_26_OPT4_KTQT_v4[[#This Row],[HH-SL]]*KH_26_OPT4_KTQT_v4[[#This Row],[SL-08]])</f>
        <v>11018700</v>
      </c>
      <c r="CE14" s="47">
        <f>IF(KH_26_OPT4_KTQT_v4[[#This Row],[CPHH-%-SL]]="Dthu",KH_26_OPT4_KTQT_v4[[#This Row],[%HH]]*KH_26_OPT4_KTQT_v4[[#This Row],[DT-EXW-09]],KH_26_OPT4_KTQT_v4[[#This Row],[HH-SL]]*KH_26_OPT4_KTQT_v4[[#This Row],[SL-09]])</f>
        <v>11018700</v>
      </c>
      <c r="CF14" s="47">
        <f>IF(KH_26_OPT4_KTQT_v4[[#This Row],[CPHH-%-SL]]="Dthu",KH_26_OPT4_KTQT_v4[[#This Row],[%HH]]*KH_26_OPT4_KTQT_v4[[#This Row],[DT-EXW-10]],KH_26_OPT4_KTQT_v4[[#This Row],[HH-SL]]*KH_26_OPT4_KTQT_v4[[#This Row],[SL-10]])</f>
        <v>11018700</v>
      </c>
      <c r="CG14" s="47">
        <f>IF(KH_26_OPT4_KTQT_v4[[#This Row],[CPHH-%-SL]]="Dthu",KH_26_OPT4_KTQT_v4[[#This Row],[%HH]]*KH_26_OPT4_KTQT_v4[[#This Row],[DT-EXW-11]],KH_26_OPT4_KTQT_v4[[#This Row],[HH-SL]]*KH_26_OPT4_KTQT_v4[[#This Row],[SL-11]])</f>
        <v>11018700</v>
      </c>
      <c r="CH14" s="47">
        <f>IF(KH_26_OPT4_KTQT_v4[[#This Row],[CPHH-%-SL]]="Dthu",KH_26_OPT4_KTQT_v4[[#This Row],[%HH]]*KH_26_OPT4_KTQT_v4[[#This Row],[DT-EXW-12]],KH_26_OPT4_KTQT_v4[[#This Row],[HH-SL]]*KH_26_OPT4_KTQT_v4[[#This Row],[SL-12]])</f>
        <v>11018700</v>
      </c>
      <c r="CI14" s="47">
        <f ca="1">SUM(KH_26_OPT4_KTQT_v4[[#This Row],[CPHH-01]:[CPHH-12]])</f>
        <v>117532800</v>
      </c>
      <c r="CJ14" s="47" cm="1">
        <f t="array" ref="CJ14">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610269.31818181823</v>
      </c>
      <c r="CK14" s="19">
        <f ca="1">SUM(KH_26_OPT4_KTQT_v4[[#This Row],[ĐGVCNĐ-KXK]:[ĐGVCCT-KXK]])</f>
        <v>0</v>
      </c>
      <c r="CL14" s="47" cm="1">
        <f t="array" ref="CL14">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14" s="47" cm="1">
        <f t="array" ref="CM14">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4" s="47">
        <f ca="1">(KH_26_OPT4_KTQT_v4[[#This Row],[ĐGVC-KNĐ]]+KH_26_OPT4_KTQT_v4[[#This Row],[ĐGVC-KXK]])*KH_26_OPT4_KTQT_v4[[#This Row],[SL-01]]</f>
        <v>26851850.000000004</v>
      </c>
      <c r="CO14" s="47">
        <f ca="1">(KH_26_OPT4_KTQT_v4[[#This Row],[ĐGVC-KNĐ]]+KH_26_OPT4_KTQT_v4[[#This Row],[ĐGVC-KXK]])*KH_26_OPT4_KTQT_v4[[#This Row],[SL-02]]</f>
        <v>26851850.000000004</v>
      </c>
      <c r="CP14" s="47">
        <f ca="1">(KH_26_OPT4_KTQT_v4[[#This Row],[ĐGVC-KNĐ]]+KH_26_OPT4_KTQT_v4[[#This Row],[ĐGVC-KXK]])*KH_26_OPT4_KTQT_v4[[#This Row],[SL-03]]</f>
        <v>26851850.000000004</v>
      </c>
      <c r="CQ14" s="47">
        <f ca="1">(KH_26_OPT4_KTQT_v4[[#This Row],[ĐGVC-KNĐ]]+KH_26_OPT4_KTQT_v4[[#This Row],[ĐGVC-KXK]])*KH_26_OPT4_KTQT_v4[[#This Row],[SL-04]]</f>
        <v>26851850.000000004</v>
      </c>
      <c r="CR14" s="47">
        <f ca="1">(KH_26_OPT4_KTQT_v4[[#This Row],[ĐGVC-KNĐ]]+KH_26_OPT4_KTQT_v4[[#This Row],[ĐGVC-KXK]])*KH_26_OPT4_KTQT_v4[[#This Row],[SL-05]]</f>
        <v>40277775</v>
      </c>
      <c r="CS14" s="47">
        <f ca="1">(KH_26_OPT4_KTQT_v4[[#This Row],[ĐGVC-KNĐ]]+KH_26_OPT4_KTQT_v4[[#This Row],[ĐGVC-KXK]])*KH_26_OPT4_KTQT_v4[[#This Row],[SL-06]]</f>
        <v>40277775</v>
      </c>
      <c r="CT14" s="47">
        <f ca="1">(KH_26_OPT4_KTQT_v4[[#This Row],[ĐGVC-KNĐ]]+KH_26_OPT4_KTQT_v4[[#This Row],[ĐGVC-KXK]])*KH_26_OPT4_KTQT_v4[[#This Row],[SL-07]]</f>
        <v>40277775</v>
      </c>
      <c r="CU14" s="47">
        <f ca="1">(KH_26_OPT4_KTQT_v4[[#This Row],[ĐGVC-KNĐ]]+KH_26_OPT4_KTQT_v4[[#This Row],[ĐGVC-KXK]])*KH_26_OPT4_KTQT_v4[[#This Row],[SL-08]]</f>
        <v>40277775</v>
      </c>
      <c r="CV14" s="47">
        <f ca="1">(KH_26_OPT4_KTQT_v4[[#This Row],[ĐGVC-KNĐ]]+KH_26_OPT4_KTQT_v4[[#This Row],[ĐGVC-KXK]])*KH_26_OPT4_KTQT_v4[[#This Row],[SL-09]]</f>
        <v>40277775</v>
      </c>
      <c r="CW14" s="47">
        <f ca="1">(KH_26_OPT4_KTQT_v4[[#This Row],[ĐGVC-KNĐ]]+KH_26_OPT4_KTQT_v4[[#This Row],[ĐGVC-KXK]])*KH_26_OPT4_KTQT_v4[[#This Row],[SL-10]]</f>
        <v>40277775</v>
      </c>
      <c r="CX14" s="47">
        <f ca="1">(KH_26_OPT4_KTQT_v4[[#This Row],[ĐGVC-KNĐ]]+KH_26_OPT4_KTQT_v4[[#This Row],[ĐGVC-KXK]])*KH_26_OPT4_KTQT_v4[[#This Row],[SL-11]]</f>
        <v>40277775</v>
      </c>
      <c r="CY14" s="47">
        <f ca="1">(KH_26_OPT4_KTQT_v4[[#This Row],[ĐGVC-KNĐ]]+KH_26_OPT4_KTQT_v4[[#This Row],[ĐGVC-KXK]])*KH_26_OPT4_KTQT_v4[[#This Row],[SL-12]]</f>
        <v>40277775</v>
      </c>
      <c r="CZ14" s="47">
        <f ca="1">SUM(KH_26_OPT4_KTQT_v4[[#This Row],[CPVC-01]:[CPVC-12]])</f>
        <v>429629600</v>
      </c>
      <c r="DA14" s="124">
        <f ca="1">KH_26_OPT4_KTQT_v4[[#This Row],[DT-EXW-01]]+KH_26_OPT4_KTQT_v4[[#This Row],[CPVC-01]]+KH_26_OPT4_KTQT_v4[[#This Row],[CPHH-01]]</f>
        <v>1503357650</v>
      </c>
      <c r="DB14" s="47">
        <f ca="1">KH_26_OPT4_KTQT_v4[[#This Row],[DT-EXW-02]]+KH_26_OPT4_KTQT_v4[[#This Row],[CPVC-02]]+KH_26_OPT4_KTQT_v4[[#This Row],[CPHH-02]]</f>
        <v>1503357650</v>
      </c>
      <c r="DC14" s="47">
        <f ca="1">KH_26_OPT4_KTQT_v4[[#This Row],[DT-EXW-03]]+KH_26_OPT4_KTQT_v4[[#This Row],[CPVC-03]]+KH_26_OPT4_KTQT_v4[[#This Row],[CPHH-03]]</f>
        <v>1503357650</v>
      </c>
      <c r="DD14" s="47">
        <f ca="1">KH_26_OPT4_KTQT_v4[[#This Row],[DT-EXW-04]]+KH_26_OPT4_KTQT_v4[[#This Row],[CPVC-04]]+KH_26_OPT4_KTQT_v4[[#This Row],[CPHH-04]]</f>
        <v>1503357650</v>
      </c>
      <c r="DE14" s="47">
        <f ca="1">KH_26_OPT4_KTQT_v4[[#This Row],[DT-EXW-05]]+KH_26_OPT4_KTQT_v4[[#This Row],[CPVC-05]]+KH_26_OPT4_KTQT_v4[[#This Row],[CPHH-05]]</f>
        <v>2255036475</v>
      </c>
      <c r="DF14" s="47">
        <f ca="1">KH_26_OPT4_KTQT_v4[[#This Row],[DT-EXW-06]]+KH_26_OPT4_KTQT_v4[[#This Row],[CPVC-06]]+KH_26_OPT4_KTQT_v4[[#This Row],[CPHH-06]]</f>
        <v>2255036475</v>
      </c>
      <c r="DG14" s="47">
        <f ca="1">KH_26_OPT4_KTQT_v4[[#This Row],[DT-EXW-07]]+KH_26_OPT4_KTQT_v4[[#This Row],[CPVC-07]]+KH_26_OPT4_KTQT_v4[[#This Row],[CPHH-07]]</f>
        <v>2255036475</v>
      </c>
      <c r="DH14" s="47">
        <f ca="1">KH_26_OPT4_KTQT_v4[[#This Row],[DT-EXW-08]]+KH_26_OPT4_KTQT_v4[[#This Row],[CPVC-08]]+KH_26_OPT4_KTQT_v4[[#This Row],[CPHH-08]]</f>
        <v>2255036475</v>
      </c>
      <c r="DI14" s="47">
        <f ca="1">KH_26_OPT4_KTQT_v4[[#This Row],[DT-EXW-09]]+KH_26_OPT4_KTQT_v4[[#This Row],[CPVC-09]]+KH_26_OPT4_KTQT_v4[[#This Row],[CPHH-09]]</f>
        <v>2255036475</v>
      </c>
      <c r="DJ14" s="47">
        <f ca="1">KH_26_OPT4_KTQT_v4[[#This Row],[DT-EXW-10]]+KH_26_OPT4_KTQT_v4[[#This Row],[CPVC-10]]+KH_26_OPT4_KTQT_v4[[#This Row],[CPHH-10]]</f>
        <v>2255036475</v>
      </c>
      <c r="DK14" s="47">
        <f ca="1">KH_26_OPT4_KTQT_v4[[#This Row],[DT-EXW-11]]+KH_26_OPT4_KTQT_v4[[#This Row],[CPVC-11]]+KH_26_OPT4_KTQT_v4[[#This Row],[CPHH-11]]</f>
        <v>2255036475</v>
      </c>
      <c r="DL14" s="47">
        <f ca="1">KH_26_OPT4_KTQT_v4[[#This Row],[DT-EXW-12]]+KH_26_OPT4_KTQT_v4[[#This Row],[CPVC-12]]+KH_26_OPT4_KTQT_v4[[#This Row],[CPHH-12]]</f>
        <v>2255036475</v>
      </c>
      <c r="DM14" s="47">
        <f ca="1">SUM(KH_26_OPT4_KTQT_v4[[#This Row],[DT-01]:[DT-12]])</f>
        <v>24053722400</v>
      </c>
      <c r="DN14" s="7"/>
      <c r="DO14" s="7"/>
      <c r="DP14" s="125"/>
      <c r="DQ14" s="136"/>
      <c r="DR14" s="132">
        <f>IFERROR(KH_26_OPT4_KTQT_v4[[#This Row],[DT-EXW-01]]*KH_26_OPT4_KTQT_v4[[#This Row],[%CPDP]],0)</f>
        <v>0</v>
      </c>
      <c r="DS14" s="132">
        <f>IFERROR(KH_26_OPT4_KTQT_v4[[#This Row],[DT-EXW-02]]*KH_26_OPT4_KTQT_v4[[#This Row],[%CPDP]],0)</f>
        <v>0</v>
      </c>
      <c r="DT14" s="132">
        <f>IFERROR(KH_26_OPT4_KTQT_v4[[#This Row],[DT-EXW-03]]*KH_26_OPT4_KTQT_v4[[#This Row],[%CPDP]],0)</f>
        <v>0</v>
      </c>
      <c r="DU14" s="132">
        <f>IFERROR(KH_26_OPT4_KTQT_v4[[#This Row],[DT-EXW-04]]*KH_26_OPT4_KTQT_v4[[#This Row],[%CPDP]],0)</f>
        <v>0</v>
      </c>
      <c r="DV14" s="132">
        <f>IFERROR(KH_26_OPT4_KTQT_v4[[#This Row],[DT-EXW-05]]*KH_26_OPT4_KTQT_v4[[#This Row],[%CPDP]],0)</f>
        <v>0</v>
      </c>
      <c r="DW14" s="132">
        <f>IFERROR(KH_26_OPT4_KTQT_v4[[#This Row],[DT-EXW-06]]*KH_26_OPT4_KTQT_v4[[#This Row],[%CPDP]],0)</f>
        <v>0</v>
      </c>
      <c r="DX14" s="132">
        <f>IFERROR(KH_26_OPT4_KTQT_v4[[#This Row],[DT-EXW-07]]*KH_26_OPT4_KTQT_v4[[#This Row],[%CPDP]],0)</f>
        <v>0</v>
      </c>
      <c r="DY14" s="132">
        <f>IFERROR(KH_26_OPT4_KTQT_v4[[#This Row],[DT-EXW-08]]*KH_26_OPT4_KTQT_v4[[#This Row],[%CPDP]],0)</f>
        <v>0</v>
      </c>
      <c r="DZ14" s="132">
        <f>IFERROR(KH_26_OPT4_KTQT_v4[[#This Row],[DT-EXW-09]]*KH_26_OPT4_KTQT_v4[[#This Row],[%CPDP]],0)</f>
        <v>0</v>
      </c>
      <c r="EA14" s="132">
        <f>IFERROR(KH_26_OPT4_KTQT_v4[[#This Row],[DT-EXW-10]]*KH_26_OPT4_KTQT_v4[[#This Row],[%CPDP]],0)</f>
        <v>0</v>
      </c>
      <c r="EB14" s="132">
        <f>IFERROR(KH_26_OPT4_KTQT_v4[[#This Row],[DT-EXW-11]]*KH_26_OPT4_KTQT_v4[[#This Row],[%CPDP]],0)</f>
        <v>0</v>
      </c>
      <c r="EC14" s="132">
        <f>IFERROR(KH_26_OPT4_KTQT_v4[[#This Row],[DT-EXW-12]]*KH_26_OPT4_KTQT_v4[[#This Row],[%CPDP]],0)</f>
        <v>0</v>
      </c>
      <c r="ED14" s="131">
        <f ca="1">SUM(KH_26_OPT4_KTQT_v4[[#This Row],[CPDP-01]:[CPDP-12]])</f>
        <v>0</v>
      </c>
    </row>
    <row r="15" spans="1:134" ht="15" hidden="1" customHeight="1" x14ac:dyDescent="0.35">
      <c r="A15" s="18">
        <v>10</v>
      </c>
      <c r="B15" s="71" t="s">
        <v>101</v>
      </c>
      <c r="C15" s="18" t="str">
        <f>IFERROR(_xlfn.XLOOKUP(KH_26_OPT4_KTQT_v4[[#This Row],[Salesman]],MD_Salesman[Salesman],MD_Salesman[SalesManager]),"")</f>
        <v>Cường</v>
      </c>
      <c r="D15" s="72" t="str">
        <f>IFERROR(INDEX(MD_Customer[Mã khách],MATCH(KH_26_OPT4_KTQT_v4[[#This Row],[Tên khách]],MD_Customer[Tên khách-rút gọn],0)),"")</f>
        <v>104909</v>
      </c>
      <c r="E15" s="7" t="str">
        <f>IFERROR(INDEX(MD_Customer[Parent Account],MATCH(KH_26_OPT4_KTQT_v4[[#This Row],[Tên khách]],MD_Customer[Tên khách-rút gọn],0)),"")</f>
        <v>Lavie</v>
      </c>
      <c r="F15" s="35" t="s">
        <v>257</v>
      </c>
      <c r="G15" s="7" t="str">
        <f>IFERROR(INDEX(MD_Customer[Phân loại],MATCH(KH_26_OPT4_KTQT_v4[[#This Row],[Tên khách]],MD_Customer[Tên khách-rút gọn],0)),"")</f>
        <v>Hiện hữu</v>
      </c>
      <c r="H15" s="7" t="str">
        <f>IFERROR(INDEX(MD_Customer[Kênh bán hàng],MATCH(KH_26_OPT4_KTQT_v4[[#This Row],[Tên khách]],MD_Customer[Tên khách-rút gọn],0)),"")</f>
        <v>Nội địa</v>
      </c>
      <c r="I15" s="35" t="s">
        <v>258</v>
      </c>
      <c r="J15" s="7" t="str">
        <f>IFERROR(INDEX(MD_Destination[Nước],MATCH(KH_26_OPT4_KTQT_v4[[#This Row],[Địa điểm đến]],MD_Destination[Địa điểm đến],0)),"")</f>
        <v>Việt Nam</v>
      </c>
      <c r="K15" s="7" t="str">
        <f>IFERROR(INDEX(MD_Destination[Khu vực],MATCH(KH_26_OPT4_KTQT_v4[[#This Row],[Địa điểm đến]],MD_Destination[Địa điểm đến],0)),"")</f>
        <v>Châu Á</v>
      </c>
      <c r="L15" s="35" t="s">
        <v>260</v>
      </c>
      <c r="M15" s="7" t="str">
        <f>IFERROR(INDEX(MD_SKU[Mã SKU],MATCH(KH_26_OPT4_KTQT_v4[[#This Row],[Tên sản phẩm]],MD_SKU[Tên SKU-rút gọn],0)),"")</f>
        <v>110000329</v>
      </c>
      <c r="N15" s="35" t="s">
        <v>495</v>
      </c>
      <c r="O15" s="7" t="str">
        <f>IFERROR(INDEX(MD_SKU[Ngành hàng],MATCH(KH_26_OPT4_KTQT_v4[[#This Row],[Tên sản phẩm]],MD_SKU[Tên SKU-rút gọn],0)),"")</f>
        <v>rPET</v>
      </c>
      <c r="P15" s="7" t="str">
        <f>IFERROR(INDEX(MD_SKU[Nhóm ngành],MATCH(KH_26_OPT4_KTQT_v4[[#This Row],[Tên sản phẩm]],MD_SKU[Tên SKU-rút gọn],0)),"")</f>
        <v>Hạt PET</v>
      </c>
      <c r="Q15" s="7" t="str">
        <f>IFERROR(
   IF(INDEX(MD_SKU[IV/IM],MATCH(KH_26_OPT4_KTQT_v4[[#This Row],[Tên sản phẩm]],MD_SKU[Tên SKU-rút gọn],0))=0,
      "",
      INDEX(MD_SKU[IV/IM],MATCH(KH_26_OPT4_KTQT_v4[[#This Row],[Tên sản phẩm]],MD_SKU[Tên SKU-rút gọn],0))
   ),
"")</f>
        <v>0.78 ± 0.02</v>
      </c>
      <c r="R15" s="44">
        <f>IFERROR(INDEX(MD_SKU[Application],MATCH(KH_26_OPT4_KTQT_v4[[#This Row],[Tên sản phẩm]],MD_SKU[Tên SKU-rút gọn],0)),"")</f>
        <v>0</v>
      </c>
      <c r="S15" s="7" t="str">
        <f>IFERROR(INDEX(MD_SKU[Phân loại],MATCH(KH_26_OPT4_KTQT_v4[[#This Row],[Tên sản phẩm]],MD_SKU[Tên SKU-rút gọn],0)),"")</f>
        <v>Cũ</v>
      </c>
      <c r="T15" s="7" t="s">
        <v>16</v>
      </c>
      <c r="U15" s="7" t="s">
        <v>1508</v>
      </c>
      <c r="V15" s="70">
        <v>0.8</v>
      </c>
      <c r="W15" s="33">
        <v>110</v>
      </c>
      <c r="X15" s="33">
        <v>110</v>
      </c>
      <c r="Y15" s="33">
        <v>110</v>
      </c>
      <c r="Z15" s="33">
        <v>110</v>
      </c>
      <c r="AA15" s="33">
        <v>110</v>
      </c>
      <c r="AB15" s="33">
        <v>110</v>
      </c>
      <c r="AC15" s="33">
        <v>110</v>
      </c>
      <c r="AD15" s="33">
        <v>110</v>
      </c>
      <c r="AE15" s="33">
        <v>110</v>
      </c>
      <c r="AF15" s="33">
        <v>110</v>
      </c>
      <c r="AG15" s="33">
        <v>110</v>
      </c>
      <c r="AH15" s="33">
        <v>110</v>
      </c>
      <c r="AI15" s="47">
        <f ca="1">SUM(KH_26_OPT4_KTQT_v4[[#This Row],[SL-01]:[SL-12]])</f>
        <v>1320</v>
      </c>
      <c r="AJ15" s="47">
        <f ca="1">SUMIFS(DB_25[SL-DB25],DB_25[Mã khách],KH_26_OPT4_KTQT_v4[[#This Row],[Mã khách]],DB_25[Mã sản phẩm],KH_26_OPT4_KTQT_v4[[#This Row],[Mã sản phẩm]])</f>
        <v>0</v>
      </c>
      <c r="AK15" s="20">
        <f ca="1">KH_26_OPT4_KTQT_v4[[#This Row],[SL-KH26]]-KH_26_OPT4_KTQT_v4[[#This Row],[SL-DB25]]</f>
        <v>1320</v>
      </c>
      <c r="AL15" s="21">
        <f ca="1">IFERROR(KH_26_OPT4_KTQT_v4[[#This Row],[SL-+/-]]/KH_26_OPT4_KTQT_v4[[#This Row],[SL-DB25]],0)</f>
        <v>0</v>
      </c>
      <c r="AM15" s="51">
        <v>1250</v>
      </c>
      <c r="AN15" s="51">
        <v>1250</v>
      </c>
      <c r="AO15" s="51">
        <v>1250</v>
      </c>
      <c r="AP15" s="51">
        <v>1250</v>
      </c>
      <c r="AQ15" s="51">
        <v>1250</v>
      </c>
      <c r="AR15" s="51">
        <v>1250</v>
      </c>
      <c r="AS15" s="51">
        <v>1250</v>
      </c>
      <c r="AT15" s="51">
        <v>1250</v>
      </c>
      <c r="AU15" s="51">
        <v>1250</v>
      </c>
      <c r="AV15" s="51">
        <v>1250</v>
      </c>
      <c r="AW15" s="51">
        <v>1250</v>
      </c>
      <c r="AX15" s="51">
        <v>1250</v>
      </c>
      <c r="AY15" s="23">
        <v>1250</v>
      </c>
      <c r="AZ15" s="7"/>
      <c r="BA15" s="24">
        <f>KH_26_OPT4_KTQT_v4[[#This Row],[GB-DB25]]-KH_26_OPT4_KTQT_v4[[#This Row],[GB-KH25]]</f>
        <v>1250</v>
      </c>
      <c r="BB15" s="21">
        <f>IFERROR(KH_26_OPT4_KTQT_v4[[#This Row],[GB-+/-]]/KH_26_OPT4_KTQT_v4[[#This Row],[GB-KH25]],0)</f>
        <v>0</v>
      </c>
      <c r="BC15" s="21"/>
      <c r="BD15" s="47">
        <f>KH_26_OPT4_KTQT_v4[[#This Row],[SL-01]]*KH_26_OPT4_KTQT_v4[[#This Row],[GB-01]]*EXR</f>
        <v>3643750000</v>
      </c>
      <c r="BE15" s="47">
        <f>KH_26_OPT4_KTQT_v4[[#This Row],[SL-02]]*KH_26_OPT4_KTQT_v4[[#This Row],[GB-02]]*EXR</f>
        <v>3643750000</v>
      </c>
      <c r="BF15" s="47">
        <f>KH_26_OPT4_KTQT_v4[[#This Row],[SL-03]]*KH_26_OPT4_KTQT_v4[[#This Row],[GB-03]]*EXR</f>
        <v>3643750000</v>
      </c>
      <c r="BG15" s="47">
        <f>KH_26_OPT4_KTQT_v4[[#This Row],[SL-04]]*KH_26_OPT4_KTQT_v4[[#This Row],[GB-04]]*EXR</f>
        <v>3643750000</v>
      </c>
      <c r="BH15" s="47">
        <f>KH_26_OPT4_KTQT_v4[[#This Row],[SL-05]]*KH_26_OPT4_KTQT_v4[[#This Row],[GB-05]]*EXR</f>
        <v>3643750000</v>
      </c>
      <c r="BI15" s="47">
        <f>KH_26_OPT4_KTQT_v4[[#This Row],[SL-06]]*KH_26_OPT4_KTQT_v4[[#This Row],[GB-06]]*EXR</f>
        <v>3643750000</v>
      </c>
      <c r="BJ15" s="47">
        <f>KH_26_OPT4_KTQT_v4[[#This Row],[SL-07]]*KH_26_OPT4_KTQT_v4[[#This Row],[GB-07]]*EXR</f>
        <v>3643750000</v>
      </c>
      <c r="BK15" s="47">
        <f>KH_26_OPT4_KTQT_v4[[#This Row],[SL-08]]*KH_26_OPT4_KTQT_v4[[#This Row],[GB-08]]*EXR</f>
        <v>3643750000</v>
      </c>
      <c r="BL15" s="47">
        <f>KH_26_OPT4_KTQT_v4[[#This Row],[SL-09]]*KH_26_OPT4_KTQT_v4[[#This Row],[GB-09]]*EXR</f>
        <v>3643750000</v>
      </c>
      <c r="BM15" s="47">
        <f>KH_26_OPT4_KTQT_v4[[#This Row],[SL-10]]*KH_26_OPT4_KTQT_v4[[#This Row],[GB-10]]*EXR</f>
        <v>3643750000</v>
      </c>
      <c r="BN15" s="47">
        <f>KH_26_OPT4_KTQT_v4[[#This Row],[SL-11]]*KH_26_OPT4_KTQT_v4[[#This Row],[GB-11]]*EXR</f>
        <v>3643750000</v>
      </c>
      <c r="BO15" s="47">
        <f>KH_26_OPT4_KTQT_v4[[#This Row],[SL-12]]*KH_26_OPT4_KTQT_v4[[#This Row],[GB-12]]*EXR</f>
        <v>3643750000</v>
      </c>
      <c r="BP15" s="47">
        <f ca="1">SUM(KH_26_OPT4_KTQT_v4[[#This Row],[DT-EXW-01]:[DT-EXW-12]])</f>
        <v>43725000000</v>
      </c>
      <c r="BQ15" s="47">
        <f ca="1">SUMIFS(DB_25[DT-DB25],DB_25[Mã khách],KH_26_OPT4_KTQT_v4[[#This Row],[Mã khách]],DB_25[Mã sản phẩm],KH_26_OPT4_KTQT_v4[[#This Row],[Mã sản phẩm]])</f>
        <v>0</v>
      </c>
      <c r="BR15" s="47">
        <f ca="1">KH_26_OPT4_KTQT_v4[[#This Row],[DT-EXW-KH26]]-KH_26_OPT4_KTQT_v4[[#This Row],[DT-EXW-DB25]]</f>
        <v>43725000000</v>
      </c>
      <c r="BS15" s="21">
        <f ca="1">IFERROR(KH_26_OPT4_KTQT_v4[[#This Row],[DT-EXW-+/-]]/KH_26_OPT4_KTQT_v4[[#This Row],[DT-EXW-DB25]],0)</f>
        <v>0</v>
      </c>
      <c r="BT15" s="139"/>
      <c r="BU15" s="57"/>
      <c r="BV15" s="51"/>
      <c r="BW15" s="47">
        <f>IF(KH_26_OPT4_KTQT_v4[[#This Row],[CPHH-%-SL]]="Dthu",KH_26_OPT4_KTQT_v4[[#This Row],[%HH]]*KH_26_OPT4_KTQT_v4[[#This Row],[DT-EXW-01]],KH_26_OPT4_KTQT_v4[[#This Row],[HH-SL]]*KH_26_OPT4_KTQT_v4[[#This Row],[SL-01]])</f>
        <v>0</v>
      </c>
      <c r="BX15" s="47">
        <f>IF(KH_26_OPT4_KTQT_v4[[#This Row],[CPHH-%-SL]]="Dthu",KH_26_OPT4_KTQT_v4[[#This Row],[%HH]]*KH_26_OPT4_KTQT_v4[[#This Row],[DT-EXW-02]],KH_26_OPT4_KTQT_v4[[#This Row],[HH-SL]]*KH_26_OPT4_KTQT_v4[[#This Row],[SL-02]])</f>
        <v>0</v>
      </c>
      <c r="BY15" s="47">
        <f>IF(KH_26_OPT4_KTQT_v4[[#This Row],[CPHH-%-SL]]="Dthu",KH_26_OPT4_KTQT_v4[[#This Row],[%HH]]*KH_26_OPT4_KTQT_v4[[#This Row],[DT-EXW-03]],KH_26_OPT4_KTQT_v4[[#This Row],[HH-SL]]*KH_26_OPT4_KTQT_v4[[#This Row],[SL-03]])</f>
        <v>0</v>
      </c>
      <c r="BZ15" s="47">
        <f>IF(KH_26_OPT4_KTQT_v4[[#This Row],[CPHH-%-SL]]="Dthu",KH_26_OPT4_KTQT_v4[[#This Row],[%HH]]*KH_26_OPT4_KTQT_v4[[#This Row],[DT-EXW-04]],KH_26_OPT4_KTQT_v4[[#This Row],[HH-SL]]*KH_26_OPT4_KTQT_v4[[#This Row],[SL-04]])</f>
        <v>0</v>
      </c>
      <c r="CA15" s="47">
        <f>IF(KH_26_OPT4_KTQT_v4[[#This Row],[CPHH-%-SL]]="Dthu",KH_26_OPT4_KTQT_v4[[#This Row],[%HH]]*KH_26_OPT4_KTQT_v4[[#This Row],[DT-EXW-05]],KH_26_OPT4_KTQT_v4[[#This Row],[HH-SL]]*KH_26_OPT4_KTQT_v4[[#This Row],[SL-05]])</f>
        <v>0</v>
      </c>
      <c r="CB15" s="47">
        <f>IF(KH_26_OPT4_KTQT_v4[[#This Row],[CPHH-%-SL]]="Dthu",KH_26_OPT4_KTQT_v4[[#This Row],[%HH]]*KH_26_OPT4_KTQT_v4[[#This Row],[DT-EXW-06]],KH_26_OPT4_KTQT_v4[[#This Row],[HH-SL]]*KH_26_OPT4_KTQT_v4[[#This Row],[SL-06]])</f>
        <v>0</v>
      </c>
      <c r="CC15" s="47">
        <f>IF(KH_26_OPT4_KTQT_v4[[#This Row],[CPHH-%-SL]]="Dthu",KH_26_OPT4_KTQT_v4[[#This Row],[%HH]]*KH_26_OPT4_KTQT_v4[[#This Row],[DT-EXW-07]],KH_26_OPT4_KTQT_v4[[#This Row],[HH-SL]]*KH_26_OPT4_KTQT_v4[[#This Row],[SL-07]])</f>
        <v>0</v>
      </c>
      <c r="CD15" s="47">
        <f>IF(KH_26_OPT4_KTQT_v4[[#This Row],[CPHH-%-SL]]="Dthu",KH_26_OPT4_KTQT_v4[[#This Row],[%HH]]*KH_26_OPT4_KTQT_v4[[#This Row],[DT-EXW-08]],KH_26_OPT4_KTQT_v4[[#This Row],[HH-SL]]*KH_26_OPT4_KTQT_v4[[#This Row],[SL-08]])</f>
        <v>0</v>
      </c>
      <c r="CE15" s="47">
        <f>IF(KH_26_OPT4_KTQT_v4[[#This Row],[CPHH-%-SL]]="Dthu",KH_26_OPT4_KTQT_v4[[#This Row],[%HH]]*KH_26_OPT4_KTQT_v4[[#This Row],[DT-EXW-09]],KH_26_OPT4_KTQT_v4[[#This Row],[HH-SL]]*KH_26_OPT4_KTQT_v4[[#This Row],[SL-09]])</f>
        <v>0</v>
      </c>
      <c r="CF15" s="47">
        <f>IF(KH_26_OPT4_KTQT_v4[[#This Row],[CPHH-%-SL]]="Dthu",KH_26_OPT4_KTQT_v4[[#This Row],[%HH]]*KH_26_OPT4_KTQT_v4[[#This Row],[DT-EXW-10]],KH_26_OPT4_KTQT_v4[[#This Row],[HH-SL]]*KH_26_OPT4_KTQT_v4[[#This Row],[SL-10]])</f>
        <v>0</v>
      </c>
      <c r="CG15" s="47">
        <f>IF(KH_26_OPT4_KTQT_v4[[#This Row],[CPHH-%-SL]]="Dthu",KH_26_OPT4_KTQT_v4[[#This Row],[%HH]]*KH_26_OPT4_KTQT_v4[[#This Row],[DT-EXW-11]],KH_26_OPT4_KTQT_v4[[#This Row],[HH-SL]]*KH_26_OPT4_KTQT_v4[[#This Row],[SL-11]])</f>
        <v>0</v>
      </c>
      <c r="CH15" s="47">
        <f>IF(KH_26_OPT4_KTQT_v4[[#This Row],[CPHH-%-SL]]="Dthu",KH_26_OPT4_KTQT_v4[[#This Row],[%HH]]*KH_26_OPT4_KTQT_v4[[#This Row],[DT-EXW-12]],KH_26_OPT4_KTQT_v4[[#This Row],[HH-SL]]*KH_26_OPT4_KTQT_v4[[#This Row],[SL-12]])</f>
        <v>0</v>
      </c>
      <c r="CI15" s="47">
        <f ca="1">SUM(KH_26_OPT4_KTQT_v4[[#This Row],[CPHH-01]:[CPHH-12]])</f>
        <v>0</v>
      </c>
      <c r="CJ15" s="47" cm="1">
        <f t="array" ref="CJ15">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5" s="19">
        <f ca="1">SUM(KH_26_OPT4_KTQT_v4[[#This Row],[ĐGVCNĐ-KXK]:[ĐGVCCT-KXK]])</f>
        <v>0</v>
      </c>
      <c r="CL15" s="47" cm="1">
        <f t="array" ref="CL15">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15" s="47" cm="1">
        <f t="array" ref="CM15">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5" s="47">
        <f ca="1">(KH_26_OPT4_KTQT_v4[[#This Row],[ĐGVC-KNĐ]]+KH_26_OPT4_KTQT_v4[[#This Row],[ĐGVC-KXK]])*KH_26_OPT4_KTQT_v4[[#This Row],[SL-01]]</f>
        <v>0</v>
      </c>
      <c r="CO15" s="47">
        <f ca="1">(KH_26_OPT4_KTQT_v4[[#This Row],[ĐGVC-KNĐ]]+KH_26_OPT4_KTQT_v4[[#This Row],[ĐGVC-KXK]])*KH_26_OPT4_KTQT_v4[[#This Row],[SL-02]]</f>
        <v>0</v>
      </c>
      <c r="CP15" s="47">
        <f ca="1">(KH_26_OPT4_KTQT_v4[[#This Row],[ĐGVC-KNĐ]]+KH_26_OPT4_KTQT_v4[[#This Row],[ĐGVC-KXK]])*KH_26_OPT4_KTQT_v4[[#This Row],[SL-03]]</f>
        <v>0</v>
      </c>
      <c r="CQ15" s="47">
        <f ca="1">(KH_26_OPT4_KTQT_v4[[#This Row],[ĐGVC-KNĐ]]+KH_26_OPT4_KTQT_v4[[#This Row],[ĐGVC-KXK]])*KH_26_OPT4_KTQT_v4[[#This Row],[SL-04]]</f>
        <v>0</v>
      </c>
      <c r="CR15" s="47">
        <f ca="1">(KH_26_OPT4_KTQT_v4[[#This Row],[ĐGVC-KNĐ]]+KH_26_OPT4_KTQT_v4[[#This Row],[ĐGVC-KXK]])*KH_26_OPT4_KTQT_v4[[#This Row],[SL-05]]</f>
        <v>0</v>
      </c>
      <c r="CS15" s="47">
        <f ca="1">(KH_26_OPT4_KTQT_v4[[#This Row],[ĐGVC-KNĐ]]+KH_26_OPT4_KTQT_v4[[#This Row],[ĐGVC-KXK]])*KH_26_OPT4_KTQT_v4[[#This Row],[SL-06]]</f>
        <v>0</v>
      </c>
      <c r="CT15" s="47">
        <f ca="1">(KH_26_OPT4_KTQT_v4[[#This Row],[ĐGVC-KNĐ]]+KH_26_OPT4_KTQT_v4[[#This Row],[ĐGVC-KXK]])*KH_26_OPT4_KTQT_v4[[#This Row],[SL-07]]</f>
        <v>0</v>
      </c>
      <c r="CU15" s="47">
        <f ca="1">(KH_26_OPT4_KTQT_v4[[#This Row],[ĐGVC-KNĐ]]+KH_26_OPT4_KTQT_v4[[#This Row],[ĐGVC-KXK]])*KH_26_OPT4_KTQT_v4[[#This Row],[SL-08]]</f>
        <v>0</v>
      </c>
      <c r="CV15" s="47">
        <f ca="1">(KH_26_OPT4_KTQT_v4[[#This Row],[ĐGVC-KNĐ]]+KH_26_OPT4_KTQT_v4[[#This Row],[ĐGVC-KXK]])*KH_26_OPT4_KTQT_v4[[#This Row],[SL-09]]</f>
        <v>0</v>
      </c>
      <c r="CW15" s="47">
        <f ca="1">(KH_26_OPT4_KTQT_v4[[#This Row],[ĐGVC-KNĐ]]+KH_26_OPT4_KTQT_v4[[#This Row],[ĐGVC-KXK]])*KH_26_OPT4_KTQT_v4[[#This Row],[SL-10]]</f>
        <v>0</v>
      </c>
      <c r="CX15" s="47">
        <f ca="1">(KH_26_OPT4_KTQT_v4[[#This Row],[ĐGVC-KNĐ]]+KH_26_OPT4_KTQT_v4[[#This Row],[ĐGVC-KXK]])*KH_26_OPT4_KTQT_v4[[#This Row],[SL-11]]</f>
        <v>0</v>
      </c>
      <c r="CY15" s="47">
        <f ca="1">(KH_26_OPT4_KTQT_v4[[#This Row],[ĐGVC-KNĐ]]+KH_26_OPT4_KTQT_v4[[#This Row],[ĐGVC-KXK]])*KH_26_OPT4_KTQT_v4[[#This Row],[SL-12]]</f>
        <v>0</v>
      </c>
      <c r="CZ15" s="47">
        <f ca="1">SUM(KH_26_OPT4_KTQT_v4[[#This Row],[CPVC-01]:[CPVC-12]])</f>
        <v>0</v>
      </c>
      <c r="DA15" s="124">
        <f ca="1">KH_26_OPT4_KTQT_v4[[#This Row],[DT-EXW-01]]+KH_26_OPT4_KTQT_v4[[#This Row],[CPVC-01]]+KH_26_OPT4_KTQT_v4[[#This Row],[CPHH-01]]</f>
        <v>3643750000</v>
      </c>
      <c r="DB15" s="47">
        <f ca="1">KH_26_OPT4_KTQT_v4[[#This Row],[DT-EXW-02]]+KH_26_OPT4_KTQT_v4[[#This Row],[CPVC-02]]+KH_26_OPT4_KTQT_v4[[#This Row],[CPHH-02]]</f>
        <v>3643750000</v>
      </c>
      <c r="DC15" s="47">
        <f ca="1">KH_26_OPT4_KTQT_v4[[#This Row],[DT-EXW-03]]+KH_26_OPT4_KTQT_v4[[#This Row],[CPVC-03]]+KH_26_OPT4_KTQT_v4[[#This Row],[CPHH-03]]</f>
        <v>3643750000</v>
      </c>
      <c r="DD15" s="47">
        <f ca="1">KH_26_OPT4_KTQT_v4[[#This Row],[DT-EXW-04]]+KH_26_OPT4_KTQT_v4[[#This Row],[CPVC-04]]+KH_26_OPT4_KTQT_v4[[#This Row],[CPHH-04]]</f>
        <v>3643750000</v>
      </c>
      <c r="DE15" s="47">
        <f ca="1">KH_26_OPT4_KTQT_v4[[#This Row],[DT-EXW-05]]+KH_26_OPT4_KTQT_v4[[#This Row],[CPVC-05]]+KH_26_OPT4_KTQT_v4[[#This Row],[CPHH-05]]</f>
        <v>3643750000</v>
      </c>
      <c r="DF15" s="47">
        <f ca="1">KH_26_OPT4_KTQT_v4[[#This Row],[DT-EXW-06]]+KH_26_OPT4_KTQT_v4[[#This Row],[CPVC-06]]+KH_26_OPT4_KTQT_v4[[#This Row],[CPHH-06]]</f>
        <v>3643750000</v>
      </c>
      <c r="DG15" s="47">
        <f ca="1">KH_26_OPT4_KTQT_v4[[#This Row],[DT-EXW-07]]+KH_26_OPT4_KTQT_v4[[#This Row],[CPVC-07]]+KH_26_OPT4_KTQT_v4[[#This Row],[CPHH-07]]</f>
        <v>3643750000</v>
      </c>
      <c r="DH15" s="47">
        <f ca="1">KH_26_OPT4_KTQT_v4[[#This Row],[DT-EXW-08]]+KH_26_OPT4_KTQT_v4[[#This Row],[CPVC-08]]+KH_26_OPT4_KTQT_v4[[#This Row],[CPHH-08]]</f>
        <v>3643750000</v>
      </c>
      <c r="DI15" s="47">
        <f ca="1">KH_26_OPT4_KTQT_v4[[#This Row],[DT-EXW-09]]+KH_26_OPT4_KTQT_v4[[#This Row],[CPVC-09]]+KH_26_OPT4_KTQT_v4[[#This Row],[CPHH-09]]</f>
        <v>3643750000</v>
      </c>
      <c r="DJ15" s="47">
        <f ca="1">KH_26_OPT4_KTQT_v4[[#This Row],[DT-EXW-10]]+KH_26_OPT4_KTQT_v4[[#This Row],[CPVC-10]]+KH_26_OPT4_KTQT_v4[[#This Row],[CPHH-10]]</f>
        <v>3643750000</v>
      </c>
      <c r="DK15" s="47">
        <f ca="1">KH_26_OPT4_KTQT_v4[[#This Row],[DT-EXW-11]]+KH_26_OPT4_KTQT_v4[[#This Row],[CPVC-11]]+KH_26_OPT4_KTQT_v4[[#This Row],[CPHH-11]]</f>
        <v>3643750000</v>
      </c>
      <c r="DL15" s="47">
        <f ca="1">KH_26_OPT4_KTQT_v4[[#This Row],[DT-EXW-12]]+KH_26_OPT4_KTQT_v4[[#This Row],[CPVC-12]]+KH_26_OPT4_KTQT_v4[[#This Row],[CPHH-12]]</f>
        <v>3643750000</v>
      </c>
      <c r="DM15" s="47">
        <f ca="1">SUM(KH_26_OPT4_KTQT_v4[[#This Row],[DT-01]:[DT-12]])</f>
        <v>43725000000</v>
      </c>
      <c r="DN15" s="7"/>
      <c r="DO15" s="7"/>
      <c r="DP15" s="125"/>
      <c r="DQ15" s="136"/>
      <c r="DR15" s="132">
        <f>IFERROR(KH_26_OPT4_KTQT_v4[[#This Row],[DT-EXW-01]]*KH_26_OPT4_KTQT_v4[[#This Row],[%CPDP]],0)</f>
        <v>0</v>
      </c>
      <c r="DS15" s="132">
        <f>IFERROR(KH_26_OPT4_KTQT_v4[[#This Row],[DT-EXW-02]]*KH_26_OPT4_KTQT_v4[[#This Row],[%CPDP]],0)</f>
        <v>0</v>
      </c>
      <c r="DT15" s="132">
        <f>IFERROR(KH_26_OPT4_KTQT_v4[[#This Row],[DT-EXW-03]]*KH_26_OPT4_KTQT_v4[[#This Row],[%CPDP]],0)</f>
        <v>0</v>
      </c>
      <c r="DU15" s="132">
        <f>IFERROR(KH_26_OPT4_KTQT_v4[[#This Row],[DT-EXW-04]]*KH_26_OPT4_KTQT_v4[[#This Row],[%CPDP]],0)</f>
        <v>0</v>
      </c>
      <c r="DV15" s="132">
        <f>IFERROR(KH_26_OPT4_KTQT_v4[[#This Row],[DT-EXW-05]]*KH_26_OPT4_KTQT_v4[[#This Row],[%CPDP]],0)</f>
        <v>0</v>
      </c>
      <c r="DW15" s="132">
        <f>IFERROR(KH_26_OPT4_KTQT_v4[[#This Row],[DT-EXW-06]]*KH_26_OPT4_KTQT_v4[[#This Row],[%CPDP]],0)</f>
        <v>0</v>
      </c>
      <c r="DX15" s="132">
        <f>IFERROR(KH_26_OPT4_KTQT_v4[[#This Row],[DT-EXW-07]]*KH_26_OPT4_KTQT_v4[[#This Row],[%CPDP]],0)</f>
        <v>0</v>
      </c>
      <c r="DY15" s="132">
        <f>IFERROR(KH_26_OPT4_KTQT_v4[[#This Row],[DT-EXW-08]]*KH_26_OPT4_KTQT_v4[[#This Row],[%CPDP]],0)</f>
        <v>0</v>
      </c>
      <c r="DZ15" s="132">
        <f>IFERROR(KH_26_OPT4_KTQT_v4[[#This Row],[DT-EXW-09]]*KH_26_OPT4_KTQT_v4[[#This Row],[%CPDP]],0)</f>
        <v>0</v>
      </c>
      <c r="EA15" s="132">
        <f>IFERROR(KH_26_OPT4_KTQT_v4[[#This Row],[DT-EXW-10]]*KH_26_OPT4_KTQT_v4[[#This Row],[%CPDP]],0)</f>
        <v>0</v>
      </c>
      <c r="EB15" s="132">
        <f>IFERROR(KH_26_OPT4_KTQT_v4[[#This Row],[DT-EXW-11]]*KH_26_OPT4_KTQT_v4[[#This Row],[%CPDP]],0)</f>
        <v>0</v>
      </c>
      <c r="EC15" s="132">
        <f>IFERROR(KH_26_OPT4_KTQT_v4[[#This Row],[DT-EXW-12]]*KH_26_OPT4_KTQT_v4[[#This Row],[%CPDP]],0)</f>
        <v>0</v>
      </c>
      <c r="ED15" s="131">
        <f ca="1">SUM(KH_26_OPT4_KTQT_v4[[#This Row],[CPDP-01]:[CPDP-12]])</f>
        <v>0</v>
      </c>
    </row>
    <row r="16" spans="1:134" ht="14.5" hidden="1" x14ac:dyDescent="0.35">
      <c r="A16" s="18">
        <v>11</v>
      </c>
      <c r="B16" s="71" t="s">
        <v>97</v>
      </c>
      <c r="C16" s="18" t="str">
        <f>IFERROR(_xlfn.XLOOKUP(KH_26_OPT4_KTQT_v4[[#This Row],[Salesman]],MD_Salesman[Salesman],MD_Salesman[SalesManager]),"")</f>
        <v>Cường</v>
      </c>
      <c r="D16" s="72" t="str">
        <f>IFERROR(INDEX(MD_Customer[Mã khách],MATCH(KH_26_OPT4_KTQT_v4[[#This Row],[Tên khách]],MD_Customer[Tên khách-rút gọn],0)),"")</f>
        <v>200391</v>
      </c>
      <c r="E16" s="7" t="str">
        <f>IFERROR(INDEX(MD_Customer[Parent Account],MATCH(KH_26_OPT4_KTQT_v4[[#This Row],[Tên khách]],MD_Customer[Tên khách-rút gọn],0)),"")</f>
        <v>SHARPAK AYLESHAM LTD</v>
      </c>
      <c r="F16" s="35" t="s">
        <v>35</v>
      </c>
      <c r="G16" s="7" t="str">
        <f>IFERROR(INDEX(MD_Customer[Phân loại],MATCH(KH_26_OPT4_KTQT_v4[[#This Row],[Tên khách]],MD_Customer[Tên khách-rút gọn],0)),"")</f>
        <v>Mới</v>
      </c>
      <c r="H16" s="7" t="str">
        <f>IFERROR(INDEX(MD_Customer[Kênh bán hàng],MATCH(KH_26_OPT4_KTQT_v4[[#This Row],[Tên khách]],MD_Customer[Tên khách-rút gọn],0)),"")</f>
        <v>Xuất khẩu</v>
      </c>
      <c r="I16" s="35" t="s">
        <v>284</v>
      </c>
      <c r="J16" s="7" t="str">
        <f>IFERROR(INDEX(MD_Destination[Nước],MATCH(KH_26_OPT4_KTQT_v4[[#This Row],[Địa điểm đến]],MD_Destination[Địa điểm đến],0)),"")</f>
        <v>UK</v>
      </c>
      <c r="K16" s="7" t="str">
        <f>IFERROR(INDEX(MD_Destination[Khu vực],MATCH(KH_26_OPT4_KTQT_v4[[#This Row],[Địa điểm đến]],MD_Destination[Địa điểm đến],0)),"")</f>
        <v>Châu Âu</v>
      </c>
      <c r="L16" s="35" t="s">
        <v>285</v>
      </c>
      <c r="M16" s="7" t="str">
        <f>IFERROR(INDEX(MD_SKU[Mã SKU],MATCH(KH_26_OPT4_KTQT_v4[[#This Row],[Tên sản phẩm]],MD_SKU[Tên SKU-rút gọn],0)),"")</f>
        <v>110000507</v>
      </c>
      <c r="N16" s="35" t="s">
        <v>14</v>
      </c>
      <c r="O16" s="7" t="str">
        <f>IFERROR(INDEX(MD_SKU[Ngành hàng],MATCH(KH_26_OPT4_KTQT_v4[[#This Row],[Tên sản phẩm]],MD_SKU[Tên SKU-rút gọn],0)),"")</f>
        <v>rPET</v>
      </c>
      <c r="P16" s="7" t="str">
        <f>IFERROR(INDEX(MD_SKU[Nhóm ngành],MATCH(KH_26_OPT4_KTQT_v4[[#This Row],[Tên sản phẩm]],MD_SKU[Tên SKU-rút gọn],0)),"")</f>
        <v>Vảy PET</v>
      </c>
      <c r="Q16" s="7" t="str">
        <f>IFERROR(
   IF(INDEX(MD_SKU[IV/IM],MATCH(KH_26_OPT4_KTQT_v4[[#This Row],[Tên sản phẩm]],MD_SKU[Tên SKU-rút gọn],0))=0,
      "",
      INDEX(MD_SKU[IV/IM],MATCH(KH_26_OPT4_KTQT_v4[[#This Row],[Tên sản phẩm]],MD_SKU[Tên SKU-rút gọn],0))
   ),
"")</f>
        <v/>
      </c>
      <c r="R16" s="44">
        <f>IFERROR(INDEX(MD_SKU[Application],MATCH(KH_26_OPT4_KTQT_v4[[#This Row],[Tên sản phẩm]],MD_SKU[Tên SKU-rút gọn],0)),"")</f>
        <v>0</v>
      </c>
      <c r="S16" s="7" t="str">
        <f>IFERROR(INDEX(MD_SKU[Phân loại],MATCH(KH_26_OPT4_KTQT_v4[[#This Row],[Tên sản phẩm]],MD_SKU[Tên SKU-rút gọn],0)),"")</f>
        <v>Cũ</v>
      </c>
      <c r="T16" s="7" t="s">
        <v>35</v>
      </c>
      <c r="U16" s="7" t="s">
        <v>1508</v>
      </c>
      <c r="V16" s="70">
        <v>0.8</v>
      </c>
      <c r="W16" s="51"/>
      <c r="X16" s="51"/>
      <c r="Y16" s="51"/>
      <c r="Z16" s="51"/>
      <c r="AA16" s="51"/>
      <c r="AB16" s="51"/>
      <c r="AC16" s="51"/>
      <c r="AD16" s="51"/>
      <c r="AE16" s="51"/>
      <c r="AF16" s="51"/>
      <c r="AG16" s="51"/>
      <c r="AH16" s="51"/>
      <c r="AI16" s="47">
        <f ca="1">SUM(KH_26_OPT4_KTQT_v4[[#This Row],[SL-01]:[SL-12]])</f>
        <v>0</v>
      </c>
      <c r="AJ16" s="47">
        <f ca="1">SUMIFS(DB_25[SL-DB25],DB_25[Mã khách],KH_26_OPT4_KTQT_v4[[#This Row],[Mã khách]],DB_25[Mã sản phẩm],KH_26_OPT4_KTQT_v4[[#This Row],[Mã sản phẩm]])</f>
        <v>0</v>
      </c>
      <c r="AK16" s="20">
        <f ca="1">KH_26_OPT4_KTQT_v4[[#This Row],[SL-KH26]]-KH_26_OPT4_KTQT_v4[[#This Row],[SL-DB25]]</f>
        <v>0</v>
      </c>
      <c r="AL16" s="21">
        <f ca="1">IFERROR(KH_26_OPT4_KTQT_v4[[#This Row],[SL-+/-]]/KH_26_OPT4_KTQT_v4[[#This Row],[SL-DB25]],0)</f>
        <v>0</v>
      </c>
      <c r="AM16" s="51">
        <v>750</v>
      </c>
      <c r="AN16" s="51">
        <v>750</v>
      </c>
      <c r="AO16" s="51">
        <v>750</v>
      </c>
      <c r="AP16" s="51">
        <v>750</v>
      </c>
      <c r="AQ16" s="51">
        <v>750</v>
      </c>
      <c r="AR16" s="51">
        <v>750</v>
      </c>
      <c r="AS16" s="51">
        <v>750</v>
      </c>
      <c r="AT16" s="51">
        <v>750</v>
      </c>
      <c r="AU16" s="51">
        <v>750</v>
      </c>
      <c r="AV16" s="51">
        <v>750</v>
      </c>
      <c r="AW16" s="51">
        <v>750</v>
      </c>
      <c r="AX16" s="51">
        <v>750</v>
      </c>
      <c r="AY16" s="23">
        <v>750</v>
      </c>
      <c r="AZ16" s="7"/>
      <c r="BA16" s="24">
        <f>KH_26_OPT4_KTQT_v4[[#This Row],[GB-DB25]]-KH_26_OPT4_KTQT_v4[[#This Row],[GB-KH25]]</f>
        <v>750</v>
      </c>
      <c r="BB16" s="21">
        <f>IFERROR(KH_26_OPT4_KTQT_v4[[#This Row],[GB-+/-]]/KH_26_OPT4_KTQT_v4[[#This Row],[GB-KH25]],0)</f>
        <v>0</v>
      </c>
      <c r="BC16" s="21"/>
      <c r="BD16" s="47">
        <f>KH_26_OPT4_KTQT_v4[[#This Row],[SL-01]]*KH_26_OPT4_KTQT_v4[[#This Row],[GB-01]]*EXR</f>
        <v>0</v>
      </c>
      <c r="BE16" s="47">
        <f>KH_26_OPT4_KTQT_v4[[#This Row],[SL-02]]*KH_26_OPT4_KTQT_v4[[#This Row],[GB-02]]*EXR</f>
        <v>0</v>
      </c>
      <c r="BF16" s="47">
        <f>KH_26_OPT4_KTQT_v4[[#This Row],[SL-03]]*KH_26_OPT4_KTQT_v4[[#This Row],[GB-03]]*EXR</f>
        <v>0</v>
      </c>
      <c r="BG16" s="47">
        <f>KH_26_OPT4_KTQT_v4[[#This Row],[SL-04]]*KH_26_OPT4_KTQT_v4[[#This Row],[GB-04]]*EXR</f>
        <v>0</v>
      </c>
      <c r="BH16" s="47">
        <f>KH_26_OPT4_KTQT_v4[[#This Row],[SL-05]]*KH_26_OPT4_KTQT_v4[[#This Row],[GB-05]]*EXR</f>
        <v>0</v>
      </c>
      <c r="BI16" s="47">
        <f>KH_26_OPT4_KTQT_v4[[#This Row],[SL-06]]*KH_26_OPT4_KTQT_v4[[#This Row],[GB-06]]*EXR</f>
        <v>0</v>
      </c>
      <c r="BJ16" s="47">
        <f>KH_26_OPT4_KTQT_v4[[#This Row],[SL-07]]*KH_26_OPT4_KTQT_v4[[#This Row],[GB-07]]*EXR</f>
        <v>0</v>
      </c>
      <c r="BK16" s="47">
        <f>KH_26_OPT4_KTQT_v4[[#This Row],[SL-08]]*KH_26_OPT4_KTQT_v4[[#This Row],[GB-08]]*EXR</f>
        <v>0</v>
      </c>
      <c r="BL16" s="47">
        <f>KH_26_OPT4_KTQT_v4[[#This Row],[SL-09]]*KH_26_OPT4_KTQT_v4[[#This Row],[GB-09]]*EXR</f>
        <v>0</v>
      </c>
      <c r="BM16" s="47">
        <f>KH_26_OPT4_KTQT_v4[[#This Row],[SL-10]]*KH_26_OPT4_KTQT_v4[[#This Row],[GB-10]]*EXR</f>
        <v>0</v>
      </c>
      <c r="BN16" s="47">
        <f>KH_26_OPT4_KTQT_v4[[#This Row],[SL-11]]*KH_26_OPT4_KTQT_v4[[#This Row],[GB-11]]*EXR</f>
        <v>0</v>
      </c>
      <c r="BO16" s="47">
        <f>KH_26_OPT4_KTQT_v4[[#This Row],[SL-12]]*KH_26_OPT4_KTQT_v4[[#This Row],[GB-12]]*EXR</f>
        <v>0</v>
      </c>
      <c r="BP16" s="47">
        <f ca="1">SUM(KH_26_OPT4_KTQT_v4[[#This Row],[DT-EXW-01]:[DT-EXW-12]])</f>
        <v>0</v>
      </c>
      <c r="BQ16" s="47">
        <f ca="1">SUMIFS(DB_25[DT-DB25],DB_25[Mã khách],KH_26_OPT4_KTQT_v4[[#This Row],[Mã khách]],DB_25[Mã sản phẩm],KH_26_OPT4_KTQT_v4[[#This Row],[Mã sản phẩm]])</f>
        <v>0</v>
      </c>
      <c r="BR16" s="19">
        <f ca="1">KH_26_OPT4_KTQT_v4[[#This Row],[DT-EXW-KH26]]-KH_26_OPT4_KTQT_v4[[#This Row],[DT-EXW-DB25]]</f>
        <v>0</v>
      </c>
      <c r="BS16" s="21">
        <f ca="1">IFERROR(KH_26_OPT4_KTQT_v4[[#This Row],[DT-EXW-+/-]]/KH_26_OPT4_KTQT_v4[[#This Row],[DT-EXW-DB25]],0)</f>
        <v>0</v>
      </c>
      <c r="BT16" s="139"/>
      <c r="BU16" s="57"/>
      <c r="BV16" s="51"/>
      <c r="BW16" s="47">
        <f>IF(KH_26_OPT4_KTQT_v4[[#This Row],[CPHH-%-SL]]="Dthu",KH_26_OPT4_KTQT_v4[[#This Row],[%HH]]*KH_26_OPT4_KTQT_v4[[#This Row],[DT-EXW-01]],KH_26_OPT4_KTQT_v4[[#This Row],[HH-SL]]*KH_26_OPT4_KTQT_v4[[#This Row],[SL-01]])</f>
        <v>0</v>
      </c>
      <c r="BX16" s="47">
        <f>IF(KH_26_OPT4_KTQT_v4[[#This Row],[CPHH-%-SL]]="Dthu",KH_26_OPT4_KTQT_v4[[#This Row],[%HH]]*KH_26_OPT4_KTQT_v4[[#This Row],[DT-EXW-02]],KH_26_OPT4_KTQT_v4[[#This Row],[HH-SL]]*KH_26_OPT4_KTQT_v4[[#This Row],[SL-02]])</f>
        <v>0</v>
      </c>
      <c r="BY16" s="47">
        <f>IF(KH_26_OPT4_KTQT_v4[[#This Row],[CPHH-%-SL]]="Dthu",KH_26_OPT4_KTQT_v4[[#This Row],[%HH]]*KH_26_OPT4_KTQT_v4[[#This Row],[DT-EXW-03]],KH_26_OPT4_KTQT_v4[[#This Row],[HH-SL]]*KH_26_OPT4_KTQT_v4[[#This Row],[SL-03]])</f>
        <v>0</v>
      </c>
      <c r="BZ16" s="47">
        <f>IF(KH_26_OPT4_KTQT_v4[[#This Row],[CPHH-%-SL]]="Dthu",KH_26_OPT4_KTQT_v4[[#This Row],[%HH]]*KH_26_OPT4_KTQT_v4[[#This Row],[DT-EXW-04]],KH_26_OPT4_KTQT_v4[[#This Row],[HH-SL]]*KH_26_OPT4_KTQT_v4[[#This Row],[SL-04]])</f>
        <v>0</v>
      </c>
      <c r="CA16" s="47">
        <f>IF(KH_26_OPT4_KTQT_v4[[#This Row],[CPHH-%-SL]]="Dthu",KH_26_OPT4_KTQT_v4[[#This Row],[%HH]]*KH_26_OPT4_KTQT_v4[[#This Row],[DT-EXW-05]],KH_26_OPT4_KTQT_v4[[#This Row],[HH-SL]]*KH_26_OPT4_KTQT_v4[[#This Row],[SL-05]])</f>
        <v>0</v>
      </c>
      <c r="CB16" s="47">
        <f>IF(KH_26_OPT4_KTQT_v4[[#This Row],[CPHH-%-SL]]="Dthu",KH_26_OPT4_KTQT_v4[[#This Row],[%HH]]*KH_26_OPT4_KTQT_v4[[#This Row],[DT-EXW-06]],KH_26_OPT4_KTQT_v4[[#This Row],[HH-SL]]*KH_26_OPT4_KTQT_v4[[#This Row],[SL-06]])</f>
        <v>0</v>
      </c>
      <c r="CC16" s="47">
        <f>IF(KH_26_OPT4_KTQT_v4[[#This Row],[CPHH-%-SL]]="Dthu",KH_26_OPT4_KTQT_v4[[#This Row],[%HH]]*KH_26_OPT4_KTQT_v4[[#This Row],[DT-EXW-07]],KH_26_OPT4_KTQT_v4[[#This Row],[HH-SL]]*KH_26_OPT4_KTQT_v4[[#This Row],[SL-07]])</f>
        <v>0</v>
      </c>
      <c r="CD16" s="47">
        <f>IF(KH_26_OPT4_KTQT_v4[[#This Row],[CPHH-%-SL]]="Dthu",KH_26_OPT4_KTQT_v4[[#This Row],[%HH]]*KH_26_OPT4_KTQT_v4[[#This Row],[DT-EXW-08]],KH_26_OPT4_KTQT_v4[[#This Row],[HH-SL]]*KH_26_OPT4_KTQT_v4[[#This Row],[SL-08]])</f>
        <v>0</v>
      </c>
      <c r="CE16" s="47">
        <f>IF(KH_26_OPT4_KTQT_v4[[#This Row],[CPHH-%-SL]]="Dthu",KH_26_OPT4_KTQT_v4[[#This Row],[%HH]]*KH_26_OPT4_KTQT_v4[[#This Row],[DT-EXW-09]],KH_26_OPT4_KTQT_v4[[#This Row],[HH-SL]]*KH_26_OPT4_KTQT_v4[[#This Row],[SL-09]])</f>
        <v>0</v>
      </c>
      <c r="CF16" s="47">
        <f>IF(KH_26_OPT4_KTQT_v4[[#This Row],[CPHH-%-SL]]="Dthu",KH_26_OPT4_KTQT_v4[[#This Row],[%HH]]*KH_26_OPT4_KTQT_v4[[#This Row],[DT-EXW-10]],KH_26_OPT4_KTQT_v4[[#This Row],[HH-SL]]*KH_26_OPT4_KTQT_v4[[#This Row],[SL-10]])</f>
        <v>0</v>
      </c>
      <c r="CG16" s="47">
        <f>IF(KH_26_OPT4_KTQT_v4[[#This Row],[CPHH-%-SL]]="Dthu",KH_26_OPT4_KTQT_v4[[#This Row],[%HH]]*KH_26_OPT4_KTQT_v4[[#This Row],[DT-EXW-11]],KH_26_OPT4_KTQT_v4[[#This Row],[HH-SL]]*KH_26_OPT4_KTQT_v4[[#This Row],[SL-11]])</f>
        <v>0</v>
      </c>
      <c r="CH16" s="47">
        <f>IF(KH_26_OPT4_KTQT_v4[[#This Row],[CPHH-%-SL]]="Dthu",KH_26_OPT4_KTQT_v4[[#This Row],[%HH]]*KH_26_OPT4_KTQT_v4[[#This Row],[DT-EXW-12]],KH_26_OPT4_KTQT_v4[[#This Row],[HH-SL]]*KH_26_OPT4_KTQT_v4[[#This Row],[SL-12]])</f>
        <v>0</v>
      </c>
      <c r="CI16" s="47">
        <f ca="1">SUM(KH_26_OPT4_KTQT_v4[[#This Row],[CPHH-01]:[CPHH-12]])</f>
        <v>0</v>
      </c>
      <c r="CJ16" s="47" cm="1">
        <f t="array" ref="CJ16">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6" s="19">
        <f ca="1">SUM(KH_26_OPT4_KTQT_v4[[#This Row],[ĐGVCNĐ-KXK]:[ĐGVCCT-KXK]])</f>
        <v>2698181.8181818179</v>
      </c>
      <c r="CL16" s="47" cm="1">
        <f t="array" ref="CL16">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530000</v>
      </c>
      <c r="CM16" s="47" cm="1">
        <f t="array" ref="CM16">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2168181.8181818179</v>
      </c>
      <c r="CN16" s="47">
        <f ca="1">(KH_26_OPT4_KTQT_v4[[#This Row],[ĐGVC-KNĐ]]+KH_26_OPT4_KTQT_v4[[#This Row],[ĐGVC-KXK]])*KH_26_OPT4_KTQT_v4[[#This Row],[SL-01]]</f>
        <v>0</v>
      </c>
      <c r="CO16" s="47">
        <f ca="1">(KH_26_OPT4_KTQT_v4[[#This Row],[ĐGVC-KNĐ]]+KH_26_OPT4_KTQT_v4[[#This Row],[ĐGVC-KXK]])*KH_26_OPT4_KTQT_v4[[#This Row],[SL-02]]</f>
        <v>0</v>
      </c>
      <c r="CP16" s="47">
        <f ca="1">(KH_26_OPT4_KTQT_v4[[#This Row],[ĐGVC-KNĐ]]+KH_26_OPT4_KTQT_v4[[#This Row],[ĐGVC-KXK]])*KH_26_OPT4_KTQT_v4[[#This Row],[SL-03]]</f>
        <v>0</v>
      </c>
      <c r="CQ16" s="47">
        <f ca="1">(KH_26_OPT4_KTQT_v4[[#This Row],[ĐGVC-KNĐ]]+KH_26_OPT4_KTQT_v4[[#This Row],[ĐGVC-KXK]])*KH_26_OPT4_KTQT_v4[[#This Row],[SL-04]]</f>
        <v>0</v>
      </c>
      <c r="CR16" s="47">
        <f ca="1">(KH_26_OPT4_KTQT_v4[[#This Row],[ĐGVC-KNĐ]]+KH_26_OPT4_KTQT_v4[[#This Row],[ĐGVC-KXK]])*KH_26_OPT4_KTQT_v4[[#This Row],[SL-05]]</f>
        <v>0</v>
      </c>
      <c r="CS16" s="47">
        <f ca="1">(KH_26_OPT4_KTQT_v4[[#This Row],[ĐGVC-KNĐ]]+KH_26_OPT4_KTQT_v4[[#This Row],[ĐGVC-KXK]])*KH_26_OPT4_KTQT_v4[[#This Row],[SL-06]]</f>
        <v>0</v>
      </c>
      <c r="CT16" s="47">
        <f ca="1">(KH_26_OPT4_KTQT_v4[[#This Row],[ĐGVC-KNĐ]]+KH_26_OPT4_KTQT_v4[[#This Row],[ĐGVC-KXK]])*KH_26_OPT4_KTQT_v4[[#This Row],[SL-07]]</f>
        <v>0</v>
      </c>
      <c r="CU16" s="47">
        <f ca="1">(KH_26_OPT4_KTQT_v4[[#This Row],[ĐGVC-KNĐ]]+KH_26_OPT4_KTQT_v4[[#This Row],[ĐGVC-KXK]])*KH_26_OPT4_KTQT_v4[[#This Row],[SL-08]]</f>
        <v>0</v>
      </c>
      <c r="CV16" s="47">
        <f ca="1">(KH_26_OPT4_KTQT_v4[[#This Row],[ĐGVC-KNĐ]]+KH_26_OPT4_KTQT_v4[[#This Row],[ĐGVC-KXK]])*KH_26_OPT4_KTQT_v4[[#This Row],[SL-09]]</f>
        <v>0</v>
      </c>
      <c r="CW16" s="47">
        <f ca="1">(KH_26_OPT4_KTQT_v4[[#This Row],[ĐGVC-KNĐ]]+KH_26_OPT4_KTQT_v4[[#This Row],[ĐGVC-KXK]])*KH_26_OPT4_KTQT_v4[[#This Row],[SL-10]]</f>
        <v>0</v>
      </c>
      <c r="CX16" s="47">
        <f ca="1">(KH_26_OPT4_KTQT_v4[[#This Row],[ĐGVC-KNĐ]]+KH_26_OPT4_KTQT_v4[[#This Row],[ĐGVC-KXK]])*KH_26_OPT4_KTQT_v4[[#This Row],[SL-11]]</f>
        <v>0</v>
      </c>
      <c r="CY16" s="47">
        <f ca="1">(KH_26_OPT4_KTQT_v4[[#This Row],[ĐGVC-KNĐ]]+KH_26_OPT4_KTQT_v4[[#This Row],[ĐGVC-KXK]])*KH_26_OPT4_KTQT_v4[[#This Row],[SL-12]]</f>
        <v>0</v>
      </c>
      <c r="CZ16" s="47">
        <f ca="1">SUM(KH_26_OPT4_KTQT_v4[[#This Row],[CPVC-01]:[CPVC-12]])</f>
        <v>0</v>
      </c>
      <c r="DA16" s="124">
        <f ca="1">KH_26_OPT4_KTQT_v4[[#This Row],[DT-EXW-01]]+KH_26_OPT4_KTQT_v4[[#This Row],[CPVC-01]]+KH_26_OPT4_KTQT_v4[[#This Row],[CPHH-01]]</f>
        <v>0</v>
      </c>
      <c r="DB16" s="47">
        <f ca="1">KH_26_OPT4_KTQT_v4[[#This Row],[DT-EXW-02]]+KH_26_OPT4_KTQT_v4[[#This Row],[CPVC-02]]+KH_26_OPT4_KTQT_v4[[#This Row],[CPHH-02]]</f>
        <v>0</v>
      </c>
      <c r="DC16" s="47">
        <f ca="1">KH_26_OPT4_KTQT_v4[[#This Row],[DT-EXW-03]]+KH_26_OPT4_KTQT_v4[[#This Row],[CPVC-03]]+KH_26_OPT4_KTQT_v4[[#This Row],[CPHH-03]]</f>
        <v>0</v>
      </c>
      <c r="DD16" s="47">
        <f ca="1">KH_26_OPT4_KTQT_v4[[#This Row],[DT-EXW-04]]+KH_26_OPT4_KTQT_v4[[#This Row],[CPVC-04]]+KH_26_OPT4_KTQT_v4[[#This Row],[CPHH-04]]</f>
        <v>0</v>
      </c>
      <c r="DE16" s="47">
        <f ca="1">KH_26_OPT4_KTQT_v4[[#This Row],[DT-EXW-05]]+KH_26_OPT4_KTQT_v4[[#This Row],[CPVC-05]]+KH_26_OPT4_KTQT_v4[[#This Row],[CPHH-05]]</f>
        <v>0</v>
      </c>
      <c r="DF16" s="47">
        <f ca="1">KH_26_OPT4_KTQT_v4[[#This Row],[DT-EXW-06]]+KH_26_OPT4_KTQT_v4[[#This Row],[CPVC-06]]+KH_26_OPT4_KTQT_v4[[#This Row],[CPHH-06]]</f>
        <v>0</v>
      </c>
      <c r="DG16" s="47">
        <f ca="1">KH_26_OPT4_KTQT_v4[[#This Row],[DT-EXW-07]]+KH_26_OPT4_KTQT_v4[[#This Row],[CPVC-07]]+KH_26_OPT4_KTQT_v4[[#This Row],[CPHH-07]]</f>
        <v>0</v>
      </c>
      <c r="DH16" s="47">
        <f ca="1">KH_26_OPT4_KTQT_v4[[#This Row],[DT-EXW-08]]+KH_26_OPT4_KTQT_v4[[#This Row],[CPVC-08]]+KH_26_OPT4_KTQT_v4[[#This Row],[CPHH-08]]</f>
        <v>0</v>
      </c>
      <c r="DI16" s="47">
        <f ca="1">KH_26_OPT4_KTQT_v4[[#This Row],[DT-EXW-09]]+KH_26_OPT4_KTQT_v4[[#This Row],[CPVC-09]]+KH_26_OPT4_KTQT_v4[[#This Row],[CPHH-09]]</f>
        <v>0</v>
      </c>
      <c r="DJ16" s="47">
        <f ca="1">KH_26_OPT4_KTQT_v4[[#This Row],[DT-EXW-10]]+KH_26_OPT4_KTQT_v4[[#This Row],[CPVC-10]]+KH_26_OPT4_KTQT_v4[[#This Row],[CPHH-10]]</f>
        <v>0</v>
      </c>
      <c r="DK16" s="47">
        <f ca="1">KH_26_OPT4_KTQT_v4[[#This Row],[DT-EXW-11]]+KH_26_OPT4_KTQT_v4[[#This Row],[CPVC-11]]+KH_26_OPT4_KTQT_v4[[#This Row],[CPHH-11]]</f>
        <v>0</v>
      </c>
      <c r="DL16" s="47">
        <f ca="1">KH_26_OPT4_KTQT_v4[[#This Row],[DT-EXW-12]]+KH_26_OPT4_KTQT_v4[[#This Row],[CPVC-12]]+KH_26_OPT4_KTQT_v4[[#This Row],[CPHH-12]]</f>
        <v>0</v>
      </c>
      <c r="DM16" s="47">
        <f ca="1">SUM(KH_26_OPT4_KTQT_v4[[#This Row],[DT-01]:[DT-12]])</f>
        <v>0</v>
      </c>
      <c r="DN16" s="7"/>
      <c r="DO16" s="7"/>
      <c r="DP16" s="125"/>
      <c r="DQ16" s="136"/>
      <c r="DR16" s="132">
        <f>IFERROR(KH_26_OPT4_KTQT_v4[[#This Row],[DT-EXW-01]]*KH_26_OPT4_KTQT_v4[[#This Row],[%CPDP]],0)</f>
        <v>0</v>
      </c>
      <c r="DS16" s="132">
        <f>IFERROR(KH_26_OPT4_KTQT_v4[[#This Row],[DT-EXW-02]]*KH_26_OPT4_KTQT_v4[[#This Row],[%CPDP]],0)</f>
        <v>0</v>
      </c>
      <c r="DT16" s="132">
        <f>IFERROR(KH_26_OPT4_KTQT_v4[[#This Row],[DT-EXW-03]]*KH_26_OPT4_KTQT_v4[[#This Row],[%CPDP]],0)</f>
        <v>0</v>
      </c>
      <c r="DU16" s="132">
        <f>IFERROR(KH_26_OPT4_KTQT_v4[[#This Row],[DT-EXW-04]]*KH_26_OPT4_KTQT_v4[[#This Row],[%CPDP]],0)</f>
        <v>0</v>
      </c>
      <c r="DV16" s="132">
        <f>IFERROR(KH_26_OPT4_KTQT_v4[[#This Row],[DT-EXW-05]]*KH_26_OPT4_KTQT_v4[[#This Row],[%CPDP]],0)</f>
        <v>0</v>
      </c>
      <c r="DW16" s="132">
        <f>IFERROR(KH_26_OPT4_KTQT_v4[[#This Row],[DT-EXW-06]]*KH_26_OPT4_KTQT_v4[[#This Row],[%CPDP]],0)</f>
        <v>0</v>
      </c>
      <c r="DX16" s="132">
        <f>IFERROR(KH_26_OPT4_KTQT_v4[[#This Row],[DT-EXW-07]]*KH_26_OPT4_KTQT_v4[[#This Row],[%CPDP]],0)</f>
        <v>0</v>
      </c>
      <c r="DY16" s="132">
        <f>IFERROR(KH_26_OPT4_KTQT_v4[[#This Row],[DT-EXW-08]]*KH_26_OPT4_KTQT_v4[[#This Row],[%CPDP]],0)</f>
        <v>0</v>
      </c>
      <c r="DZ16" s="132">
        <f>IFERROR(KH_26_OPT4_KTQT_v4[[#This Row],[DT-EXW-09]]*KH_26_OPT4_KTQT_v4[[#This Row],[%CPDP]],0)</f>
        <v>0</v>
      </c>
      <c r="EA16" s="132">
        <f>IFERROR(KH_26_OPT4_KTQT_v4[[#This Row],[DT-EXW-10]]*KH_26_OPT4_KTQT_v4[[#This Row],[%CPDP]],0)</f>
        <v>0</v>
      </c>
      <c r="EB16" s="132">
        <f>IFERROR(KH_26_OPT4_KTQT_v4[[#This Row],[DT-EXW-11]]*KH_26_OPT4_KTQT_v4[[#This Row],[%CPDP]],0)</f>
        <v>0</v>
      </c>
      <c r="EC16" s="132">
        <f>IFERROR(KH_26_OPT4_KTQT_v4[[#This Row],[DT-EXW-12]]*KH_26_OPT4_KTQT_v4[[#This Row],[%CPDP]],0)</f>
        <v>0</v>
      </c>
      <c r="ED16" s="131">
        <f ca="1">SUM(KH_26_OPT4_KTQT_v4[[#This Row],[CPDP-01]:[CPDP-12]])</f>
        <v>0</v>
      </c>
    </row>
    <row r="17" spans="1:134" ht="14.5" hidden="1" x14ac:dyDescent="0.35">
      <c r="A17" s="18">
        <v>12</v>
      </c>
      <c r="B17" s="71" t="s">
        <v>115</v>
      </c>
      <c r="C17" s="18" t="str">
        <f>IFERROR(_xlfn.XLOOKUP(KH_26_OPT4_KTQT_v4[[#This Row],[Salesman]],MD_Salesman[Salesman],MD_Salesman[SalesManager]),"")</f>
        <v>Quốc Anh</v>
      </c>
      <c r="D17" s="72" t="str">
        <f>IFERROR(INDEX(MD_Customer[Mã khách],MATCH(KH_26_OPT4_KTQT_v4[[#This Row],[Tên khách]],MD_Customer[Tên khách-rút gọn],0)),"")</f>
        <v>105356</v>
      </c>
      <c r="E17" s="7" t="str">
        <f>IFERROR(INDEX(MD_Customer[Parent Account],MATCH(KH_26_OPT4_KTQT_v4[[#This Row],[Tên khách]],MD_Customer[Tên khách-rút gọn],0)),"")</f>
        <v>Quang Chí Bảo</v>
      </c>
      <c r="F17" s="35" t="s">
        <v>23</v>
      </c>
      <c r="G17" s="7" t="str">
        <f>IFERROR(INDEX(MD_Customer[Phân loại],MATCH(KH_26_OPT4_KTQT_v4[[#This Row],[Tên khách]],MD_Customer[Tên khách-rút gọn],0)),"")</f>
        <v>Mới</v>
      </c>
      <c r="H17" s="7" t="str">
        <f>IFERROR(INDEX(MD_Customer[Kênh bán hàng],MATCH(KH_26_OPT4_KTQT_v4[[#This Row],[Tên khách]],MD_Customer[Tên khách-rút gọn],0)),"")</f>
        <v>Nội địa</v>
      </c>
      <c r="I17" s="35" t="s">
        <v>261</v>
      </c>
      <c r="J17" s="7" t="str">
        <f>IFERROR(INDEX(MD_Destination[Nước],MATCH(KH_26_OPT4_KTQT_v4[[#This Row],[Địa điểm đến]],MD_Destination[Địa điểm đến],0)),"")</f>
        <v>Việt Nam</v>
      </c>
      <c r="K17" s="7" t="str">
        <f>IFERROR(INDEX(MD_Destination[Khu vực],MATCH(KH_26_OPT4_KTQT_v4[[#This Row],[Địa điểm đến]],MD_Destination[Địa điểm đến],0)),"")</f>
        <v>Châu Á</v>
      </c>
      <c r="L17" s="35" t="s">
        <v>260</v>
      </c>
      <c r="M17" s="7" t="str">
        <f>IFERROR(INDEX(MD_SKU[Mã SKU],MATCH(KH_26_OPT4_KTQT_v4[[#This Row],[Tên sản phẩm]],MD_SKU[Tên SKU-rút gọn],0)),"")</f>
        <v>110000436</v>
      </c>
      <c r="N17" s="35" t="s">
        <v>484</v>
      </c>
      <c r="O17" s="7" t="str">
        <f>IFERROR(INDEX(MD_SKU[Ngành hàng],MATCH(KH_26_OPT4_KTQT_v4[[#This Row],[Tên sản phẩm]],MD_SKU[Tên SKU-rút gọn],0)),"")</f>
        <v>Xơ sợi</v>
      </c>
      <c r="P17" s="7" t="str">
        <f>IFERROR(INDEX(MD_SKU[Nhóm ngành],MATCH(KH_26_OPT4_KTQT_v4[[#This Row],[Tên sản phẩm]],MD_SKU[Tên SKU-rút gọn],0)),"")</f>
        <v>Hạt Xơ sợi</v>
      </c>
      <c r="Q17" s="7" t="str">
        <f>IFERROR(
   IF(INDEX(MD_SKU[IV/IM],MATCH(KH_26_OPT4_KTQT_v4[[#This Row],[Tên sản phẩm]],MD_SKU[Tên SKU-rút gọn],0))=0,
      "",
      INDEX(MD_SKU[IV/IM],MATCH(KH_26_OPT4_KTQT_v4[[#This Row],[Tên sản phẩm]],MD_SKU[Tên SKU-rút gọn],0))
   ),
"")</f>
        <v>0.55 ± 0.05</v>
      </c>
      <c r="R17" s="44">
        <f>IFERROR(INDEX(MD_SKU[Application],MATCH(KH_26_OPT4_KTQT_v4[[#This Row],[Tên sản phẩm]],MD_SKU[Tên SKU-rút gọn],0)),"")</f>
        <v>0</v>
      </c>
      <c r="S17" s="7" t="str">
        <f>IFERROR(INDEX(MD_SKU[Phân loại],MATCH(KH_26_OPT4_KTQT_v4[[#This Row],[Tên sản phẩm]],MD_SKU[Tên SKU-rút gọn],0)),"")</f>
        <v>Cũ</v>
      </c>
      <c r="T17" s="7" t="s">
        <v>23</v>
      </c>
      <c r="U17" s="157" t="s">
        <v>1508</v>
      </c>
      <c r="V17" s="70">
        <v>0.8</v>
      </c>
      <c r="W17" s="51">
        <v>86.586983333333322</v>
      </c>
      <c r="X17" s="51">
        <v>86.586983333333322</v>
      </c>
      <c r="Y17" s="51">
        <v>86.586983333333322</v>
      </c>
      <c r="Z17" s="51">
        <v>86.586983333333322</v>
      </c>
      <c r="AA17" s="51">
        <v>86.586983333333322</v>
      </c>
      <c r="AB17" s="51">
        <v>86.586983333333322</v>
      </c>
      <c r="AC17" s="51">
        <v>86.586983333333322</v>
      </c>
      <c r="AD17" s="51">
        <v>86.586983333333322</v>
      </c>
      <c r="AE17" s="51">
        <v>86.586983333333322</v>
      </c>
      <c r="AF17" s="51">
        <v>86.586983333333322</v>
      </c>
      <c r="AG17" s="51">
        <v>86.586983333333322</v>
      </c>
      <c r="AH17" s="51">
        <v>86.586983333333322</v>
      </c>
      <c r="AI17" s="47">
        <f ca="1">SUM(KH_26_OPT4_KTQT_v4[[#This Row],[SL-01]:[SL-12]])</f>
        <v>1039.0438000000001</v>
      </c>
      <c r="AJ17" s="47">
        <f ca="1">SUMIFS(DB_25[SL-DB25],DB_25[Mã khách],KH_26_OPT4_KTQT_v4[[#This Row],[Mã khách]],DB_25[Mã sản phẩm],KH_26_OPT4_KTQT_v4[[#This Row],[Mã sản phẩm]])</f>
        <v>997.95</v>
      </c>
      <c r="AK17" s="20">
        <f ca="1">KH_26_OPT4_KTQT_v4[[#This Row],[SL-KH26]]-KH_26_OPT4_KTQT_v4[[#This Row],[SL-DB25]]</f>
        <v>41.093800000000101</v>
      </c>
      <c r="AL17" s="21">
        <f ca="1">IFERROR(KH_26_OPT4_KTQT_v4[[#This Row],[SL-+/-]]/KH_26_OPT4_KTQT_v4[[#This Row],[SL-DB25]],0)</f>
        <v>4.1178215341450074E-2</v>
      </c>
      <c r="AM17" s="51">
        <v>640</v>
      </c>
      <c r="AN17" s="51">
        <v>632</v>
      </c>
      <c r="AO17" s="51">
        <v>624</v>
      </c>
      <c r="AP17" s="51">
        <v>616</v>
      </c>
      <c r="AQ17" s="51">
        <v>608</v>
      </c>
      <c r="AR17" s="51">
        <v>600</v>
      </c>
      <c r="AS17" s="51">
        <v>592</v>
      </c>
      <c r="AT17" s="51">
        <v>584</v>
      </c>
      <c r="AU17" s="51">
        <v>576</v>
      </c>
      <c r="AV17" s="51">
        <v>568</v>
      </c>
      <c r="AW17" s="51">
        <v>560</v>
      </c>
      <c r="AX17" s="51">
        <v>552</v>
      </c>
      <c r="AY17" s="23">
        <v>596</v>
      </c>
      <c r="AZ17" s="7"/>
      <c r="BA17" s="24">
        <f>KH_26_OPT4_KTQT_v4[[#This Row],[GB-DB25]]-KH_26_OPT4_KTQT_v4[[#This Row],[GB-KH25]]</f>
        <v>596</v>
      </c>
      <c r="BB17" s="21">
        <f>IFERROR(KH_26_OPT4_KTQT_v4[[#This Row],[GB-+/-]]/KH_26_OPT4_KTQT_v4[[#This Row],[GB-KH25]],0)</f>
        <v>0</v>
      </c>
      <c r="BC17" s="21"/>
      <c r="BD17" s="47">
        <f>KH_26_OPT4_KTQT_v4[[#This Row],[SL-01]]*KH_26_OPT4_KTQT_v4[[#This Row],[GB-01]]*EXR</f>
        <v>1468515237.333333</v>
      </c>
      <c r="BE17" s="47">
        <f>KH_26_OPT4_KTQT_v4[[#This Row],[SL-02]]*KH_26_OPT4_KTQT_v4[[#This Row],[GB-02]]*EXR</f>
        <v>1450158796.8666666</v>
      </c>
      <c r="BF17" s="47">
        <f>KH_26_OPT4_KTQT_v4[[#This Row],[SL-03]]*KH_26_OPT4_KTQT_v4[[#This Row],[GB-03]]*EXR</f>
        <v>1431802356.3999999</v>
      </c>
      <c r="BG17" s="47">
        <f>KH_26_OPT4_KTQT_v4[[#This Row],[SL-04]]*KH_26_OPT4_KTQT_v4[[#This Row],[GB-04]]*EXR</f>
        <v>1413445915.9333332</v>
      </c>
      <c r="BH17" s="47">
        <f>KH_26_OPT4_KTQT_v4[[#This Row],[SL-05]]*KH_26_OPT4_KTQT_v4[[#This Row],[GB-05]]*EXR</f>
        <v>1395089475.4666665</v>
      </c>
      <c r="BI17" s="47">
        <f>KH_26_OPT4_KTQT_v4[[#This Row],[SL-06]]*KH_26_OPT4_KTQT_v4[[#This Row],[GB-06]]*EXR</f>
        <v>1376733034.9999998</v>
      </c>
      <c r="BJ17" s="47">
        <f>KH_26_OPT4_KTQT_v4[[#This Row],[SL-07]]*KH_26_OPT4_KTQT_v4[[#This Row],[GB-07]]*EXR</f>
        <v>1358376594.5333331</v>
      </c>
      <c r="BK17" s="47">
        <f>KH_26_OPT4_KTQT_v4[[#This Row],[SL-08]]*KH_26_OPT4_KTQT_v4[[#This Row],[GB-08]]*EXR</f>
        <v>1340020154.0666664</v>
      </c>
      <c r="BL17" s="47">
        <f>KH_26_OPT4_KTQT_v4[[#This Row],[SL-09]]*KH_26_OPT4_KTQT_v4[[#This Row],[GB-09]]*EXR</f>
        <v>1321663713.5999999</v>
      </c>
      <c r="BM17" s="47">
        <f>KH_26_OPT4_KTQT_v4[[#This Row],[SL-10]]*KH_26_OPT4_KTQT_v4[[#This Row],[GB-10]]*EXR</f>
        <v>1303307273.1333332</v>
      </c>
      <c r="BN17" s="47">
        <f>KH_26_OPT4_KTQT_v4[[#This Row],[SL-11]]*KH_26_OPT4_KTQT_v4[[#This Row],[GB-11]]*EXR</f>
        <v>1284950832.6666665</v>
      </c>
      <c r="BO17" s="47">
        <f>KH_26_OPT4_KTQT_v4[[#This Row],[SL-12]]*KH_26_OPT4_KTQT_v4[[#This Row],[GB-12]]*EXR</f>
        <v>1266594392.1999998</v>
      </c>
      <c r="BP17" s="47">
        <f ca="1">SUM(KH_26_OPT4_KTQT_v4[[#This Row],[DT-EXW-01]:[DT-EXW-12]])</f>
        <v>16410657777.199997</v>
      </c>
      <c r="BQ17" s="47">
        <f ca="1">SUMIFS(DB_25[DT-DB25],DB_25[Mã khách],KH_26_OPT4_KTQT_v4[[#This Row],[Mã khách]],DB_25[Mã sản phẩm],KH_26_OPT4_KTQT_v4[[#This Row],[Mã sản phẩm]])</f>
        <v>5994506181.0431871</v>
      </c>
      <c r="BR17" s="47">
        <f ca="1">KH_26_OPT4_KTQT_v4[[#This Row],[DT-EXW-KH26]]-KH_26_OPT4_KTQT_v4[[#This Row],[DT-EXW-DB25]]</f>
        <v>10416151596.156811</v>
      </c>
      <c r="BS17" s="21">
        <f ca="1">IFERROR(KH_26_OPT4_KTQT_v4[[#This Row],[DT-EXW-+/-]]/KH_26_OPT4_KTQT_v4[[#This Row],[DT-EXW-DB25]],0)</f>
        <v>1.7376162909125823</v>
      </c>
      <c r="BT17" s="139"/>
      <c r="BU17" s="57"/>
      <c r="BV17" s="51"/>
      <c r="BW17" s="47">
        <f>IF(KH_26_OPT4_KTQT_v4[[#This Row],[CPHH-%-SL]]="Dthu",KH_26_OPT4_KTQT_v4[[#This Row],[%HH]]*KH_26_OPT4_KTQT_v4[[#This Row],[DT-EXW-01]],KH_26_OPT4_KTQT_v4[[#This Row],[HH-SL]]*KH_26_OPT4_KTQT_v4[[#This Row],[SL-01]])</f>
        <v>0</v>
      </c>
      <c r="BX17" s="47">
        <f>IF(KH_26_OPT4_KTQT_v4[[#This Row],[CPHH-%-SL]]="Dthu",KH_26_OPT4_KTQT_v4[[#This Row],[%HH]]*KH_26_OPT4_KTQT_v4[[#This Row],[DT-EXW-02]],KH_26_OPT4_KTQT_v4[[#This Row],[HH-SL]]*KH_26_OPT4_KTQT_v4[[#This Row],[SL-02]])</f>
        <v>0</v>
      </c>
      <c r="BY17" s="47">
        <f>IF(KH_26_OPT4_KTQT_v4[[#This Row],[CPHH-%-SL]]="Dthu",KH_26_OPT4_KTQT_v4[[#This Row],[%HH]]*KH_26_OPT4_KTQT_v4[[#This Row],[DT-EXW-03]],KH_26_OPT4_KTQT_v4[[#This Row],[HH-SL]]*KH_26_OPT4_KTQT_v4[[#This Row],[SL-03]])</f>
        <v>0</v>
      </c>
      <c r="BZ17" s="47">
        <f>IF(KH_26_OPT4_KTQT_v4[[#This Row],[CPHH-%-SL]]="Dthu",KH_26_OPT4_KTQT_v4[[#This Row],[%HH]]*KH_26_OPT4_KTQT_v4[[#This Row],[DT-EXW-04]],KH_26_OPT4_KTQT_v4[[#This Row],[HH-SL]]*KH_26_OPT4_KTQT_v4[[#This Row],[SL-04]])</f>
        <v>0</v>
      </c>
      <c r="CA17" s="47">
        <f>IF(KH_26_OPT4_KTQT_v4[[#This Row],[CPHH-%-SL]]="Dthu",KH_26_OPT4_KTQT_v4[[#This Row],[%HH]]*KH_26_OPT4_KTQT_v4[[#This Row],[DT-EXW-05]],KH_26_OPT4_KTQT_v4[[#This Row],[HH-SL]]*KH_26_OPT4_KTQT_v4[[#This Row],[SL-05]])</f>
        <v>0</v>
      </c>
      <c r="CB17" s="47">
        <f>IF(KH_26_OPT4_KTQT_v4[[#This Row],[CPHH-%-SL]]="Dthu",KH_26_OPT4_KTQT_v4[[#This Row],[%HH]]*KH_26_OPT4_KTQT_v4[[#This Row],[DT-EXW-06]],KH_26_OPT4_KTQT_v4[[#This Row],[HH-SL]]*KH_26_OPT4_KTQT_v4[[#This Row],[SL-06]])</f>
        <v>0</v>
      </c>
      <c r="CC17" s="47">
        <f>IF(KH_26_OPT4_KTQT_v4[[#This Row],[CPHH-%-SL]]="Dthu",KH_26_OPT4_KTQT_v4[[#This Row],[%HH]]*KH_26_OPT4_KTQT_v4[[#This Row],[DT-EXW-07]],KH_26_OPT4_KTQT_v4[[#This Row],[HH-SL]]*KH_26_OPT4_KTQT_v4[[#This Row],[SL-07]])</f>
        <v>0</v>
      </c>
      <c r="CD17" s="47">
        <f>IF(KH_26_OPT4_KTQT_v4[[#This Row],[CPHH-%-SL]]="Dthu",KH_26_OPT4_KTQT_v4[[#This Row],[%HH]]*KH_26_OPT4_KTQT_v4[[#This Row],[DT-EXW-08]],KH_26_OPT4_KTQT_v4[[#This Row],[HH-SL]]*KH_26_OPT4_KTQT_v4[[#This Row],[SL-08]])</f>
        <v>0</v>
      </c>
      <c r="CE17" s="47">
        <f>IF(KH_26_OPT4_KTQT_v4[[#This Row],[CPHH-%-SL]]="Dthu",KH_26_OPT4_KTQT_v4[[#This Row],[%HH]]*KH_26_OPT4_KTQT_v4[[#This Row],[DT-EXW-09]],KH_26_OPT4_KTQT_v4[[#This Row],[HH-SL]]*KH_26_OPT4_KTQT_v4[[#This Row],[SL-09]])</f>
        <v>0</v>
      </c>
      <c r="CF17" s="47">
        <f>IF(KH_26_OPT4_KTQT_v4[[#This Row],[CPHH-%-SL]]="Dthu",KH_26_OPT4_KTQT_v4[[#This Row],[%HH]]*KH_26_OPT4_KTQT_v4[[#This Row],[DT-EXW-10]],KH_26_OPT4_KTQT_v4[[#This Row],[HH-SL]]*KH_26_OPT4_KTQT_v4[[#This Row],[SL-10]])</f>
        <v>0</v>
      </c>
      <c r="CG17" s="47">
        <f>IF(KH_26_OPT4_KTQT_v4[[#This Row],[CPHH-%-SL]]="Dthu",KH_26_OPT4_KTQT_v4[[#This Row],[%HH]]*KH_26_OPT4_KTQT_v4[[#This Row],[DT-EXW-11]],KH_26_OPT4_KTQT_v4[[#This Row],[HH-SL]]*KH_26_OPT4_KTQT_v4[[#This Row],[SL-11]])</f>
        <v>0</v>
      </c>
      <c r="CH17" s="47">
        <f>IF(KH_26_OPT4_KTQT_v4[[#This Row],[CPHH-%-SL]]="Dthu",KH_26_OPT4_KTQT_v4[[#This Row],[%HH]]*KH_26_OPT4_KTQT_v4[[#This Row],[DT-EXW-12]],KH_26_OPT4_KTQT_v4[[#This Row],[HH-SL]]*KH_26_OPT4_KTQT_v4[[#This Row],[SL-12]])</f>
        <v>0</v>
      </c>
      <c r="CI17" s="47">
        <f ca="1">SUM(KH_26_OPT4_KTQT_v4[[#This Row],[CPHH-01]:[CPHH-12]])</f>
        <v>0</v>
      </c>
      <c r="CJ17" s="47" cm="1">
        <f t="array" ref="CJ17">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7" s="19">
        <f ca="1">SUM(KH_26_OPT4_KTQT_v4[[#This Row],[ĐGVCNĐ-KXK]:[ĐGVCCT-KXK]])</f>
        <v>0</v>
      </c>
      <c r="CL17" s="47" cm="1">
        <f t="array" ref="CL17">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17" s="47" cm="1">
        <f t="array" ref="CM17">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7" s="47">
        <f ca="1">(KH_26_OPT4_KTQT_v4[[#This Row],[ĐGVC-KNĐ]]+KH_26_OPT4_KTQT_v4[[#This Row],[ĐGVC-KXK]])*KH_26_OPT4_KTQT_v4[[#This Row],[SL-01]]</f>
        <v>0</v>
      </c>
      <c r="CO17" s="47">
        <f ca="1">(KH_26_OPT4_KTQT_v4[[#This Row],[ĐGVC-KNĐ]]+KH_26_OPT4_KTQT_v4[[#This Row],[ĐGVC-KXK]])*KH_26_OPT4_KTQT_v4[[#This Row],[SL-02]]</f>
        <v>0</v>
      </c>
      <c r="CP17" s="47">
        <f ca="1">(KH_26_OPT4_KTQT_v4[[#This Row],[ĐGVC-KNĐ]]+KH_26_OPT4_KTQT_v4[[#This Row],[ĐGVC-KXK]])*KH_26_OPT4_KTQT_v4[[#This Row],[SL-03]]</f>
        <v>0</v>
      </c>
      <c r="CQ17" s="47">
        <f ca="1">(KH_26_OPT4_KTQT_v4[[#This Row],[ĐGVC-KNĐ]]+KH_26_OPT4_KTQT_v4[[#This Row],[ĐGVC-KXK]])*KH_26_OPT4_KTQT_v4[[#This Row],[SL-04]]</f>
        <v>0</v>
      </c>
      <c r="CR17" s="47">
        <f ca="1">(KH_26_OPT4_KTQT_v4[[#This Row],[ĐGVC-KNĐ]]+KH_26_OPT4_KTQT_v4[[#This Row],[ĐGVC-KXK]])*KH_26_OPT4_KTQT_v4[[#This Row],[SL-05]]</f>
        <v>0</v>
      </c>
      <c r="CS17" s="47">
        <f ca="1">(KH_26_OPT4_KTQT_v4[[#This Row],[ĐGVC-KNĐ]]+KH_26_OPT4_KTQT_v4[[#This Row],[ĐGVC-KXK]])*KH_26_OPT4_KTQT_v4[[#This Row],[SL-06]]</f>
        <v>0</v>
      </c>
      <c r="CT17" s="47">
        <f ca="1">(KH_26_OPT4_KTQT_v4[[#This Row],[ĐGVC-KNĐ]]+KH_26_OPT4_KTQT_v4[[#This Row],[ĐGVC-KXK]])*KH_26_OPT4_KTQT_v4[[#This Row],[SL-07]]</f>
        <v>0</v>
      </c>
      <c r="CU17" s="47">
        <f ca="1">(KH_26_OPT4_KTQT_v4[[#This Row],[ĐGVC-KNĐ]]+KH_26_OPT4_KTQT_v4[[#This Row],[ĐGVC-KXK]])*KH_26_OPT4_KTQT_v4[[#This Row],[SL-08]]</f>
        <v>0</v>
      </c>
      <c r="CV17" s="47">
        <f ca="1">(KH_26_OPT4_KTQT_v4[[#This Row],[ĐGVC-KNĐ]]+KH_26_OPT4_KTQT_v4[[#This Row],[ĐGVC-KXK]])*KH_26_OPT4_KTQT_v4[[#This Row],[SL-09]]</f>
        <v>0</v>
      </c>
      <c r="CW17" s="47">
        <f ca="1">(KH_26_OPT4_KTQT_v4[[#This Row],[ĐGVC-KNĐ]]+KH_26_OPT4_KTQT_v4[[#This Row],[ĐGVC-KXK]])*KH_26_OPT4_KTQT_v4[[#This Row],[SL-10]]</f>
        <v>0</v>
      </c>
      <c r="CX17" s="47">
        <f ca="1">(KH_26_OPT4_KTQT_v4[[#This Row],[ĐGVC-KNĐ]]+KH_26_OPT4_KTQT_v4[[#This Row],[ĐGVC-KXK]])*KH_26_OPT4_KTQT_v4[[#This Row],[SL-11]]</f>
        <v>0</v>
      </c>
      <c r="CY17" s="47">
        <f ca="1">(KH_26_OPT4_KTQT_v4[[#This Row],[ĐGVC-KNĐ]]+KH_26_OPT4_KTQT_v4[[#This Row],[ĐGVC-KXK]])*KH_26_OPT4_KTQT_v4[[#This Row],[SL-12]]</f>
        <v>0</v>
      </c>
      <c r="CZ17" s="47">
        <f ca="1">SUM(KH_26_OPT4_KTQT_v4[[#This Row],[CPVC-01]:[CPVC-12]])</f>
        <v>0</v>
      </c>
      <c r="DA17" s="124">
        <f ca="1">KH_26_OPT4_KTQT_v4[[#This Row],[DT-EXW-01]]+KH_26_OPT4_KTQT_v4[[#This Row],[CPVC-01]]+KH_26_OPT4_KTQT_v4[[#This Row],[CPHH-01]]</f>
        <v>1468515237.333333</v>
      </c>
      <c r="DB17" s="47">
        <f ca="1">KH_26_OPT4_KTQT_v4[[#This Row],[DT-EXW-02]]+KH_26_OPT4_KTQT_v4[[#This Row],[CPVC-02]]+KH_26_OPT4_KTQT_v4[[#This Row],[CPHH-02]]</f>
        <v>1450158796.8666666</v>
      </c>
      <c r="DC17" s="47">
        <f ca="1">KH_26_OPT4_KTQT_v4[[#This Row],[DT-EXW-03]]+KH_26_OPT4_KTQT_v4[[#This Row],[CPVC-03]]+KH_26_OPT4_KTQT_v4[[#This Row],[CPHH-03]]</f>
        <v>1431802356.3999999</v>
      </c>
      <c r="DD17" s="47">
        <f ca="1">KH_26_OPT4_KTQT_v4[[#This Row],[DT-EXW-04]]+KH_26_OPT4_KTQT_v4[[#This Row],[CPVC-04]]+KH_26_OPT4_KTQT_v4[[#This Row],[CPHH-04]]</f>
        <v>1413445915.9333332</v>
      </c>
      <c r="DE17" s="47">
        <f ca="1">KH_26_OPT4_KTQT_v4[[#This Row],[DT-EXW-05]]+KH_26_OPT4_KTQT_v4[[#This Row],[CPVC-05]]+KH_26_OPT4_KTQT_v4[[#This Row],[CPHH-05]]</f>
        <v>1395089475.4666665</v>
      </c>
      <c r="DF17" s="47">
        <f ca="1">KH_26_OPT4_KTQT_v4[[#This Row],[DT-EXW-06]]+KH_26_OPT4_KTQT_v4[[#This Row],[CPVC-06]]+KH_26_OPT4_KTQT_v4[[#This Row],[CPHH-06]]</f>
        <v>1376733034.9999998</v>
      </c>
      <c r="DG17" s="47">
        <f ca="1">KH_26_OPT4_KTQT_v4[[#This Row],[DT-EXW-07]]+KH_26_OPT4_KTQT_v4[[#This Row],[CPVC-07]]+KH_26_OPT4_KTQT_v4[[#This Row],[CPHH-07]]</f>
        <v>1358376594.5333331</v>
      </c>
      <c r="DH17" s="47">
        <f ca="1">KH_26_OPT4_KTQT_v4[[#This Row],[DT-EXW-08]]+KH_26_OPT4_KTQT_v4[[#This Row],[CPVC-08]]+KH_26_OPT4_KTQT_v4[[#This Row],[CPHH-08]]</f>
        <v>1340020154.0666664</v>
      </c>
      <c r="DI17" s="47">
        <f ca="1">KH_26_OPT4_KTQT_v4[[#This Row],[DT-EXW-09]]+KH_26_OPT4_KTQT_v4[[#This Row],[CPVC-09]]+KH_26_OPT4_KTQT_v4[[#This Row],[CPHH-09]]</f>
        <v>1321663713.5999999</v>
      </c>
      <c r="DJ17" s="47">
        <f ca="1">KH_26_OPT4_KTQT_v4[[#This Row],[DT-EXW-10]]+KH_26_OPT4_KTQT_v4[[#This Row],[CPVC-10]]+KH_26_OPT4_KTQT_v4[[#This Row],[CPHH-10]]</f>
        <v>1303307273.1333332</v>
      </c>
      <c r="DK17" s="47">
        <f ca="1">KH_26_OPT4_KTQT_v4[[#This Row],[DT-EXW-11]]+KH_26_OPT4_KTQT_v4[[#This Row],[CPVC-11]]+KH_26_OPT4_KTQT_v4[[#This Row],[CPHH-11]]</f>
        <v>1284950832.6666665</v>
      </c>
      <c r="DL17" s="47">
        <f ca="1">KH_26_OPT4_KTQT_v4[[#This Row],[DT-EXW-12]]+KH_26_OPT4_KTQT_v4[[#This Row],[CPVC-12]]+KH_26_OPT4_KTQT_v4[[#This Row],[CPHH-12]]</f>
        <v>1266594392.1999998</v>
      </c>
      <c r="DM17" s="47">
        <f ca="1">SUM(KH_26_OPT4_KTQT_v4[[#This Row],[DT-01]:[DT-12]])</f>
        <v>16410657777.199997</v>
      </c>
      <c r="DN17" s="7"/>
      <c r="DO17" s="7"/>
      <c r="DP17" s="125"/>
      <c r="DQ17" s="136"/>
      <c r="DR17" s="132">
        <f>IFERROR(KH_26_OPT4_KTQT_v4[[#This Row],[DT-EXW-01]]*KH_26_OPT4_KTQT_v4[[#This Row],[%CPDP]],0)</f>
        <v>0</v>
      </c>
      <c r="DS17" s="132">
        <f>IFERROR(KH_26_OPT4_KTQT_v4[[#This Row],[DT-EXW-02]]*KH_26_OPT4_KTQT_v4[[#This Row],[%CPDP]],0)</f>
        <v>0</v>
      </c>
      <c r="DT17" s="132">
        <f>IFERROR(KH_26_OPT4_KTQT_v4[[#This Row],[DT-EXW-03]]*KH_26_OPT4_KTQT_v4[[#This Row],[%CPDP]],0)</f>
        <v>0</v>
      </c>
      <c r="DU17" s="132">
        <f>IFERROR(KH_26_OPT4_KTQT_v4[[#This Row],[DT-EXW-04]]*KH_26_OPT4_KTQT_v4[[#This Row],[%CPDP]],0)</f>
        <v>0</v>
      </c>
      <c r="DV17" s="132">
        <f>IFERROR(KH_26_OPT4_KTQT_v4[[#This Row],[DT-EXW-05]]*KH_26_OPT4_KTQT_v4[[#This Row],[%CPDP]],0)</f>
        <v>0</v>
      </c>
      <c r="DW17" s="132">
        <f>IFERROR(KH_26_OPT4_KTQT_v4[[#This Row],[DT-EXW-06]]*KH_26_OPT4_KTQT_v4[[#This Row],[%CPDP]],0)</f>
        <v>0</v>
      </c>
      <c r="DX17" s="132">
        <f>IFERROR(KH_26_OPT4_KTQT_v4[[#This Row],[DT-EXW-07]]*KH_26_OPT4_KTQT_v4[[#This Row],[%CPDP]],0)</f>
        <v>0</v>
      </c>
      <c r="DY17" s="132">
        <f>IFERROR(KH_26_OPT4_KTQT_v4[[#This Row],[DT-EXW-08]]*KH_26_OPT4_KTQT_v4[[#This Row],[%CPDP]],0)</f>
        <v>0</v>
      </c>
      <c r="DZ17" s="132">
        <f>IFERROR(KH_26_OPT4_KTQT_v4[[#This Row],[DT-EXW-09]]*KH_26_OPT4_KTQT_v4[[#This Row],[%CPDP]],0)</f>
        <v>0</v>
      </c>
      <c r="EA17" s="132">
        <f>IFERROR(KH_26_OPT4_KTQT_v4[[#This Row],[DT-EXW-10]]*KH_26_OPT4_KTQT_v4[[#This Row],[%CPDP]],0)</f>
        <v>0</v>
      </c>
      <c r="EB17" s="132">
        <f>IFERROR(KH_26_OPT4_KTQT_v4[[#This Row],[DT-EXW-11]]*KH_26_OPT4_KTQT_v4[[#This Row],[%CPDP]],0)</f>
        <v>0</v>
      </c>
      <c r="EC17" s="132">
        <f>IFERROR(KH_26_OPT4_KTQT_v4[[#This Row],[DT-EXW-12]]*KH_26_OPT4_KTQT_v4[[#This Row],[%CPDP]],0)</f>
        <v>0</v>
      </c>
      <c r="ED17" s="131">
        <f ca="1">SUM(KH_26_OPT4_KTQT_v4[[#This Row],[CPDP-01]:[CPDP-12]])</f>
        <v>0</v>
      </c>
    </row>
    <row r="18" spans="1:134" ht="14.5" hidden="1" x14ac:dyDescent="0.35">
      <c r="A18" s="18">
        <v>13</v>
      </c>
      <c r="B18" s="71" t="s">
        <v>509</v>
      </c>
      <c r="C18" s="18" t="str">
        <f>IFERROR(_xlfn.XLOOKUP(KH_26_OPT4_KTQT_v4[[#This Row],[Salesman]],MD_Salesman[Salesman],MD_Salesman[SalesManager]),"")</f>
        <v>Cường</v>
      </c>
      <c r="D18" s="72" t="str">
        <f>IFERROR(INDEX(MD_Customer[Mã khách],MATCH(KH_26_OPT4_KTQT_v4[[#This Row],[Tên khách]],MD_Customer[Tên khách-rút gọn],0)),"")</f>
        <v>NS26-NEWCUS-017</v>
      </c>
      <c r="E18" s="7" t="str">
        <f>IFERROR(INDEX(MD_Customer[Parent Account],MATCH(KH_26_OPT4_KTQT_v4[[#This Row],[Tên khách]],MD_Customer[Tên khách-rút gọn],0)),"")</f>
        <v>New Developments - Vảy PET - XK</v>
      </c>
      <c r="F18" s="35" t="s">
        <v>34</v>
      </c>
      <c r="G18" s="7" t="str">
        <f>IFERROR(INDEX(MD_Customer[Phân loại],MATCH(KH_26_OPT4_KTQT_v4[[#This Row],[Tên khách]],MD_Customer[Tên khách-rút gọn],0)),"")</f>
        <v>Mới</v>
      </c>
      <c r="H18" s="7" t="str">
        <f>IFERROR(INDEX(MD_Customer[Kênh bán hàng],MATCH(KH_26_OPT4_KTQT_v4[[#This Row],[Tên khách]],MD_Customer[Tên khách-rút gọn],0)),"")</f>
        <v>Xuất Khẩu</v>
      </c>
      <c r="I18" s="35" t="s">
        <v>277</v>
      </c>
      <c r="J18" s="7" t="str">
        <f>IFERROR(INDEX(MD_Destination[Nước],MATCH(KH_26_OPT4_KTQT_v4[[#This Row],[Địa điểm đến]],MD_Destination[Địa điểm đến],0)),"")</f>
        <v>Mỹ</v>
      </c>
      <c r="K18" s="7" t="str">
        <f>IFERROR(INDEX(MD_Destination[Khu vực],MATCH(KH_26_OPT4_KTQT_v4[[#This Row],[Địa điểm đến]],MD_Destination[Địa điểm đến],0)),"")</f>
        <v>Châu Mỹ</v>
      </c>
      <c r="L18" s="35" t="s">
        <v>278</v>
      </c>
      <c r="M18" s="7" t="str">
        <f>IFERROR(INDEX(MD_SKU[Mã SKU],MATCH(KH_26_OPT4_KTQT_v4[[#This Row],[Tên sản phẩm]],MD_SKU[Tên SKU-rút gọn],0)),"")</f>
        <v>110000507</v>
      </c>
      <c r="N18" s="35" t="s">
        <v>14</v>
      </c>
      <c r="O18" s="7" t="str">
        <f>IFERROR(INDEX(MD_SKU[Ngành hàng],MATCH(KH_26_OPT4_KTQT_v4[[#This Row],[Tên sản phẩm]],MD_SKU[Tên SKU-rút gọn],0)),"")</f>
        <v>rPET</v>
      </c>
      <c r="P18" s="7" t="str">
        <f>IFERROR(INDEX(MD_SKU[Nhóm ngành],MATCH(KH_26_OPT4_KTQT_v4[[#This Row],[Tên sản phẩm]],MD_SKU[Tên SKU-rút gọn],0)),"")</f>
        <v>Vảy PET</v>
      </c>
      <c r="Q18" s="7" t="str">
        <f>IFERROR(
   IF(INDEX(MD_SKU[IV/IM],MATCH(KH_26_OPT4_KTQT_v4[[#This Row],[Tên sản phẩm]],MD_SKU[Tên SKU-rút gọn],0))=0,
      "",
      INDEX(MD_SKU[IV/IM],MATCH(KH_26_OPT4_KTQT_v4[[#This Row],[Tên sản phẩm]],MD_SKU[Tên SKU-rút gọn],0))
   ),
"")</f>
        <v/>
      </c>
      <c r="R18" s="44">
        <f>IFERROR(INDEX(MD_SKU[Application],MATCH(KH_26_OPT4_KTQT_v4[[#This Row],[Tên sản phẩm]],MD_SKU[Tên SKU-rút gọn],0)),"")</f>
        <v>0</v>
      </c>
      <c r="S18" s="7" t="str">
        <f>IFERROR(INDEX(MD_SKU[Phân loại],MATCH(KH_26_OPT4_KTQT_v4[[#This Row],[Tên sản phẩm]],MD_SKU[Tên SKU-rút gọn],0)),"")</f>
        <v>Cũ</v>
      </c>
      <c r="T18" s="7" t="s">
        <v>541</v>
      </c>
      <c r="U18" s="7" t="s">
        <v>1508</v>
      </c>
      <c r="V18" s="70">
        <v>0.8</v>
      </c>
      <c r="W18" s="51"/>
      <c r="X18" s="51"/>
      <c r="Y18" s="51"/>
      <c r="Z18" s="51"/>
      <c r="AA18" s="51"/>
      <c r="AB18" s="51"/>
      <c r="AC18" s="51"/>
      <c r="AD18" s="51"/>
      <c r="AE18" s="51"/>
      <c r="AF18" s="51"/>
      <c r="AG18" s="51"/>
      <c r="AH18" s="51"/>
      <c r="AI18" s="47">
        <f ca="1">SUM(KH_26_OPT4_KTQT_v4[[#This Row],[SL-01]:[SL-12]])</f>
        <v>0</v>
      </c>
      <c r="AJ18" s="47">
        <f ca="1">SUMIFS(DB_25[SL-DB25],DB_25[Mã khách],KH_26_OPT4_KTQT_v4[[#This Row],[Mã khách]],DB_25[Mã sản phẩm],KH_26_OPT4_KTQT_v4[[#This Row],[Mã sản phẩm]])</f>
        <v>0</v>
      </c>
      <c r="AK18" s="20">
        <f ca="1">KH_26_OPT4_KTQT_v4[[#This Row],[SL-KH26]]-KH_26_OPT4_KTQT_v4[[#This Row],[SL-DB25]]</f>
        <v>0</v>
      </c>
      <c r="AL18" s="21">
        <f ca="1">IFERROR(KH_26_OPT4_KTQT_v4[[#This Row],[SL-+/-]]/KH_26_OPT4_KTQT_v4[[#This Row],[SL-DB25]],0)</f>
        <v>0</v>
      </c>
      <c r="AM18" s="51">
        <v>750</v>
      </c>
      <c r="AN18" s="51">
        <v>750</v>
      </c>
      <c r="AO18" s="51">
        <v>750</v>
      </c>
      <c r="AP18" s="51">
        <v>750</v>
      </c>
      <c r="AQ18" s="51">
        <v>750</v>
      </c>
      <c r="AR18" s="51">
        <v>750</v>
      </c>
      <c r="AS18" s="51">
        <v>750</v>
      </c>
      <c r="AT18" s="51">
        <v>750</v>
      </c>
      <c r="AU18" s="51">
        <v>750</v>
      </c>
      <c r="AV18" s="51">
        <v>750</v>
      </c>
      <c r="AW18" s="51">
        <v>750</v>
      </c>
      <c r="AX18" s="51">
        <v>750</v>
      </c>
      <c r="AY18" s="23">
        <v>750</v>
      </c>
      <c r="AZ18" s="7"/>
      <c r="BA18" s="24">
        <f>KH_26_OPT4_KTQT_v4[[#This Row],[GB-DB25]]-KH_26_OPT4_KTQT_v4[[#This Row],[GB-KH25]]</f>
        <v>750</v>
      </c>
      <c r="BB18" s="21">
        <f>IFERROR(KH_26_OPT4_KTQT_v4[[#This Row],[GB-+/-]]/KH_26_OPT4_KTQT_v4[[#This Row],[GB-KH25]],0)</f>
        <v>0</v>
      </c>
      <c r="BC18" s="21"/>
      <c r="BD18" s="47">
        <f>KH_26_OPT4_KTQT_v4[[#This Row],[SL-01]]*KH_26_OPT4_KTQT_v4[[#This Row],[GB-01]]*EXR</f>
        <v>0</v>
      </c>
      <c r="BE18" s="47">
        <f>KH_26_OPT4_KTQT_v4[[#This Row],[SL-02]]*KH_26_OPT4_KTQT_v4[[#This Row],[GB-02]]*EXR</f>
        <v>0</v>
      </c>
      <c r="BF18" s="47">
        <f>KH_26_OPT4_KTQT_v4[[#This Row],[SL-03]]*KH_26_OPT4_KTQT_v4[[#This Row],[GB-03]]*EXR</f>
        <v>0</v>
      </c>
      <c r="BG18" s="47">
        <f>KH_26_OPT4_KTQT_v4[[#This Row],[SL-04]]*KH_26_OPT4_KTQT_v4[[#This Row],[GB-04]]*EXR</f>
        <v>0</v>
      </c>
      <c r="BH18" s="47">
        <f>KH_26_OPT4_KTQT_v4[[#This Row],[SL-05]]*KH_26_OPT4_KTQT_v4[[#This Row],[GB-05]]*EXR</f>
        <v>0</v>
      </c>
      <c r="BI18" s="47">
        <f>KH_26_OPT4_KTQT_v4[[#This Row],[SL-06]]*KH_26_OPT4_KTQT_v4[[#This Row],[GB-06]]*EXR</f>
        <v>0</v>
      </c>
      <c r="BJ18" s="47">
        <f>KH_26_OPT4_KTQT_v4[[#This Row],[SL-07]]*KH_26_OPT4_KTQT_v4[[#This Row],[GB-07]]*EXR</f>
        <v>0</v>
      </c>
      <c r="BK18" s="47">
        <f>KH_26_OPT4_KTQT_v4[[#This Row],[SL-08]]*KH_26_OPT4_KTQT_v4[[#This Row],[GB-08]]*EXR</f>
        <v>0</v>
      </c>
      <c r="BL18" s="47">
        <f>KH_26_OPT4_KTQT_v4[[#This Row],[SL-09]]*KH_26_OPT4_KTQT_v4[[#This Row],[GB-09]]*EXR</f>
        <v>0</v>
      </c>
      <c r="BM18" s="47">
        <f>KH_26_OPT4_KTQT_v4[[#This Row],[SL-10]]*KH_26_OPT4_KTQT_v4[[#This Row],[GB-10]]*EXR</f>
        <v>0</v>
      </c>
      <c r="BN18" s="47">
        <f>KH_26_OPT4_KTQT_v4[[#This Row],[SL-11]]*KH_26_OPT4_KTQT_v4[[#This Row],[GB-11]]*EXR</f>
        <v>0</v>
      </c>
      <c r="BO18" s="47">
        <f>KH_26_OPT4_KTQT_v4[[#This Row],[SL-12]]*KH_26_OPT4_KTQT_v4[[#This Row],[GB-12]]*EXR</f>
        <v>0</v>
      </c>
      <c r="BP18" s="47">
        <f ca="1">SUM(KH_26_OPT4_KTQT_v4[[#This Row],[DT-EXW-01]:[DT-EXW-12]])</f>
        <v>0</v>
      </c>
      <c r="BQ18" s="47">
        <f ca="1">SUMIFS(DB_25[DT-DB25],DB_25[Mã khách],KH_26_OPT4_KTQT_v4[[#This Row],[Mã khách]],DB_25[Mã sản phẩm],KH_26_OPT4_KTQT_v4[[#This Row],[Mã sản phẩm]])</f>
        <v>0</v>
      </c>
      <c r="BR18" s="19">
        <f ca="1">KH_26_OPT4_KTQT_v4[[#This Row],[DT-EXW-KH26]]-KH_26_OPT4_KTQT_v4[[#This Row],[DT-EXW-DB25]]</f>
        <v>0</v>
      </c>
      <c r="BS18" s="21">
        <f ca="1">IFERROR(KH_26_OPT4_KTQT_v4[[#This Row],[DT-EXW-+/-]]/KH_26_OPT4_KTQT_v4[[#This Row],[DT-EXW-DB25]],0)</f>
        <v>0</v>
      </c>
      <c r="BT18" s="139"/>
      <c r="BU18" s="57"/>
      <c r="BV18" s="51"/>
      <c r="BW18" s="47">
        <f>IF(KH_26_OPT4_KTQT_v4[[#This Row],[CPHH-%-SL]]="Dthu",KH_26_OPT4_KTQT_v4[[#This Row],[%HH]]*KH_26_OPT4_KTQT_v4[[#This Row],[DT-EXW-01]],KH_26_OPT4_KTQT_v4[[#This Row],[HH-SL]]*KH_26_OPT4_KTQT_v4[[#This Row],[SL-01]])</f>
        <v>0</v>
      </c>
      <c r="BX18" s="47">
        <f>IF(KH_26_OPT4_KTQT_v4[[#This Row],[CPHH-%-SL]]="Dthu",KH_26_OPT4_KTQT_v4[[#This Row],[%HH]]*KH_26_OPT4_KTQT_v4[[#This Row],[DT-EXW-02]],KH_26_OPT4_KTQT_v4[[#This Row],[HH-SL]]*KH_26_OPT4_KTQT_v4[[#This Row],[SL-02]])</f>
        <v>0</v>
      </c>
      <c r="BY18" s="47">
        <f>IF(KH_26_OPT4_KTQT_v4[[#This Row],[CPHH-%-SL]]="Dthu",KH_26_OPT4_KTQT_v4[[#This Row],[%HH]]*KH_26_OPT4_KTQT_v4[[#This Row],[DT-EXW-03]],KH_26_OPT4_KTQT_v4[[#This Row],[HH-SL]]*KH_26_OPT4_KTQT_v4[[#This Row],[SL-03]])</f>
        <v>0</v>
      </c>
      <c r="BZ18" s="47">
        <f>IF(KH_26_OPT4_KTQT_v4[[#This Row],[CPHH-%-SL]]="Dthu",KH_26_OPT4_KTQT_v4[[#This Row],[%HH]]*KH_26_OPT4_KTQT_v4[[#This Row],[DT-EXW-04]],KH_26_OPT4_KTQT_v4[[#This Row],[HH-SL]]*KH_26_OPT4_KTQT_v4[[#This Row],[SL-04]])</f>
        <v>0</v>
      </c>
      <c r="CA18" s="47">
        <f>IF(KH_26_OPT4_KTQT_v4[[#This Row],[CPHH-%-SL]]="Dthu",KH_26_OPT4_KTQT_v4[[#This Row],[%HH]]*KH_26_OPT4_KTQT_v4[[#This Row],[DT-EXW-05]],KH_26_OPT4_KTQT_v4[[#This Row],[HH-SL]]*KH_26_OPT4_KTQT_v4[[#This Row],[SL-05]])</f>
        <v>0</v>
      </c>
      <c r="CB18" s="47">
        <f>IF(KH_26_OPT4_KTQT_v4[[#This Row],[CPHH-%-SL]]="Dthu",KH_26_OPT4_KTQT_v4[[#This Row],[%HH]]*KH_26_OPT4_KTQT_v4[[#This Row],[DT-EXW-06]],KH_26_OPT4_KTQT_v4[[#This Row],[HH-SL]]*KH_26_OPT4_KTQT_v4[[#This Row],[SL-06]])</f>
        <v>0</v>
      </c>
      <c r="CC18" s="47">
        <f>IF(KH_26_OPT4_KTQT_v4[[#This Row],[CPHH-%-SL]]="Dthu",KH_26_OPT4_KTQT_v4[[#This Row],[%HH]]*KH_26_OPT4_KTQT_v4[[#This Row],[DT-EXW-07]],KH_26_OPT4_KTQT_v4[[#This Row],[HH-SL]]*KH_26_OPT4_KTQT_v4[[#This Row],[SL-07]])</f>
        <v>0</v>
      </c>
      <c r="CD18" s="47">
        <f>IF(KH_26_OPT4_KTQT_v4[[#This Row],[CPHH-%-SL]]="Dthu",KH_26_OPT4_KTQT_v4[[#This Row],[%HH]]*KH_26_OPT4_KTQT_v4[[#This Row],[DT-EXW-08]],KH_26_OPT4_KTQT_v4[[#This Row],[HH-SL]]*KH_26_OPT4_KTQT_v4[[#This Row],[SL-08]])</f>
        <v>0</v>
      </c>
      <c r="CE18" s="47">
        <f>IF(KH_26_OPT4_KTQT_v4[[#This Row],[CPHH-%-SL]]="Dthu",KH_26_OPT4_KTQT_v4[[#This Row],[%HH]]*KH_26_OPT4_KTQT_v4[[#This Row],[DT-EXW-09]],KH_26_OPT4_KTQT_v4[[#This Row],[HH-SL]]*KH_26_OPT4_KTQT_v4[[#This Row],[SL-09]])</f>
        <v>0</v>
      </c>
      <c r="CF18" s="47">
        <f>IF(KH_26_OPT4_KTQT_v4[[#This Row],[CPHH-%-SL]]="Dthu",KH_26_OPT4_KTQT_v4[[#This Row],[%HH]]*KH_26_OPT4_KTQT_v4[[#This Row],[DT-EXW-10]],KH_26_OPT4_KTQT_v4[[#This Row],[HH-SL]]*KH_26_OPT4_KTQT_v4[[#This Row],[SL-10]])</f>
        <v>0</v>
      </c>
      <c r="CG18" s="47">
        <f>IF(KH_26_OPT4_KTQT_v4[[#This Row],[CPHH-%-SL]]="Dthu",KH_26_OPT4_KTQT_v4[[#This Row],[%HH]]*KH_26_OPT4_KTQT_v4[[#This Row],[DT-EXW-11]],KH_26_OPT4_KTQT_v4[[#This Row],[HH-SL]]*KH_26_OPT4_KTQT_v4[[#This Row],[SL-11]])</f>
        <v>0</v>
      </c>
      <c r="CH18" s="47">
        <f>IF(KH_26_OPT4_KTQT_v4[[#This Row],[CPHH-%-SL]]="Dthu",KH_26_OPT4_KTQT_v4[[#This Row],[%HH]]*KH_26_OPT4_KTQT_v4[[#This Row],[DT-EXW-12]],KH_26_OPT4_KTQT_v4[[#This Row],[HH-SL]]*KH_26_OPT4_KTQT_v4[[#This Row],[SL-12]])</f>
        <v>0</v>
      </c>
      <c r="CI18" s="47">
        <f ca="1">SUM(KH_26_OPT4_KTQT_v4[[#This Row],[CPHH-01]:[CPHH-12]])</f>
        <v>0</v>
      </c>
      <c r="CJ18" s="47" cm="1">
        <f t="array" ref="CJ18">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8" s="19">
        <f ca="1">SUM(KH_26_OPT4_KTQT_v4[[#This Row],[ĐGVCNĐ-KXK]:[ĐGVCCT-KXK]])</f>
        <v>530000</v>
      </c>
      <c r="CL18" s="47" cm="1">
        <f t="array" ref="CL18">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530000</v>
      </c>
      <c r="CM18" s="47" cm="1">
        <f t="array" ref="CM18">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8" s="47">
        <f ca="1">(KH_26_OPT4_KTQT_v4[[#This Row],[ĐGVC-KNĐ]]+KH_26_OPT4_KTQT_v4[[#This Row],[ĐGVC-KXK]])*KH_26_OPT4_KTQT_v4[[#This Row],[SL-01]]</f>
        <v>0</v>
      </c>
      <c r="CO18" s="47">
        <f ca="1">(KH_26_OPT4_KTQT_v4[[#This Row],[ĐGVC-KNĐ]]+KH_26_OPT4_KTQT_v4[[#This Row],[ĐGVC-KXK]])*KH_26_OPT4_KTQT_v4[[#This Row],[SL-02]]</f>
        <v>0</v>
      </c>
      <c r="CP18" s="47">
        <f ca="1">(KH_26_OPT4_KTQT_v4[[#This Row],[ĐGVC-KNĐ]]+KH_26_OPT4_KTQT_v4[[#This Row],[ĐGVC-KXK]])*KH_26_OPT4_KTQT_v4[[#This Row],[SL-03]]</f>
        <v>0</v>
      </c>
      <c r="CQ18" s="47">
        <f ca="1">(KH_26_OPT4_KTQT_v4[[#This Row],[ĐGVC-KNĐ]]+KH_26_OPT4_KTQT_v4[[#This Row],[ĐGVC-KXK]])*KH_26_OPT4_KTQT_v4[[#This Row],[SL-04]]</f>
        <v>0</v>
      </c>
      <c r="CR18" s="47">
        <f ca="1">(KH_26_OPT4_KTQT_v4[[#This Row],[ĐGVC-KNĐ]]+KH_26_OPT4_KTQT_v4[[#This Row],[ĐGVC-KXK]])*KH_26_OPT4_KTQT_v4[[#This Row],[SL-05]]</f>
        <v>0</v>
      </c>
      <c r="CS18" s="47">
        <f ca="1">(KH_26_OPT4_KTQT_v4[[#This Row],[ĐGVC-KNĐ]]+KH_26_OPT4_KTQT_v4[[#This Row],[ĐGVC-KXK]])*KH_26_OPT4_KTQT_v4[[#This Row],[SL-06]]</f>
        <v>0</v>
      </c>
      <c r="CT18" s="47">
        <f ca="1">(KH_26_OPT4_KTQT_v4[[#This Row],[ĐGVC-KNĐ]]+KH_26_OPT4_KTQT_v4[[#This Row],[ĐGVC-KXK]])*KH_26_OPT4_KTQT_v4[[#This Row],[SL-07]]</f>
        <v>0</v>
      </c>
      <c r="CU18" s="47">
        <f ca="1">(KH_26_OPT4_KTQT_v4[[#This Row],[ĐGVC-KNĐ]]+KH_26_OPT4_KTQT_v4[[#This Row],[ĐGVC-KXK]])*KH_26_OPT4_KTQT_v4[[#This Row],[SL-08]]</f>
        <v>0</v>
      </c>
      <c r="CV18" s="47">
        <f ca="1">(KH_26_OPT4_KTQT_v4[[#This Row],[ĐGVC-KNĐ]]+KH_26_OPT4_KTQT_v4[[#This Row],[ĐGVC-KXK]])*KH_26_OPT4_KTQT_v4[[#This Row],[SL-09]]</f>
        <v>0</v>
      </c>
      <c r="CW18" s="47">
        <f ca="1">(KH_26_OPT4_KTQT_v4[[#This Row],[ĐGVC-KNĐ]]+KH_26_OPT4_KTQT_v4[[#This Row],[ĐGVC-KXK]])*KH_26_OPT4_KTQT_v4[[#This Row],[SL-10]]</f>
        <v>0</v>
      </c>
      <c r="CX18" s="47">
        <f ca="1">(KH_26_OPT4_KTQT_v4[[#This Row],[ĐGVC-KNĐ]]+KH_26_OPT4_KTQT_v4[[#This Row],[ĐGVC-KXK]])*KH_26_OPT4_KTQT_v4[[#This Row],[SL-11]]</f>
        <v>0</v>
      </c>
      <c r="CY18" s="47">
        <f ca="1">(KH_26_OPT4_KTQT_v4[[#This Row],[ĐGVC-KNĐ]]+KH_26_OPT4_KTQT_v4[[#This Row],[ĐGVC-KXK]])*KH_26_OPT4_KTQT_v4[[#This Row],[SL-12]]</f>
        <v>0</v>
      </c>
      <c r="CZ18" s="47">
        <f ca="1">SUM(KH_26_OPT4_KTQT_v4[[#This Row],[CPVC-01]:[CPVC-12]])</f>
        <v>0</v>
      </c>
      <c r="DA18" s="124">
        <f ca="1">KH_26_OPT4_KTQT_v4[[#This Row],[DT-EXW-01]]+KH_26_OPT4_KTQT_v4[[#This Row],[CPVC-01]]+KH_26_OPT4_KTQT_v4[[#This Row],[CPHH-01]]</f>
        <v>0</v>
      </c>
      <c r="DB18" s="47">
        <f ca="1">KH_26_OPT4_KTQT_v4[[#This Row],[DT-EXW-02]]+KH_26_OPT4_KTQT_v4[[#This Row],[CPVC-02]]+KH_26_OPT4_KTQT_v4[[#This Row],[CPHH-02]]</f>
        <v>0</v>
      </c>
      <c r="DC18" s="47">
        <f ca="1">KH_26_OPT4_KTQT_v4[[#This Row],[DT-EXW-03]]+KH_26_OPT4_KTQT_v4[[#This Row],[CPVC-03]]+KH_26_OPT4_KTQT_v4[[#This Row],[CPHH-03]]</f>
        <v>0</v>
      </c>
      <c r="DD18" s="47">
        <f ca="1">KH_26_OPT4_KTQT_v4[[#This Row],[DT-EXW-04]]+KH_26_OPT4_KTQT_v4[[#This Row],[CPVC-04]]+KH_26_OPT4_KTQT_v4[[#This Row],[CPHH-04]]</f>
        <v>0</v>
      </c>
      <c r="DE18" s="47">
        <f ca="1">KH_26_OPT4_KTQT_v4[[#This Row],[DT-EXW-05]]+KH_26_OPT4_KTQT_v4[[#This Row],[CPVC-05]]+KH_26_OPT4_KTQT_v4[[#This Row],[CPHH-05]]</f>
        <v>0</v>
      </c>
      <c r="DF18" s="47">
        <f ca="1">KH_26_OPT4_KTQT_v4[[#This Row],[DT-EXW-06]]+KH_26_OPT4_KTQT_v4[[#This Row],[CPVC-06]]+KH_26_OPT4_KTQT_v4[[#This Row],[CPHH-06]]</f>
        <v>0</v>
      </c>
      <c r="DG18" s="47">
        <f ca="1">KH_26_OPT4_KTQT_v4[[#This Row],[DT-EXW-07]]+KH_26_OPT4_KTQT_v4[[#This Row],[CPVC-07]]+KH_26_OPT4_KTQT_v4[[#This Row],[CPHH-07]]</f>
        <v>0</v>
      </c>
      <c r="DH18" s="47">
        <f ca="1">KH_26_OPT4_KTQT_v4[[#This Row],[DT-EXW-08]]+KH_26_OPT4_KTQT_v4[[#This Row],[CPVC-08]]+KH_26_OPT4_KTQT_v4[[#This Row],[CPHH-08]]</f>
        <v>0</v>
      </c>
      <c r="DI18" s="47">
        <f ca="1">KH_26_OPT4_KTQT_v4[[#This Row],[DT-EXW-09]]+KH_26_OPT4_KTQT_v4[[#This Row],[CPVC-09]]+KH_26_OPT4_KTQT_v4[[#This Row],[CPHH-09]]</f>
        <v>0</v>
      </c>
      <c r="DJ18" s="47">
        <f ca="1">KH_26_OPT4_KTQT_v4[[#This Row],[DT-EXW-10]]+KH_26_OPT4_KTQT_v4[[#This Row],[CPVC-10]]+KH_26_OPT4_KTQT_v4[[#This Row],[CPHH-10]]</f>
        <v>0</v>
      </c>
      <c r="DK18" s="47">
        <f ca="1">KH_26_OPT4_KTQT_v4[[#This Row],[DT-EXW-11]]+KH_26_OPT4_KTQT_v4[[#This Row],[CPVC-11]]+KH_26_OPT4_KTQT_v4[[#This Row],[CPHH-11]]</f>
        <v>0</v>
      </c>
      <c r="DL18" s="47">
        <f ca="1">KH_26_OPT4_KTQT_v4[[#This Row],[DT-EXW-12]]+KH_26_OPT4_KTQT_v4[[#This Row],[CPVC-12]]+KH_26_OPT4_KTQT_v4[[#This Row],[CPHH-12]]</f>
        <v>0</v>
      </c>
      <c r="DM18" s="47">
        <f ca="1">SUM(KH_26_OPT4_KTQT_v4[[#This Row],[DT-01]:[DT-12]])</f>
        <v>0</v>
      </c>
      <c r="DN18" s="7"/>
      <c r="DO18" s="7"/>
      <c r="DP18" s="125"/>
      <c r="DQ18" s="136"/>
      <c r="DR18" s="132">
        <f>IFERROR(KH_26_OPT4_KTQT_v4[[#This Row],[DT-EXW-01]]*KH_26_OPT4_KTQT_v4[[#This Row],[%CPDP]],0)</f>
        <v>0</v>
      </c>
      <c r="DS18" s="132">
        <f>IFERROR(KH_26_OPT4_KTQT_v4[[#This Row],[DT-EXW-02]]*KH_26_OPT4_KTQT_v4[[#This Row],[%CPDP]],0)</f>
        <v>0</v>
      </c>
      <c r="DT18" s="132">
        <f>IFERROR(KH_26_OPT4_KTQT_v4[[#This Row],[DT-EXW-03]]*KH_26_OPT4_KTQT_v4[[#This Row],[%CPDP]],0)</f>
        <v>0</v>
      </c>
      <c r="DU18" s="132">
        <f>IFERROR(KH_26_OPT4_KTQT_v4[[#This Row],[DT-EXW-04]]*KH_26_OPT4_KTQT_v4[[#This Row],[%CPDP]],0)</f>
        <v>0</v>
      </c>
      <c r="DV18" s="132">
        <f>IFERROR(KH_26_OPT4_KTQT_v4[[#This Row],[DT-EXW-05]]*KH_26_OPT4_KTQT_v4[[#This Row],[%CPDP]],0)</f>
        <v>0</v>
      </c>
      <c r="DW18" s="132">
        <f>IFERROR(KH_26_OPT4_KTQT_v4[[#This Row],[DT-EXW-06]]*KH_26_OPT4_KTQT_v4[[#This Row],[%CPDP]],0)</f>
        <v>0</v>
      </c>
      <c r="DX18" s="132">
        <f>IFERROR(KH_26_OPT4_KTQT_v4[[#This Row],[DT-EXW-07]]*KH_26_OPT4_KTQT_v4[[#This Row],[%CPDP]],0)</f>
        <v>0</v>
      </c>
      <c r="DY18" s="132">
        <f>IFERROR(KH_26_OPT4_KTQT_v4[[#This Row],[DT-EXW-08]]*KH_26_OPT4_KTQT_v4[[#This Row],[%CPDP]],0)</f>
        <v>0</v>
      </c>
      <c r="DZ18" s="132">
        <f>IFERROR(KH_26_OPT4_KTQT_v4[[#This Row],[DT-EXW-09]]*KH_26_OPT4_KTQT_v4[[#This Row],[%CPDP]],0)</f>
        <v>0</v>
      </c>
      <c r="EA18" s="132">
        <f>IFERROR(KH_26_OPT4_KTQT_v4[[#This Row],[DT-EXW-10]]*KH_26_OPT4_KTQT_v4[[#This Row],[%CPDP]],0)</f>
        <v>0</v>
      </c>
      <c r="EB18" s="132">
        <f>IFERROR(KH_26_OPT4_KTQT_v4[[#This Row],[DT-EXW-11]]*KH_26_OPT4_KTQT_v4[[#This Row],[%CPDP]],0)</f>
        <v>0</v>
      </c>
      <c r="EC18" s="132">
        <f>IFERROR(KH_26_OPT4_KTQT_v4[[#This Row],[DT-EXW-12]]*KH_26_OPT4_KTQT_v4[[#This Row],[%CPDP]],0)</f>
        <v>0</v>
      </c>
      <c r="ED18" s="131">
        <f ca="1">SUM(KH_26_OPT4_KTQT_v4[[#This Row],[CPDP-01]:[CPDP-12]])</f>
        <v>0</v>
      </c>
    </row>
    <row r="19" spans="1:134" ht="14.5" hidden="1" x14ac:dyDescent="0.35">
      <c r="A19" s="18">
        <v>14</v>
      </c>
      <c r="B19" s="71" t="s">
        <v>509</v>
      </c>
      <c r="C19" s="18" t="str">
        <f>IFERROR(_xlfn.XLOOKUP(KH_26_OPT4_KTQT_v4[[#This Row],[Salesman]],MD_Salesman[Salesman],MD_Salesman[SalesManager]),"")</f>
        <v>Cường</v>
      </c>
      <c r="D19" s="72" t="str">
        <f>IFERROR(INDEX(MD_Customer[Mã khách],MATCH(KH_26_OPT4_KTQT_v4[[#This Row],[Tên khách]],MD_Customer[Tên khách-rút gọn],0)),"")</f>
        <v>NS26-NEWCUS-018</v>
      </c>
      <c r="E19" s="7" t="str">
        <f>IFERROR(INDEX(MD_Customer[Parent Account],MATCH(KH_26_OPT4_KTQT_v4[[#This Row],[Tên khách]],MD_Customer[Tên khách-rút gọn],0)),"")</f>
        <v>New Developments - Hạt PET - XK</v>
      </c>
      <c r="F19" s="95" t="s">
        <v>13</v>
      </c>
      <c r="G19" s="7" t="str">
        <f>IFERROR(INDEX(MD_Customer[Phân loại],MATCH(KH_26_OPT4_KTQT_v4[[#This Row],[Tên khách]],MD_Customer[Tên khách-rút gọn],0)),"")</f>
        <v>Mới</v>
      </c>
      <c r="H19" s="7" t="str">
        <f>IFERROR(INDEX(MD_Customer[Kênh bán hàng],MATCH(KH_26_OPT4_KTQT_v4[[#This Row],[Tên khách]],MD_Customer[Tên khách-rút gọn],0)),"")</f>
        <v>Xuất Khẩu</v>
      </c>
      <c r="I19" s="35" t="s">
        <v>277</v>
      </c>
      <c r="J19" s="7" t="str">
        <f>IFERROR(INDEX(MD_Destination[Nước],MATCH(KH_26_OPT4_KTQT_v4[[#This Row],[Địa điểm đến]],MD_Destination[Địa điểm đến],0)),"")</f>
        <v>Mỹ</v>
      </c>
      <c r="K19" s="7" t="str">
        <f>IFERROR(INDEX(MD_Destination[Khu vực],MATCH(KH_26_OPT4_KTQT_v4[[#This Row],[Địa điểm đến]],MD_Destination[Địa điểm đến],0)),"")</f>
        <v>Châu Mỹ</v>
      </c>
      <c r="L19" s="35" t="s">
        <v>278</v>
      </c>
      <c r="M19" s="7" t="str">
        <f>IFERROR(INDEX(MD_SKU[Mã SKU],MATCH(KH_26_OPT4_KTQT_v4[[#This Row],[Tên sản phẩm]],MD_SKU[Tên SKU-rút gọn],0)),"")</f>
        <v>110000332</v>
      </c>
      <c r="N19" s="35" t="s">
        <v>1124</v>
      </c>
      <c r="O19" s="7" t="str">
        <f>IFERROR(INDEX(MD_SKU[Ngành hàng],MATCH(KH_26_OPT4_KTQT_v4[[#This Row],[Tên sản phẩm]],MD_SKU[Tên SKU-rút gọn],0)),"")</f>
        <v>rPET</v>
      </c>
      <c r="P19" s="7" t="str">
        <f>IFERROR(INDEX(MD_SKU[Nhóm ngành],MATCH(KH_26_OPT4_KTQT_v4[[#This Row],[Tên sản phẩm]],MD_SKU[Tên SKU-rút gọn],0)),"")</f>
        <v>Hạt PET</v>
      </c>
      <c r="Q19" s="7" t="str">
        <f>IFERROR(
   IF(INDEX(MD_SKU[IV/IM],MATCH(KH_26_OPT4_KTQT_v4[[#This Row],[Tên sản phẩm]],MD_SKU[Tên SKU-rút gọn],0))=0,
      "",
      INDEX(MD_SKU[IV/IM],MATCH(KH_26_OPT4_KTQT_v4[[#This Row],[Tên sản phẩm]],MD_SKU[Tên SKU-rút gọn],0))
   ),
"")</f>
        <v>0.84 ± 0.03</v>
      </c>
      <c r="R19" s="44">
        <f>IFERROR(INDEX(MD_SKU[Application],MATCH(KH_26_OPT4_KTQT_v4[[#This Row],[Tên sản phẩm]],MD_SKU[Tên SKU-rút gọn],0)),"")</f>
        <v>0</v>
      </c>
      <c r="S19" s="7" t="str">
        <f>IFERROR(INDEX(MD_SKU[Phân loại],MATCH(KH_26_OPT4_KTQT_v4[[#This Row],[Tên sản phẩm]],MD_SKU[Tên SKU-rút gọn],0)),"")</f>
        <v>Cũ</v>
      </c>
      <c r="T19" s="180" t="s">
        <v>541</v>
      </c>
      <c r="U19" s="7" t="s">
        <v>1508</v>
      </c>
      <c r="V19" s="70">
        <v>0.8</v>
      </c>
      <c r="W19" s="102">
        <v>44</v>
      </c>
      <c r="X19" s="102">
        <v>53</v>
      </c>
      <c r="Y19" s="102">
        <v>55</v>
      </c>
      <c r="Z19" s="102">
        <v>55</v>
      </c>
      <c r="AA19" s="102">
        <v>55</v>
      </c>
      <c r="AB19" s="102">
        <v>55</v>
      </c>
      <c r="AC19" s="102">
        <v>55</v>
      </c>
      <c r="AD19" s="102">
        <v>55</v>
      </c>
      <c r="AE19" s="102">
        <v>55</v>
      </c>
      <c r="AF19" s="102">
        <v>55</v>
      </c>
      <c r="AG19" s="102">
        <v>55</v>
      </c>
      <c r="AH19" s="102">
        <v>55</v>
      </c>
      <c r="AI19" s="47">
        <f ca="1">SUM(KH_26_OPT4_KTQT_v4[[#This Row],[SL-01]:[SL-12]])</f>
        <v>647</v>
      </c>
      <c r="AJ19" s="47">
        <f ca="1">SUMIFS(DB_25[SL-DB25],DB_25[Mã khách],KH_26_OPT4_KTQT_v4[[#This Row],[Mã khách]],DB_25[Mã sản phẩm],KH_26_OPT4_KTQT_v4[[#This Row],[Mã sản phẩm]])</f>
        <v>0</v>
      </c>
      <c r="AK19" s="20">
        <f ca="1">KH_26_OPT4_KTQT_v4[[#This Row],[SL-KH26]]-KH_26_OPT4_KTQT_v4[[#This Row],[SL-DB25]]</f>
        <v>647</v>
      </c>
      <c r="AL19" s="21">
        <f ca="1">IFERROR(KH_26_OPT4_KTQT_v4[[#This Row],[SL-+/-]]/KH_26_OPT4_KTQT_v4[[#This Row],[SL-DB25]],0)</f>
        <v>0</v>
      </c>
      <c r="AM19" s="51">
        <v>1250</v>
      </c>
      <c r="AN19" s="51">
        <v>1250</v>
      </c>
      <c r="AO19" s="51">
        <v>1250</v>
      </c>
      <c r="AP19" s="51">
        <v>1250</v>
      </c>
      <c r="AQ19" s="51">
        <v>1250</v>
      </c>
      <c r="AR19" s="51">
        <v>1250</v>
      </c>
      <c r="AS19" s="51">
        <v>1250</v>
      </c>
      <c r="AT19" s="51">
        <v>1250</v>
      </c>
      <c r="AU19" s="51">
        <v>1250</v>
      </c>
      <c r="AV19" s="51">
        <v>1250</v>
      </c>
      <c r="AW19" s="51">
        <v>1250</v>
      </c>
      <c r="AX19" s="51">
        <v>1250</v>
      </c>
      <c r="AY19" s="23">
        <v>1200</v>
      </c>
      <c r="AZ19" s="7"/>
      <c r="BA19" s="24">
        <f>KH_26_OPT4_KTQT_v4[[#This Row],[GB-DB25]]-KH_26_OPT4_KTQT_v4[[#This Row],[GB-KH25]]</f>
        <v>1200</v>
      </c>
      <c r="BB19" s="21">
        <f>IFERROR(KH_26_OPT4_KTQT_v4[[#This Row],[GB-+/-]]/KH_26_OPT4_KTQT_v4[[#This Row],[GB-KH25]],0)</f>
        <v>0</v>
      </c>
      <c r="BC19" s="21"/>
      <c r="BD19" s="47">
        <f>KH_26_OPT4_KTQT_v4[[#This Row],[SL-01]]*KH_26_OPT4_KTQT_v4[[#This Row],[GB-01]]*EXR</f>
        <v>1457500000</v>
      </c>
      <c r="BE19" s="47">
        <f>KH_26_OPT4_KTQT_v4[[#This Row],[SL-02]]*KH_26_OPT4_KTQT_v4[[#This Row],[GB-02]]*EXR</f>
        <v>1755625000</v>
      </c>
      <c r="BF19" s="47">
        <f>KH_26_OPT4_KTQT_v4[[#This Row],[SL-03]]*KH_26_OPT4_KTQT_v4[[#This Row],[GB-03]]*EXR</f>
        <v>1821875000</v>
      </c>
      <c r="BG19" s="47">
        <f>KH_26_OPT4_KTQT_v4[[#This Row],[SL-04]]*KH_26_OPT4_KTQT_v4[[#This Row],[GB-04]]*EXR</f>
        <v>1821875000</v>
      </c>
      <c r="BH19" s="47">
        <f>KH_26_OPT4_KTQT_v4[[#This Row],[SL-05]]*KH_26_OPT4_KTQT_v4[[#This Row],[GB-05]]*EXR</f>
        <v>1821875000</v>
      </c>
      <c r="BI19" s="47">
        <f>KH_26_OPT4_KTQT_v4[[#This Row],[SL-06]]*KH_26_OPT4_KTQT_v4[[#This Row],[GB-06]]*EXR</f>
        <v>1821875000</v>
      </c>
      <c r="BJ19" s="47">
        <f>KH_26_OPT4_KTQT_v4[[#This Row],[SL-07]]*KH_26_OPT4_KTQT_v4[[#This Row],[GB-07]]*EXR</f>
        <v>1821875000</v>
      </c>
      <c r="BK19" s="47">
        <f>KH_26_OPT4_KTQT_v4[[#This Row],[SL-08]]*KH_26_OPT4_KTQT_v4[[#This Row],[GB-08]]*EXR</f>
        <v>1821875000</v>
      </c>
      <c r="BL19" s="47">
        <f>KH_26_OPT4_KTQT_v4[[#This Row],[SL-09]]*KH_26_OPT4_KTQT_v4[[#This Row],[GB-09]]*EXR</f>
        <v>1821875000</v>
      </c>
      <c r="BM19" s="47">
        <f>KH_26_OPT4_KTQT_v4[[#This Row],[SL-10]]*KH_26_OPT4_KTQT_v4[[#This Row],[GB-10]]*EXR</f>
        <v>1821875000</v>
      </c>
      <c r="BN19" s="47">
        <f>KH_26_OPT4_KTQT_v4[[#This Row],[SL-11]]*KH_26_OPT4_KTQT_v4[[#This Row],[GB-11]]*EXR</f>
        <v>1821875000</v>
      </c>
      <c r="BO19" s="47">
        <f>KH_26_OPT4_KTQT_v4[[#This Row],[SL-12]]*KH_26_OPT4_KTQT_v4[[#This Row],[GB-12]]*EXR</f>
        <v>1821875000</v>
      </c>
      <c r="BP19" s="47">
        <f ca="1">SUM(KH_26_OPT4_KTQT_v4[[#This Row],[DT-EXW-01]:[DT-EXW-12]])</f>
        <v>21431875000</v>
      </c>
      <c r="BQ19" s="47">
        <f ca="1">SUMIFS(DB_25[DT-DB25],DB_25[Mã khách],KH_26_OPT4_KTQT_v4[[#This Row],[Mã khách]],DB_25[Mã sản phẩm],KH_26_OPT4_KTQT_v4[[#This Row],[Mã sản phẩm]])</f>
        <v>0</v>
      </c>
      <c r="BR19" s="47">
        <f ca="1">KH_26_OPT4_KTQT_v4[[#This Row],[DT-EXW-KH26]]-KH_26_OPT4_KTQT_v4[[#This Row],[DT-EXW-DB25]]</f>
        <v>21431875000</v>
      </c>
      <c r="BS19" s="21">
        <f ca="1">IFERROR(KH_26_OPT4_KTQT_v4[[#This Row],[DT-EXW-+/-]]/KH_26_OPT4_KTQT_v4[[#This Row],[DT-EXW-DB25]],0)</f>
        <v>0</v>
      </c>
      <c r="BT19" s="139"/>
      <c r="BU19" s="57"/>
      <c r="BV19" s="51"/>
      <c r="BW19" s="47">
        <f>IF(KH_26_OPT4_KTQT_v4[[#This Row],[CPHH-%-SL]]="Dthu",KH_26_OPT4_KTQT_v4[[#This Row],[%HH]]*KH_26_OPT4_KTQT_v4[[#This Row],[DT-EXW-01]],KH_26_OPT4_KTQT_v4[[#This Row],[HH-SL]]*KH_26_OPT4_KTQT_v4[[#This Row],[SL-01]])</f>
        <v>0</v>
      </c>
      <c r="BX19" s="47">
        <f>IF(KH_26_OPT4_KTQT_v4[[#This Row],[CPHH-%-SL]]="Dthu",KH_26_OPT4_KTQT_v4[[#This Row],[%HH]]*KH_26_OPT4_KTQT_v4[[#This Row],[DT-EXW-02]],KH_26_OPT4_KTQT_v4[[#This Row],[HH-SL]]*KH_26_OPT4_KTQT_v4[[#This Row],[SL-02]])</f>
        <v>0</v>
      </c>
      <c r="BY19" s="47">
        <f>IF(KH_26_OPT4_KTQT_v4[[#This Row],[CPHH-%-SL]]="Dthu",KH_26_OPT4_KTQT_v4[[#This Row],[%HH]]*KH_26_OPT4_KTQT_v4[[#This Row],[DT-EXW-03]],KH_26_OPT4_KTQT_v4[[#This Row],[HH-SL]]*KH_26_OPT4_KTQT_v4[[#This Row],[SL-03]])</f>
        <v>0</v>
      </c>
      <c r="BZ19" s="47">
        <f>IF(KH_26_OPT4_KTQT_v4[[#This Row],[CPHH-%-SL]]="Dthu",KH_26_OPT4_KTQT_v4[[#This Row],[%HH]]*KH_26_OPT4_KTQT_v4[[#This Row],[DT-EXW-04]],KH_26_OPT4_KTQT_v4[[#This Row],[HH-SL]]*KH_26_OPT4_KTQT_v4[[#This Row],[SL-04]])</f>
        <v>0</v>
      </c>
      <c r="CA19" s="47">
        <f>IF(KH_26_OPT4_KTQT_v4[[#This Row],[CPHH-%-SL]]="Dthu",KH_26_OPT4_KTQT_v4[[#This Row],[%HH]]*KH_26_OPT4_KTQT_v4[[#This Row],[DT-EXW-05]],KH_26_OPT4_KTQT_v4[[#This Row],[HH-SL]]*KH_26_OPT4_KTQT_v4[[#This Row],[SL-05]])</f>
        <v>0</v>
      </c>
      <c r="CB19" s="47">
        <f>IF(KH_26_OPT4_KTQT_v4[[#This Row],[CPHH-%-SL]]="Dthu",KH_26_OPT4_KTQT_v4[[#This Row],[%HH]]*KH_26_OPT4_KTQT_v4[[#This Row],[DT-EXW-06]],KH_26_OPT4_KTQT_v4[[#This Row],[HH-SL]]*KH_26_OPT4_KTQT_v4[[#This Row],[SL-06]])</f>
        <v>0</v>
      </c>
      <c r="CC19" s="47">
        <f>IF(KH_26_OPT4_KTQT_v4[[#This Row],[CPHH-%-SL]]="Dthu",KH_26_OPT4_KTQT_v4[[#This Row],[%HH]]*KH_26_OPT4_KTQT_v4[[#This Row],[DT-EXW-07]],KH_26_OPT4_KTQT_v4[[#This Row],[HH-SL]]*KH_26_OPT4_KTQT_v4[[#This Row],[SL-07]])</f>
        <v>0</v>
      </c>
      <c r="CD19" s="47">
        <f>IF(KH_26_OPT4_KTQT_v4[[#This Row],[CPHH-%-SL]]="Dthu",KH_26_OPT4_KTQT_v4[[#This Row],[%HH]]*KH_26_OPT4_KTQT_v4[[#This Row],[DT-EXW-08]],KH_26_OPT4_KTQT_v4[[#This Row],[HH-SL]]*KH_26_OPT4_KTQT_v4[[#This Row],[SL-08]])</f>
        <v>0</v>
      </c>
      <c r="CE19" s="47">
        <f>IF(KH_26_OPT4_KTQT_v4[[#This Row],[CPHH-%-SL]]="Dthu",KH_26_OPT4_KTQT_v4[[#This Row],[%HH]]*KH_26_OPT4_KTQT_v4[[#This Row],[DT-EXW-09]],KH_26_OPT4_KTQT_v4[[#This Row],[HH-SL]]*KH_26_OPT4_KTQT_v4[[#This Row],[SL-09]])</f>
        <v>0</v>
      </c>
      <c r="CF19" s="47">
        <f>IF(KH_26_OPT4_KTQT_v4[[#This Row],[CPHH-%-SL]]="Dthu",KH_26_OPT4_KTQT_v4[[#This Row],[%HH]]*KH_26_OPT4_KTQT_v4[[#This Row],[DT-EXW-10]],KH_26_OPT4_KTQT_v4[[#This Row],[HH-SL]]*KH_26_OPT4_KTQT_v4[[#This Row],[SL-10]])</f>
        <v>0</v>
      </c>
      <c r="CG19" s="47">
        <f>IF(KH_26_OPT4_KTQT_v4[[#This Row],[CPHH-%-SL]]="Dthu",KH_26_OPT4_KTQT_v4[[#This Row],[%HH]]*KH_26_OPT4_KTQT_v4[[#This Row],[DT-EXW-11]],KH_26_OPT4_KTQT_v4[[#This Row],[HH-SL]]*KH_26_OPT4_KTQT_v4[[#This Row],[SL-11]])</f>
        <v>0</v>
      </c>
      <c r="CH19" s="47">
        <f>IF(KH_26_OPT4_KTQT_v4[[#This Row],[CPHH-%-SL]]="Dthu",KH_26_OPT4_KTQT_v4[[#This Row],[%HH]]*KH_26_OPT4_KTQT_v4[[#This Row],[DT-EXW-12]],KH_26_OPT4_KTQT_v4[[#This Row],[HH-SL]]*KH_26_OPT4_KTQT_v4[[#This Row],[SL-12]])</f>
        <v>0</v>
      </c>
      <c r="CI19" s="47">
        <f ca="1">SUM(KH_26_OPT4_KTQT_v4[[#This Row],[CPHH-01]:[CPHH-12]])</f>
        <v>0</v>
      </c>
      <c r="CJ19" s="47" cm="1">
        <f t="array" ref="CJ19">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9" s="19">
        <f ca="1">SUM(KH_26_OPT4_KTQT_v4[[#This Row],[ĐGVCNĐ-KXK]:[ĐGVCCT-KXK]])</f>
        <v>530000</v>
      </c>
      <c r="CL19" s="47" cm="1">
        <f t="array" ref="CL19">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530000</v>
      </c>
      <c r="CM19" s="47" cm="1">
        <f t="array" ref="CM19">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9" s="47">
        <f ca="1">(KH_26_OPT4_KTQT_v4[[#This Row],[ĐGVC-KNĐ]]+KH_26_OPT4_KTQT_v4[[#This Row],[ĐGVC-KXK]])*KH_26_OPT4_KTQT_v4[[#This Row],[SL-01]]</f>
        <v>23320000</v>
      </c>
      <c r="CO19" s="47">
        <f ca="1">(KH_26_OPT4_KTQT_v4[[#This Row],[ĐGVC-KNĐ]]+KH_26_OPT4_KTQT_v4[[#This Row],[ĐGVC-KXK]])*KH_26_OPT4_KTQT_v4[[#This Row],[SL-02]]</f>
        <v>28090000</v>
      </c>
      <c r="CP19" s="47">
        <f ca="1">(KH_26_OPT4_KTQT_v4[[#This Row],[ĐGVC-KNĐ]]+KH_26_OPT4_KTQT_v4[[#This Row],[ĐGVC-KXK]])*KH_26_OPT4_KTQT_v4[[#This Row],[SL-03]]</f>
        <v>29150000</v>
      </c>
      <c r="CQ19" s="47">
        <f ca="1">(KH_26_OPT4_KTQT_v4[[#This Row],[ĐGVC-KNĐ]]+KH_26_OPT4_KTQT_v4[[#This Row],[ĐGVC-KXK]])*KH_26_OPT4_KTQT_v4[[#This Row],[SL-04]]</f>
        <v>29150000</v>
      </c>
      <c r="CR19" s="47">
        <f ca="1">(KH_26_OPT4_KTQT_v4[[#This Row],[ĐGVC-KNĐ]]+KH_26_OPT4_KTQT_v4[[#This Row],[ĐGVC-KXK]])*KH_26_OPT4_KTQT_v4[[#This Row],[SL-05]]</f>
        <v>29150000</v>
      </c>
      <c r="CS19" s="47">
        <f ca="1">(KH_26_OPT4_KTQT_v4[[#This Row],[ĐGVC-KNĐ]]+KH_26_OPT4_KTQT_v4[[#This Row],[ĐGVC-KXK]])*KH_26_OPT4_KTQT_v4[[#This Row],[SL-06]]</f>
        <v>29150000</v>
      </c>
      <c r="CT19" s="47">
        <f ca="1">(KH_26_OPT4_KTQT_v4[[#This Row],[ĐGVC-KNĐ]]+KH_26_OPT4_KTQT_v4[[#This Row],[ĐGVC-KXK]])*KH_26_OPT4_KTQT_v4[[#This Row],[SL-07]]</f>
        <v>29150000</v>
      </c>
      <c r="CU19" s="47">
        <f ca="1">(KH_26_OPT4_KTQT_v4[[#This Row],[ĐGVC-KNĐ]]+KH_26_OPT4_KTQT_v4[[#This Row],[ĐGVC-KXK]])*KH_26_OPT4_KTQT_v4[[#This Row],[SL-08]]</f>
        <v>29150000</v>
      </c>
      <c r="CV19" s="47">
        <f ca="1">(KH_26_OPT4_KTQT_v4[[#This Row],[ĐGVC-KNĐ]]+KH_26_OPT4_KTQT_v4[[#This Row],[ĐGVC-KXK]])*KH_26_OPT4_KTQT_v4[[#This Row],[SL-09]]</f>
        <v>29150000</v>
      </c>
      <c r="CW19" s="47">
        <f ca="1">(KH_26_OPT4_KTQT_v4[[#This Row],[ĐGVC-KNĐ]]+KH_26_OPT4_KTQT_v4[[#This Row],[ĐGVC-KXK]])*KH_26_OPT4_KTQT_v4[[#This Row],[SL-10]]</f>
        <v>29150000</v>
      </c>
      <c r="CX19" s="47">
        <f ca="1">(KH_26_OPT4_KTQT_v4[[#This Row],[ĐGVC-KNĐ]]+KH_26_OPT4_KTQT_v4[[#This Row],[ĐGVC-KXK]])*KH_26_OPT4_KTQT_v4[[#This Row],[SL-11]]</f>
        <v>29150000</v>
      </c>
      <c r="CY19" s="47">
        <f ca="1">(KH_26_OPT4_KTQT_v4[[#This Row],[ĐGVC-KNĐ]]+KH_26_OPT4_KTQT_v4[[#This Row],[ĐGVC-KXK]])*KH_26_OPT4_KTQT_v4[[#This Row],[SL-12]]</f>
        <v>29150000</v>
      </c>
      <c r="CZ19" s="47">
        <f ca="1">SUM(KH_26_OPT4_KTQT_v4[[#This Row],[CPVC-01]:[CPVC-12]])</f>
        <v>342910000</v>
      </c>
      <c r="DA19" s="124">
        <f ca="1">KH_26_OPT4_KTQT_v4[[#This Row],[DT-EXW-01]]+KH_26_OPT4_KTQT_v4[[#This Row],[CPVC-01]]+KH_26_OPT4_KTQT_v4[[#This Row],[CPHH-01]]</f>
        <v>1480820000</v>
      </c>
      <c r="DB19" s="47">
        <f ca="1">KH_26_OPT4_KTQT_v4[[#This Row],[DT-EXW-02]]+KH_26_OPT4_KTQT_v4[[#This Row],[CPVC-02]]+KH_26_OPT4_KTQT_v4[[#This Row],[CPHH-02]]</f>
        <v>1783715000</v>
      </c>
      <c r="DC19" s="47">
        <f ca="1">KH_26_OPT4_KTQT_v4[[#This Row],[DT-EXW-03]]+KH_26_OPT4_KTQT_v4[[#This Row],[CPVC-03]]+KH_26_OPT4_KTQT_v4[[#This Row],[CPHH-03]]</f>
        <v>1851025000</v>
      </c>
      <c r="DD19" s="47">
        <f ca="1">KH_26_OPT4_KTQT_v4[[#This Row],[DT-EXW-04]]+KH_26_OPT4_KTQT_v4[[#This Row],[CPVC-04]]+KH_26_OPT4_KTQT_v4[[#This Row],[CPHH-04]]</f>
        <v>1851025000</v>
      </c>
      <c r="DE19" s="47">
        <f ca="1">KH_26_OPT4_KTQT_v4[[#This Row],[DT-EXW-05]]+KH_26_OPT4_KTQT_v4[[#This Row],[CPVC-05]]+KH_26_OPT4_KTQT_v4[[#This Row],[CPHH-05]]</f>
        <v>1851025000</v>
      </c>
      <c r="DF19" s="47">
        <f ca="1">KH_26_OPT4_KTQT_v4[[#This Row],[DT-EXW-06]]+KH_26_OPT4_KTQT_v4[[#This Row],[CPVC-06]]+KH_26_OPT4_KTQT_v4[[#This Row],[CPHH-06]]</f>
        <v>1851025000</v>
      </c>
      <c r="DG19" s="47">
        <f ca="1">KH_26_OPT4_KTQT_v4[[#This Row],[DT-EXW-07]]+KH_26_OPT4_KTQT_v4[[#This Row],[CPVC-07]]+KH_26_OPT4_KTQT_v4[[#This Row],[CPHH-07]]</f>
        <v>1851025000</v>
      </c>
      <c r="DH19" s="47">
        <f ca="1">KH_26_OPT4_KTQT_v4[[#This Row],[DT-EXW-08]]+KH_26_OPT4_KTQT_v4[[#This Row],[CPVC-08]]+KH_26_OPT4_KTQT_v4[[#This Row],[CPHH-08]]</f>
        <v>1851025000</v>
      </c>
      <c r="DI19" s="47">
        <f ca="1">KH_26_OPT4_KTQT_v4[[#This Row],[DT-EXW-09]]+KH_26_OPT4_KTQT_v4[[#This Row],[CPVC-09]]+KH_26_OPT4_KTQT_v4[[#This Row],[CPHH-09]]</f>
        <v>1851025000</v>
      </c>
      <c r="DJ19" s="47">
        <f ca="1">KH_26_OPT4_KTQT_v4[[#This Row],[DT-EXW-10]]+KH_26_OPT4_KTQT_v4[[#This Row],[CPVC-10]]+KH_26_OPT4_KTQT_v4[[#This Row],[CPHH-10]]</f>
        <v>1851025000</v>
      </c>
      <c r="DK19" s="47">
        <f ca="1">KH_26_OPT4_KTQT_v4[[#This Row],[DT-EXW-11]]+KH_26_OPT4_KTQT_v4[[#This Row],[CPVC-11]]+KH_26_OPT4_KTQT_v4[[#This Row],[CPHH-11]]</f>
        <v>1851025000</v>
      </c>
      <c r="DL19" s="47">
        <f ca="1">KH_26_OPT4_KTQT_v4[[#This Row],[DT-EXW-12]]+KH_26_OPT4_KTQT_v4[[#This Row],[CPVC-12]]+KH_26_OPT4_KTQT_v4[[#This Row],[CPHH-12]]</f>
        <v>1851025000</v>
      </c>
      <c r="DM19" s="47">
        <f ca="1">SUM(KH_26_OPT4_KTQT_v4[[#This Row],[DT-01]:[DT-12]])</f>
        <v>21774785000</v>
      </c>
      <c r="DN19" s="7"/>
      <c r="DO19" s="7"/>
      <c r="DP19" s="125"/>
      <c r="DQ19" s="136">
        <v>0.1</v>
      </c>
      <c r="DR19" s="132">
        <f>IFERROR(KH_26_OPT4_KTQT_v4[[#This Row],[DT-EXW-01]]*KH_26_OPT4_KTQT_v4[[#This Row],[%CPDP]],0)</f>
        <v>145750000</v>
      </c>
      <c r="DS19" s="132">
        <f>IFERROR(KH_26_OPT4_KTQT_v4[[#This Row],[DT-EXW-02]]*KH_26_OPT4_KTQT_v4[[#This Row],[%CPDP]],0)</f>
        <v>175562500</v>
      </c>
      <c r="DT19" s="132">
        <f>IFERROR(KH_26_OPT4_KTQT_v4[[#This Row],[DT-EXW-03]]*KH_26_OPT4_KTQT_v4[[#This Row],[%CPDP]],0)</f>
        <v>182187500</v>
      </c>
      <c r="DU19" s="132">
        <f>IFERROR(KH_26_OPT4_KTQT_v4[[#This Row],[DT-EXW-04]]*KH_26_OPT4_KTQT_v4[[#This Row],[%CPDP]],0)</f>
        <v>182187500</v>
      </c>
      <c r="DV19" s="132">
        <f>IFERROR(KH_26_OPT4_KTQT_v4[[#This Row],[DT-EXW-05]]*KH_26_OPT4_KTQT_v4[[#This Row],[%CPDP]],0)</f>
        <v>182187500</v>
      </c>
      <c r="DW19" s="132">
        <f>IFERROR(KH_26_OPT4_KTQT_v4[[#This Row],[DT-EXW-06]]*KH_26_OPT4_KTQT_v4[[#This Row],[%CPDP]],0)</f>
        <v>182187500</v>
      </c>
      <c r="DX19" s="132">
        <f>IFERROR(KH_26_OPT4_KTQT_v4[[#This Row],[DT-EXW-07]]*KH_26_OPT4_KTQT_v4[[#This Row],[%CPDP]],0)</f>
        <v>182187500</v>
      </c>
      <c r="DY19" s="132">
        <f>IFERROR(KH_26_OPT4_KTQT_v4[[#This Row],[DT-EXW-08]]*KH_26_OPT4_KTQT_v4[[#This Row],[%CPDP]],0)</f>
        <v>182187500</v>
      </c>
      <c r="DZ19" s="132">
        <f>IFERROR(KH_26_OPT4_KTQT_v4[[#This Row],[DT-EXW-09]]*KH_26_OPT4_KTQT_v4[[#This Row],[%CPDP]],0)</f>
        <v>182187500</v>
      </c>
      <c r="EA19" s="132">
        <f>IFERROR(KH_26_OPT4_KTQT_v4[[#This Row],[DT-EXW-10]]*KH_26_OPT4_KTQT_v4[[#This Row],[%CPDP]],0)</f>
        <v>182187500</v>
      </c>
      <c r="EB19" s="132">
        <f>IFERROR(KH_26_OPT4_KTQT_v4[[#This Row],[DT-EXW-11]]*KH_26_OPT4_KTQT_v4[[#This Row],[%CPDP]],0)</f>
        <v>182187500</v>
      </c>
      <c r="EC19" s="132">
        <f>IFERROR(KH_26_OPT4_KTQT_v4[[#This Row],[DT-EXW-12]]*KH_26_OPT4_KTQT_v4[[#This Row],[%CPDP]],0)</f>
        <v>182187500</v>
      </c>
      <c r="ED19" s="131">
        <f ca="1">SUM(KH_26_OPT4_KTQT_v4[[#This Row],[CPDP-01]:[CPDP-12]])</f>
        <v>2143187500</v>
      </c>
    </row>
    <row r="20" spans="1:134" ht="14.65" hidden="1" customHeight="1" x14ac:dyDescent="0.35">
      <c r="A20" s="18">
        <v>15</v>
      </c>
      <c r="B20" s="71" t="s">
        <v>110</v>
      </c>
      <c r="C20" s="18" t="str">
        <f>IFERROR(_xlfn.XLOOKUP(KH_26_OPT4_KTQT_v4[[#This Row],[Salesman]],MD_Salesman[Salesman],MD_Salesman[SalesManager]),"")</f>
        <v>Quốc Anh</v>
      </c>
      <c r="D20" s="72" t="str">
        <f>IFERROR(INDEX(MD_Customer[Mã khách],MATCH(KH_26_OPT4_KTQT_v4[[#This Row],[Tên khách]],MD_Customer[Tên khách-rút gọn],0)),"")</f>
        <v>200394</v>
      </c>
      <c r="E20" s="7" t="str">
        <f>IFERROR(INDEX(MD_Customer[Parent Account],MATCH(KH_26_OPT4_KTQT_v4[[#This Row],[Tên khách]],MD_Customer[Tên khách-rút gọn],0)),"")</f>
        <v>MHE ENTERPRISE</v>
      </c>
      <c r="F20" s="35" t="s">
        <v>50</v>
      </c>
      <c r="G20" s="7" t="str">
        <f>IFERROR(INDEX(MD_Customer[Phân loại],MATCH(KH_26_OPT4_KTQT_v4[[#This Row],[Tên khách]],MD_Customer[Tên khách-rút gọn],0)),"")</f>
        <v>Mới</v>
      </c>
      <c r="H20" s="7" t="str">
        <f>IFERROR(INDEX(MD_Customer[Kênh bán hàng],MATCH(KH_26_OPT4_KTQT_v4[[#This Row],[Tên khách]],MD_Customer[Tên khách-rút gọn],0)),"")</f>
        <v>Xuất khẩu</v>
      </c>
      <c r="I20" s="35" t="s">
        <v>288</v>
      </c>
      <c r="J20" s="7" t="str">
        <f>IFERROR(INDEX(MD_Destination[Nước],MATCH(KH_26_OPT4_KTQT_v4[[#This Row],[Địa điểm đến]],MD_Destination[Địa điểm đến],0)),"")</f>
        <v>Ghana</v>
      </c>
      <c r="K20" s="7" t="str">
        <f>IFERROR(INDEX(MD_Destination[Khu vực],MATCH(KH_26_OPT4_KTQT_v4[[#This Row],[Địa điểm đến]],MD_Destination[Địa điểm đến],0)),"")</f>
        <v>Châu Phi</v>
      </c>
      <c r="L20" s="35" t="s">
        <v>285</v>
      </c>
      <c r="M20" s="7" t="str">
        <f>IFERROR(INDEX(MD_SKU[Mã SKU],MATCH(KH_26_OPT4_KTQT_v4[[#This Row],[Tên sản phẩm]],MD_SKU[Tên SKU-rút gọn],0)),"")</f>
        <v>110000341</v>
      </c>
      <c r="N20" s="35" t="s">
        <v>486</v>
      </c>
      <c r="O20" s="7" t="str">
        <f>IFERROR(INDEX(MD_SKU[Ngành hàng],MATCH(KH_26_OPT4_KTQT_v4[[#This Row],[Tên sản phẩm]],MD_SKU[Tên SKU-rút gọn],0)),"")</f>
        <v>rHDPE thổi</v>
      </c>
      <c r="P20" s="7" t="str">
        <f>IFERROR(INDEX(MD_SKU[Nhóm ngành],MATCH(KH_26_OPT4_KTQT_v4[[#This Row],[Tên sản phẩm]],MD_SKU[Tên SKU-rút gọn],0)),"")</f>
        <v>Hạt HD thổi</v>
      </c>
      <c r="Q20" s="7" t="str">
        <f>IFERROR(
   IF(INDEX(MD_SKU[IV/IM],MATCH(KH_26_OPT4_KTQT_v4[[#This Row],[Tên sản phẩm]],MD_SKU[Tên SKU-rút gọn],0))=0,
      "",
      INDEX(MD_SKU[IV/IM],MATCH(KH_26_OPT4_KTQT_v4[[#This Row],[Tên sản phẩm]],MD_SKU[Tên SKU-rút gọn],0))
   ),
"")</f>
        <v/>
      </c>
      <c r="R20" s="44" t="str">
        <f>IFERROR(INDEX(MD_SKU[Application],MATCH(KH_26_OPT4_KTQT_v4[[#This Row],[Tên sản phẩm]],MD_SKU[Tên SKU-rút gọn],0)),"")</f>
        <v>THỔI ỐNG</v>
      </c>
      <c r="S20" s="7" t="str">
        <f>IFERROR(INDEX(MD_SKU[Phân loại],MATCH(KH_26_OPT4_KTQT_v4[[#This Row],[Tên sản phẩm]],MD_SKU[Tên SKU-rút gọn],0)),"")</f>
        <v>Cũ</v>
      </c>
      <c r="T20" s="7" t="s">
        <v>50</v>
      </c>
      <c r="U20" s="7" t="s">
        <v>1508</v>
      </c>
      <c r="V20" s="70">
        <v>0.8</v>
      </c>
      <c r="W20" s="33">
        <v>50</v>
      </c>
      <c r="X20" s="33">
        <v>50</v>
      </c>
      <c r="Y20" s="33">
        <v>50</v>
      </c>
      <c r="Z20" s="33">
        <v>50</v>
      </c>
      <c r="AA20" s="33">
        <v>50</v>
      </c>
      <c r="AB20" s="33">
        <v>50</v>
      </c>
      <c r="AC20" s="33">
        <v>80</v>
      </c>
      <c r="AD20" s="33">
        <v>80</v>
      </c>
      <c r="AE20" s="33">
        <v>80</v>
      </c>
      <c r="AF20" s="33">
        <v>80</v>
      </c>
      <c r="AG20" s="33">
        <v>80</v>
      </c>
      <c r="AH20" s="33">
        <v>80</v>
      </c>
      <c r="AI20" s="47">
        <f ca="1">SUM(KH_26_OPT4_KTQT_v4[[#This Row],[SL-01]:[SL-12]])</f>
        <v>780</v>
      </c>
      <c r="AJ20" s="47">
        <f ca="1">SUMIFS(DB_25[SL-DB25],DB_25[Mã khách],KH_26_OPT4_KTQT_v4[[#This Row],[Mã khách]],DB_25[Mã sản phẩm],KH_26_OPT4_KTQT_v4[[#This Row],[Mã sản phẩm]])</f>
        <v>27</v>
      </c>
      <c r="AK20" s="20">
        <f ca="1">KH_26_OPT4_KTQT_v4[[#This Row],[SL-KH26]]-KH_26_OPT4_KTQT_v4[[#This Row],[SL-DB25]]</f>
        <v>753</v>
      </c>
      <c r="AL20" s="21">
        <f ca="1">IFERROR(KH_26_OPT4_KTQT_v4[[#This Row],[SL-+/-]]/KH_26_OPT4_KTQT_v4[[#This Row],[SL-DB25]],0)</f>
        <v>27.888888888888889</v>
      </c>
      <c r="AM20" s="51">
        <v>600</v>
      </c>
      <c r="AN20" s="51">
        <v>600</v>
      </c>
      <c r="AO20" s="51">
        <v>600</v>
      </c>
      <c r="AP20" s="51">
        <v>600</v>
      </c>
      <c r="AQ20" s="51">
        <v>600</v>
      </c>
      <c r="AR20" s="51">
        <v>600</v>
      </c>
      <c r="AS20" s="51">
        <v>600</v>
      </c>
      <c r="AT20" s="51">
        <v>600</v>
      </c>
      <c r="AU20" s="51">
        <v>600</v>
      </c>
      <c r="AV20" s="51">
        <v>600</v>
      </c>
      <c r="AW20" s="51">
        <v>600</v>
      </c>
      <c r="AX20" s="51">
        <v>600</v>
      </c>
      <c r="AY20" s="23">
        <v>600</v>
      </c>
      <c r="AZ20" s="7"/>
      <c r="BA20" s="24">
        <f>KH_26_OPT4_KTQT_v4[[#This Row],[GB-DB25]]-KH_26_OPT4_KTQT_v4[[#This Row],[GB-KH25]]</f>
        <v>600</v>
      </c>
      <c r="BB20" s="21">
        <f>IFERROR(KH_26_OPT4_KTQT_v4[[#This Row],[GB-+/-]]/KH_26_OPT4_KTQT_v4[[#This Row],[GB-KH25]],0)</f>
        <v>0</v>
      </c>
      <c r="BC20" s="21"/>
      <c r="BD20" s="47">
        <f>KH_26_OPT4_KTQT_v4[[#This Row],[SL-01]]*KH_26_OPT4_KTQT_v4[[#This Row],[GB-01]]*EXR</f>
        <v>795000000</v>
      </c>
      <c r="BE20" s="47">
        <f>KH_26_OPT4_KTQT_v4[[#This Row],[SL-02]]*KH_26_OPT4_KTQT_v4[[#This Row],[GB-02]]*EXR</f>
        <v>795000000</v>
      </c>
      <c r="BF20" s="47">
        <f>KH_26_OPT4_KTQT_v4[[#This Row],[SL-03]]*KH_26_OPT4_KTQT_v4[[#This Row],[GB-03]]*EXR</f>
        <v>795000000</v>
      </c>
      <c r="BG20" s="47">
        <f>KH_26_OPT4_KTQT_v4[[#This Row],[SL-04]]*KH_26_OPT4_KTQT_v4[[#This Row],[GB-04]]*EXR</f>
        <v>795000000</v>
      </c>
      <c r="BH20" s="47">
        <f>KH_26_OPT4_KTQT_v4[[#This Row],[SL-05]]*KH_26_OPT4_KTQT_v4[[#This Row],[GB-05]]*EXR</f>
        <v>795000000</v>
      </c>
      <c r="BI20" s="47">
        <f>KH_26_OPT4_KTQT_v4[[#This Row],[SL-06]]*KH_26_OPT4_KTQT_v4[[#This Row],[GB-06]]*EXR</f>
        <v>795000000</v>
      </c>
      <c r="BJ20" s="47">
        <f>KH_26_OPT4_KTQT_v4[[#This Row],[SL-07]]*KH_26_OPT4_KTQT_v4[[#This Row],[GB-07]]*EXR</f>
        <v>1272000000</v>
      </c>
      <c r="BK20" s="47">
        <f>KH_26_OPT4_KTQT_v4[[#This Row],[SL-08]]*KH_26_OPT4_KTQT_v4[[#This Row],[GB-08]]*EXR</f>
        <v>1272000000</v>
      </c>
      <c r="BL20" s="47">
        <f>KH_26_OPT4_KTQT_v4[[#This Row],[SL-09]]*KH_26_OPT4_KTQT_v4[[#This Row],[GB-09]]*EXR</f>
        <v>1272000000</v>
      </c>
      <c r="BM20" s="47">
        <f>KH_26_OPT4_KTQT_v4[[#This Row],[SL-10]]*KH_26_OPT4_KTQT_v4[[#This Row],[GB-10]]*EXR</f>
        <v>1272000000</v>
      </c>
      <c r="BN20" s="47">
        <f>KH_26_OPT4_KTQT_v4[[#This Row],[SL-11]]*KH_26_OPT4_KTQT_v4[[#This Row],[GB-11]]*EXR</f>
        <v>1272000000</v>
      </c>
      <c r="BO20" s="47">
        <f>KH_26_OPT4_KTQT_v4[[#This Row],[SL-12]]*KH_26_OPT4_KTQT_v4[[#This Row],[GB-12]]*EXR</f>
        <v>1272000000</v>
      </c>
      <c r="BP20" s="47">
        <f ca="1">SUM(KH_26_OPT4_KTQT_v4[[#This Row],[DT-EXW-01]:[DT-EXW-12]])</f>
        <v>12402000000</v>
      </c>
      <c r="BQ20" s="47">
        <f ca="1">SUMIFS(DB_25[DT-DB25],DB_25[Mã khách],KH_26_OPT4_KTQT_v4[[#This Row],[Mã khách]],DB_25[Mã sản phẩm],KH_26_OPT4_KTQT_v4[[#This Row],[Mã sản phẩm]])</f>
        <v>456809749</v>
      </c>
      <c r="BR20" s="19">
        <f ca="1">KH_26_OPT4_KTQT_v4[[#This Row],[DT-EXW-KH26]]-KH_26_OPT4_KTQT_v4[[#This Row],[DT-EXW-DB25]]</f>
        <v>11945190251</v>
      </c>
      <c r="BS20" s="21">
        <f ca="1">IFERROR(KH_26_OPT4_KTQT_v4[[#This Row],[DT-EXW-+/-]]/KH_26_OPT4_KTQT_v4[[#This Row],[DT-EXW-DB25]],0)</f>
        <v>26.1491578871711</v>
      </c>
      <c r="BT20" s="139"/>
      <c r="BU20" s="57"/>
      <c r="BV20" s="51"/>
      <c r="BW20" s="47">
        <f>IF(KH_26_OPT4_KTQT_v4[[#This Row],[CPHH-%-SL]]="Dthu",KH_26_OPT4_KTQT_v4[[#This Row],[%HH]]*KH_26_OPT4_KTQT_v4[[#This Row],[DT-EXW-01]],KH_26_OPT4_KTQT_v4[[#This Row],[HH-SL]]*KH_26_OPT4_KTQT_v4[[#This Row],[SL-01]])</f>
        <v>0</v>
      </c>
      <c r="BX20" s="47">
        <f>IF(KH_26_OPT4_KTQT_v4[[#This Row],[CPHH-%-SL]]="Dthu",KH_26_OPT4_KTQT_v4[[#This Row],[%HH]]*KH_26_OPT4_KTQT_v4[[#This Row],[DT-EXW-02]],KH_26_OPT4_KTQT_v4[[#This Row],[HH-SL]]*KH_26_OPT4_KTQT_v4[[#This Row],[SL-02]])</f>
        <v>0</v>
      </c>
      <c r="BY20" s="47">
        <f>IF(KH_26_OPT4_KTQT_v4[[#This Row],[CPHH-%-SL]]="Dthu",KH_26_OPT4_KTQT_v4[[#This Row],[%HH]]*KH_26_OPT4_KTQT_v4[[#This Row],[DT-EXW-03]],KH_26_OPT4_KTQT_v4[[#This Row],[HH-SL]]*KH_26_OPT4_KTQT_v4[[#This Row],[SL-03]])</f>
        <v>0</v>
      </c>
      <c r="BZ20" s="47">
        <f>IF(KH_26_OPT4_KTQT_v4[[#This Row],[CPHH-%-SL]]="Dthu",KH_26_OPT4_KTQT_v4[[#This Row],[%HH]]*KH_26_OPT4_KTQT_v4[[#This Row],[DT-EXW-04]],KH_26_OPT4_KTQT_v4[[#This Row],[HH-SL]]*KH_26_OPT4_KTQT_v4[[#This Row],[SL-04]])</f>
        <v>0</v>
      </c>
      <c r="CA20" s="47">
        <f>IF(KH_26_OPT4_KTQT_v4[[#This Row],[CPHH-%-SL]]="Dthu",KH_26_OPT4_KTQT_v4[[#This Row],[%HH]]*KH_26_OPT4_KTQT_v4[[#This Row],[DT-EXW-05]],KH_26_OPT4_KTQT_v4[[#This Row],[HH-SL]]*KH_26_OPT4_KTQT_v4[[#This Row],[SL-05]])</f>
        <v>0</v>
      </c>
      <c r="CB20" s="47">
        <f>IF(KH_26_OPT4_KTQT_v4[[#This Row],[CPHH-%-SL]]="Dthu",KH_26_OPT4_KTQT_v4[[#This Row],[%HH]]*KH_26_OPT4_KTQT_v4[[#This Row],[DT-EXW-06]],KH_26_OPT4_KTQT_v4[[#This Row],[HH-SL]]*KH_26_OPT4_KTQT_v4[[#This Row],[SL-06]])</f>
        <v>0</v>
      </c>
      <c r="CC20" s="47">
        <f>IF(KH_26_OPT4_KTQT_v4[[#This Row],[CPHH-%-SL]]="Dthu",KH_26_OPT4_KTQT_v4[[#This Row],[%HH]]*KH_26_OPT4_KTQT_v4[[#This Row],[DT-EXW-07]],KH_26_OPT4_KTQT_v4[[#This Row],[HH-SL]]*KH_26_OPT4_KTQT_v4[[#This Row],[SL-07]])</f>
        <v>0</v>
      </c>
      <c r="CD20" s="47">
        <f>IF(KH_26_OPT4_KTQT_v4[[#This Row],[CPHH-%-SL]]="Dthu",KH_26_OPT4_KTQT_v4[[#This Row],[%HH]]*KH_26_OPT4_KTQT_v4[[#This Row],[DT-EXW-08]],KH_26_OPT4_KTQT_v4[[#This Row],[HH-SL]]*KH_26_OPT4_KTQT_v4[[#This Row],[SL-08]])</f>
        <v>0</v>
      </c>
      <c r="CE20" s="47">
        <f>IF(KH_26_OPT4_KTQT_v4[[#This Row],[CPHH-%-SL]]="Dthu",KH_26_OPT4_KTQT_v4[[#This Row],[%HH]]*KH_26_OPT4_KTQT_v4[[#This Row],[DT-EXW-09]],KH_26_OPT4_KTQT_v4[[#This Row],[HH-SL]]*KH_26_OPT4_KTQT_v4[[#This Row],[SL-09]])</f>
        <v>0</v>
      </c>
      <c r="CF20" s="47">
        <f>IF(KH_26_OPT4_KTQT_v4[[#This Row],[CPHH-%-SL]]="Dthu",KH_26_OPT4_KTQT_v4[[#This Row],[%HH]]*KH_26_OPT4_KTQT_v4[[#This Row],[DT-EXW-10]],KH_26_OPT4_KTQT_v4[[#This Row],[HH-SL]]*KH_26_OPT4_KTQT_v4[[#This Row],[SL-10]])</f>
        <v>0</v>
      </c>
      <c r="CG20" s="47">
        <f>IF(KH_26_OPT4_KTQT_v4[[#This Row],[CPHH-%-SL]]="Dthu",KH_26_OPT4_KTQT_v4[[#This Row],[%HH]]*KH_26_OPT4_KTQT_v4[[#This Row],[DT-EXW-11]],KH_26_OPT4_KTQT_v4[[#This Row],[HH-SL]]*KH_26_OPT4_KTQT_v4[[#This Row],[SL-11]])</f>
        <v>0</v>
      </c>
      <c r="CH20" s="47">
        <f>IF(KH_26_OPT4_KTQT_v4[[#This Row],[CPHH-%-SL]]="Dthu",KH_26_OPT4_KTQT_v4[[#This Row],[%HH]]*KH_26_OPT4_KTQT_v4[[#This Row],[DT-EXW-12]],KH_26_OPT4_KTQT_v4[[#This Row],[HH-SL]]*KH_26_OPT4_KTQT_v4[[#This Row],[SL-12]])</f>
        <v>0</v>
      </c>
      <c r="CI20" s="47">
        <f ca="1">SUM(KH_26_OPT4_KTQT_v4[[#This Row],[CPHH-01]:[CPHH-12]])</f>
        <v>0</v>
      </c>
      <c r="CJ20" s="47" cm="1">
        <f t="array" ref="CJ20">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20" s="19">
        <f ca="1">SUM(KH_26_OPT4_KTQT_v4[[#This Row],[ĐGVCNĐ-KXK]:[ĐGVCCT-KXK]])</f>
        <v>5348181.8181818184</v>
      </c>
      <c r="CL20" s="47" cm="1">
        <f t="array" ref="CL20">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530000</v>
      </c>
      <c r="CM20" s="47" cm="1">
        <f t="array" ref="CM20">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4818181.8181818184</v>
      </c>
      <c r="CN20" s="47">
        <f ca="1">(KH_26_OPT4_KTQT_v4[[#This Row],[ĐGVC-KNĐ]]+KH_26_OPT4_KTQT_v4[[#This Row],[ĐGVC-KXK]])*KH_26_OPT4_KTQT_v4[[#This Row],[SL-01]]</f>
        <v>267409090.90909091</v>
      </c>
      <c r="CO20" s="47">
        <f ca="1">(KH_26_OPT4_KTQT_v4[[#This Row],[ĐGVC-KNĐ]]+KH_26_OPT4_KTQT_v4[[#This Row],[ĐGVC-KXK]])*KH_26_OPT4_KTQT_v4[[#This Row],[SL-02]]</f>
        <v>267409090.90909091</v>
      </c>
      <c r="CP20" s="47">
        <f ca="1">(KH_26_OPT4_KTQT_v4[[#This Row],[ĐGVC-KNĐ]]+KH_26_OPT4_KTQT_v4[[#This Row],[ĐGVC-KXK]])*KH_26_OPT4_KTQT_v4[[#This Row],[SL-03]]</f>
        <v>267409090.90909091</v>
      </c>
      <c r="CQ20" s="47">
        <f ca="1">(KH_26_OPT4_KTQT_v4[[#This Row],[ĐGVC-KNĐ]]+KH_26_OPT4_KTQT_v4[[#This Row],[ĐGVC-KXK]])*KH_26_OPT4_KTQT_v4[[#This Row],[SL-04]]</f>
        <v>267409090.90909091</v>
      </c>
      <c r="CR20" s="47">
        <f ca="1">(KH_26_OPT4_KTQT_v4[[#This Row],[ĐGVC-KNĐ]]+KH_26_OPT4_KTQT_v4[[#This Row],[ĐGVC-KXK]])*KH_26_OPT4_KTQT_v4[[#This Row],[SL-05]]</f>
        <v>267409090.90909091</v>
      </c>
      <c r="CS20" s="47">
        <f ca="1">(KH_26_OPT4_KTQT_v4[[#This Row],[ĐGVC-KNĐ]]+KH_26_OPT4_KTQT_v4[[#This Row],[ĐGVC-KXK]])*KH_26_OPT4_KTQT_v4[[#This Row],[SL-06]]</f>
        <v>267409090.90909091</v>
      </c>
      <c r="CT20" s="47">
        <f ca="1">(KH_26_OPT4_KTQT_v4[[#This Row],[ĐGVC-KNĐ]]+KH_26_OPT4_KTQT_v4[[#This Row],[ĐGVC-KXK]])*KH_26_OPT4_KTQT_v4[[#This Row],[SL-07]]</f>
        <v>427854545.4545455</v>
      </c>
      <c r="CU20" s="47">
        <f ca="1">(KH_26_OPT4_KTQT_v4[[#This Row],[ĐGVC-KNĐ]]+KH_26_OPT4_KTQT_v4[[#This Row],[ĐGVC-KXK]])*KH_26_OPT4_KTQT_v4[[#This Row],[SL-08]]</f>
        <v>427854545.4545455</v>
      </c>
      <c r="CV20" s="47">
        <f ca="1">(KH_26_OPT4_KTQT_v4[[#This Row],[ĐGVC-KNĐ]]+KH_26_OPT4_KTQT_v4[[#This Row],[ĐGVC-KXK]])*KH_26_OPT4_KTQT_v4[[#This Row],[SL-09]]</f>
        <v>427854545.4545455</v>
      </c>
      <c r="CW20" s="47">
        <f ca="1">(KH_26_OPT4_KTQT_v4[[#This Row],[ĐGVC-KNĐ]]+KH_26_OPT4_KTQT_v4[[#This Row],[ĐGVC-KXK]])*KH_26_OPT4_KTQT_v4[[#This Row],[SL-10]]</f>
        <v>427854545.4545455</v>
      </c>
      <c r="CX20" s="47">
        <f ca="1">(KH_26_OPT4_KTQT_v4[[#This Row],[ĐGVC-KNĐ]]+KH_26_OPT4_KTQT_v4[[#This Row],[ĐGVC-KXK]])*KH_26_OPT4_KTQT_v4[[#This Row],[SL-11]]</f>
        <v>427854545.4545455</v>
      </c>
      <c r="CY20" s="47">
        <f ca="1">(KH_26_OPT4_KTQT_v4[[#This Row],[ĐGVC-KNĐ]]+KH_26_OPT4_KTQT_v4[[#This Row],[ĐGVC-KXK]])*KH_26_OPT4_KTQT_v4[[#This Row],[SL-12]]</f>
        <v>427854545.4545455</v>
      </c>
      <c r="CZ20" s="47">
        <f ca="1">SUM(KH_26_OPT4_KTQT_v4[[#This Row],[CPVC-01]:[CPVC-12]])</f>
        <v>4171581818.1818185</v>
      </c>
      <c r="DA20" s="124">
        <f ca="1">KH_26_OPT4_KTQT_v4[[#This Row],[DT-EXW-01]]+KH_26_OPT4_KTQT_v4[[#This Row],[CPVC-01]]+KH_26_OPT4_KTQT_v4[[#This Row],[CPHH-01]]</f>
        <v>1062409090.9090909</v>
      </c>
      <c r="DB20" s="47">
        <f ca="1">KH_26_OPT4_KTQT_v4[[#This Row],[DT-EXW-02]]+KH_26_OPT4_KTQT_v4[[#This Row],[CPVC-02]]+KH_26_OPT4_KTQT_v4[[#This Row],[CPHH-02]]</f>
        <v>1062409090.9090909</v>
      </c>
      <c r="DC20" s="47">
        <f ca="1">KH_26_OPT4_KTQT_v4[[#This Row],[DT-EXW-03]]+KH_26_OPT4_KTQT_v4[[#This Row],[CPVC-03]]+KH_26_OPT4_KTQT_v4[[#This Row],[CPHH-03]]</f>
        <v>1062409090.9090909</v>
      </c>
      <c r="DD20" s="47">
        <f ca="1">KH_26_OPT4_KTQT_v4[[#This Row],[DT-EXW-04]]+KH_26_OPT4_KTQT_v4[[#This Row],[CPVC-04]]+KH_26_OPT4_KTQT_v4[[#This Row],[CPHH-04]]</f>
        <v>1062409090.9090909</v>
      </c>
      <c r="DE20" s="47">
        <f ca="1">KH_26_OPT4_KTQT_v4[[#This Row],[DT-EXW-05]]+KH_26_OPT4_KTQT_v4[[#This Row],[CPVC-05]]+KH_26_OPT4_KTQT_v4[[#This Row],[CPHH-05]]</f>
        <v>1062409090.9090909</v>
      </c>
      <c r="DF20" s="47">
        <f ca="1">KH_26_OPT4_KTQT_v4[[#This Row],[DT-EXW-06]]+KH_26_OPT4_KTQT_v4[[#This Row],[CPVC-06]]+KH_26_OPT4_KTQT_v4[[#This Row],[CPHH-06]]</f>
        <v>1062409090.9090909</v>
      </c>
      <c r="DG20" s="47">
        <f ca="1">KH_26_OPT4_KTQT_v4[[#This Row],[DT-EXW-07]]+KH_26_OPT4_KTQT_v4[[#This Row],[CPVC-07]]+KH_26_OPT4_KTQT_v4[[#This Row],[CPHH-07]]</f>
        <v>1699854545.4545455</v>
      </c>
      <c r="DH20" s="47">
        <f ca="1">KH_26_OPT4_KTQT_v4[[#This Row],[DT-EXW-08]]+KH_26_OPT4_KTQT_v4[[#This Row],[CPVC-08]]+KH_26_OPT4_KTQT_v4[[#This Row],[CPHH-08]]</f>
        <v>1699854545.4545455</v>
      </c>
      <c r="DI20" s="47">
        <f ca="1">KH_26_OPT4_KTQT_v4[[#This Row],[DT-EXW-09]]+KH_26_OPT4_KTQT_v4[[#This Row],[CPVC-09]]+KH_26_OPT4_KTQT_v4[[#This Row],[CPHH-09]]</f>
        <v>1699854545.4545455</v>
      </c>
      <c r="DJ20" s="47">
        <f ca="1">KH_26_OPT4_KTQT_v4[[#This Row],[DT-EXW-10]]+KH_26_OPT4_KTQT_v4[[#This Row],[CPVC-10]]+KH_26_OPT4_KTQT_v4[[#This Row],[CPHH-10]]</f>
        <v>1699854545.4545455</v>
      </c>
      <c r="DK20" s="47">
        <f ca="1">KH_26_OPT4_KTQT_v4[[#This Row],[DT-EXW-11]]+KH_26_OPT4_KTQT_v4[[#This Row],[CPVC-11]]+KH_26_OPT4_KTQT_v4[[#This Row],[CPHH-11]]</f>
        <v>1699854545.4545455</v>
      </c>
      <c r="DL20" s="47">
        <f ca="1">KH_26_OPT4_KTQT_v4[[#This Row],[DT-EXW-12]]+KH_26_OPT4_KTQT_v4[[#This Row],[CPVC-12]]+KH_26_OPT4_KTQT_v4[[#This Row],[CPHH-12]]</f>
        <v>1699854545.4545455</v>
      </c>
      <c r="DM20" s="47">
        <f ca="1">SUM(KH_26_OPT4_KTQT_v4[[#This Row],[DT-01]:[DT-12]])</f>
        <v>16573581818.18182</v>
      </c>
      <c r="DN20" s="7"/>
      <c r="DO20" s="7"/>
      <c r="DP20" s="125"/>
      <c r="DQ20" s="136"/>
      <c r="DR20" s="132">
        <f>IFERROR(KH_26_OPT4_KTQT_v4[[#This Row],[DT-EXW-01]]*KH_26_OPT4_KTQT_v4[[#This Row],[%CPDP]],0)</f>
        <v>0</v>
      </c>
      <c r="DS20" s="132">
        <f>IFERROR(KH_26_OPT4_KTQT_v4[[#This Row],[DT-EXW-02]]*KH_26_OPT4_KTQT_v4[[#This Row],[%CPDP]],0)</f>
        <v>0</v>
      </c>
      <c r="DT20" s="132">
        <f>IFERROR(KH_26_OPT4_KTQT_v4[[#This Row],[DT-EXW-03]]*KH_26_OPT4_KTQT_v4[[#This Row],[%CPDP]],0)</f>
        <v>0</v>
      </c>
      <c r="DU20" s="132">
        <f>IFERROR(KH_26_OPT4_KTQT_v4[[#This Row],[DT-EXW-04]]*KH_26_OPT4_KTQT_v4[[#This Row],[%CPDP]],0)</f>
        <v>0</v>
      </c>
      <c r="DV20" s="132">
        <f>IFERROR(KH_26_OPT4_KTQT_v4[[#This Row],[DT-EXW-05]]*KH_26_OPT4_KTQT_v4[[#This Row],[%CPDP]],0)</f>
        <v>0</v>
      </c>
      <c r="DW20" s="132">
        <f>IFERROR(KH_26_OPT4_KTQT_v4[[#This Row],[DT-EXW-06]]*KH_26_OPT4_KTQT_v4[[#This Row],[%CPDP]],0)</f>
        <v>0</v>
      </c>
      <c r="DX20" s="132">
        <f>IFERROR(KH_26_OPT4_KTQT_v4[[#This Row],[DT-EXW-07]]*KH_26_OPT4_KTQT_v4[[#This Row],[%CPDP]],0)</f>
        <v>0</v>
      </c>
      <c r="DY20" s="132">
        <f>IFERROR(KH_26_OPT4_KTQT_v4[[#This Row],[DT-EXW-08]]*KH_26_OPT4_KTQT_v4[[#This Row],[%CPDP]],0)</f>
        <v>0</v>
      </c>
      <c r="DZ20" s="132">
        <f>IFERROR(KH_26_OPT4_KTQT_v4[[#This Row],[DT-EXW-09]]*KH_26_OPT4_KTQT_v4[[#This Row],[%CPDP]],0)</f>
        <v>0</v>
      </c>
      <c r="EA20" s="132">
        <f>IFERROR(KH_26_OPT4_KTQT_v4[[#This Row],[DT-EXW-10]]*KH_26_OPT4_KTQT_v4[[#This Row],[%CPDP]],0)</f>
        <v>0</v>
      </c>
      <c r="EB20" s="132">
        <f>IFERROR(KH_26_OPT4_KTQT_v4[[#This Row],[DT-EXW-11]]*KH_26_OPT4_KTQT_v4[[#This Row],[%CPDP]],0)</f>
        <v>0</v>
      </c>
      <c r="EC20" s="132">
        <f>IFERROR(KH_26_OPT4_KTQT_v4[[#This Row],[DT-EXW-12]]*KH_26_OPT4_KTQT_v4[[#This Row],[%CPDP]],0)</f>
        <v>0</v>
      </c>
      <c r="ED20" s="131">
        <f ca="1">SUM(KH_26_OPT4_KTQT_v4[[#This Row],[CPDP-01]:[CPDP-12]])</f>
        <v>0</v>
      </c>
    </row>
    <row r="21" spans="1:134" ht="14.65" hidden="1" customHeight="1" x14ac:dyDescent="0.35">
      <c r="A21" s="18">
        <v>16</v>
      </c>
      <c r="B21" s="71" t="s">
        <v>115</v>
      </c>
      <c r="C21" s="18" t="str">
        <f>IFERROR(_xlfn.XLOOKUP(KH_26_OPT4_KTQT_v4[[#This Row],[Salesman]],MD_Salesman[Salesman],MD_Salesman[SalesManager]),"")</f>
        <v>Quốc Anh</v>
      </c>
      <c r="D21" s="72" t="str">
        <f>IFERROR(INDEX(MD_Customer[Mã khách],MATCH(KH_26_OPT4_KTQT_v4[[#This Row],[Tên khách]],MD_Customer[Tên khách-rút gọn],0)),"")</f>
        <v>105338</v>
      </c>
      <c r="E21" s="7" t="str">
        <f>IFERROR(INDEX(MD_Customer[Parent Account],MATCH(KH_26_OPT4_KTQT_v4[[#This Row],[Tên khách]],MD_Customer[Tên khách-rút gọn],0)),"")</f>
        <v>Nhựa Đạt Hòa</v>
      </c>
      <c r="F21" s="35" t="s">
        <v>51</v>
      </c>
      <c r="G21" s="7" t="str">
        <f>IFERROR(INDEX(MD_Customer[Phân loại],MATCH(KH_26_OPT4_KTQT_v4[[#This Row],[Tên khách]],MD_Customer[Tên khách-rút gọn],0)),"")</f>
        <v>Mới</v>
      </c>
      <c r="H21" s="7" t="str">
        <f>IFERROR(INDEX(MD_Customer[Kênh bán hàng],MATCH(KH_26_OPT4_KTQT_v4[[#This Row],[Tên khách]],MD_Customer[Tên khách-rút gọn],0)),"")</f>
        <v>Nội địa</v>
      </c>
      <c r="I21" s="35" t="s">
        <v>261</v>
      </c>
      <c r="J21" s="7" t="str">
        <f>IFERROR(INDEX(MD_Destination[Nước],MATCH(KH_26_OPT4_KTQT_v4[[#This Row],[Địa điểm đến]],MD_Destination[Địa điểm đến],0)),"")</f>
        <v>Việt Nam</v>
      </c>
      <c r="K21" s="7" t="str">
        <f>IFERROR(INDEX(MD_Destination[Khu vực],MATCH(KH_26_OPT4_KTQT_v4[[#This Row],[Địa điểm đến]],MD_Destination[Địa điểm đến],0)),"")</f>
        <v>Châu Á</v>
      </c>
      <c r="L21" s="35" t="s">
        <v>262</v>
      </c>
      <c r="M21" s="7" t="str">
        <f>IFERROR(INDEX(MD_SKU[Mã SKU],MATCH(KH_26_OPT4_KTQT_v4[[#This Row],[Tên sản phẩm]],MD_SKU[Tên SKU-rút gọn],0)),"")</f>
        <v>110000341</v>
      </c>
      <c r="N21" s="35" t="s">
        <v>486</v>
      </c>
      <c r="O21" s="7" t="str">
        <f>IFERROR(INDEX(MD_SKU[Ngành hàng],MATCH(KH_26_OPT4_KTQT_v4[[#This Row],[Tên sản phẩm]],MD_SKU[Tên SKU-rút gọn],0)),"")</f>
        <v>rHDPE thổi</v>
      </c>
      <c r="P21" s="7" t="str">
        <f>IFERROR(INDEX(MD_SKU[Nhóm ngành],MATCH(KH_26_OPT4_KTQT_v4[[#This Row],[Tên sản phẩm]],MD_SKU[Tên SKU-rút gọn],0)),"")</f>
        <v>Hạt HD thổi</v>
      </c>
      <c r="Q21" s="7" t="str">
        <f>IFERROR(
   IF(INDEX(MD_SKU[IV/IM],MATCH(KH_26_OPT4_KTQT_v4[[#This Row],[Tên sản phẩm]],MD_SKU[Tên SKU-rút gọn],0))=0,
      "",
      INDEX(MD_SKU[IV/IM],MATCH(KH_26_OPT4_KTQT_v4[[#This Row],[Tên sản phẩm]],MD_SKU[Tên SKU-rút gọn],0))
   ),
"")</f>
        <v/>
      </c>
      <c r="R21" s="44" t="str">
        <f>IFERROR(INDEX(MD_SKU[Application],MATCH(KH_26_OPT4_KTQT_v4[[#This Row],[Tên sản phẩm]],MD_SKU[Tên SKU-rút gọn],0)),"")</f>
        <v>THỔI ỐNG</v>
      </c>
      <c r="S21" s="7" t="str">
        <f>IFERROR(INDEX(MD_SKU[Phân loại],MATCH(KH_26_OPT4_KTQT_v4[[#This Row],[Tên sản phẩm]],MD_SKU[Tên SKU-rút gọn],0)),"")</f>
        <v>Cũ</v>
      </c>
      <c r="T21" s="7" t="s">
        <v>51</v>
      </c>
      <c r="U21" s="7" t="s">
        <v>1508</v>
      </c>
      <c r="V21" s="70">
        <v>0.8</v>
      </c>
      <c r="W21" s="33"/>
      <c r="X21" s="33"/>
      <c r="Y21" s="33"/>
      <c r="Z21" s="33"/>
      <c r="AA21" s="33"/>
      <c r="AB21" s="33"/>
      <c r="AC21" s="33"/>
      <c r="AD21" s="33"/>
      <c r="AE21" s="33"/>
      <c r="AF21" s="33"/>
      <c r="AG21" s="33"/>
      <c r="AH21" s="33"/>
      <c r="AI21" s="47">
        <f ca="1">SUM(KH_26_OPT4_KTQT_v4[[#This Row],[SL-01]:[SL-12]])</f>
        <v>0</v>
      </c>
      <c r="AJ21" s="47">
        <f ca="1">SUMIFS(DB_25[SL-DB25],DB_25[Mã khách],KH_26_OPT4_KTQT_v4[[#This Row],[Mã khách]],DB_25[Mã sản phẩm],KH_26_OPT4_KTQT_v4[[#This Row],[Mã sản phẩm]])</f>
        <v>0</v>
      </c>
      <c r="AK21" s="20">
        <f ca="1">KH_26_OPT4_KTQT_v4[[#This Row],[SL-KH26]]-KH_26_OPT4_KTQT_v4[[#This Row],[SL-DB25]]</f>
        <v>0</v>
      </c>
      <c r="AL21" s="21">
        <f ca="1">IFERROR(KH_26_OPT4_KTQT_v4[[#This Row],[SL-+/-]]/KH_26_OPT4_KTQT_v4[[#This Row],[SL-DB25]],0)</f>
        <v>0</v>
      </c>
      <c r="AM21" s="51">
        <v>600</v>
      </c>
      <c r="AN21" s="51">
        <v>600</v>
      </c>
      <c r="AO21" s="51">
        <v>600</v>
      </c>
      <c r="AP21" s="51">
        <v>600</v>
      </c>
      <c r="AQ21" s="51">
        <v>600</v>
      </c>
      <c r="AR21" s="51">
        <v>600</v>
      </c>
      <c r="AS21" s="51">
        <v>600</v>
      </c>
      <c r="AT21" s="51">
        <v>600</v>
      </c>
      <c r="AU21" s="51">
        <v>600</v>
      </c>
      <c r="AV21" s="51">
        <v>600</v>
      </c>
      <c r="AW21" s="51">
        <v>600</v>
      </c>
      <c r="AX21" s="51">
        <v>600</v>
      </c>
      <c r="AY21" s="23">
        <v>600</v>
      </c>
      <c r="AZ21" s="7"/>
      <c r="BA21" s="24">
        <f>KH_26_OPT4_KTQT_v4[[#This Row],[GB-DB25]]-KH_26_OPT4_KTQT_v4[[#This Row],[GB-KH25]]</f>
        <v>600</v>
      </c>
      <c r="BB21" s="21">
        <f>IFERROR(KH_26_OPT4_KTQT_v4[[#This Row],[GB-+/-]]/KH_26_OPT4_KTQT_v4[[#This Row],[GB-KH25]],0)</f>
        <v>0</v>
      </c>
      <c r="BC21" s="21"/>
      <c r="BD21" s="47">
        <f>KH_26_OPT4_KTQT_v4[[#This Row],[SL-01]]*KH_26_OPT4_KTQT_v4[[#This Row],[GB-01]]*EXR</f>
        <v>0</v>
      </c>
      <c r="BE21" s="47">
        <f>KH_26_OPT4_KTQT_v4[[#This Row],[SL-02]]*KH_26_OPT4_KTQT_v4[[#This Row],[GB-02]]*EXR</f>
        <v>0</v>
      </c>
      <c r="BF21" s="47">
        <f>KH_26_OPT4_KTQT_v4[[#This Row],[SL-03]]*KH_26_OPT4_KTQT_v4[[#This Row],[GB-03]]*EXR</f>
        <v>0</v>
      </c>
      <c r="BG21" s="47">
        <f>KH_26_OPT4_KTQT_v4[[#This Row],[SL-04]]*KH_26_OPT4_KTQT_v4[[#This Row],[GB-04]]*EXR</f>
        <v>0</v>
      </c>
      <c r="BH21" s="47">
        <f>KH_26_OPT4_KTQT_v4[[#This Row],[SL-05]]*KH_26_OPT4_KTQT_v4[[#This Row],[GB-05]]*EXR</f>
        <v>0</v>
      </c>
      <c r="BI21" s="47">
        <f>KH_26_OPT4_KTQT_v4[[#This Row],[SL-06]]*KH_26_OPT4_KTQT_v4[[#This Row],[GB-06]]*EXR</f>
        <v>0</v>
      </c>
      <c r="BJ21" s="47">
        <f>KH_26_OPT4_KTQT_v4[[#This Row],[SL-07]]*KH_26_OPT4_KTQT_v4[[#This Row],[GB-07]]*EXR</f>
        <v>0</v>
      </c>
      <c r="BK21" s="47">
        <f>KH_26_OPT4_KTQT_v4[[#This Row],[SL-08]]*KH_26_OPT4_KTQT_v4[[#This Row],[GB-08]]*EXR</f>
        <v>0</v>
      </c>
      <c r="BL21" s="47">
        <f>KH_26_OPT4_KTQT_v4[[#This Row],[SL-09]]*KH_26_OPT4_KTQT_v4[[#This Row],[GB-09]]*EXR</f>
        <v>0</v>
      </c>
      <c r="BM21" s="47">
        <f>KH_26_OPT4_KTQT_v4[[#This Row],[SL-10]]*KH_26_OPT4_KTQT_v4[[#This Row],[GB-10]]*EXR</f>
        <v>0</v>
      </c>
      <c r="BN21" s="47">
        <f>KH_26_OPT4_KTQT_v4[[#This Row],[SL-11]]*KH_26_OPT4_KTQT_v4[[#This Row],[GB-11]]*EXR</f>
        <v>0</v>
      </c>
      <c r="BO21" s="47">
        <f>KH_26_OPT4_KTQT_v4[[#This Row],[SL-12]]*KH_26_OPT4_KTQT_v4[[#This Row],[GB-12]]*EXR</f>
        <v>0</v>
      </c>
      <c r="BP21" s="47">
        <f ca="1">SUM(KH_26_OPT4_KTQT_v4[[#This Row],[DT-EXW-01]:[DT-EXW-12]])</f>
        <v>0</v>
      </c>
      <c r="BQ21" s="47">
        <f ca="1">SUMIFS(DB_25[DT-DB25],DB_25[Mã khách],KH_26_OPT4_KTQT_v4[[#This Row],[Mã khách]],DB_25[Mã sản phẩm],KH_26_OPT4_KTQT_v4[[#This Row],[Mã sản phẩm]])</f>
        <v>0</v>
      </c>
      <c r="BR21" s="47">
        <f ca="1">KH_26_OPT4_KTQT_v4[[#This Row],[DT-EXW-KH26]]-KH_26_OPT4_KTQT_v4[[#This Row],[DT-EXW-DB25]]</f>
        <v>0</v>
      </c>
      <c r="BS21" s="21">
        <f ca="1">IFERROR(KH_26_OPT4_KTQT_v4[[#This Row],[DT-EXW-+/-]]/KH_26_OPT4_KTQT_v4[[#This Row],[DT-EXW-DB25]],0)</f>
        <v>0</v>
      </c>
      <c r="BT21" s="139"/>
      <c r="BU21" s="57"/>
      <c r="BV21" s="51"/>
      <c r="BW21" s="47">
        <f>IF(KH_26_OPT4_KTQT_v4[[#This Row],[CPHH-%-SL]]="Dthu",KH_26_OPT4_KTQT_v4[[#This Row],[%HH]]*KH_26_OPT4_KTQT_v4[[#This Row],[DT-EXW-01]],KH_26_OPT4_KTQT_v4[[#This Row],[HH-SL]]*KH_26_OPT4_KTQT_v4[[#This Row],[SL-01]])</f>
        <v>0</v>
      </c>
      <c r="BX21" s="47">
        <f>IF(KH_26_OPT4_KTQT_v4[[#This Row],[CPHH-%-SL]]="Dthu",KH_26_OPT4_KTQT_v4[[#This Row],[%HH]]*KH_26_OPT4_KTQT_v4[[#This Row],[DT-EXW-02]],KH_26_OPT4_KTQT_v4[[#This Row],[HH-SL]]*KH_26_OPT4_KTQT_v4[[#This Row],[SL-02]])</f>
        <v>0</v>
      </c>
      <c r="BY21" s="47">
        <f>IF(KH_26_OPT4_KTQT_v4[[#This Row],[CPHH-%-SL]]="Dthu",KH_26_OPT4_KTQT_v4[[#This Row],[%HH]]*KH_26_OPT4_KTQT_v4[[#This Row],[DT-EXW-03]],KH_26_OPT4_KTQT_v4[[#This Row],[HH-SL]]*KH_26_OPT4_KTQT_v4[[#This Row],[SL-03]])</f>
        <v>0</v>
      </c>
      <c r="BZ21" s="47">
        <f>IF(KH_26_OPT4_KTQT_v4[[#This Row],[CPHH-%-SL]]="Dthu",KH_26_OPT4_KTQT_v4[[#This Row],[%HH]]*KH_26_OPT4_KTQT_v4[[#This Row],[DT-EXW-04]],KH_26_OPT4_KTQT_v4[[#This Row],[HH-SL]]*KH_26_OPT4_KTQT_v4[[#This Row],[SL-04]])</f>
        <v>0</v>
      </c>
      <c r="CA21" s="47">
        <f>IF(KH_26_OPT4_KTQT_v4[[#This Row],[CPHH-%-SL]]="Dthu",KH_26_OPT4_KTQT_v4[[#This Row],[%HH]]*KH_26_OPT4_KTQT_v4[[#This Row],[DT-EXW-05]],KH_26_OPT4_KTQT_v4[[#This Row],[HH-SL]]*KH_26_OPT4_KTQT_v4[[#This Row],[SL-05]])</f>
        <v>0</v>
      </c>
      <c r="CB21" s="47">
        <f>IF(KH_26_OPT4_KTQT_v4[[#This Row],[CPHH-%-SL]]="Dthu",KH_26_OPT4_KTQT_v4[[#This Row],[%HH]]*KH_26_OPT4_KTQT_v4[[#This Row],[DT-EXW-06]],KH_26_OPT4_KTQT_v4[[#This Row],[HH-SL]]*KH_26_OPT4_KTQT_v4[[#This Row],[SL-06]])</f>
        <v>0</v>
      </c>
      <c r="CC21" s="47">
        <f>IF(KH_26_OPT4_KTQT_v4[[#This Row],[CPHH-%-SL]]="Dthu",KH_26_OPT4_KTQT_v4[[#This Row],[%HH]]*KH_26_OPT4_KTQT_v4[[#This Row],[DT-EXW-07]],KH_26_OPT4_KTQT_v4[[#This Row],[HH-SL]]*KH_26_OPT4_KTQT_v4[[#This Row],[SL-07]])</f>
        <v>0</v>
      </c>
      <c r="CD21" s="47">
        <f>IF(KH_26_OPT4_KTQT_v4[[#This Row],[CPHH-%-SL]]="Dthu",KH_26_OPT4_KTQT_v4[[#This Row],[%HH]]*KH_26_OPT4_KTQT_v4[[#This Row],[DT-EXW-08]],KH_26_OPT4_KTQT_v4[[#This Row],[HH-SL]]*KH_26_OPT4_KTQT_v4[[#This Row],[SL-08]])</f>
        <v>0</v>
      </c>
      <c r="CE21" s="47">
        <f>IF(KH_26_OPT4_KTQT_v4[[#This Row],[CPHH-%-SL]]="Dthu",KH_26_OPT4_KTQT_v4[[#This Row],[%HH]]*KH_26_OPT4_KTQT_v4[[#This Row],[DT-EXW-09]],KH_26_OPT4_KTQT_v4[[#This Row],[HH-SL]]*KH_26_OPT4_KTQT_v4[[#This Row],[SL-09]])</f>
        <v>0</v>
      </c>
      <c r="CF21" s="47">
        <f>IF(KH_26_OPT4_KTQT_v4[[#This Row],[CPHH-%-SL]]="Dthu",KH_26_OPT4_KTQT_v4[[#This Row],[%HH]]*KH_26_OPT4_KTQT_v4[[#This Row],[DT-EXW-10]],KH_26_OPT4_KTQT_v4[[#This Row],[HH-SL]]*KH_26_OPT4_KTQT_v4[[#This Row],[SL-10]])</f>
        <v>0</v>
      </c>
      <c r="CG21" s="47">
        <f>IF(KH_26_OPT4_KTQT_v4[[#This Row],[CPHH-%-SL]]="Dthu",KH_26_OPT4_KTQT_v4[[#This Row],[%HH]]*KH_26_OPT4_KTQT_v4[[#This Row],[DT-EXW-11]],KH_26_OPT4_KTQT_v4[[#This Row],[HH-SL]]*KH_26_OPT4_KTQT_v4[[#This Row],[SL-11]])</f>
        <v>0</v>
      </c>
      <c r="CH21" s="47">
        <f>IF(KH_26_OPT4_KTQT_v4[[#This Row],[CPHH-%-SL]]="Dthu",KH_26_OPT4_KTQT_v4[[#This Row],[%HH]]*KH_26_OPT4_KTQT_v4[[#This Row],[DT-EXW-12]],KH_26_OPT4_KTQT_v4[[#This Row],[HH-SL]]*KH_26_OPT4_KTQT_v4[[#This Row],[SL-12]])</f>
        <v>0</v>
      </c>
      <c r="CI21" s="47">
        <f ca="1">SUM(KH_26_OPT4_KTQT_v4[[#This Row],[CPHH-01]:[CPHH-12]])</f>
        <v>0</v>
      </c>
      <c r="CJ21" s="47" cm="1">
        <f t="array" ref="CJ21">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21" s="19">
        <f ca="1">SUM(KH_26_OPT4_KTQT_v4[[#This Row],[ĐGVCNĐ-KXK]:[ĐGVCCT-KXK]])</f>
        <v>0</v>
      </c>
      <c r="CL21" s="47" cm="1">
        <f t="array" ref="CL21">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21" s="47" cm="1">
        <f t="array" ref="CM21">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21" s="47">
        <f ca="1">(KH_26_OPT4_KTQT_v4[[#This Row],[ĐGVC-KNĐ]]+KH_26_OPT4_KTQT_v4[[#This Row],[ĐGVC-KXK]])*KH_26_OPT4_KTQT_v4[[#This Row],[SL-01]]</f>
        <v>0</v>
      </c>
      <c r="CO21" s="47">
        <f ca="1">(KH_26_OPT4_KTQT_v4[[#This Row],[ĐGVC-KNĐ]]+KH_26_OPT4_KTQT_v4[[#This Row],[ĐGVC-KXK]])*KH_26_OPT4_KTQT_v4[[#This Row],[SL-02]]</f>
        <v>0</v>
      </c>
      <c r="CP21" s="47">
        <f ca="1">(KH_26_OPT4_KTQT_v4[[#This Row],[ĐGVC-KNĐ]]+KH_26_OPT4_KTQT_v4[[#This Row],[ĐGVC-KXK]])*KH_26_OPT4_KTQT_v4[[#This Row],[SL-03]]</f>
        <v>0</v>
      </c>
      <c r="CQ21" s="47">
        <f ca="1">(KH_26_OPT4_KTQT_v4[[#This Row],[ĐGVC-KNĐ]]+KH_26_OPT4_KTQT_v4[[#This Row],[ĐGVC-KXK]])*KH_26_OPT4_KTQT_v4[[#This Row],[SL-04]]</f>
        <v>0</v>
      </c>
      <c r="CR21" s="47">
        <f ca="1">(KH_26_OPT4_KTQT_v4[[#This Row],[ĐGVC-KNĐ]]+KH_26_OPT4_KTQT_v4[[#This Row],[ĐGVC-KXK]])*KH_26_OPT4_KTQT_v4[[#This Row],[SL-05]]</f>
        <v>0</v>
      </c>
      <c r="CS21" s="47">
        <f ca="1">(KH_26_OPT4_KTQT_v4[[#This Row],[ĐGVC-KNĐ]]+KH_26_OPT4_KTQT_v4[[#This Row],[ĐGVC-KXK]])*KH_26_OPT4_KTQT_v4[[#This Row],[SL-06]]</f>
        <v>0</v>
      </c>
      <c r="CT21" s="47">
        <f ca="1">(KH_26_OPT4_KTQT_v4[[#This Row],[ĐGVC-KNĐ]]+KH_26_OPT4_KTQT_v4[[#This Row],[ĐGVC-KXK]])*KH_26_OPT4_KTQT_v4[[#This Row],[SL-07]]</f>
        <v>0</v>
      </c>
      <c r="CU21" s="47">
        <f ca="1">(KH_26_OPT4_KTQT_v4[[#This Row],[ĐGVC-KNĐ]]+KH_26_OPT4_KTQT_v4[[#This Row],[ĐGVC-KXK]])*KH_26_OPT4_KTQT_v4[[#This Row],[SL-08]]</f>
        <v>0</v>
      </c>
      <c r="CV21" s="47">
        <f ca="1">(KH_26_OPT4_KTQT_v4[[#This Row],[ĐGVC-KNĐ]]+KH_26_OPT4_KTQT_v4[[#This Row],[ĐGVC-KXK]])*KH_26_OPT4_KTQT_v4[[#This Row],[SL-09]]</f>
        <v>0</v>
      </c>
      <c r="CW21" s="47">
        <f ca="1">(KH_26_OPT4_KTQT_v4[[#This Row],[ĐGVC-KNĐ]]+KH_26_OPT4_KTQT_v4[[#This Row],[ĐGVC-KXK]])*KH_26_OPT4_KTQT_v4[[#This Row],[SL-10]]</f>
        <v>0</v>
      </c>
      <c r="CX21" s="47">
        <f ca="1">(KH_26_OPT4_KTQT_v4[[#This Row],[ĐGVC-KNĐ]]+KH_26_OPT4_KTQT_v4[[#This Row],[ĐGVC-KXK]])*KH_26_OPT4_KTQT_v4[[#This Row],[SL-11]]</f>
        <v>0</v>
      </c>
      <c r="CY21" s="47">
        <f ca="1">(KH_26_OPT4_KTQT_v4[[#This Row],[ĐGVC-KNĐ]]+KH_26_OPT4_KTQT_v4[[#This Row],[ĐGVC-KXK]])*KH_26_OPT4_KTQT_v4[[#This Row],[SL-12]]</f>
        <v>0</v>
      </c>
      <c r="CZ21" s="47">
        <f ca="1">SUM(KH_26_OPT4_KTQT_v4[[#This Row],[CPVC-01]:[CPVC-12]])</f>
        <v>0</v>
      </c>
      <c r="DA21" s="124">
        <f ca="1">KH_26_OPT4_KTQT_v4[[#This Row],[DT-EXW-01]]+KH_26_OPT4_KTQT_v4[[#This Row],[CPVC-01]]+KH_26_OPT4_KTQT_v4[[#This Row],[CPHH-01]]</f>
        <v>0</v>
      </c>
      <c r="DB21" s="47">
        <f ca="1">KH_26_OPT4_KTQT_v4[[#This Row],[DT-EXW-02]]+KH_26_OPT4_KTQT_v4[[#This Row],[CPVC-02]]+KH_26_OPT4_KTQT_v4[[#This Row],[CPHH-02]]</f>
        <v>0</v>
      </c>
      <c r="DC21" s="47">
        <f ca="1">KH_26_OPT4_KTQT_v4[[#This Row],[DT-EXW-03]]+KH_26_OPT4_KTQT_v4[[#This Row],[CPVC-03]]+KH_26_OPT4_KTQT_v4[[#This Row],[CPHH-03]]</f>
        <v>0</v>
      </c>
      <c r="DD21" s="47">
        <f ca="1">KH_26_OPT4_KTQT_v4[[#This Row],[DT-EXW-04]]+KH_26_OPT4_KTQT_v4[[#This Row],[CPVC-04]]+KH_26_OPT4_KTQT_v4[[#This Row],[CPHH-04]]</f>
        <v>0</v>
      </c>
      <c r="DE21" s="47">
        <f ca="1">KH_26_OPT4_KTQT_v4[[#This Row],[DT-EXW-05]]+KH_26_OPT4_KTQT_v4[[#This Row],[CPVC-05]]+KH_26_OPT4_KTQT_v4[[#This Row],[CPHH-05]]</f>
        <v>0</v>
      </c>
      <c r="DF21" s="47">
        <f ca="1">KH_26_OPT4_KTQT_v4[[#This Row],[DT-EXW-06]]+KH_26_OPT4_KTQT_v4[[#This Row],[CPVC-06]]+KH_26_OPT4_KTQT_v4[[#This Row],[CPHH-06]]</f>
        <v>0</v>
      </c>
      <c r="DG21" s="47">
        <f ca="1">KH_26_OPT4_KTQT_v4[[#This Row],[DT-EXW-07]]+KH_26_OPT4_KTQT_v4[[#This Row],[CPVC-07]]+KH_26_OPT4_KTQT_v4[[#This Row],[CPHH-07]]</f>
        <v>0</v>
      </c>
      <c r="DH21" s="47">
        <f ca="1">KH_26_OPT4_KTQT_v4[[#This Row],[DT-EXW-08]]+KH_26_OPT4_KTQT_v4[[#This Row],[CPVC-08]]+KH_26_OPT4_KTQT_v4[[#This Row],[CPHH-08]]</f>
        <v>0</v>
      </c>
      <c r="DI21" s="47">
        <f ca="1">KH_26_OPT4_KTQT_v4[[#This Row],[DT-EXW-09]]+KH_26_OPT4_KTQT_v4[[#This Row],[CPVC-09]]+KH_26_OPT4_KTQT_v4[[#This Row],[CPHH-09]]</f>
        <v>0</v>
      </c>
      <c r="DJ21" s="47">
        <f ca="1">KH_26_OPT4_KTQT_v4[[#This Row],[DT-EXW-10]]+KH_26_OPT4_KTQT_v4[[#This Row],[CPVC-10]]+KH_26_OPT4_KTQT_v4[[#This Row],[CPHH-10]]</f>
        <v>0</v>
      </c>
      <c r="DK21" s="47">
        <f ca="1">KH_26_OPT4_KTQT_v4[[#This Row],[DT-EXW-11]]+KH_26_OPT4_KTQT_v4[[#This Row],[CPVC-11]]+KH_26_OPT4_KTQT_v4[[#This Row],[CPHH-11]]</f>
        <v>0</v>
      </c>
      <c r="DL21" s="47">
        <f ca="1">KH_26_OPT4_KTQT_v4[[#This Row],[DT-EXW-12]]+KH_26_OPT4_KTQT_v4[[#This Row],[CPVC-12]]+KH_26_OPT4_KTQT_v4[[#This Row],[CPHH-12]]</f>
        <v>0</v>
      </c>
      <c r="DM21" s="47">
        <f ca="1">SUM(KH_26_OPT4_KTQT_v4[[#This Row],[DT-01]:[DT-12]])</f>
        <v>0</v>
      </c>
      <c r="DN21" s="7"/>
      <c r="DO21" s="7"/>
      <c r="DP21" s="125"/>
      <c r="DQ21" s="136"/>
      <c r="DR21" s="132">
        <f>IFERROR(KH_26_OPT4_KTQT_v4[[#This Row],[DT-EXW-01]]*KH_26_OPT4_KTQT_v4[[#This Row],[%CPDP]],0)</f>
        <v>0</v>
      </c>
      <c r="DS21" s="132">
        <f>IFERROR(KH_26_OPT4_KTQT_v4[[#This Row],[DT-EXW-02]]*KH_26_OPT4_KTQT_v4[[#This Row],[%CPDP]],0)</f>
        <v>0</v>
      </c>
      <c r="DT21" s="132">
        <f>IFERROR(KH_26_OPT4_KTQT_v4[[#This Row],[DT-EXW-03]]*KH_26_OPT4_KTQT_v4[[#This Row],[%CPDP]],0)</f>
        <v>0</v>
      </c>
      <c r="DU21" s="132">
        <f>IFERROR(KH_26_OPT4_KTQT_v4[[#This Row],[DT-EXW-04]]*KH_26_OPT4_KTQT_v4[[#This Row],[%CPDP]],0)</f>
        <v>0</v>
      </c>
      <c r="DV21" s="132">
        <f>IFERROR(KH_26_OPT4_KTQT_v4[[#This Row],[DT-EXW-05]]*KH_26_OPT4_KTQT_v4[[#This Row],[%CPDP]],0)</f>
        <v>0</v>
      </c>
      <c r="DW21" s="132">
        <f>IFERROR(KH_26_OPT4_KTQT_v4[[#This Row],[DT-EXW-06]]*KH_26_OPT4_KTQT_v4[[#This Row],[%CPDP]],0)</f>
        <v>0</v>
      </c>
      <c r="DX21" s="132">
        <f>IFERROR(KH_26_OPT4_KTQT_v4[[#This Row],[DT-EXW-07]]*KH_26_OPT4_KTQT_v4[[#This Row],[%CPDP]],0)</f>
        <v>0</v>
      </c>
      <c r="DY21" s="132">
        <f>IFERROR(KH_26_OPT4_KTQT_v4[[#This Row],[DT-EXW-08]]*KH_26_OPT4_KTQT_v4[[#This Row],[%CPDP]],0)</f>
        <v>0</v>
      </c>
      <c r="DZ21" s="132">
        <f>IFERROR(KH_26_OPT4_KTQT_v4[[#This Row],[DT-EXW-09]]*KH_26_OPT4_KTQT_v4[[#This Row],[%CPDP]],0)</f>
        <v>0</v>
      </c>
      <c r="EA21" s="132">
        <f>IFERROR(KH_26_OPT4_KTQT_v4[[#This Row],[DT-EXW-10]]*KH_26_OPT4_KTQT_v4[[#This Row],[%CPDP]],0)</f>
        <v>0</v>
      </c>
      <c r="EB21" s="132">
        <f>IFERROR(KH_26_OPT4_KTQT_v4[[#This Row],[DT-EXW-11]]*KH_26_OPT4_KTQT_v4[[#This Row],[%CPDP]],0)</f>
        <v>0</v>
      </c>
      <c r="EC21" s="132">
        <f>IFERROR(KH_26_OPT4_KTQT_v4[[#This Row],[DT-EXW-12]]*KH_26_OPT4_KTQT_v4[[#This Row],[%CPDP]],0)</f>
        <v>0</v>
      </c>
      <c r="ED21" s="131">
        <f ca="1">SUM(KH_26_OPT4_KTQT_v4[[#This Row],[CPDP-01]:[CPDP-12]])</f>
        <v>0</v>
      </c>
    </row>
    <row r="22" spans="1:134" ht="14.65" hidden="1" customHeight="1" x14ac:dyDescent="0.35">
      <c r="A22" s="18">
        <v>17</v>
      </c>
      <c r="B22" s="71" t="s">
        <v>95</v>
      </c>
      <c r="C22" s="18" t="str">
        <f>IFERROR(_xlfn.XLOOKUP(KH_26_OPT4_KTQT_v4[[#This Row],[Salesman]],MD_Salesman[Salesman],MD_Salesman[SalesManager]),"")</f>
        <v>Cường</v>
      </c>
      <c r="D22" s="72" t="str">
        <f>IFERROR(INDEX(MD_Customer[Mã khách],MATCH(KH_26_OPT4_KTQT_v4[[#This Row],[Tên khách]],MD_Customer[Tên khách-rút gọn],0)),"")</f>
        <v>104877</v>
      </c>
      <c r="E22" s="7" t="str">
        <f>IFERROR(INDEX(MD_Customer[Parent Account],MATCH(KH_26_OPT4_KTQT_v4[[#This Row],[Tên khách]],MD_Customer[Tên khách-rút gọn],0)),"")</f>
        <v>Uy Kiệt</v>
      </c>
      <c r="F22" s="35" t="s">
        <v>263</v>
      </c>
      <c r="G22" s="7" t="str">
        <f>IFERROR(INDEX(MD_Customer[Phân loại],MATCH(KH_26_OPT4_KTQT_v4[[#This Row],[Tên khách]],MD_Customer[Tên khách-rút gọn],0)),"")</f>
        <v>Hiện hữu</v>
      </c>
      <c r="H22" s="7" t="str">
        <f>IFERROR(INDEX(MD_Customer[Kênh bán hàng],MATCH(KH_26_OPT4_KTQT_v4[[#This Row],[Tên khách]],MD_Customer[Tên khách-rút gọn],0)),"")</f>
        <v>Nội địa</v>
      </c>
      <c r="I22" s="35" t="s">
        <v>264</v>
      </c>
      <c r="J22" s="7" t="str">
        <f>IFERROR(INDEX(MD_Destination[Nước],MATCH(KH_26_OPT4_KTQT_v4[[#This Row],[Địa điểm đến]],MD_Destination[Địa điểm đến],0)),"")</f>
        <v>Việt Nam</v>
      </c>
      <c r="K22" s="7" t="str">
        <f>IFERROR(INDEX(MD_Destination[Khu vực],MATCH(KH_26_OPT4_KTQT_v4[[#This Row],[Địa điểm đến]],MD_Destination[Địa điểm đến],0)),"")</f>
        <v>Châu Á</v>
      </c>
      <c r="L22" s="35" t="s">
        <v>262</v>
      </c>
      <c r="M22" s="7" t="str">
        <f>IFERROR(INDEX(MD_SKU[Mã SKU],MATCH(KH_26_OPT4_KTQT_v4[[#This Row],[Tên sản phẩm]],MD_SKU[Tên SKU-rút gọn],0)),"")</f>
        <v>110000359</v>
      </c>
      <c r="N22" s="35" t="s">
        <v>468</v>
      </c>
      <c r="O22" s="7" t="str">
        <f>IFERROR(INDEX(MD_SKU[Ngành hàng],MATCH(KH_26_OPT4_KTQT_v4[[#This Row],[Tên sản phẩm]],MD_SKU[Tên SKU-rút gọn],0)),"")</f>
        <v>rPET</v>
      </c>
      <c r="P22" s="7" t="str">
        <f>IFERROR(INDEX(MD_SKU[Nhóm ngành],MATCH(KH_26_OPT4_KTQT_v4[[#This Row],[Tên sản phẩm]],MD_SKU[Tên SKU-rút gọn],0)),"")</f>
        <v>Hạt PET</v>
      </c>
      <c r="Q22" s="7" t="str">
        <f>IFERROR(
   IF(INDEX(MD_SKU[IV/IM],MATCH(KH_26_OPT4_KTQT_v4[[#This Row],[Tên sản phẩm]],MD_SKU[Tên SKU-rút gọn],0))=0,
      "",
      INDEX(MD_SKU[IV/IM],MATCH(KH_26_OPT4_KTQT_v4[[#This Row],[Tên sản phẩm]],MD_SKU[Tên SKU-rút gọn],0))
   ),
"")</f>
        <v>0.70 ± 0.02</v>
      </c>
      <c r="R22" s="44">
        <f>IFERROR(INDEX(MD_SKU[Application],MATCH(KH_26_OPT4_KTQT_v4[[#This Row],[Tên sản phẩm]],MD_SKU[Tên SKU-rút gọn],0)),"")</f>
        <v>0</v>
      </c>
      <c r="S22" s="7" t="str">
        <f>IFERROR(INDEX(MD_SKU[Phân loại],MATCH(KH_26_OPT4_KTQT_v4[[#This Row],[Tên sản phẩm]],MD_SKU[Tên SKU-rút gọn],0)),"")</f>
        <v>Cũ</v>
      </c>
      <c r="T22" s="7" t="s">
        <v>15</v>
      </c>
      <c r="U22" s="157" t="s">
        <v>1508</v>
      </c>
      <c r="V22" s="70">
        <v>0.8</v>
      </c>
      <c r="W22" s="33"/>
      <c r="X22" s="33"/>
      <c r="Y22" s="33"/>
      <c r="Z22" s="33">
        <v>220</v>
      </c>
      <c r="AA22" s="33"/>
      <c r="AB22" s="33">
        <v>220</v>
      </c>
      <c r="AC22" s="33"/>
      <c r="AD22" s="33">
        <v>220</v>
      </c>
      <c r="AE22" s="33"/>
      <c r="AF22" s="33">
        <v>220</v>
      </c>
      <c r="AG22" s="33"/>
      <c r="AH22" s="33"/>
      <c r="AI22" s="47">
        <f ca="1">SUM(KH_26_OPT4_KTQT_v4[[#This Row],[SL-01]:[SL-12]])</f>
        <v>880</v>
      </c>
      <c r="AJ22" s="47">
        <f ca="1">SUMIFS(DB_25[SL-DB25],DB_25[Mã khách],KH_26_OPT4_KTQT_v4[[#This Row],[Mã khách]],DB_25[Mã sản phẩm],KH_26_OPT4_KTQT_v4[[#This Row],[Mã sản phẩm]])</f>
        <v>330.85</v>
      </c>
      <c r="AK22" s="20">
        <f ca="1">KH_26_OPT4_KTQT_v4[[#This Row],[SL-KH26]]-KH_26_OPT4_KTQT_v4[[#This Row],[SL-DB25]]</f>
        <v>549.15</v>
      </c>
      <c r="AL22" s="21">
        <f ca="1">IFERROR(KH_26_OPT4_KTQT_v4[[#This Row],[SL-+/-]]/KH_26_OPT4_KTQT_v4[[#This Row],[SL-DB25]],0)</f>
        <v>1.6598156264168049</v>
      </c>
      <c r="AM22" s="51">
        <v>970</v>
      </c>
      <c r="AN22" s="51">
        <v>970</v>
      </c>
      <c r="AO22" s="51">
        <v>970</v>
      </c>
      <c r="AP22" s="51">
        <v>970</v>
      </c>
      <c r="AQ22" s="51">
        <v>970</v>
      </c>
      <c r="AR22" s="51">
        <v>970</v>
      </c>
      <c r="AS22" s="51">
        <v>970</v>
      </c>
      <c r="AT22" s="51">
        <v>970</v>
      </c>
      <c r="AU22" s="51">
        <v>970</v>
      </c>
      <c r="AV22" s="51">
        <v>970</v>
      </c>
      <c r="AW22" s="51">
        <v>970</v>
      </c>
      <c r="AX22" s="51">
        <v>970</v>
      </c>
      <c r="AY22" s="23">
        <v>970</v>
      </c>
      <c r="AZ22" s="7"/>
      <c r="BA22" s="24">
        <f>KH_26_OPT4_KTQT_v4[[#This Row],[GB-DB25]]-KH_26_OPT4_KTQT_v4[[#This Row],[GB-KH25]]</f>
        <v>970</v>
      </c>
      <c r="BB22" s="21">
        <f>IFERROR(KH_26_OPT4_KTQT_v4[[#This Row],[GB-+/-]]/KH_26_OPT4_KTQT_v4[[#This Row],[GB-KH25]],0)</f>
        <v>0</v>
      </c>
      <c r="BC22" s="21"/>
      <c r="BD22" s="47">
        <f>KH_26_OPT4_KTQT_v4[[#This Row],[SL-01]]*KH_26_OPT4_KTQT_v4[[#This Row],[GB-01]]*EXR</f>
        <v>0</v>
      </c>
      <c r="BE22" s="47">
        <f>KH_26_OPT4_KTQT_v4[[#This Row],[SL-02]]*KH_26_OPT4_KTQT_v4[[#This Row],[GB-02]]*EXR</f>
        <v>0</v>
      </c>
      <c r="BF22" s="47">
        <f>KH_26_OPT4_KTQT_v4[[#This Row],[SL-03]]*KH_26_OPT4_KTQT_v4[[#This Row],[GB-03]]*EXR</f>
        <v>0</v>
      </c>
      <c r="BG22" s="47">
        <f>KH_26_OPT4_KTQT_v4[[#This Row],[SL-04]]*KH_26_OPT4_KTQT_v4[[#This Row],[GB-04]]*EXR</f>
        <v>5655100000</v>
      </c>
      <c r="BH22" s="47">
        <f>KH_26_OPT4_KTQT_v4[[#This Row],[SL-05]]*KH_26_OPT4_KTQT_v4[[#This Row],[GB-05]]*EXR</f>
        <v>0</v>
      </c>
      <c r="BI22" s="47">
        <f>KH_26_OPT4_KTQT_v4[[#This Row],[SL-06]]*KH_26_OPT4_KTQT_v4[[#This Row],[GB-06]]*EXR</f>
        <v>5655100000</v>
      </c>
      <c r="BJ22" s="47">
        <f>KH_26_OPT4_KTQT_v4[[#This Row],[SL-07]]*KH_26_OPT4_KTQT_v4[[#This Row],[GB-07]]*EXR</f>
        <v>0</v>
      </c>
      <c r="BK22" s="47">
        <f>KH_26_OPT4_KTQT_v4[[#This Row],[SL-08]]*KH_26_OPT4_KTQT_v4[[#This Row],[GB-08]]*EXR</f>
        <v>5655100000</v>
      </c>
      <c r="BL22" s="47">
        <f>KH_26_OPT4_KTQT_v4[[#This Row],[SL-09]]*KH_26_OPT4_KTQT_v4[[#This Row],[GB-09]]*EXR</f>
        <v>0</v>
      </c>
      <c r="BM22" s="47">
        <f>KH_26_OPT4_KTQT_v4[[#This Row],[SL-10]]*KH_26_OPT4_KTQT_v4[[#This Row],[GB-10]]*EXR</f>
        <v>5655100000</v>
      </c>
      <c r="BN22" s="47">
        <f>KH_26_OPT4_KTQT_v4[[#This Row],[SL-11]]*KH_26_OPT4_KTQT_v4[[#This Row],[GB-11]]*EXR</f>
        <v>0</v>
      </c>
      <c r="BO22" s="47">
        <f>KH_26_OPT4_KTQT_v4[[#This Row],[SL-12]]*KH_26_OPT4_KTQT_v4[[#This Row],[GB-12]]*EXR</f>
        <v>0</v>
      </c>
      <c r="BP22" s="47">
        <f ca="1">SUM(KH_26_OPT4_KTQT_v4[[#This Row],[DT-EXW-01]:[DT-EXW-12]])</f>
        <v>22620400000</v>
      </c>
      <c r="BQ22" s="47">
        <f ca="1">SUMIFS(DB_25[DT-DB25],DB_25[Mã khách],KH_26_OPT4_KTQT_v4[[#This Row],[Mã khách]],DB_25[Mã sản phẩm],KH_26_OPT4_KTQT_v4[[#This Row],[Mã sản phẩm]])</f>
        <v>9292220825.1846371</v>
      </c>
      <c r="BR22" s="47">
        <f ca="1">KH_26_OPT4_KTQT_v4[[#This Row],[DT-EXW-KH26]]-KH_26_OPT4_KTQT_v4[[#This Row],[DT-EXW-DB25]]</f>
        <v>13328179174.815363</v>
      </c>
      <c r="BS22" s="21">
        <f ca="1">IFERROR(KH_26_OPT4_KTQT_v4[[#This Row],[DT-EXW-+/-]]/KH_26_OPT4_KTQT_v4[[#This Row],[DT-EXW-DB25]],0)</f>
        <v>1.4343373264109369</v>
      </c>
      <c r="BT22" s="139"/>
      <c r="BU22" s="57"/>
      <c r="BV22" s="51"/>
      <c r="BW22" s="47">
        <f>IF(KH_26_OPT4_KTQT_v4[[#This Row],[CPHH-%-SL]]="Dthu",KH_26_OPT4_KTQT_v4[[#This Row],[%HH]]*KH_26_OPT4_KTQT_v4[[#This Row],[DT-EXW-01]],KH_26_OPT4_KTQT_v4[[#This Row],[HH-SL]]*KH_26_OPT4_KTQT_v4[[#This Row],[SL-01]])</f>
        <v>0</v>
      </c>
      <c r="BX22" s="47">
        <f>IF(KH_26_OPT4_KTQT_v4[[#This Row],[CPHH-%-SL]]="Dthu",KH_26_OPT4_KTQT_v4[[#This Row],[%HH]]*KH_26_OPT4_KTQT_v4[[#This Row],[DT-EXW-02]],KH_26_OPT4_KTQT_v4[[#This Row],[HH-SL]]*KH_26_OPT4_KTQT_v4[[#This Row],[SL-02]])</f>
        <v>0</v>
      </c>
      <c r="BY22" s="47">
        <f>IF(KH_26_OPT4_KTQT_v4[[#This Row],[CPHH-%-SL]]="Dthu",KH_26_OPT4_KTQT_v4[[#This Row],[%HH]]*KH_26_OPT4_KTQT_v4[[#This Row],[DT-EXW-03]],KH_26_OPT4_KTQT_v4[[#This Row],[HH-SL]]*KH_26_OPT4_KTQT_v4[[#This Row],[SL-03]])</f>
        <v>0</v>
      </c>
      <c r="BZ22" s="47">
        <f>IF(KH_26_OPT4_KTQT_v4[[#This Row],[CPHH-%-SL]]="Dthu",KH_26_OPT4_KTQT_v4[[#This Row],[%HH]]*KH_26_OPT4_KTQT_v4[[#This Row],[DT-EXW-04]],KH_26_OPT4_KTQT_v4[[#This Row],[HH-SL]]*KH_26_OPT4_KTQT_v4[[#This Row],[SL-04]])</f>
        <v>0</v>
      </c>
      <c r="CA22" s="47">
        <f>IF(KH_26_OPT4_KTQT_v4[[#This Row],[CPHH-%-SL]]="Dthu",KH_26_OPT4_KTQT_v4[[#This Row],[%HH]]*KH_26_OPT4_KTQT_v4[[#This Row],[DT-EXW-05]],KH_26_OPT4_KTQT_v4[[#This Row],[HH-SL]]*KH_26_OPT4_KTQT_v4[[#This Row],[SL-05]])</f>
        <v>0</v>
      </c>
      <c r="CB22" s="47">
        <f>IF(KH_26_OPT4_KTQT_v4[[#This Row],[CPHH-%-SL]]="Dthu",KH_26_OPT4_KTQT_v4[[#This Row],[%HH]]*KH_26_OPT4_KTQT_v4[[#This Row],[DT-EXW-06]],KH_26_OPT4_KTQT_v4[[#This Row],[HH-SL]]*KH_26_OPT4_KTQT_v4[[#This Row],[SL-06]])</f>
        <v>0</v>
      </c>
      <c r="CC22" s="47">
        <f>IF(KH_26_OPT4_KTQT_v4[[#This Row],[CPHH-%-SL]]="Dthu",KH_26_OPT4_KTQT_v4[[#This Row],[%HH]]*KH_26_OPT4_KTQT_v4[[#This Row],[DT-EXW-07]],KH_26_OPT4_KTQT_v4[[#This Row],[HH-SL]]*KH_26_OPT4_KTQT_v4[[#This Row],[SL-07]])</f>
        <v>0</v>
      </c>
      <c r="CD22" s="47">
        <f>IF(KH_26_OPT4_KTQT_v4[[#This Row],[CPHH-%-SL]]="Dthu",KH_26_OPT4_KTQT_v4[[#This Row],[%HH]]*KH_26_OPT4_KTQT_v4[[#This Row],[DT-EXW-08]],KH_26_OPT4_KTQT_v4[[#This Row],[HH-SL]]*KH_26_OPT4_KTQT_v4[[#This Row],[SL-08]])</f>
        <v>0</v>
      </c>
      <c r="CE22" s="47">
        <f>IF(KH_26_OPT4_KTQT_v4[[#This Row],[CPHH-%-SL]]="Dthu",KH_26_OPT4_KTQT_v4[[#This Row],[%HH]]*KH_26_OPT4_KTQT_v4[[#This Row],[DT-EXW-09]],KH_26_OPT4_KTQT_v4[[#This Row],[HH-SL]]*KH_26_OPT4_KTQT_v4[[#This Row],[SL-09]])</f>
        <v>0</v>
      </c>
      <c r="CF22" s="47">
        <f>IF(KH_26_OPT4_KTQT_v4[[#This Row],[CPHH-%-SL]]="Dthu",KH_26_OPT4_KTQT_v4[[#This Row],[%HH]]*KH_26_OPT4_KTQT_v4[[#This Row],[DT-EXW-10]],KH_26_OPT4_KTQT_v4[[#This Row],[HH-SL]]*KH_26_OPT4_KTQT_v4[[#This Row],[SL-10]])</f>
        <v>0</v>
      </c>
      <c r="CG22" s="47">
        <f>IF(KH_26_OPT4_KTQT_v4[[#This Row],[CPHH-%-SL]]="Dthu",KH_26_OPT4_KTQT_v4[[#This Row],[%HH]]*KH_26_OPT4_KTQT_v4[[#This Row],[DT-EXW-11]],KH_26_OPT4_KTQT_v4[[#This Row],[HH-SL]]*KH_26_OPT4_KTQT_v4[[#This Row],[SL-11]])</f>
        <v>0</v>
      </c>
      <c r="CH22" s="47">
        <f>IF(KH_26_OPT4_KTQT_v4[[#This Row],[CPHH-%-SL]]="Dthu",KH_26_OPT4_KTQT_v4[[#This Row],[%HH]]*KH_26_OPT4_KTQT_v4[[#This Row],[DT-EXW-12]],KH_26_OPT4_KTQT_v4[[#This Row],[HH-SL]]*KH_26_OPT4_KTQT_v4[[#This Row],[SL-12]])</f>
        <v>0</v>
      </c>
      <c r="CI22" s="47">
        <f ca="1">SUM(KH_26_OPT4_KTQT_v4[[#This Row],[CPHH-01]:[CPHH-12]])</f>
        <v>0</v>
      </c>
      <c r="CJ22" s="47" cm="1">
        <f t="array" ref="CJ22">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220000</v>
      </c>
      <c r="CK22" s="19">
        <f ca="1">SUM(KH_26_OPT4_KTQT_v4[[#This Row],[ĐGVCNĐ-KXK]:[ĐGVCCT-KXK]])</f>
        <v>0</v>
      </c>
      <c r="CL22" s="47" cm="1">
        <f t="array" ref="CL22">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22" s="47" cm="1">
        <f t="array" ref="CM22">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22" s="47">
        <f ca="1">(KH_26_OPT4_KTQT_v4[[#This Row],[ĐGVC-KNĐ]]+KH_26_OPT4_KTQT_v4[[#This Row],[ĐGVC-KXK]])*KH_26_OPT4_KTQT_v4[[#This Row],[SL-01]]</f>
        <v>0</v>
      </c>
      <c r="CO22" s="47">
        <f ca="1">(KH_26_OPT4_KTQT_v4[[#This Row],[ĐGVC-KNĐ]]+KH_26_OPT4_KTQT_v4[[#This Row],[ĐGVC-KXK]])*KH_26_OPT4_KTQT_v4[[#This Row],[SL-02]]</f>
        <v>0</v>
      </c>
      <c r="CP22" s="47">
        <f ca="1">(KH_26_OPT4_KTQT_v4[[#This Row],[ĐGVC-KNĐ]]+KH_26_OPT4_KTQT_v4[[#This Row],[ĐGVC-KXK]])*KH_26_OPT4_KTQT_v4[[#This Row],[SL-03]]</f>
        <v>0</v>
      </c>
      <c r="CQ22" s="47">
        <f ca="1">(KH_26_OPT4_KTQT_v4[[#This Row],[ĐGVC-KNĐ]]+KH_26_OPT4_KTQT_v4[[#This Row],[ĐGVC-KXK]])*KH_26_OPT4_KTQT_v4[[#This Row],[SL-04]]</f>
        <v>48400000</v>
      </c>
      <c r="CR22" s="47">
        <f ca="1">(KH_26_OPT4_KTQT_v4[[#This Row],[ĐGVC-KNĐ]]+KH_26_OPT4_KTQT_v4[[#This Row],[ĐGVC-KXK]])*KH_26_OPT4_KTQT_v4[[#This Row],[SL-05]]</f>
        <v>0</v>
      </c>
      <c r="CS22" s="47">
        <f ca="1">(KH_26_OPT4_KTQT_v4[[#This Row],[ĐGVC-KNĐ]]+KH_26_OPT4_KTQT_v4[[#This Row],[ĐGVC-KXK]])*KH_26_OPT4_KTQT_v4[[#This Row],[SL-06]]</f>
        <v>48400000</v>
      </c>
      <c r="CT22" s="47">
        <f ca="1">(KH_26_OPT4_KTQT_v4[[#This Row],[ĐGVC-KNĐ]]+KH_26_OPT4_KTQT_v4[[#This Row],[ĐGVC-KXK]])*KH_26_OPT4_KTQT_v4[[#This Row],[SL-07]]</f>
        <v>0</v>
      </c>
      <c r="CU22" s="47">
        <f ca="1">(KH_26_OPT4_KTQT_v4[[#This Row],[ĐGVC-KNĐ]]+KH_26_OPT4_KTQT_v4[[#This Row],[ĐGVC-KXK]])*KH_26_OPT4_KTQT_v4[[#This Row],[SL-08]]</f>
        <v>48400000</v>
      </c>
      <c r="CV22" s="47">
        <f ca="1">(KH_26_OPT4_KTQT_v4[[#This Row],[ĐGVC-KNĐ]]+KH_26_OPT4_KTQT_v4[[#This Row],[ĐGVC-KXK]])*KH_26_OPT4_KTQT_v4[[#This Row],[SL-09]]</f>
        <v>0</v>
      </c>
      <c r="CW22" s="47">
        <f ca="1">(KH_26_OPT4_KTQT_v4[[#This Row],[ĐGVC-KNĐ]]+KH_26_OPT4_KTQT_v4[[#This Row],[ĐGVC-KXK]])*KH_26_OPT4_KTQT_v4[[#This Row],[SL-10]]</f>
        <v>48400000</v>
      </c>
      <c r="CX22" s="47">
        <f ca="1">(KH_26_OPT4_KTQT_v4[[#This Row],[ĐGVC-KNĐ]]+KH_26_OPT4_KTQT_v4[[#This Row],[ĐGVC-KXK]])*KH_26_OPT4_KTQT_v4[[#This Row],[SL-11]]</f>
        <v>0</v>
      </c>
      <c r="CY22" s="47">
        <f ca="1">(KH_26_OPT4_KTQT_v4[[#This Row],[ĐGVC-KNĐ]]+KH_26_OPT4_KTQT_v4[[#This Row],[ĐGVC-KXK]])*KH_26_OPT4_KTQT_v4[[#This Row],[SL-12]]</f>
        <v>0</v>
      </c>
      <c r="CZ22" s="47">
        <f ca="1">SUM(KH_26_OPT4_KTQT_v4[[#This Row],[CPVC-01]:[CPVC-12]])</f>
        <v>193600000</v>
      </c>
      <c r="DA22" s="124">
        <f ca="1">KH_26_OPT4_KTQT_v4[[#This Row],[DT-EXW-01]]+KH_26_OPT4_KTQT_v4[[#This Row],[CPVC-01]]+KH_26_OPT4_KTQT_v4[[#This Row],[CPHH-01]]</f>
        <v>0</v>
      </c>
      <c r="DB22" s="47">
        <f ca="1">KH_26_OPT4_KTQT_v4[[#This Row],[DT-EXW-02]]+KH_26_OPT4_KTQT_v4[[#This Row],[CPVC-02]]+KH_26_OPT4_KTQT_v4[[#This Row],[CPHH-02]]</f>
        <v>0</v>
      </c>
      <c r="DC22" s="47">
        <f ca="1">KH_26_OPT4_KTQT_v4[[#This Row],[DT-EXW-03]]+KH_26_OPT4_KTQT_v4[[#This Row],[CPVC-03]]+KH_26_OPT4_KTQT_v4[[#This Row],[CPHH-03]]</f>
        <v>0</v>
      </c>
      <c r="DD22" s="47">
        <f ca="1">KH_26_OPT4_KTQT_v4[[#This Row],[DT-EXW-04]]+KH_26_OPT4_KTQT_v4[[#This Row],[CPVC-04]]+KH_26_OPT4_KTQT_v4[[#This Row],[CPHH-04]]</f>
        <v>5703500000</v>
      </c>
      <c r="DE22" s="47">
        <f ca="1">KH_26_OPT4_KTQT_v4[[#This Row],[DT-EXW-05]]+KH_26_OPT4_KTQT_v4[[#This Row],[CPVC-05]]+KH_26_OPT4_KTQT_v4[[#This Row],[CPHH-05]]</f>
        <v>0</v>
      </c>
      <c r="DF22" s="47">
        <f ca="1">KH_26_OPT4_KTQT_v4[[#This Row],[DT-EXW-06]]+KH_26_OPT4_KTQT_v4[[#This Row],[CPVC-06]]+KH_26_OPT4_KTQT_v4[[#This Row],[CPHH-06]]</f>
        <v>5703500000</v>
      </c>
      <c r="DG22" s="47">
        <f ca="1">KH_26_OPT4_KTQT_v4[[#This Row],[DT-EXW-07]]+KH_26_OPT4_KTQT_v4[[#This Row],[CPVC-07]]+KH_26_OPT4_KTQT_v4[[#This Row],[CPHH-07]]</f>
        <v>0</v>
      </c>
      <c r="DH22" s="47">
        <f ca="1">KH_26_OPT4_KTQT_v4[[#This Row],[DT-EXW-08]]+KH_26_OPT4_KTQT_v4[[#This Row],[CPVC-08]]+KH_26_OPT4_KTQT_v4[[#This Row],[CPHH-08]]</f>
        <v>5703500000</v>
      </c>
      <c r="DI22" s="47">
        <f ca="1">KH_26_OPT4_KTQT_v4[[#This Row],[DT-EXW-09]]+KH_26_OPT4_KTQT_v4[[#This Row],[CPVC-09]]+KH_26_OPT4_KTQT_v4[[#This Row],[CPHH-09]]</f>
        <v>0</v>
      </c>
      <c r="DJ22" s="47">
        <f ca="1">KH_26_OPT4_KTQT_v4[[#This Row],[DT-EXW-10]]+KH_26_OPT4_KTQT_v4[[#This Row],[CPVC-10]]+KH_26_OPT4_KTQT_v4[[#This Row],[CPHH-10]]</f>
        <v>5703500000</v>
      </c>
      <c r="DK22" s="47">
        <f ca="1">KH_26_OPT4_KTQT_v4[[#This Row],[DT-EXW-11]]+KH_26_OPT4_KTQT_v4[[#This Row],[CPVC-11]]+KH_26_OPT4_KTQT_v4[[#This Row],[CPHH-11]]</f>
        <v>0</v>
      </c>
      <c r="DL22" s="47">
        <f ca="1">KH_26_OPT4_KTQT_v4[[#This Row],[DT-EXW-12]]+KH_26_OPT4_KTQT_v4[[#This Row],[CPVC-12]]+KH_26_OPT4_KTQT_v4[[#This Row],[CPHH-12]]</f>
        <v>0</v>
      </c>
      <c r="DM22" s="47">
        <f ca="1">SUM(KH_26_OPT4_KTQT_v4[[#This Row],[DT-01]:[DT-12]])</f>
        <v>22814000000</v>
      </c>
      <c r="DN22" s="7"/>
      <c r="DO22" s="7"/>
      <c r="DP22" s="125"/>
      <c r="DQ22" s="136"/>
      <c r="DR22" s="132">
        <f>IFERROR(KH_26_OPT4_KTQT_v4[[#This Row],[DT-EXW-01]]*KH_26_OPT4_KTQT_v4[[#This Row],[%CPDP]],0)</f>
        <v>0</v>
      </c>
      <c r="DS22" s="132">
        <f>IFERROR(KH_26_OPT4_KTQT_v4[[#This Row],[DT-EXW-02]]*KH_26_OPT4_KTQT_v4[[#This Row],[%CPDP]],0)</f>
        <v>0</v>
      </c>
      <c r="DT22" s="132">
        <f>IFERROR(KH_26_OPT4_KTQT_v4[[#This Row],[DT-EXW-03]]*KH_26_OPT4_KTQT_v4[[#This Row],[%CPDP]],0)</f>
        <v>0</v>
      </c>
      <c r="DU22" s="132">
        <f>IFERROR(KH_26_OPT4_KTQT_v4[[#This Row],[DT-EXW-04]]*KH_26_OPT4_KTQT_v4[[#This Row],[%CPDP]],0)</f>
        <v>0</v>
      </c>
      <c r="DV22" s="132">
        <f>IFERROR(KH_26_OPT4_KTQT_v4[[#This Row],[DT-EXW-05]]*KH_26_OPT4_KTQT_v4[[#This Row],[%CPDP]],0)</f>
        <v>0</v>
      </c>
      <c r="DW22" s="132">
        <f>IFERROR(KH_26_OPT4_KTQT_v4[[#This Row],[DT-EXW-06]]*KH_26_OPT4_KTQT_v4[[#This Row],[%CPDP]],0)</f>
        <v>0</v>
      </c>
      <c r="DX22" s="132">
        <f>IFERROR(KH_26_OPT4_KTQT_v4[[#This Row],[DT-EXW-07]]*KH_26_OPT4_KTQT_v4[[#This Row],[%CPDP]],0)</f>
        <v>0</v>
      </c>
      <c r="DY22" s="132">
        <f>IFERROR(KH_26_OPT4_KTQT_v4[[#This Row],[DT-EXW-08]]*KH_26_OPT4_KTQT_v4[[#This Row],[%CPDP]],0)</f>
        <v>0</v>
      </c>
      <c r="DZ22" s="132">
        <f>IFERROR(KH_26_OPT4_KTQT_v4[[#This Row],[DT-EXW-09]]*KH_26_OPT4_KTQT_v4[[#This Row],[%CPDP]],0)</f>
        <v>0</v>
      </c>
      <c r="EA22" s="132">
        <f>IFERROR(KH_26_OPT4_KTQT_v4[[#This Row],[DT-EXW-10]]*KH_26_OPT4_KTQT_v4[[#This Row],[%CPDP]],0)</f>
        <v>0</v>
      </c>
      <c r="EB22" s="132">
        <f>IFERROR(KH_26_OPT4_KTQT_v4[[#This Row],[DT-EXW-11]]*KH_26_OPT4_KTQT_v4[[#This Row],[%CPDP]],0)</f>
        <v>0</v>
      </c>
      <c r="EC22" s="132">
        <f>IFERROR(KH_26_OPT4_KTQT_v4[[#This Row],[DT-EXW-12]]*KH_26_OPT4_KTQT_v4[[#This Row],[%CPDP]],0)</f>
        <v>0</v>
      </c>
      <c r="ED22" s="131">
        <f ca="1">SUM(KH_26_OPT4_KTQT_v4[[#This Row],[CPDP-01]:[CPDP-12]])</f>
        <v>0</v>
      </c>
    </row>
    <row r="23" spans="1:134" ht="14.5" hidden="1" x14ac:dyDescent="0.35">
      <c r="A23" s="18">
        <v>18</v>
      </c>
      <c r="B23" s="71" t="s">
        <v>95</v>
      </c>
      <c r="C23" s="18" t="str">
        <f>IFERROR(_xlfn.XLOOKUP(KH_26_OPT4_KTQT_v4[[#This Row],[Salesman]],MD_Salesman[Salesman],MD_Salesman[SalesManager]),"")</f>
        <v>Cường</v>
      </c>
      <c r="D23" s="72" t="str">
        <f>IFERROR(INDEX(MD_Customer[Mã khách],MATCH(KH_26_OPT4_KTQT_v4[[#This Row],[Tên khách]],MD_Customer[Tên khách-rút gọn],0)),"")</f>
        <v>NS26-NEWCUS-017</v>
      </c>
      <c r="E23" s="7" t="str">
        <f>IFERROR(INDEX(MD_Customer[Parent Account],MATCH(KH_26_OPT4_KTQT_v4[[#This Row],[Tên khách]],MD_Customer[Tên khách-rút gọn],0)),"")</f>
        <v>New Developments - Vảy PET - XK</v>
      </c>
      <c r="F23" s="35" t="s">
        <v>34</v>
      </c>
      <c r="G23" s="7" t="str">
        <f>IFERROR(INDEX(MD_Customer[Phân loại],MATCH(KH_26_OPT4_KTQT_v4[[#This Row],[Tên khách]],MD_Customer[Tên khách-rút gọn],0)),"")</f>
        <v>Mới</v>
      </c>
      <c r="H23" s="7" t="str">
        <f>IFERROR(INDEX(MD_Customer[Kênh bán hàng],MATCH(KH_26_OPT4_KTQT_v4[[#This Row],[Tên khách]],MD_Customer[Tên khách-rút gọn],0)),"")</f>
        <v>Xuất Khẩu</v>
      </c>
      <c r="I23" s="35" t="s">
        <v>329</v>
      </c>
      <c r="J23" s="7" t="str">
        <f>IFERROR(INDEX(MD_Destination[Nước],MATCH(KH_26_OPT4_KTQT_v4[[#This Row],[Địa điểm đến]],MD_Destination[Địa điểm đến],0)),"")</f>
        <v>Unknown</v>
      </c>
      <c r="K23" s="7" t="str">
        <f>IFERROR(INDEX(MD_Destination[Khu vực],MATCH(KH_26_OPT4_KTQT_v4[[#This Row],[Địa điểm đến]],MD_Destination[Địa điểm đến],0)),"")</f>
        <v>Unknown</v>
      </c>
      <c r="L23" s="35" t="s">
        <v>278</v>
      </c>
      <c r="M23" s="7" t="str">
        <f>IFERROR(INDEX(MD_SKU[Mã SKU],MATCH(KH_26_OPT4_KTQT_v4[[#This Row],[Tên sản phẩm]],MD_SKU[Tên SKU-rút gọn],0)),"")</f>
        <v>110000507</v>
      </c>
      <c r="N23" s="35" t="s">
        <v>14</v>
      </c>
      <c r="O23" s="7" t="str">
        <f>IFERROR(INDEX(MD_SKU[Ngành hàng],MATCH(KH_26_OPT4_KTQT_v4[[#This Row],[Tên sản phẩm]],MD_SKU[Tên SKU-rút gọn],0)),"")</f>
        <v>rPET</v>
      </c>
      <c r="P23" s="7" t="str">
        <f>IFERROR(INDEX(MD_SKU[Nhóm ngành],MATCH(KH_26_OPT4_KTQT_v4[[#This Row],[Tên sản phẩm]],MD_SKU[Tên SKU-rút gọn],0)),"")</f>
        <v>Vảy PET</v>
      </c>
      <c r="Q23" s="7" t="str">
        <f>IFERROR(
   IF(INDEX(MD_SKU[IV/IM],MATCH(KH_26_OPT4_KTQT_v4[[#This Row],[Tên sản phẩm]],MD_SKU[Tên SKU-rút gọn],0))=0,
      "",
      INDEX(MD_SKU[IV/IM],MATCH(KH_26_OPT4_KTQT_v4[[#This Row],[Tên sản phẩm]],MD_SKU[Tên SKU-rút gọn],0))
   ),
"")</f>
        <v/>
      </c>
      <c r="R23" s="44">
        <f>IFERROR(INDEX(MD_SKU[Application],MATCH(KH_26_OPT4_KTQT_v4[[#This Row],[Tên sản phẩm]],MD_SKU[Tên SKU-rút gọn],0)),"")</f>
        <v>0</v>
      </c>
      <c r="S23" s="7" t="str">
        <f>IFERROR(INDEX(MD_SKU[Phân loại],MATCH(KH_26_OPT4_KTQT_v4[[#This Row],[Tên sản phẩm]],MD_SKU[Tên SKU-rút gọn],0)),"")</f>
        <v>Cũ</v>
      </c>
      <c r="T23" s="7" t="s">
        <v>541</v>
      </c>
      <c r="U23" s="7" t="s">
        <v>1508</v>
      </c>
      <c r="V23" s="70">
        <v>0.8</v>
      </c>
      <c r="W23" s="51"/>
      <c r="X23" s="51"/>
      <c r="Y23" s="51"/>
      <c r="Z23" s="51"/>
      <c r="AA23" s="51"/>
      <c r="AB23" s="51"/>
      <c r="AC23" s="51"/>
      <c r="AD23" s="51"/>
      <c r="AE23" s="51"/>
      <c r="AF23" s="51"/>
      <c r="AG23" s="51"/>
      <c r="AH23" s="51"/>
      <c r="AI23" s="47">
        <f ca="1">SUM(KH_26_OPT4_KTQT_v4[[#This Row],[SL-01]:[SL-12]])</f>
        <v>0</v>
      </c>
      <c r="AJ23" s="47">
        <f ca="1">SUMIFS(DB_25[SL-DB25],DB_25[Mã khách],KH_26_OPT4_KTQT_v4[[#This Row],[Mã khách]],DB_25[Mã sản phẩm],KH_26_OPT4_KTQT_v4[[#This Row],[Mã sản phẩm]])</f>
        <v>0</v>
      </c>
      <c r="AK23" s="20">
        <f ca="1">KH_26_OPT4_KTQT_v4[[#This Row],[SL-KH26]]-KH_26_OPT4_KTQT_v4[[#This Row],[SL-DB25]]</f>
        <v>0</v>
      </c>
      <c r="AL23" s="21">
        <f ca="1">IFERROR(KH_26_OPT4_KTQT_v4[[#This Row],[SL-+/-]]/KH_26_OPT4_KTQT_v4[[#This Row],[SL-DB25]],0)</f>
        <v>0</v>
      </c>
      <c r="AM23" s="51">
        <v>750</v>
      </c>
      <c r="AN23" s="51">
        <v>750</v>
      </c>
      <c r="AO23" s="51">
        <v>750</v>
      </c>
      <c r="AP23" s="51">
        <v>750</v>
      </c>
      <c r="AQ23" s="51">
        <v>750</v>
      </c>
      <c r="AR23" s="51">
        <v>750</v>
      </c>
      <c r="AS23" s="51">
        <v>750</v>
      </c>
      <c r="AT23" s="51">
        <v>750</v>
      </c>
      <c r="AU23" s="51">
        <v>750</v>
      </c>
      <c r="AV23" s="51">
        <v>750</v>
      </c>
      <c r="AW23" s="51">
        <v>750</v>
      </c>
      <c r="AX23" s="51">
        <v>750</v>
      </c>
      <c r="AY23" s="23">
        <v>750</v>
      </c>
      <c r="AZ23" s="7"/>
      <c r="BA23" s="24">
        <f>KH_26_OPT4_KTQT_v4[[#This Row],[GB-DB25]]-KH_26_OPT4_KTQT_v4[[#This Row],[GB-KH25]]</f>
        <v>750</v>
      </c>
      <c r="BB23" s="21">
        <f>IFERROR(KH_26_OPT4_KTQT_v4[[#This Row],[GB-+/-]]/KH_26_OPT4_KTQT_v4[[#This Row],[GB-KH25]],0)</f>
        <v>0</v>
      </c>
      <c r="BC23" s="21"/>
      <c r="BD23" s="47">
        <f>KH_26_OPT4_KTQT_v4[[#This Row],[SL-01]]*KH_26_OPT4_KTQT_v4[[#This Row],[GB-01]]*EXR</f>
        <v>0</v>
      </c>
      <c r="BE23" s="47">
        <f>KH_26_OPT4_KTQT_v4[[#This Row],[SL-02]]*KH_26_OPT4_KTQT_v4[[#This Row],[GB-02]]*EXR</f>
        <v>0</v>
      </c>
      <c r="BF23" s="47">
        <f>KH_26_OPT4_KTQT_v4[[#This Row],[SL-03]]*KH_26_OPT4_KTQT_v4[[#This Row],[GB-03]]*EXR</f>
        <v>0</v>
      </c>
      <c r="BG23" s="47">
        <f>KH_26_OPT4_KTQT_v4[[#This Row],[SL-04]]*KH_26_OPT4_KTQT_v4[[#This Row],[GB-04]]*EXR</f>
        <v>0</v>
      </c>
      <c r="BH23" s="47">
        <f>KH_26_OPT4_KTQT_v4[[#This Row],[SL-05]]*KH_26_OPT4_KTQT_v4[[#This Row],[GB-05]]*EXR</f>
        <v>0</v>
      </c>
      <c r="BI23" s="47">
        <f>KH_26_OPT4_KTQT_v4[[#This Row],[SL-06]]*KH_26_OPT4_KTQT_v4[[#This Row],[GB-06]]*EXR</f>
        <v>0</v>
      </c>
      <c r="BJ23" s="47">
        <f>KH_26_OPT4_KTQT_v4[[#This Row],[SL-07]]*KH_26_OPT4_KTQT_v4[[#This Row],[GB-07]]*EXR</f>
        <v>0</v>
      </c>
      <c r="BK23" s="47">
        <f>KH_26_OPT4_KTQT_v4[[#This Row],[SL-08]]*KH_26_OPT4_KTQT_v4[[#This Row],[GB-08]]*EXR</f>
        <v>0</v>
      </c>
      <c r="BL23" s="47">
        <f>KH_26_OPT4_KTQT_v4[[#This Row],[SL-09]]*KH_26_OPT4_KTQT_v4[[#This Row],[GB-09]]*EXR</f>
        <v>0</v>
      </c>
      <c r="BM23" s="47">
        <f>KH_26_OPT4_KTQT_v4[[#This Row],[SL-10]]*KH_26_OPT4_KTQT_v4[[#This Row],[GB-10]]*EXR</f>
        <v>0</v>
      </c>
      <c r="BN23" s="47">
        <f>KH_26_OPT4_KTQT_v4[[#This Row],[SL-11]]*KH_26_OPT4_KTQT_v4[[#This Row],[GB-11]]*EXR</f>
        <v>0</v>
      </c>
      <c r="BO23" s="47">
        <f>KH_26_OPT4_KTQT_v4[[#This Row],[SL-12]]*KH_26_OPT4_KTQT_v4[[#This Row],[GB-12]]*EXR</f>
        <v>0</v>
      </c>
      <c r="BP23" s="47">
        <f ca="1">SUM(KH_26_OPT4_KTQT_v4[[#This Row],[DT-EXW-01]:[DT-EXW-12]])</f>
        <v>0</v>
      </c>
      <c r="BQ23" s="47">
        <f ca="1">SUMIFS(DB_25[DT-DB25],DB_25[Mã khách],KH_26_OPT4_KTQT_v4[[#This Row],[Mã khách]],DB_25[Mã sản phẩm],KH_26_OPT4_KTQT_v4[[#This Row],[Mã sản phẩm]])</f>
        <v>0</v>
      </c>
      <c r="BR23" s="19">
        <f ca="1">KH_26_OPT4_KTQT_v4[[#This Row],[DT-EXW-KH26]]-KH_26_OPT4_KTQT_v4[[#This Row],[DT-EXW-DB25]]</f>
        <v>0</v>
      </c>
      <c r="BS23" s="21">
        <f ca="1">IFERROR(KH_26_OPT4_KTQT_v4[[#This Row],[DT-EXW-+/-]]/KH_26_OPT4_KTQT_v4[[#This Row],[DT-EXW-DB25]],0)</f>
        <v>0</v>
      </c>
      <c r="BT23" s="139"/>
      <c r="BU23" s="57"/>
      <c r="BV23" s="51"/>
      <c r="BW23" s="47">
        <f>IF(KH_26_OPT4_KTQT_v4[[#This Row],[CPHH-%-SL]]="Dthu",KH_26_OPT4_KTQT_v4[[#This Row],[%HH]]*KH_26_OPT4_KTQT_v4[[#This Row],[DT-EXW-01]],KH_26_OPT4_KTQT_v4[[#This Row],[HH-SL]]*KH_26_OPT4_KTQT_v4[[#This Row],[SL-01]])</f>
        <v>0</v>
      </c>
      <c r="BX23" s="47">
        <f>IF(KH_26_OPT4_KTQT_v4[[#This Row],[CPHH-%-SL]]="Dthu",KH_26_OPT4_KTQT_v4[[#This Row],[%HH]]*KH_26_OPT4_KTQT_v4[[#This Row],[DT-EXW-02]],KH_26_OPT4_KTQT_v4[[#This Row],[HH-SL]]*KH_26_OPT4_KTQT_v4[[#This Row],[SL-02]])</f>
        <v>0</v>
      </c>
      <c r="BY23" s="47">
        <f>IF(KH_26_OPT4_KTQT_v4[[#This Row],[CPHH-%-SL]]="Dthu",KH_26_OPT4_KTQT_v4[[#This Row],[%HH]]*KH_26_OPT4_KTQT_v4[[#This Row],[DT-EXW-03]],KH_26_OPT4_KTQT_v4[[#This Row],[HH-SL]]*KH_26_OPT4_KTQT_v4[[#This Row],[SL-03]])</f>
        <v>0</v>
      </c>
      <c r="BZ23" s="47">
        <f>IF(KH_26_OPT4_KTQT_v4[[#This Row],[CPHH-%-SL]]="Dthu",KH_26_OPT4_KTQT_v4[[#This Row],[%HH]]*KH_26_OPT4_KTQT_v4[[#This Row],[DT-EXW-04]],KH_26_OPT4_KTQT_v4[[#This Row],[HH-SL]]*KH_26_OPT4_KTQT_v4[[#This Row],[SL-04]])</f>
        <v>0</v>
      </c>
      <c r="CA23" s="47">
        <f>IF(KH_26_OPT4_KTQT_v4[[#This Row],[CPHH-%-SL]]="Dthu",KH_26_OPT4_KTQT_v4[[#This Row],[%HH]]*KH_26_OPT4_KTQT_v4[[#This Row],[DT-EXW-05]],KH_26_OPT4_KTQT_v4[[#This Row],[HH-SL]]*KH_26_OPT4_KTQT_v4[[#This Row],[SL-05]])</f>
        <v>0</v>
      </c>
      <c r="CB23" s="47">
        <f>IF(KH_26_OPT4_KTQT_v4[[#This Row],[CPHH-%-SL]]="Dthu",KH_26_OPT4_KTQT_v4[[#This Row],[%HH]]*KH_26_OPT4_KTQT_v4[[#This Row],[DT-EXW-06]],KH_26_OPT4_KTQT_v4[[#This Row],[HH-SL]]*KH_26_OPT4_KTQT_v4[[#This Row],[SL-06]])</f>
        <v>0</v>
      </c>
      <c r="CC23" s="47">
        <f>IF(KH_26_OPT4_KTQT_v4[[#This Row],[CPHH-%-SL]]="Dthu",KH_26_OPT4_KTQT_v4[[#This Row],[%HH]]*KH_26_OPT4_KTQT_v4[[#This Row],[DT-EXW-07]],KH_26_OPT4_KTQT_v4[[#This Row],[HH-SL]]*KH_26_OPT4_KTQT_v4[[#This Row],[SL-07]])</f>
        <v>0</v>
      </c>
      <c r="CD23" s="47">
        <f>IF(KH_26_OPT4_KTQT_v4[[#This Row],[CPHH-%-SL]]="Dthu",KH_26_OPT4_KTQT_v4[[#This Row],[%HH]]*KH_26_OPT4_KTQT_v4[[#This Row],[DT-EXW-08]],KH_26_OPT4_KTQT_v4[[#This Row],[HH-SL]]*KH_26_OPT4_KTQT_v4[[#This Row],[SL-08]])</f>
        <v>0</v>
      </c>
      <c r="CE23" s="47">
        <f>IF(KH_26_OPT4_KTQT_v4[[#This Row],[CPHH-%-SL]]="Dthu",KH_26_OPT4_KTQT_v4[[#This Row],[%HH]]*KH_26_OPT4_KTQT_v4[[#This Row],[DT-EXW-09]],KH_26_OPT4_KTQT_v4[[#This Row],[HH-SL]]*KH_26_OPT4_KTQT_v4[[#This Row],[SL-09]])</f>
        <v>0</v>
      </c>
      <c r="CF23" s="47">
        <f>IF(KH_26_OPT4_KTQT_v4[[#This Row],[CPHH-%-SL]]="Dthu",KH_26_OPT4_KTQT_v4[[#This Row],[%HH]]*KH_26_OPT4_KTQT_v4[[#This Row],[DT-EXW-10]],KH_26_OPT4_KTQT_v4[[#This Row],[HH-SL]]*KH_26_OPT4_KTQT_v4[[#This Row],[SL-10]])</f>
        <v>0</v>
      </c>
      <c r="CG23" s="47">
        <f>IF(KH_26_OPT4_KTQT_v4[[#This Row],[CPHH-%-SL]]="Dthu",KH_26_OPT4_KTQT_v4[[#This Row],[%HH]]*KH_26_OPT4_KTQT_v4[[#This Row],[DT-EXW-11]],KH_26_OPT4_KTQT_v4[[#This Row],[HH-SL]]*KH_26_OPT4_KTQT_v4[[#This Row],[SL-11]])</f>
        <v>0</v>
      </c>
      <c r="CH23" s="47">
        <f>IF(KH_26_OPT4_KTQT_v4[[#This Row],[CPHH-%-SL]]="Dthu",KH_26_OPT4_KTQT_v4[[#This Row],[%HH]]*KH_26_OPT4_KTQT_v4[[#This Row],[DT-EXW-12]],KH_26_OPT4_KTQT_v4[[#This Row],[HH-SL]]*KH_26_OPT4_KTQT_v4[[#This Row],[SL-12]])</f>
        <v>0</v>
      </c>
      <c r="CI23" s="47">
        <f ca="1">SUM(KH_26_OPT4_KTQT_v4[[#This Row],[CPHH-01]:[CPHH-12]])</f>
        <v>0</v>
      </c>
      <c r="CJ23" s="47" cm="1">
        <f t="array" ref="CJ23">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23" s="19">
        <f ca="1">SUM(KH_26_OPT4_KTQT_v4[[#This Row],[ĐGVCNĐ-KXK]:[ĐGVCCT-KXK]])</f>
        <v>530000</v>
      </c>
      <c r="CL23" s="47" cm="1">
        <f t="array" ref="CL23">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530000</v>
      </c>
      <c r="CM23" s="47" cm="1">
        <f t="array" ref="CM23">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23" s="47">
        <f ca="1">(KH_26_OPT4_KTQT_v4[[#This Row],[ĐGVC-KNĐ]]+KH_26_OPT4_KTQT_v4[[#This Row],[ĐGVC-KXK]])*KH_26_OPT4_KTQT_v4[[#This Row],[SL-01]]</f>
        <v>0</v>
      </c>
      <c r="CO23" s="47">
        <f ca="1">(KH_26_OPT4_KTQT_v4[[#This Row],[ĐGVC-KNĐ]]+KH_26_OPT4_KTQT_v4[[#This Row],[ĐGVC-KXK]])*KH_26_OPT4_KTQT_v4[[#This Row],[SL-02]]</f>
        <v>0</v>
      </c>
      <c r="CP23" s="47">
        <f ca="1">(KH_26_OPT4_KTQT_v4[[#This Row],[ĐGVC-KNĐ]]+KH_26_OPT4_KTQT_v4[[#This Row],[ĐGVC-KXK]])*KH_26_OPT4_KTQT_v4[[#This Row],[SL-03]]</f>
        <v>0</v>
      </c>
      <c r="CQ23" s="47">
        <f ca="1">(KH_26_OPT4_KTQT_v4[[#This Row],[ĐGVC-KNĐ]]+KH_26_OPT4_KTQT_v4[[#This Row],[ĐGVC-KXK]])*KH_26_OPT4_KTQT_v4[[#This Row],[SL-04]]</f>
        <v>0</v>
      </c>
      <c r="CR23" s="47">
        <f ca="1">(KH_26_OPT4_KTQT_v4[[#This Row],[ĐGVC-KNĐ]]+KH_26_OPT4_KTQT_v4[[#This Row],[ĐGVC-KXK]])*KH_26_OPT4_KTQT_v4[[#This Row],[SL-05]]</f>
        <v>0</v>
      </c>
      <c r="CS23" s="47">
        <f ca="1">(KH_26_OPT4_KTQT_v4[[#This Row],[ĐGVC-KNĐ]]+KH_26_OPT4_KTQT_v4[[#This Row],[ĐGVC-KXK]])*KH_26_OPT4_KTQT_v4[[#This Row],[SL-06]]</f>
        <v>0</v>
      </c>
      <c r="CT23" s="47">
        <f ca="1">(KH_26_OPT4_KTQT_v4[[#This Row],[ĐGVC-KNĐ]]+KH_26_OPT4_KTQT_v4[[#This Row],[ĐGVC-KXK]])*KH_26_OPT4_KTQT_v4[[#This Row],[SL-07]]</f>
        <v>0</v>
      </c>
      <c r="CU23" s="47">
        <f ca="1">(KH_26_OPT4_KTQT_v4[[#This Row],[ĐGVC-KNĐ]]+KH_26_OPT4_KTQT_v4[[#This Row],[ĐGVC-KXK]])*KH_26_OPT4_KTQT_v4[[#This Row],[SL-08]]</f>
        <v>0</v>
      </c>
      <c r="CV23" s="47">
        <f ca="1">(KH_26_OPT4_KTQT_v4[[#This Row],[ĐGVC-KNĐ]]+KH_26_OPT4_KTQT_v4[[#This Row],[ĐGVC-KXK]])*KH_26_OPT4_KTQT_v4[[#This Row],[SL-09]]</f>
        <v>0</v>
      </c>
      <c r="CW23" s="47">
        <f ca="1">(KH_26_OPT4_KTQT_v4[[#This Row],[ĐGVC-KNĐ]]+KH_26_OPT4_KTQT_v4[[#This Row],[ĐGVC-KXK]])*KH_26_OPT4_KTQT_v4[[#This Row],[SL-10]]</f>
        <v>0</v>
      </c>
      <c r="CX23" s="47">
        <f ca="1">(KH_26_OPT4_KTQT_v4[[#This Row],[ĐGVC-KNĐ]]+KH_26_OPT4_KTQT_v4[[#This Row],[ĐGVC-KXK]])*KH_26_OPT4_KTQT_v4[[#This Row],[SL-11]]</f>
        <v>0</v>
      </c>
      <c r="CY23" s="47">
        <f ca="1">(KH_26_OPT4_KTQT_v4[[#This Row],[ĐGVC-KNĐ]]+KH_26_OPT4_KTQT_v4[[#This Row],[ĐGVC-KXK]])*KH_26_OPT4_KTQT_v4[[#This Row],[SL-12]]</f>
        <v>0</v>
      </c>
      <c r="CZ23" s="47">
        <f ca="1">SUM(KH_26_OPT4_KTQT_v4[[#This Row],[CPVC-01]:[CPVC-12]])</f>
        <v>0</v>
      </c>
      <c r="DA23" s="124">
        <f ca="1">KH_26_OPT4_KTQT_v4[[#This Row],[DT-EXW-01]]+KH_26_OPT4_KTQT_v4[[#This Row],[CPVC-01]]+KH_26_OPT4_KTQT_v4[[#This Row],[CPHH-01]]</f>
        <v>0</v>
      </c>
      <c r="DB23" s="47">
        <f ca="1">KH_26_OPT4_KTQT_v4[[#This Row],[DT-EXW-02]]+KH_26_OPT4_KTQT_v4[[#This Row],[CPVC-02]]+KH_26_OPT4_KTQT_v4[[#This Row],[CPHH-02]]</f>
        <v>0</v>
      </c>
      <c r="DC23" s="47">
        <f ca="1">KH_26_OPT4_KTQT_v4[[#This Row],[DT-EXW-03]]+KH_26_OPT4_KTQT_v4[[#This Row],[CPVC-03]]+KH_26_OPT4_KTQT_v4[[#This Row],[CPHH-03]]</f>
        <v>0</v>
      </c>
      <c r="DD23" s="47">
        <f ca="1">KH_26_OPT4_KTQT_v4[[#This Row],[DT-EXW-04]]+KH_26_OPT4_KTQT_v4[[#This Row],[CPVC-04]]+KH_26_OPT4_KTQT_v4[[#This Row],[CPHH-04]]</f>
        <v>0</v>
      </c>
      <c r="DE23" s="47">
        <f ca="1">KH_26_OPT4_KTQT_v4[[#This Row],[DT-EXW-05]]+KH_26_OPT4_KTQT_v4[[#This Row],[CPVC-05]]+KH_26_OPT4_KTQT_v4[[#This Row],[CPHH-05]]</f>
        <v>0</v>
      </c>
      <c r="DF23" s="47">
        <f ca="1">KH_26_OPT4_KTQT_v4[[#This Row],[DT-EXW-06]]+KH_26_OPT4_KTQT_v4[[#This Row],[CPVC-06]]+KH_26_OPT4_KTQT_v4[[#This Row],[CPHH-06]]</f>
        <v>0</v>
      </c>
      <c r="DG23" s="47">
        <f ca="1">KH_26_OPT4_KTQT_v4[[#This Row],[DT-EXW-07]]+KH_26_OPT4_KTQT_v4[[#This Row],[CPVC-07]]+KH_26_OPT4_KTQT_v4[[#This Row],[CPHH-07]]</f>
        <v>0</v>
      </c>
      <c r="DH23" s="47">
        <f ca="1">KH_26_OPT4_KTQT_v4[[#This Row],[DT-EXW-08]]+KH_26_OPT4_KTQT_v4[[#This Row],[CPVC-08]]+KH_26_OPT4_KTQT_v4[[#This Row],[CPHH-08]]</f>
        <v>0</v>
      </c>
      <c r="DI23" s="47">
        <f ca="1">KH_26_OPT4_KTQT_v4[[#This Row],[DT-EXW-09]]+KH_26_OPT4_KTQT_v4[[#This Row],[CPVC-09]]+KH_26_OPT4_KTQT_v4[[#This Row],[CPHH-09]]</f>
        <v>0</v>
      </c>
      <c r="DJ23" s="47">
        <f ca="1">KH_26_OPT4_KTQT_v4[[#This Row],[DT-EXW-10]]+KH_26_OPT4_KTQT_v4[[#This Row],[CPVC-10]]+KH_26_OPT4_KTQT_v4[[#This Row],[CPHH-10]]</f>
        <v>0</v>
      </c>
      <c r="DK23" s="47">
        <f ca="1">KH_26_OPT4_KTQT_v4[[#This Row],[DT-EXW-11]]+KH_26_OPT4_KTQT_v4[[#This Row],[CPVC-11]]+KH_26_OPT4_KTQT_v4[[#This Row],[CPHH-11]]</f>
        <v>0</v>
      </c>
      <c r="DL23" s="47">
        <f ca="1">KH_26_OPT4_KTQT_v4[[#This Row],[DT-EXW-12]]+KH_26_OPT4_KTQT_v4[[#This Row],[CPVC-12]]+KH_26_OPT4_KTQT_v4[[#This Row],[CPHH-12]]</f>
        <v>0</v>
      </c>
      <c r="DM23" s="47">
        <f ca="1">SUM(KH_26_OPT4_KTQT_v4[[#This Row],[DT-01]:[DT-12]])</f>
        <v>0</v>
      </c>
      <c r="DN23" s="7"/>
      <c r="DO23" s="7"/>
      <c r="DP23" s="125"/>
      <c r="DQ23" s="136"/>
      <c r="DR23" s="132">
        <f>IFERROR(KH_26_OPT4_KTQT_v4[[#This Row],[DT-EXW-01]]*KH_26_OPT4_KTQT_v4[[#This Row],[%CPDP]],0)</f>
        <v>0</v>
      </c>
      <c r="DS23" s="132">
        <f>IFERROR(KH_26_OPT4_KTQT_v4[[#This Row],[DT-EXW-02]]*KH_26_OPT4_KTQT_v4[[#This Row],[%CPDP]],0)</f>
        <v>0</v>
      </c>
      <c r="DT23" s="132">
        <f>IFERROR(KH_26_OPT4_KTQT_v4[[#This Row],[DT-EXW-03]]*KH_26_OPT4_KTQT_v4[[#This Row],[%CPDP]],0)</f>
        <v>0</v>
      </c>
      <c r="DU23" s="132">
        <f>IFERROR(KH_26_OPT4_KTQT_v4[[#This Row],[DT-EXW-04]]*KH_26_OPT4_KTQT_v4[[#This Row],[%CPDP]],0)</f>
        <v>0</v>
      </c>
      <c r="DV23" s="132">
        <f>IFERROR(KH_26_OPT4_KTQT_v4[[#This Row],[DT-EXW-05]]*KH_26_OPT4_KTQT_v4[[#This Row],[%CPDP]],0)</f>
        <v>0</v>
      </c>
      <c r="DW23" s="132">
        <f>IFERROR(KH_26_OPT4_KTQT_v4[[#This Row],[DT-EXW-06]]*KH_26_OPT4_KTQT_v4[[#This Row],[%CPDP]],0)</f>
        <v>0</v>
      </c>
      <c r="DX23" s="132">
        <f>IFERROR(KH_26_OPT4_KTQT_v4[[#This Row],[DT-EXW-07]]*KH_26_OPT4_KTQT_v4[[#This Row],[%CPDP]],0)</f>
        <v>0</v>
      </c>
      <c r="DY23" s="132">
        <f>IFERROR(KH_26_OPT4_KTQT_v4[[#This Row],[DT-EXW-08]]*KH_26_OPT4_KTQT_v4[[#This Row],[%CPDP]],0)</f>
        <v>0</v>
      </c>
      <c r="DZ23" s="132">
        <f>IFERROR(KH_26_OPT4_KTQT_v4[[#This Row],[DT-EXW-09]]*KH_26_OPT4_KTQT_v4[[#This Row],[%CPDP]],0)</f>
        <v>0</v>
      </c>
      <c r="EA23" s="132">
        <f>IFERROR(KH_26_OPT4_KTQT_v4[[#This Row],[DT-EXW-10]]*KH_26_OPT4_KTQT_v4[[#This Row],[%CPDP]],0)</f>
        <v>0</v>
      </c>
      <c r="EB23" s="132">
        <f>IFERROR(KH_26_OPT4_KTQT_v4[[#This Row],[DT-EXW-11]]*KH_26_OPT4_KTQT_v4[[#This Row],[%CPDP]],0)</f>
        <v>0</v>
      </c>
      <c r="EC23" s="132">
        <f>IFERROR(KH_26_OPT4_KTQT_v4[[#This Row],[DT-EXW-12]]*KH_26_OPT4_KTQT_v4[[#This Row],[%CPDP]],0)</f>
        <v>0</v>
      </c>
      <c r="ED23" s="131">
        <f ca="1">SUM(KH_26_OPT4_KTQT_v4[[#This Row],[CPDP-01]:[CPDP-12]])</f>
        <v>0</v>
      </c>
    </row>
    <row r="24" spans="1:134" ht="14.5" hidden="1" x14ac:dyDescent="0.35">
      <c r="A24" s="18">
        <v>19</v>
      </c>
      <c r="B24" s="71" t="s">
        <v>101</v>
      </c>
      <c r="C24" s="18" t="str">
        <f>IFERROR(_xlfn.XLOOKUP(KH_26_OPT4_KTQT_v4[[#This Row],[Salesman]],MD_Salesman[Salesman],MD_Salesman[SalesManager]),"")</f>
        <v>Cường</v>
      </c>
      <c r="D24" s="72" t="str">
        <f>IFERROR(INDEX(MD_Customer[Mã khách],MATCH(KH_26_OPT4_KTQT_v4[[#This Row],[Tên khách]],MD_Customer[Tên khách-rút gọn],0)),"")</f>
        <v>NS26-NEWCUS-017</v>
      </c>
      <c r="E24" s="7" t="str">
        <f>IFERROR(INDEX(MD_Customer[Parent Account],MATCH(KH_26_OPT4_KTQT_v4[[#This Row],[Tên khách]],MD_Customer[Tên khách-rút gọn],0)),"")</f>
        <v>New Developments - Vảy PET - XK</v>
      </c>
      <c r="F24" s="35" t="s">
        <v>34</v>
      </c>
      <c r="G24" s="7" t="str">
        <f>IFERROR(INDEX(MD_Customer[Phân loại],MATCH(KH_26_OPT4_KTQT_v4[[#This Row],[Tên khách]],MD_Customer[Tên khách-rút gọn],0)),"")</f>
        <v>Mới</v>
      </c>
      <c r="H24" s="7" t="str">
        <f>IFERROR(INDEX(MD_Customer[Kênh bán hàng],MATCH(KH_26_OPT4_KTQT_v4[[#This Row],[Tên khách]],MD_Customer[Tên khách-rút gọn],0)),"")</f>
        <v>Xuất Khẩu</v>
      </c>
      <c r="I24" s="35" t="s">
        <v>329</v>
      </c>
      <c r="J24" s="7" t="str">
        <f>IFERROR(INDEX(MD_Destination[Nước],MATCH(KH_26_OPT4_KTQT_v4[[#This Row],[Địa điểm đến]],MD_Destination[Địa điểm đến],0)),"")</f>
        <v>Unknown</v>
      </c>
      <c r="K24" s="7" t="str">
        <f>IFERROR(INDEX(MD_Destination[Khu vực],MATCH(KH_26_OPT4_KTQT_v4[[#This Row],[Địa điểm đến]],MD_Destination[Địa điểm đến],0)),"")</f>
        <v>Unknown</v>
      </c>
      <c r="L24" s="35" t="s">
        <v>278</v>
      </c>
      <c r="M24" s="7" t="str">
        <f>IFERROR(INDEX(MD_SKU[Mã SKU],MATCH(KH_26_OPT4_KTQT_v4[[#This Row],[Tên sản phẩm]],MD_SKU[Tên SKU-rút gọn],0)),"")</f>
        <v>110000507</v>
      </c>
      <c r="N24" s="35" t="s">
        <v>14</v>
      </c>
      <c r="O24" s="7" t="str">
        <f>IFERROR(INDEX(MD_SKU[Ngành hàng],MATCH(KH_26_OPT4_KTQT_v4[[#This Row],[Tên sản phẩm]],MD_SKU[Tên SKU-rút gọn],0)),"")</f>
        <v>rPET</v>
      </c>
      <c r="P24" s="7" t="str">
        <f>IFERROR(INDEX(MD_SKU[Nhóm ngành],MATCH(KH_26_OPT4_KTQT_v4[[#This Row],[Tên sản phẩm]],MD_SKU[Tên SKU-rút gọn],0)),"")</f>
        <v>Vảy PET</v>
      </c>
      <c r="Q24" s="7" t="str">
        <f>IFERROR(
   IF(INDEX(MD_SKU[IV/IM],MATCH(KH_26_OPT4_KTQT_v4[[#This Row],[Tên sản phẩm]],MD_SKU[Tên SKU-rút gọn],0))=0,
      "",
      INDEX(MD_SKU[IV/IM],MATCH(KH_26_OPT4_KTQT_v4[[#This Row],[Tên sản phẩm]],MD_SKU[Tên SKU-rút gọn],0))
   ),
"")</f>
        <v/>
      </c>
      <c r="R24" s="44">
        <f>IFERROR(INDEX(MD_SKU[Application],MATCH(KH_26_OPT4_KTQT_v4[[#This Row],[Tên sản phẩm]],MD_SKU[Tên SKU-rút gọn],0)),"")</f>
        <v>0</v>
      </c>
      <c r="S24" s="7" t="str">
        <f>IFERROR(INDEX(MD_SKU[Phân loại],MATCH(KH_26_OPT4_KTQT_v4[[#This Row],[Tên sản phẩm]],MD_SKU[Tên SKU-rút gọn],0)),"")</f>
        <v>Cũ</v>
      </c>
      <c r="T24" s="7" t="s">
        <v>541</v>
      </c>
      <c r="U24" s="7"/>
      <c r="V24" s="70">
        <v>0.8</v>
      </c>
      <c r="W24" s="51"/>
      <c r="X24" s="51"/>
      <c r="Y24" s="51"/>
      <c r="Z24" s="51"/>
      <c r="AA24" s="51"/>
      <c r="AB24" s="51"/>
      <c r="AC24" s="51"/>
      <c r="AD24" s="51"/>
      <c r="AE24" s="51"/>
      <c r="AF24" s="51"/>
      <c r="AG24" s="51"/>
      <c r="AH24" s="51"/>
      <c r="AI24" s="47">
        <f ca="1">SUM(KH_26_OPT4_KTQT_v4[[#This Row],[SL-01]:[SL-12]])</f>
        <v>0</v>
      </c>
      <c r="AJ24" s="47">
        <f ca="1">SUMIFS(DB_25[SL-DB25],DB_25[Mã khách],KH_26_OPT4_KTQT_v4[[#This Row],[Mã khách]],DB_25[Mã sản phẩm],KH_26_OPT4_KTQT_v4[[#This Row],[Mã sản phẩm]])</f>
        <v>0</v>
      </c>
      <c r="AK24" s="20">
        <f ca="1">KH_26_OPT4_KTQT_v4[[#This Row],[SL-KH26]]-KH_26_OPT4_KTQT_v4[[#This Row],[SL-DB25]]</f>
        <v>0</v>
      </c>
      <c r="AL24" s="21">
        <f ca="1">IFERROR(KH_26_OPT4_KTQT_v4[[#This Row],[SL-+/-]]/KH_26_OPT4_KTQT_v4[[#This Row],[SL-DB25]],0)</f>
        <v>0</v>
      </c>
      <c r="AM24" s="51">
        <v>750</v>
      </c>
      <c r="AN24" s="51">
        <v>750</v>
      </c>
      <c r="AO24" s="51">
        <v>750</v>
      </c>
      <c r="AP24" s="51">
        <v>750</v>
      </c>
      <c r="AQ24" s="51">
        <v>750</v>
      </c>
      <c r="AR24" s="51">
        <v>750</v>
      </c>
      <c r="AS24" s="51">
        <v>750</v>
      </c>
      <c r="AT24" s="51">
        <v>750</v>
      </c>
      <c r="AU24" s="51">
        <v>750</v>
      </c>
      <c r="AV24" s="51">
        <v>750</v>
      </c>
      <c r="AW24" s="51">
        <v>750</v>
      </c>
      <c r="AX24" s="51">
        <v>750</v>
      </c>
      <c r="AY24" s="23">
        <v>750</v>
      </c>
      <c r="AZ24" s="7"/>
      <c r="BA24" s="24">
        <f>KH_26_OPT4_KTQT_v4[[#This Row],[GB-DB25]]-KH_26_OPT4_KTQT_v4[[#This Row],[GB-KH25]]</f>
        <v>750</v>
      </c>
      <c r="BB24" s="21">
        <f>IFERROR(KH_26_OPT4_KTQT_v4[[#This Row],[GB-+/-]]/KH_26_OPT4_KTQT_v4[[#This Row],[GB-KH25]],0)</f>
        <v>0</v>
      </c>
      <c r="BC24" s="21"/>
      <c r="BD24" s="47">
        <f>KH_26_OPT4_KTQT_v4[[#This Row],[SL-01]]*KH_26_OPT4_KTQT_v4[[#This Row],[GB-01]]*EXR</f>
        <v>0</v>
      </c>
      <c r="BE24" s="47">
        <f>KH_26_OPT4_KTQT_v4[[#This Row],[SL-02]]*KH_26_OPT4_KTQT_v4[[#This Row],[GB-02]]*EXR</f>
        <v>0</v>
      </c>
      <c r="BF24" s="47">
        <f>KH_26_OPT4_KTQT_v4[[#This Row],[SL-03]]*KH_26_OPT4_KTQT_v4[[#This Row],[GB-03]]*EXR</f>
        <v>0</v>
      </c>
      <c r="BG24" s="47">
        <f>KH_26_OPT4_KTQT_v4[[#This Row],[SL-04]]*KH_26_OPT4_KTQT_v4[[#This Row],[GB-04]]*EXR</f>
        <v>0</v>
      </c>
      <c r="BH24" s="47">
        <f>KH_26_OPT4_KTQT_v4[[#This Row],[SL-05]]*KH_26_OPT4_KTQT_v4[[#This Row],[GB-05]]*EXR</f>
        <v>0</v>
      </c>
      <c r="BI24" s="47">
        <f>KH_26_OPT4_KTQT_v4[[#This Row],[SL-06]]*KH_26_OPT4_KTQT_v4[[#This Row],[GB-06]]*EXR</f>
        <v>0</v>
      </c>
      <c r="BJ24" s="47">
        <f>KH_26_OPT4_KTQT_v4[[#This Row],[SL-07]]*KH_26_OPT4_KTQT_v4[[#This Row],[GB-07]]*EXR</f>
        <v>0</v>
      </c>
      <c r="BK24" s="47">
        <f>KH_26_OPT4_KTQT_v4[[#This Row],[SL-08]]*KH_26_OPT4_KTQT_v4[[#This Row],[GB-08]]*EXR</f>
        <v>0</v>
      </c>
      <c r="BL24" s="47">
        <f>KH_26_OPT4_KTQT_v4[[#This Row],[SL-09]]*KH_26_OPT4_KTQT_v4[[#This Row],[GB-09]]*EXR</f>
        <v>0</v>
      </c>
      <c r="BM24" s="47">
        <f>KH_26_OPT4_KTQT_v4[[#This Row],[SL-10]]*KH_26_OPT4_KTQT_v4[[#This Row],[GB-10]]*EXR</f>
        <v>0</v>
      </c>
      <c r="BN24" s="47">
        <f>KH_26_OPT4_KTQT_v4[[#This Row],[SL-11]]*KH_26_OPT4_KTQT_v4[[#This Row],[GB-11]]*EXR</f>
        <v>0</v>
      </c>
      <c r="BO24" s="47">
        <f>KH_26_OPT4_KTQT_v4[[#This Row],[SL-12]]*KH_26_OPT4_KTQT_v4[[#This Row],[GB-12]]*EXR</f>
        <v>0</v>
      </c>
      <c r="BP24" s="47">
        <f ca="1">SUM(KH_26_OPT4_KTQT_v4[[#This Row],[DT-EXW-01]:[DT-EXW-12]])</f>
        <v>0</v>
      </c>
      <c r="BQ24" s="47">
        <f ca="1">SUMIFS(DB_25[DT-DB25],DB_25[Mã khách],KH_26_OPT4_KTQT_v4[[#This Row],[Mã khách]],DB_25[Mã sản phẩm],KH_26_OPT4_KTQT_v4[[#This Row],[Mã sản phẩm]])</f>
        <v>0</v>
      </c>
      <c r="BR24" s="19">
        <f ca="1">KH_26_OPT4_KTQT_v4[[#This Row],[DT-EXW-KH26]]-KH_26_OPT4_KTQT_v4[[#This Row],[DT-EXW-DB25]]</f>
        <v>0</v>
      </c>
      <c r="BS24" s="21">
        <f ca="1">IFERROR(KH_26_OPT4_KTQT_v4[[#This Row],[DT-EXW-+/-]]/KH_26_OPT4_KTQT_v4[[#This Row],[DT-EXW-DB25]],0)</f>
        <v>0</v>
      </c>
      <c r="BT24" s="139"/>
      <c r="BU24" s="57"/>
      <c r="BV24" s="51"/>
      <c r="BW24" s="47">
        <f>IF(KH_26_OPT4_KTQT_v4[[#This Row],[CPHH-%-SL]]="Dthu",KH_26_OPT4_KTQT_v4[[#This Row],[%HH]]*KH_26_OPT4_KTQT_v4[[#This Row],[DT-EXW-01]],KH_26_OPT4_KTQT_v4[[#This Row],[HH-SL]]*KH_26_OPT4_KTQT_v4[[#This Row],[SL-01]])</f>
        <v>0</v>
      </c>
      <c r="BX24" s="47">
        <f>IF(KH_26_OPT4_KTQT_v4[[#This Row],[CPHH-%-SL]]="Dthu",KH_26_OPT4_KTQT_v4[[#This Row],[%HH]]*KH_26_OPT4_KTQT_v4[[#This Row],[DT-EXW-02]],KH_26_OPT4_KTQT_v4[[#This Row],[HH-SL]]*KH_26_OPT4_KTQT_v4[[#This Row],[SL-02]])</f>
        <v>0</v>
      </c>
      <c r="BY24" s="47">
        <f>IF(KH_26_OPT4_KTQT_v4[[#This Row],[CPHH-%-SL]]="Dthu",KH_26_OPT4_KTQT_v4[[#This Row],[%HH]]*KH_26_OPT4_KTQT_v4[[#This Row],[DT-EXW-03]],KH_26_OPT4_KTQT_v4[[#This Row],[HH-SL]]*KH_26_OPT4_KTQT_v4[[#This Row],[SL-03]])</f>
        <v>0</v>
      </c>
      <c r="BZ24" s="47">
        <f>IF(KH_26_OPT4_KTQT_v4[[#This Row],[CPHH-%-SL]]="Dthu",KH_26_OPT4_KTQT_v4[[#This Row],[%HH]]*KH_26_OPT4_KTQT_v4[[#This Row],[DT-EXW-04]],KH_26_OPT4_KTQT_v4[[#This Row],[HH-SL]]*KH_26_OPT4_KTQT_v4[[#This Row],[SL-04]])</f>
        <v>0</v>
      </c>
      <c r="CA24" s="47">
        <f>IF(KH_26_OPT4_KTQT_v4[[#This Row],[CPHH-%-SL]]="Dthu",KH_26_OPT4_KTQT_v4[[#This Row],[%HH]]*KH_26_OPT4_KTQT_v4[[#This Row],[DT-EXW-05]],KH_26_OPT4_KTQT_v4[[#This Row],[HH-SL]]*KH_26_OPT4_KTQT_v4[[#This Row],[SL-05]])</f>
        <v>0</v>
      </c>
      <c r="CB24" s="47">
        <f>IF(KH_26_OPT4_KTQT_v4[[#This Row],[CPHH-%-SL]]="Dthu",KH_26_OPT4_KTQT_v4[[#This Row],[%HH]]*KH_26_OPT4_KTQT_v4[[#This Row],[DT-EXW-06]],KH_26_OPT4_KTQT_v4[[#This Row],[HH-SL]]*KH_26_OPT4_KTQT_v4[[#This Row],[SL-06]])</f>
        <v>0</v>
      </c>
      <c r="CC24" s="47">
        <f>IF(KH_26_OPT4_KTQT_v4[[#This Row],[CPHH-%-SL]]="Dthu",KH_26_OPT4_KTQT_v4[[#This Row],[%HH]]*KH_26_OPT4_KTQT_v4[[#This Row],[DT-EXW-07]],KH_26_OPT4_KTQT_v4[[#This Row],[HH-SL]]*KH_26_OPT4_KTQT_v4[[#This Row],[SL-07]])</f>
        <v>0</v>
      </c>
      <c r="CD24" s="47">
        <f>IF(KH_26_OPT4_KTQT_v4[[#This Row],[CPHH-%-SL]]="Dthu",KH_26_OPT4_KTQT_v4[[#This Row],[%HH]]*KH_26_OPT4_KTQT_v4[[#This Row],[DT-EXW-08]],KH_26_OPT4_KTQT_v4[[#This Row],[HH-SL]]*KH_26_OPT4_KTQT_v4[[#This Row],[SL-08]])</f>
        <v>0</v>
      </c>
      <c r="CE24" s="47">
        <f>IF(KH_26_OPT4_KTQT_v4[[#This Row],[CPHH-%-SL]]="Dthu",KH_26_OPT4_KTQT_v4[[#This Row],[%HH]]*KH_26_OPT4_KTQT_v4[[#This Row],[DT-EXW-09]],KH_26_OPT4_KTQT_v4[[#This Row],[HH-SL]]*KH_26_OPT4_KTQT_v4[[#This Row],[SL-09]])</f>
        <v>0</v>
      </c>
      <c r="CF24" s="47">
        <f>IF(KH_26_OPT4_KTQT_v4[[#This Row],[CPHH-%-SL]]="Dthu",KH_26_OPT4_KTQT_v4[[#This Row],[%HH]]*KH_26_OPT4_KTQT_v4[[#This Row],[DT-EXW-10]],KH_26_OPT4_KTQT_v4[[#This Row],[HH-SL]]*KH_26_OPT4_KTQT_v4[[#This Row],[SL-10]])</f>
        <v>0</v>
      </c>
      <c r="CG24" s="47">
        <f>IF(KH_26_OPT4_KTQT_v4[[#This Row],[CPHH-%-SL]]="Dthu",KH_26_OPT4_KTQT_v4[[#This Row],[%HH]]*KH_26_OPT4_KTQT_v4[[#This Row],[DT-EXW-11]],KH_26_OPT4_KTQT_v4[[#This Row],[HH-SL]]*KH_26_OPT4_KTQT_v4[[#This Row],[SL-11]])</f>
        <v>0</v>
      </c>
      <c r="CH24" s="47">
        <f>IF(KH_26_OPT4_KTQT_v4[[#This Row],[CPHH-%-SL]]="Dthu",KH_26_OPT4_KTQT_v4[[#This Row],[%HH]]*KH_26_OPT4_KTQT_v4[[#This Row],[DT-EXW-12]],KH_26_OPT4_KTQT_v4[[#This Row],[HH-SL]]*KH_26_OPT4_KTQT_v4[[#This Row],[SL-12]])</f>
        <v>0</v>
      </c>
      <c r="CI24" s="47">
        <f ca="1">SUM(KH_26_OPT4_KTQT_v4[[#This Row],[CPHH-01]:[CPHH-12]])</f>
        <v>0</v>
      </c>
      <c r="CJ24" s="47" cm="1">
        <f t="array" ref="CJ24">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24" s="19">
        <f ca="1">SUM(KH_26_OPT4_KTQT_v4[[#This Row],[ĐGVCNĐ-KXK]:[ĐGVCCT-KXK]])</f>
        <v>530000</v>
      </c>
      <c r="CL24" s="47" cm="1">
        <f t="array" ref="CL24">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530000</v>
      </c>
      <c r="CM24" s="47" cm="1">
        <f t="array" ref="CM24">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24" s="47">
        <f ca="1">(KH_26_OPT4_KTQT_v4[[#This Row],[ĐGVC-KNĐ]]+KH_26_OPT4_KTQT_v4[[#This Row],[ĐGVC-KXK]])*KH_26_OPT4_KTQT_v4[[#This Row],[SL-01]]</f>
        <v>0</v>
      </c>
      <c r="CO24" s="47">
        <f ca="1">(KH_26_OPT4_KTQT_v4[[#This Row],[ĐGVC-KNĐ]]+KH_26_OPT4_KTQT_v4[[#This Row],[ĐGVC-KXK]])*KH_26_OPT4_KTQT_v4[[#This Row],[SL-02]]</f>
        <v>0</v>
      </c>
      <c r="CP24" s="47">
        <f ca="1">(KH_26_OPT4_KTQT_v4[[#This Row],[ĐGVC-KNĐ]]+KH_26_OPT4_KTQT_v4[[#This Row],[ĐGVC-KXK]])*KH_26_OPT4_KTQT_v4[[#This Row],[SL-03]]</f>
        <v>0</v>
      </c>
      <c r="CQ24" s="47">
        <f ca="1">(KH_26_OPT4_KTQT_v4[[#This Row],[ĐGVC-KNĐ]]+KH_26_OPT4_KTQT_v4[[#This Row],[ĐGVC-KXK]])*KH_26_OPT4_KTQT_v4[[#This Row],[SL-04]]</f>
        <v>0</v>
      </c>
      <c r="CR24" s="47">
        <f ca="1">(KH_26_OPT4_KTQT_v4[[#This Row],[ĐGVC-KNĐ]]+KH_26_OPT4_KTQT_v4[[#This Row],[ĐGVC-KXK]])*KH_26_OPT4_KTQT_v4[[#This Row],[SL-05]]</f>
        <v>0</v>
      </c>
      <c r="CS24" s="47">
        <f ca="1">(KH_26_OPT4_KTQT_v4[[#This Row],[ĐGVC-KNĐ]]+KH_26_OPT4_KTQT_v4[[#This Row],[ĐGVC-KXK]])*KH_26_OPT4_KTQT_v4[[#This Row],[SL-06]]</f>
        <v>0</v>
      </c>
      <c r="CT24" s="47">
        <f ca="1">(KH_26_OPT4_KTQT_v4[[#This Row],[ĐGVC-KNĐ]]+KH_26_OPT4_KTQT_v4[[#This Row],[ĐGVC-KXK]])*KH_26_OPT4_KTQT_v4[[#This Row],[SL-07]]</f>
        <v>0</v>
      </c>
      <c r="CU24" s="47">
        <f ca="1">(KH_26_OPT4_KTQT_v4[[#This Row],[ĐGVC-KNĐ]]+KH_26_OPT4_KTQT_v4[[#This Row],[ĐGVC-KXK]])*KH_26_OPT4_KTQT_v4[[#This Row],[SL-08]]</f>
        <v>0</v>
      </c>
      <c r="CV24" s="47">
        <f ca="1">(KH_26_OPT4_KTQT_v4[[#This Row],[ĐGVC-KNĐ]]+KH_26_OPT4_KTQT_v4[[#This Row],[ĐGVC-KXK]])*KH_26_OPT4_KTQT_v4[[#This Row],[SL-09]]</f>
        <v>0</v>
      </c>
      <c r="CW24" s="47">
        <f ca="1">(KH_26_OPT4_KTQT_v4[[#This Row],[ĐGVC-KNĐ]]+KH_26_OPT4_KTQT_v4[[#This Row],[ĐGVC-KXK]])*KH_26_OPT4_KTQT_v4[[#This Row],[SL-10]]</f>
        <v>0</v>
      </c>
      <c r="CX24" s="47">
        <f ca="1">(KH_26_OPT4_KTQT_v4[[#This Row],[ĐGVC-KNĐ]]+KH_26_OPT4_KTQT_v4[[#This Row],[ĐGVC-KXK]])*KH_26_OPT4_KTQT_v4[[#This Row],[SL-11]]</f>
        <v>0</v>
      </c>
      <c r="CY24" s="47">
        <f ca="1">(KH_26_OPT4_KTQT_v4[[#This Row],[ĐGVC-KNĐ]]+KH_26_OPT4_KTQT_v4[[#This Row],[ĐGVC-KXK]])*KH_26_OPT4_KTQT_v4[[#This Row],[SL-12]]</f>
        <v>0</v>
      </c>
      <c r="CZ24" s="47">
        <f ca="1">SUM(KH_26_OPT4_KTQT_v4[[#This Row],[CPVC-01]:[CPVC-12]])</f>
        <v>0</v>
      </c>
      <c r="DA24" s="124">
        <f ca="1">KH_26_OPT4_KTQT_v4[[#This Row],[DT-EXW-01]]+KH_26_OPT4_KTQT_v4[[#This Row],[CPVC-01]]+KH_26_OPT4_KTQT_v4[[#This Row],[CPHH-01]]</f>
        <v>0</v>
      </c>
      <c r="DB24" s="47">
        <f ca="1">KH_26_OPT4_KTQT_v4[[#This Row],[DT-EXW-02]]+KH_26_OPT4_KTQT_v4[[#This Row],[CPVC-02]]+KH_26_OPT4_KTQT_v4[[#This Row],[CPHH-02]]</f>
        <v>0</v>
      </c>
      <c r="DC24" s="47">
        <f ca="1">KH_26_OPT4_KTQT_v4[[#This Row],[DT-EXW-03]]+KH_26_OPT4_KTQT_v4[[#This Row],[CPVC-03]]+KH_26_OPT4_KTQT_v4[[#This Row],[CPHH-03]]</f>
        <v>0</v>
      </c>
      <c r="DD24" s="47">
        <f ca="1">KH_26_OPT4_KTQT_v4[[#This Row],[DT-EXW-04]]+KH_26_OPT4_KTQT_v4[[#This Row],[CPVC-04]]+KH_26_OPT4_KTQT_v4[[#This Row],[CPHH-04]]</f>
        <v>0</v>
      </c>
      <c r="DE24" s="47">
        <f ca="1">KH_26_OPT4_KTQT_v4[[#This Row],[DT-EXW-05]]+KH_26_OPT4_KTQT_v4[[#This Row],[CPVC-05]]+KH_26_OPT4_KTQT_v4[[#This Row],[CPHH-05]]</f>
        <v>0</v>
      </c>
      <c r="DF24" s="47">
        <f ca="1">KH_26_OPT4_KTQT_v4[[#This Row],[DT-EXW-06]]+KH_26_OPT4_KTQT_v4[[#This Row],[CPVC-06]]+KH_26_OPT4_KTQT_v4[[#This Row],[CPHH-06]]</f>
        <v>0</v>
      </c>
      <c r="DG24" s="47">
        <f ca="1">KH_26_OPT4_KTQT_v4[[#This Row],[DT-EXW-07]]+KH_26_OPT4_KTQT_v4[[#This Row],[CPVC-07]]+KH_26_OPT4_KTQT_v4[[#This Row],[CPHH-07]]</f>
        <v>0</v>
      </c>
      <c r="DH24" s="47">
        <f ca="1">KH_26_OPT4_KTQT_v4[[#This Row],[DT-EXW-08]]+KH_26_OPT4_KTQT_v4[[#This Row],[CPVC-08]]+KH_26_OPT4_KTQT_v4[[#This Row],[CPHH-08]]</f>
        <v>0</v>
      </c>
      <c r="DI24" s="47">
        <f ca="1">KH_26_OPT4_KTQT_v4[[#This Row],[DT-EXW-09]]+KH_26_OPT4_KTQT_v4[[#This Row],[CPVC-09]]+KH_26_OPT4_KTQT_v4[[#This Row],[CPHH-09]]</f>
        <v>0</v>
      </c>
      <c r="DJ24" s="47">
        <f ca="1">KH_26_OPT4_KTQT_v4[[#This Row],[DT-EXW-10]]+KH_26_OPT4_KTQT_v4[[#This Row],[CPVC-10]]+KH_26_OPT4_KTQT_v4[[#This Row],[CPHH-10]]</f>
        <v>0</v>
      </c>
      <c r="DK24" s="47">
        <f ca="1">KH_26_OPT4_KTQT_v4[[#This Row],[DT-EXW-11]]+KH_26_OPT4_KTQT_v4[[#This Row],[CPVC-11]]+KH_26_OPT4_KTQT_v4[[#This Row],[CPHH-11]]</f>
        <v>0</v>
      </c>
      <c r="DL24" s="47">
        <f ca="1">KH_26_OPT4_KTQT_v4[[#This Row],[DT-EXW-12]]+KH_26_OPT4_KTQT_v4[[#This Row],[CPVC-12]]+KH_26_OPT4_KTQT_v4[[#This Row],[CPHH-12]]</f>
        <v>0</v>
      </c>
      <c r="DM24" s="47">
        <f ca="1">SUM(KH_26_OPT4_KTQT_v4[[#This Row],[DT-01]:[DT-12]])</f>
        <v>0</v>
      </c>
      <c r="DN24" s="7"/>
      <c r="DO24" s="7"/>
      <c r="DP24" s="125"/>
      <c r="DQ24" s="136"/>
      <c r="DR24" s="132">
        <f>IFERROR(KH_26_OPT4_KTQT_v4[[#This Row],[DT-EXW-01]]*KH_26_OPT4_KTQT_v4[[#This Row],[%CPDP]],0)</f>
        <v>0</v>
      </c>
      <c r="DS24" s="132">
        <f>IFERROR(KH_26_OPT4_KTQT_v4[[#This Row],[DT-EXW-02]]*KH_26_OPT4_KTQT_v4[[#This Row],[%CPDP]],0)</f>
        <v>0</v>
      </c>
      <c r="DT24" s="132">
        <f>IFERROR(KH_26_OPT4_KTQT_v4[[#This Row],[DT-EXW-03]]*KH_26_OPT4_KTQT_v4[[#This Row],[%CPDP]],0)</f>
        <v>0</v>
      </c>
      <c r="DU24" s="132">
        <f>IFERROR(KH_26_OPT4_KTQT_v4[[#This Row],[DT-EXW-04]]*KH_26_OPT4_KTQT_v4[[#This Row],[%CPDP]],0)</f>
        <v>0</v>
      </c>
      <c r="DV24" s="132">
        <f>IFERROR(KH_26_OPT4_KTQT_v4[[#This Row],[DT-EXW-05]]*KH_26_OPT4_KTQT_v4[[#This Row],[%CPDP]],0)</f>
        <v>0</v>
      </c>
      <c r="DW24" s="132">
        <f>IFERROR(KH_26_OPT4_KTQT_v4[[#This Row],[DT-EXW-06]]*KH_26_OPT4_KTQT_v4[[#This Row],[%CPDP]],0)</f>
        <v>0</v>
      </c>
      <c r="DX24" s="132">
        <f>IFERROR(KH_26_OPT4_KTQT_v4[[#This Row],[DT-EXW-07]]*KH_26_OPT4_KTQT_v4[[#This Row],[%CPDP]],0)</f>
        <v>0</v>
      </c>
      <c r="DY24" s="132">
        <f>IFERROR(KH_26_OPT4_KTQT_v4[[#This Row],[DT-EXW-08]]*KH_26_OPT4_KTQT_v4[[#This Row],[%CPDP]],0)</f>
        <v>0</v>
      </c>
      <c r="DZ24" s="132">
        <f>IFERROR(KH_26_OPT4_KTQT_v4[[#This Row],[DT-EXW-09]]*KH_26_OPT4_KTQT_v4[[#This Row],[%CPDP]],0)</f>
        <v>0</v>
      </c>
      <c r="EA24" s="132">
        <f>IFERROR(KH_26_OPT4_KTQT_v4[[#This Row],[DT-EXW-10]]*KH_26_OPT4_KTQT_v4[[#This Row],[%CPDP]],0)</f>
        <v>0</v>
      </c>
      <c r="EB24" s="132">
        <f>IFERROR(KH_26_OPT4_KTQT_v4[[#This Row],[DT-EXW-11]]*KH_26_OPT4_KTQT_v4[[#This Row],[%CPDP]],0)</f>
        <v>0</v>
      </c>
      <c r="EC24" s="132">
        <f>IFERROR(KH_26_OPT4_KTQT_v4[[#This Row],[DT-EXW-12]]*KH_26_OPT4_KTQT_v4[[#This Row],[%CPDP]],0)</f>
        <v>0</v>
      </c>
      <c r="ED24" s="131">
        <f ca="1">SUM(KH_26_OPT4_KTQT_v4[[#This Row],[CPDP-01]:[CPDP-12]])</f>
        <v>0</v>
      </c>
    </row>
    <row r="25" spans="1:134" ht="14.5" hidden="1" x14ac:dyDescent="0.35">
      <c r="A25" s="18">
        <v>20</v>
      </c>
      <c r="B25" s="71" t="s">
        <v>120</v>
      </c>
      <c r="C25" s="18" t="str">
        <f>IFERROR(_xlfn.XLOOKUP(KH_26_OPT4_KTQT_v4[[#This Row],[Salesman]],MD_Salesman[Salesman],MD_Salesman[SalesManager]),"")</f>
        <v>Cường</v>
      </c>
      <c r="D25" s="72" t="str">
        <f>IFERROR(INDEX(MD_Customer[Mã khách],MATCH(KH_26_OPT4_KTQT_v4[[#This Row],[Tên khách]],MD_Customer[Tên khách-rút gọn],0)),"")</f>
        <v>NS26-NEWCUS-017</v>
      </c>
      <c r="E25" s="7" t="str">
        <f>IFERROR(INDEX(MD_Customer[Parent Account],MATCH(KH_26_OPT4_KTQT_v4[[#This Row],[Tên khách]],MD_Customer[Tên khách-rút gọn],0)),"")</f>
        <v>New Developments - Vảy PET - XK</v>
      </c>
      <c r="F25" s="35" t="s">
        <v>34</v>
      </c>
      <c r="G25" s="7" t="str">
        <f>IFERROR(INDEX(MD_Customer[Phân loại],MATCH(KH_26_OPT4_KTQT_v4[[#This Row],[Tên khách]],MD_Customer[Tên khách-rút gọn],0)),"")</f>
        <v>Mới</v>
      </c>
      <c r="H25" s="7" t="str">
        <f>IFERROR(INDEX(MD_Customer[Kênh bán hàng],MATCH(KH_26_OPT4_KTQT_v4[[#This Row],[Tên khách]],MD_Customer[Tên khách-rút gọn],0)),"")</f>
        <v>Xuất Khẩu</v>
      </c>
      <c r="I25" s="35" t="s">
        <v>329</v>
      </c>
      <c r="J25" s="7" t="str">
        <f>IFERROR(INDEX(MD_Destination[Nước],MATCH(KH_26_OPT4_KTQT_v4[[#This Row],[Địa điểm đến]],MD_Destination[Địa điểm đến],0)),"")</f>
        <v>Unknown</v>
      </c>
      <c r="K25" s="7" t="str">
        <f>IFERROR(INDEX(MD_Destination[Khu vực],MATCH(KH_26_OPT4_KTQT_v4[[#This Row],[Địa điểm đến]],MD_Destination[Địa điểm đến],0)),"")</f>
        <v>Unknown</v>
      </c>
      <c r="L25" s="35" t="s">
        <v>278</v>
      </c>
      <c r="M25" s="7" t="str">
        <f>IFERROR(INDEX(MD_SKU[Mã SKU],MATCH(KH_26_OPT4_KTQT_v4[[#This Row],[Tên sản phẩm]],MD_SKU[Tên SKU-rút gọn],0)),"")</f>
        <v>110000507</v>
      </c>
      <c r="N25" s="35" t="s">
        <v>14</v>
      </c>
      <c r="O25" s="7" t="str">
        <f>IFERROR(INDEX(MD_SKU[Ngành hàng],MATCH(KH_26_OPT4_KTQT_v4[[#This Row],[Tên sản phẩm]],MD_SKU[Tên SKU-rút gọn],0)),"")</f>
        <v>rPET</v>
      </c>
      <c r="P25" s="7" t="str">
        <f>IFERROR(INDEX(MD_SKU[Nhóm ngành],MATCH(KH_26_OPT4_KTQT_v4[[#This Row],[Tên sản phẩm]],MD_SKU[Tên SKU-rút gọn],0)),"")</f>
        <v>Vảy PET</v>
      </c>
      <c r="Q25" s="7" t="str">
        <f>IFERROR(
   IF(INDEX(MD_SKU[IV/IM],MATCH(KH_26_OPT4_KTQT_v4[[#This Row],[Tên sản phẩm]],MD_SKU[Tên SKU-rút gọn],0))=0,
      "",
      INDEX(MD_SKU[IV/IM],MATCH(KH_26_OPT4_KTQT_v4[[#This Row],[Tên sản phẩm]],MD_SKU[Tên SKU-rút gọn],0))
   ),
"")</f>
        <v/>
      </c>
      <c r="R25" s="44">
        <f>IFERROR(INDEX(MD_SKU[Application],MATCH(KH_26_OPT4_KTQT_v4[[#This Row],[Tên sản phẩm]],MD_SKU[Tên SKU-rút gọn],0)),"")</f>
        <v>0</v>
      </c>
      <c r="S25" s="7" t="str">
        <f>IFERROR(INDEX(MD_SKU[Phân loại],MATCH(KH_26_OPT4_KTQT_v4[[#This Row],[Tên sản phẩm]],MD_SKU[Tên SKU-rút gọn],0)),"")</f>
        <v>Cũ</v>
      </c>
      <c r="T25" s="7" t="s">
        <v>541</v>
      </c>
      <c r="U25" s="7"/>
      <c r="V25" s="70">
        <v>0.8</v>
      </c>
      <c r="W25" s="51"/>
      <c r="X25" s="51"/>
      <c r="Y25" s="51"/>
      <c r="Z25" s="51"/>
      <c r="AA25" s="51"/>
      <c r="AB25" s="51"/>
      <c r="AC25" s="51"/>
      <c r="AD25" s="51"/>
      <c r="AE25" s="51"/>
      <c r="AF25" s="51"/>
      <c r="AG25" s="51"/>
      <c r="AH25" s="51"/>
      <c r="AI25" s="47">
        <f ca="1">SUM(KH_26_OPT4_KTQT_v4[[#This Row],[SL-01]:[SL-12]])</f>
        <v>0</v>
      </c>
      <c r="AJ25" s="47">
        <f ca="1">SUMIFS(DB_25[SL-DB25],DB_25[Mã khách],KH_26_OPT4_KTQT_v4[[#This Row],[Mã khách]],DB_25[Mã sản phẩm],KH_26_OPT4_KTQT_v4[[#This Row],[Mã sản phẩm]])</f>
        <v>0</v>
      </c>
      <c r="AK25" s="20">
        <f ca="1">KH_26_OPT4_KTQT_v4[[#This Row],[SL-KH26]]-KH_26_OPT4_KTQT_v4[[#This Row],[SL-DB25]]</f>
        <v>0</v>
      </c>
      <c r="AL25" s="21">
        <f ca="1">IFERROR(KH_26_OPT4_KTQT_v4[[#This Row],[SL-+/-]]/KH_26_OPT4_KTQT_v4[[#This Row],[SL-DB25]],0)</f>
        <v>0</v>
      </c>
      <c r="AM25" s="51">
        <v>750</v>
      </c>
      <c r="AN25" s="51">
        <v>750</v>
      </c>
      <c r="AO25" s="51">
        <v>750</v>
      </c>
      <c r="AP25" s="51">
        <v>750</v>
      </c>
      <c r="AQ25" s="51">
        <v>750</v>
      </c>
      <c r="AR25" s="51">
        <v>750</v>
      </c>
      <c r="AS25" s="51">
        <v>750</v>
      </c>
      <c r="AT25" s="51">
        <v>750</v>
      </c>
      <c r="AU25" s="51">
        <v>750</v>
      </c>
      <c r="AV25" s="51">
        <v>750</v>
      </c>
      <c r="AW25" s="51">
        <v>750</v>
      </c>
      <c r="AX25" s="51">
        <v>750</v>
      </c>
      <c r="AY25" s="23">
        <v>750</v>
      </c>
      <c r="AZ25" s="7"/>
      <c r="BA25" s="24">
        <f>KH_26_OPT4_KTQT_v4[[#This Row],[GB-DB25]]-KH_26_OPT4_KTQT_v4[[#This Row],[GB-KH25]]</f>
        <v>750</v>
      </c>
      <c r="BB25" s="21">
        <f>IFERROR(KH_26_OPT4_KTQT_v4[[#This Row],[GB-+/-]]/KH_26_OPT4_KTQT_v4[[#This Row],[GB-KH25]],0)</f>
        <v>0</v>
      </c>
      <c r="BC25" s="21"/>
      <c r="BD25" s="47">
        <f>KH_26_OPT4_KTQT_v4[[#This Row],[SL-01]]*KH_26_OPT4_KTQT_v4[[#This Row],[GB-01]]*EXR</f>
        <v>0</v>
      </c>
      <c r="BE25" s="47">
        <f>KH_26_OPT4_KTQT_v4[[#This Row],[SL-02]]*KH_26_OPT4_KTQT_v4[[#This Row],[GB-02]]*EXR</f>
        <v>0</v>
      </c>
      <c r="BF25" s="47">
        <f>KH_26_OPT4_KTQT_v4[[#This Row],[SL-03]]*KH_26_OPT4_KTQT_v4[[#This Row],[GB-03]]*EXR</f>
        <v>0</v>
      </c>
      <c r="BG25" s="47">
        <f>KH_26_OPT4_KTQT_v4[[#This Row],[SL-04]]*KH_26_OPT4_KTQT_v4[[#This Row],[GB-04]]*EXR</f>
        <v>0</v>
      </c>
      <c r="BH25" s="47">
        <f>KH_26_OPT4_KTQT_v4[[#This Row],[SL-05]]*KH_26_OPT4_KTQT_v4[[#This Row],[GB-05]]*EXR</f>
        <v>0</v>
      </c>
      <c r="BI25" s="47">
        <f>KH_26_OPT4_KTQT_v4[[#This Row],[SL-06]]*KH_26_OPT4_KTQT_v4[[#This Row],[GB-06]]*EXR</f>
        <v>0</v>
      </c>
      <c r="BJ25" s="47">
        <f>KH_26_OPT4_KTQT_v4[[#This Row],[SL-07]]*KH_26_OPT4_KTQT_v4[[#This Row],[GB-07]]*EXR</f>
        <v>0</v>
      </c>
      <c r="BK25" s="47">
        <f>KH_26_OPT4_KTQT_v4[[#This Row],[SL-08]]*KH_26_OPT4_KTQT_v4[[#This Row],[GB-08]]*EXR</f>
        <v>0</v>
      </c>
      <c r="BL25" s="47">
        <f>KH_26_OPT4_KTQT_v4[[#This Row],[SL-09]]*KH_26_OPT4_KTQT_v4[[#This Row],[GB-09]]*EXR</f>
        <v>0</v>
      </c>
      <c r="BM25" s="47">
        <f>KH_26_OPT4_KTQT_v4[[#This Row],[SL-10]]*KH_26_OPT4_KTQT_v4[[#This Row],[GB-10]]*EXR</f>
        <v>0</v>
      </c>
      <c r="BN25" s="47">
        <f>KH_26_OPT4_KTQT_v4[[#This Row],[SL-11]]*KH_26_OPT4_KTQT_v4[[#This Row],[GB-11]]*EXR</f>
        <v>0</v>
      </c>
      <c r="BO25" s="47">
        <f>KH_26_OPT4_KTQT_v4[[#This Row],[SL-12]]*KH_26_OPT4_KTQT_v4[[#This Row],[GB-12]]*EXR</f>
        <v>0</v>
      </c>
      <c r="BP25" s="47">
        <f ca="1">SUM(KH_26_OPT4_KTQT_v4[[#This Row],[DT-EXW-01]:[DT-EXW-12]])</f>
        <v>0</v>
      </c>
      <c r="BQ25" s="47">
        <f ca="1">SUMIFS(DB_25[DT-DB25],DB_25[Mã khách],KH_26_OPT4_KTQT_v4[[#This Row],[Mã khách]],DB_25[Mã sản phẩm],KH_26_OPT4_KTQT_v4[[#This Row],[Mã sản phẩm]])</f>
        <v>0</v>
      </c>
      <c r="BR25" s="19">
        <f ca="1">KH_26_OPT4_KTQT_v4[[#This Row],[DT-EXW-KH26]]-KH_26_OPT4_KTQT_v4[[#This Row],[DT-EXW-DB25]]</f>
        <v>0</v>
      </c>
      <c r="BS25" s="21">
        <f ca="1">IFERROR(KH_26_OPT4_KTQT_v4[[#This Row],[DT-EXW-+/-]]/KH_26_OPT4_KTQT_v4[[#This Row],[DT-EXW-DB25]],0)</f>
        <v>0</v>
      </c>
      <c r="BT25" s="139"/>
      <c r="BU25" s="57"/>
      <c r="BV25" s="51"/>
      <c r="BW25" s="47">
        <f>IF(KH_26_OPT4_KTQT_v4[[#This Row],[CPHH-%-SL]]="Dthu",KH_26_OPT4_KTQT_v4[[#This Row],[%HH]]*KH_26_OPT4_KTQT_v4[[#This Row],[DT-EXW-01]],KH_26_OPT4_KTQT_v4[[#This Row],[HH-SL]]*KH_26_OPT4_KTQT_v4[[#This Row],[SL-01]])</f>
        <v>0</v>
      </c>
      <c r="BX25" s="47">
        <f>IF(KH_26_OPT4_KTQT_v4[[#This Row],[CPHH-%-SL]]="Dthu",KH_26_OPT4_KTQT_v4[[#This Row],[%HH]]*KH_26_OPT4_KTQT_v4[[#This Row],[DT-EXW-02]],KH_26_OPT4_KTQT_v4[[#This Row],[HH-SL]]*KH_26_OPT4_KTQT_v4[[#This Row],[SL-02]])</f>
        <v>0</v>
      </c>
      <c r="BY25" s="47">
        <f>IF(KH_26_OPT4_KTQT_v4[[#This Row],[CPHH-%-SL]]="Dthu",KH_26_OPT4_KTQT_v4[[#This Row],[%HH]]*KH_26_OPT4_KTQT_v4[[#This Row],[DT-EXW-03]],KH_26_OPT4_KTQT_v4[[#This Row],[HH-SL]]*KH_26_OPT4_KTQT_v4[[#This Row],[SL-03]])</f>
        <v>0</v>
      </c>
      <c r="BZ25" s="47">
        <f>IF(KH_26_OPT4_KTQT_v4[[#This Row],[CPHH-%-SL]]="Dthu",KH_26_OPT4_KTQT_v4[[#This Row],[%HH]]*KH_26_OPT4_KTQT_v4[[#This Row],[DT-EXW-04]],KH_26_OPT4_KTQT_v4[[#This Row],[HH-SL]]*KH_26_OPT4_KTQT_v4[[#This Row],[SL-04]])</f>
        <v>0</v>
      </c>
      <c r="CA25" s="47">
        <f>IF(KH_26_OPT4_KTQT_v4[[#This Row],[CPHH-%-SL]]="Dthu",KH_26_OPT4_KTQT_v4[[#This Row],[%HH]]*KH_26_OPT4_KTQT_v4[[#This Row],[DT-EXW-05]],KH_26_OPT4_KTQT_v4[[#This Row],[HH-SL]]*KH_26_OPT4_KTQT_v4[[#This Row],[SL-05]])</f>
        <v>0</v>
      </c>
      <c r="CB25" s="47">
        <f>IF(KH_26_OPT4_KTQT_v4[[#This Row],[CPHH-%-SL]]="Dthu",KH_26_OPT4_KTQT_v4[[#This Row],[%HH]]*KH_26_OPT4_KTQT_v4[[#This Row],[DT-EXW-06]],KH_26_OPT4_KTQT_v4[[#This Row],[HH-SL]]*KH_26_OPT4_KTQT_v4[[#This Row],[SL-06]])</f>
        <v>0</v>
      </c>
      <c r="CC25" s="47">
        <f>IF(KH_26_OPT4_KTQT_v4[[#This Row],[CPHH-%-SL]]="Dthu",KH_26_OPT4_KTQT_v4[[#This Row],[%HH]]*KH_26_OPT4_KTQT_v4[[#This Row],[DT-EXW-07]],KH_26_OPT4_KTQT_v4[[#This Row],[HH-SL]]*KH_26_OPT4_KTQT_v4[[#This Row],[SL-07]])</f>
        <v>0</v>
      </c>
      <c r="CD25" s="47">
        <f>IF(KH_26_OPT4_KTQT_v4[[#This Row],[CPHH-%-SL]]="Dthu",KH_26_OPT4_KTQT_v4[[#This Row],[%HH]]*KH_26_OPT4_KTQT_v4[[#This Row],[DT-EXW-08]],KH_26_OPT4_KTQT_v4[[#This Row],[HH-SL]]*KH_26_OPT4_KTQT_v4[[#This Row],[SL-08]])</f>
        <v>0</v>
      </c>
      <c r="CE25" s="47">
        <f>IF(KH_26_OPT4_KTQT_v4[[#This Row],[CPHH-%-SL]]="Dthu",KH_26_OPT4_KTQT_v4[[#This Row],[%HH]]*KH_26_OPT4_KTQT_v4[[#This Row],[DT-EXW-09]],KH_26_OPT4_KTQT_v4[[#This Row],[HH-SL]]*KH_26_OPT4_KTQT_v4[[#This Row],[SL-09]])</f>
        <v>0</v>
      </c>
      <c r="CF25" s="47">
        <f>IF(KH_26_OPT4_KTQT_v4[[#This Row],[CPHH-%-SL]]="Dthu",KH_26_OPT4_KTQT_v4[[#This Row],[%HH]]*KH_26_OPT4_KTQT_v4[[#This Row],[DT-EXW-10]],KH_26_OPT4_KTQT_v4[[#This Row],[HH-SL]]*KH_26_OPT4_KTQT_v4[[#This Row],[SL-10]])</f>
        <v>0</v>
      </c>
      <c r="CG25" s="47">
        <f>IF(KH_26_OPT4_KTQT_v4[[#This Row],[CPHH-%-SL]]="Dthu",KH_26_OPT4_KTQT_v4[[#This Row],[%HH]]*KH_26_OPT4_KTQT_v4[[#This Row],[DT-EXW-11]],KH_26_OPT4_KTQT_v4[[#This Row],[HH-SL]]*KH_26_OPT4_KTQT_v4[[#This Row],[SL-11]])</f>
        <v>0</v>
      </c>
      <c r="CH25" s="47">
        <f>IF(KH_26_OPT4_KTQT_v4[[#This Row],[CPHH-%-SL]]="Dthu",KH_26_OPT4_KTQT_v4[[#This Row],[%HH]]*KH_26_OPT4_KTQT_v4[[#This Row],[DT-EXW-12]],KH_26_OPT4_KTQT_v4[[#This Row],[HH-SL]]*KH_26_OPT4_KTQT_v4[[#This Row],[SL-12]])</f>
        <v>0</v>
      </c>
      <c r="CI25" s="47">
        <f ca="1">SUM(KH_26_OPT4_KTQT_v4[[#This Row],[CPHH-01]:[CPHH-12]])</f>
        <v>0</v>
      </c>
      <c r="CJ25" s="47" cm="1">
        <f t="array" ref="CJ25">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25" s="19">
        <f ca="1">SUM(KH_26_OPT4_KTQT_v4[[#This Row],[ĐGVCNĐ-KXK]:[ĐGVCCT-KXK]])</f>
        <v>530000</v>
      </c>
      <c r="CL25" s="47" cm="1">
        <f t="array" ref="CL25">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530000</v>
      </c>
      <c r="CM25" s="47" cm="1">
        <f t="array" ref="CM25">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25" s="47">
        <f ca="1">(KH_26_OPT4_KTQT_v4[[#This Row],[ĐGVC-KNĐ]]+KH_26_OPT4_KTQT_v4[[#This Row],[ĐGVC-KXK]])*KH_26_OPT4_KTQT_v4[[#This Row],[SL-01]]</f>
        <v>0</v>
      </c>
      <c r="CO25" s="47">
        <f ca="1">(KH_26_OPT4_KTQT_v4[[#This Row],[ĐGVC-KNĐ]]+KH_26_OPT4_KTQT_v4[[#This Row],[ĐGVC-KXK]])*KH_26_OPT4_KTQT_v4[[#This Row],[SL-02]]</f>
        <v>0</v>
      </c>
      <c r="CP25" s="47">
        <f ca="1">(KH_26_OPT4_KTQT_v4[[#This Row],[ĐGVC-KNĐ]]+KH_26_OPT4_KTQT_v4[[#This Row],[ĐGVC-KXK]])*KH_26_OPT4_KTQT_v4[[#This Row],[SL-03]]</f>
        <v>0</v>
      </c>
      <c r="CQ25" s="47">
        <f ca="1">(KH_26_OPT4_KTQT_v4[[#This Row],[ĐGVC-KNĐ]]+KH_26_OPT4_KTQT_v4[[#This Row],[ĐGVC-KXK]])*KH_26_OPT4_KTQT_v4[[#This Row],[SL-04]]</f>
        <v>0</v>
      </c>
      <c r="CR25" s="47">
        <f ca="1">(KH_26_OPT4_KTQT_v4[[#This Row],[ĐGVC-KNĐ]]+KH_26_OPT4_KTQT_v4[[#This Row],[ĐGVC-KXK]])*KH_26_OPT4_KTQT_v4[[#This Row],[SL-05]]</f>
        <v>0</v>
      </c>
      <c r="CS25" s="47">
        <f ca="1">(KH_26_OPT4_KTQT_v4[[#This Row],[ĐGVC-KNĐ]]+KH_26_OPT4_KTQT_v4[[#This Row],[ĐGVC-KXK]])*KH_26_OPT4_KTQT_v4[[#This Row],[SL-06]]</f>
        <v>0</v>
      </c>
      <c r="CT25" s="47">
        <f ca="1">(KH_26_OPT4_KTQT_v4[[#This Row],[ĐGVC-KNĐ]]+KH_26_OPT4_KTQT_v4[[#This Row],[ĐGVC-KXK]])*KH_26_OPT4_KTQT_v4[[#This Row],[SL-07]]</f>
        <v>0</v>
      </c>
      <c r="CU25" s="47">
        <f ca="1">(KH_26_OPT4_KTQT_v4[[#This Row],[ĐGVC-KNĐ]]+KH_26_OPT4_KTQT_v4[[#This Row],[ĐGVC-KXK]])*KH_26_OPT4_KTQT_v4[[#This Row],[SL-08]]</f>
        <v>0</v>
      </c>
      <c r="CV25" s="47">
        <f ca="1">(KH_26_OPT4_KTQT_v4[[#This Row],[ĐGVC-KNĐ]]+KH_26_OPT4_KTQT_v4[[#This Row],[ĐGVC-KXK]])*KH_26_OPT4_KTQT_v4[[#This Row],[SL-09]]</f>
        <v>0</v>
      </c>
      <c r="CW25" s="47">
        <f ca="1">(KH_26_OPT4_KTQT_v4[[#This Row],[ĐGVC-KNĐ]]+KH_26_OPT4_KTQT_v4[[#This Row],[ĐGVC-KXK]])*KH_26_OPT4_KTQT_v4[[#This Row],[SL-10]]</f>
        <v>0</v>
      </c>
      <c r="CX25" s="47">
        <f ca="1">(KH_26_OPT4_KTQT_v4[[#This Row],[ĐGVC-KNĐ]]+KH_26_OPT4_KTQT_v4[[#This Row],[ĐGVC-KXK]])*KH_26_OPT4_KTQT_v4[[#This Row],[SL-11]]</f>
        <v>0</v>
      </c>
      <c r="CY25" s="47">
        <f ca="1">(KH_26_OPT4_KTQT_v4[[#This Row],[ĐGVC-KNĐ]]+KH_26_OPT4_KTQT_v4[[#This Row],[ĐGVC-KXK]])*KH_26_OPT4_KTQT_v4[[#This Row],[SL-12]]</f>
        <v>0</v>
      </c>
      <c r="CZ25" s="47">
        <f ca="1">SUM(KH_26_OPT4_KTQT_v4[[#This Row],[CPVC-01]:[CPVC-12]])</f>
        <v>0</v>
      </c>
      <c r="DA25" s="124">
        <f ca="1">KH_26_OPT4_KTQT_v4[[#This Row],[DT-EXW-01]]+KH_26_OPT4_KTQT_v4[[#This Row],[CPVC-01]]+KH_26_OPT4_KTQT_v4[[#This Row],[CPHH-01]]</f>
        <v>0</v>
      </c>
      <c r="DB25" s="47">
        <f ca="1">KH_26_OPT4_KTQT_v4[[#This Row],[DT-EXW-02]]+KH_26_OPT4_KTQT_v4[[#This Row],[CPVC-02]]+KH_26_OPT4_KTQT_v4[[#This Row],[CPHH-02]]</f>
        <v>0</v>
      </c>
      <c r="DC25" s="47">
        <f ca="1">KH_26_OPT4_KTQT_v4[[#This Row],[DT-EXW-03]]+KH_26_OPT4_KTQT_v4[[#This Row],[CPVC-03]]+KH_26_OPT4_KTQT_v4[[#This Row],[CPHH-03]]</f>
        <v>0</v>
      </c>
      <c r="DD25" s="47">
        <f ca="1">KH_26_OPT4_KTQT_v4[[#This Row],[DT-EXW-04]]+KH_26_OPT4_KTQT_v4[[#This Row],[CPVC-04]]+KH_26_OPT4_KTQT_v4[[#This Row],[CPHH-04]]</f>
        <v>0</v>
      </c>
      <c r="DE25" s="47">
        <f ca="1">KH_26_OPT4_KTQT_v4[[#This Row],[DT-EXW-05]]+KH_26_OPT4_KTQT_v4[[#This Row],[CPVC-05]]+KH_26_OPT4_KTQT_v4[[#This Row],[CPHH-05]]</f>
        <v>0</v>
      </c>
      <c r="DF25" s="47">
        <f ca="1">KH_26_OPT4_KTQT_v4[[#This Row],[DT-EXW-06]]+KH_26_OPT4_KTQT_v4[[#This Row],[CPVC-06]]+KH_26_OPT4_KTQT_v4[[#This Row],[CPHH-06]]</f>
        <v>0</v>
      </c>
      <c r="DG25" s="47">
        <f ca="1">KH_26_OPT4_KTQT_v4[[#This Row],[DT-EXW-07]]+KH_26_OPT4_KTQT_v4[[#This Row],[CPVC-07]]+KH_26_OPT4_KTQT_v4[[#This Row],[CPHH-07]]</f>
        <v>0</v>
      </c>
      <c r="DH25" s="47">
        <f ca="1">KH_26_OPT4_KTQT_v4[[#This Row],[DT-EXW-08]]+KH_26_OPT4_KTQT_v4[[#This Row],[CPVC-08]]+KH_26_OPT4_KTQT_v4[[#This Row],[CPHH-08]]</f>
        <v>0</v>
      </c>
      <c r="DI25" s="47">
        <f ca="1">KH_26_OPT4_KTQT_v4[[#This Row],[DT-EXW-09]]+KH_26_OPT4_KTQT_v4[[#This Row],[CPVC-09]]+KH_26_OPT4_KTQT_v4[[#This Row],[CPHH-09]]</f>
        <v>0</v>
      </c>
      <c r="DJ25" s="47">
        <f ca="1">KH_26_OPT4_KTQT_v4[[#This Row],[DT-EXW-10]]+KH_26_OPT4_KTQT_v4[[#This Row],[CPVC-10]]+KH_26_OPT4_KTQT_v4[[#This Row],[CPHH-10]]</f>
        <v>0</v>
      </c>
      <c r="DK25" s="47">
        <f ca="1">KH_26_OPT4_KTQT_v4[[#This Row],[DT-EXW-11]]+KH_26_OPT4_KTQT_v4[[#This Row],[CPVC-11]]+KH_26_OPT4_KTQT_v4[[#This Row],[CPHH-11]]</f>
        <v>0</v>
      </c>
      <c r="DL25" s="47">
        <f ca="1">KH_26_OPT4_KTQT_v4[[#This Row],[DT-EXW-12]]+KH_26_OPT4_KTQT_v4[[#This Row],[CPVC-12]]+KH_26_OPT4_KTQT_v4[[#This Row],[CPHH-12]]</f>
        <v>0</v>
      </c>
      <c r="DM25" s="47">
        <f ca="1">SUM(KH_26_OPT4_KTQT_v4[[#This Row],[DT-01]:[DT-12]])</f>
        <v>0</v>
      </c>
      <c r="DN25" s="7"/>
      <c r="DO25" s="7"/>
      <c r="DP25" s="125"/>
      <c r="DQ25" s="136"/>
      <c r="DR25" s="132">
        <f>IFERROR(KH_26_OPT4_KTQT_v4[[#This Row],[DT-EXW-01]]*KH_26_OPT4_KTQT_v4[[#This Row],[%CPDP]],0)</f>
        <v>0</v>
      </c>
      <c r="DS25" s="132">
        <f>IFERROR(KH_26_OPT4_KTQT_v4[[#This Row],[DT-EXW-02]]*KH_26_OPT4_KTQT_v4[[#This Row],[%CPDP]],0)</f>
        <v>0</v>
      </c>
      <c r="DT25" s="132">
        <f>IFERROR(KH_26_OPT4_KTQT_v4[[#This Row],[DT-EXW-03]]*KH_26_OPT4_KTQT_v4[[#This Row],[%CPDP]],0)</f>
        <v>0</v>
      </c>
      <c r="DU25" s="132">
        <f>IFERROR(KH_26_OPT4_KTQT_v4[[#This Row],[DT-EXW-04]]*KH_26_OPT4_KTQT_v4[[#This Row],[%CPDP]],0)</f>
        <v>0</v>
      </c>
      <c r="DV25" s="132">
        <f>IFERROR(KH_26_OPT4_KTQT_v4[[#This Row],[DT-EXW-05]]*KH_26_OPT4_KTQT_v4[[#This Row],[%CPDP]],0)</f>
        <v>0</v>
      </c>
      <c r="DW25" s="132">
        <f>IFERROR(KH_26_OPT4_KTQT_v4[[#This Row],[DT-EXW-06]]*KH_26_OPT4_KTQT_v4[[#This Row],[%CPDP]],0)</f>
        <v>0</v>
      </c>
      <c r="DX25" s="132">
        <f>IFERROR(KH_26_OPT4_KTQT_v4[[#This Row],[DT-EXW-07]]*KH_26_OPT4_KTQT_v4[[#This Row],[%CPDP]],0)</f>
        <v>0</v>
      </c>
      <c r="DY25" s="132">
        <f>IFERROR(KH_26_OPT4_KTQT_v4[[#This Row],[DT-EXW-08]]*KH_26_OPT4_KTQT_v4[[#This Row],[%CPDP]],0)</f>
        <v>0</v>
      </c>
      <c r="DZ25" s="132">
        <f>IFERROR(KH_26_OPT4_KTQT_v4[[#This Row],[DT-EXW-09]]*KH_26_OPT4_KTQT_v4[[#This Row],[%CPDP]],0)</f>
        <v>0</v>
      </c>
      <c r="EA25" s="132">
        <f>IFERROR(KH_26_OPT4_KTQT_v4[[#This Row],[DT-EXW-10]]*KH_26_OPT4_KTQT_v4[[#This Row],[%CPDP]],0)</f>
        <v>0</v>
      </c>
      <c r="EB25" s="132">
        <f>IFERROR(KH_26_OPT4_KTQT_v4[[#This Row],[DT-EXW-11]]*KH_26_OPT4_KTQT_v4[[#This Row],[%CPDP]],0)</f>
        <v>0</v>
      </c>
      <c r="EC25" s="132">
        <f>IFERROR(KH_26_OPT4_KTQT_v4[[#This Row],[DT-EXW-12]]*KH_26_OPT4_KTQT_v4[[#This Row],[%CPDP]],0)</f>
        <v>0</v>
      </c>
      <c r="ED25" s="131">
        <f ca="1">SUM(KH_26_OPT4_KTQT_v4[[#This Row],[CPDP-01]:[CPDP-12]])</f>
        <v>0</v>
      </c>
    </row>
    <row r="26" spans="1:134" ht="14.65" hidden="1" customHeight="1" x14ac:dyDescent="0.35">
      <c r="A26" s="18">
        <v>21</v>
      </c>
      <c r="B26" s="71" t="s">
        <v>95</v>
      </c>
      <c r="C26" s="18" t="str">
        <f>IFERROR(_xlfn.XLOOKUP(KH_26_OPT4_KTQT_v4[[#This Row],[Salesman]],MD_Salesman[Salesman],MD_Salesman[SalesManager]),"")</f>
        <v>Cường</v>
      </c>
      <c r="D26" s="72" t="str">
        <f>IFERROR(INDEX(MD_Customer[Mã khách],MATCH(KH_26_OPT4_KTQT_v4[[#This Row],[Tên khách]],MD_Customer[Tên khách-rút gọn],0)),"")</f>
        <v>200365</v>
      </c>
      <c r="E26" s="7" t="str">
        <f>IFERROR(INDEX(MD_Customer[Parent Account],MATCH(KH_26_OPT4_KTQT_v4[[#This Row],[Tên khách]],MD_Customer[Tên khách-rút gọn],0)),"")</f>
        <v>Vinmar International</v>
      </c>
      <c r="F26" s="35" t="s">
        <v>121</v>
      </c>
      <c r="G26" s="7" t="str">
        <f>IFERROR(INDEX(MD_Customer[Phân loại],MATCH(KH_26_OPT4_KTQT_v4[[#This Row],[Tên khách]],MD_Customer[Tên khách-rút gọn],0)),"")</f>
        <v>Hiện hữu</v>
      </c>
      <c r="H26" s="7" t="str">
        <f>IFERROR(INDEX(MD_Customer[Kênh bán hàng],MATCH(KH_26_OPT4_KTQT_v4[[#This Row],[Tên khách]],MD_Customer[Tên khách-rút gọn],0)),"")</f>
        <v>Xuất khẩu</v>
      </c>
      <c r="I26" s="35" t="s">
        <v>1694</v>
      </c>
      <c r="J26" s="7" t="str">
        <f>IFERROR(INDEX(MD_Destination[Nước],MATCH(KH_26_OPT4_KTQT_v4[[#This Row],[Địa điểm đến]],MD_Destination[Địa điểm đến],0)),"")</f>
        <v>EU</v>
      </c>
      <c r="K26" s="7" t="str">
        <f>IFERROR(INDEX(MD_Destination[Khu vực],MATCH(KH_26_OPT4_KTQT_v4[[#This Row],[Địa điểm đến]],MD_Destination[Địa điểm đến],0)),"")</f>
        <v>Châu Âu</v>
      </c>
      <c r="L26" s="35" t="s">
        <v>278</v>
      </c>
      <c r="M26" s="7" t="str">
        <f>IFERROR(INDEX(MD_SKU[Mã SKU],MATCH(KH_26_OPT4_KTQT_v4[[#This Row],[Tên sản phẩm]],MD_SKU[Tên SKU-rút gọn],0)),"")</f>
        <v>110000355</v>
      </c>
      <c r="N26" s="35" t="s">
        <v>469</v>
      </c>
      <c r="O26" s="7" t="str">
        <f>IFERROR(INDEX(MD_SKU[Ngành hàng],MATCH(KH_26_OPT4_KTQT_v4[[#This Row],[Tên sản phẩm]],MD_SKU[Tên SKU-rút gọn],0)),"")</f>
        <v>rPET</v>
      </c>
      <c r="P26" s="7" t="str">
        <f>IFERROR(INDEX(MD_SKU[Nhóm ngành],MATCH(KH_26_OPT4_KTQT_v4[[#This Row],[Tên sản phẩm]],MD_SKU[Tên SKU-rút gọn],0)),"")</f>
        <v>Hạt PET</v>
      </c>
      <c r="Q26" s="7" t="str">
        <f>IFERROR(
   IF(INDEX(MD_SKU[IV/IM],MATCH(KH_26_OPT4_KTQT_v4[[#This Row],[Tên sản phẩm]],MD_SKU[Tên SKU-rút gọn],0))=0,
      "",
      INDEX(MD_SKU[IV/IM],MATCH(KH_26_OPT4_KTQT_v4[[#This Row],[Tên sản phẩm]],MD_SKU[Tên SKU-rút gọn],0))
   ),
"")</f>
        <v>0.80 ± 0.02</v>
      </c>
      <c r="R26" s="44">
        <f>IFERROR(INDEX(MD_SKU[Application],MATCH(KH_26_OPT4_KTQT_v4[[#This Row],[Tên sản phẩm]],MD_SKU[Tên SKU-rút gọn],0)),"")</f>
        <v>0</v>
      </c>
      <c r="S26" s="7" t="str">
        <f>IFERROR(INDEX(MD_SKU[Phân loại],MATCH(KH_26_OPT4_KTQT_v4[[#This Row],[Tên sản phẩm]],MD_SKU[Tên SKU-rút gọn],0)),"")</f>
        <v>Cũ</v>
      </c>
      <c r="T26" s="7" t="s">
        <v>121</v>
      </c>
      <c r="U26" s="7" t="s">
        <v>1508</v>
      </c>
      <c r="V26" s="70">
        <v>0.8</v>
      </c>
      <c r="W26" s="33">
        <v>154</v>
      </c>
      <c r="X26" s="33">
        <v>132</v>
      </c>
      <c r="Y26" s="33">
        <v>154</v>
      </c>
      <c r="Z26" s="33">
        <v>132</v>
      </c>
      <c r="AA26" s="33">
        <v>154</v>
      </c>
      <c r="AB26" s="33">
        <v>132</v>
      </c>
      <c r="AC26" s="33">
        <v>154</v>
      </c>
      <c r="AD26" s="33">
        <v>132</v>
      </c>
      <c r="AE26" s="33">
        <v>154</v>
      </c>
      <c r="AF26" s="33">
        <v>132</v>
      </c>
      <c r="AG26" s="33">
        <v>154</v>
      </c>
      <c r="AH26" s="33">
        <v>132</v>
      </c>
      <c r="AI26" s="47">
        <f ca="1">SUM(KH_26_OPT4_KTQT_v4[[#This Row],[SL-01]:[SL-12]])</f>
        <v>1716</v>
      </c>
      <c r="AJ26" s="47">
        <f ca="1">SUMIFS(DB_25[SL-DB25],DB_25[Mã khách],KH_26_OPT4_KTQT_v4[[#This Row],[Mã khách]],DB_25[Mã sản phẩm],KH_26_OPT4_KTQT_v4[[#This Row],[Mã sản phẩm]])</f>
        <v>1694</v>
      </c>
      <c r="AK26" s="20">
        <f ca="1">KH_26_OPT4_KTQT_v4[[#This Row],[SL-KH26]]-KH_26_OPT4_KTQT_v4[[#This Row],[SL-DB25]]</f>
        <v>22</v>
      </c>
      <c r="AL26" s="21">
        <f ca="1">IFERROR(KH_26_OPT4_KTQT_v4[[#This Row],[SL-+/-]]/KH_26_OPT4_KTQT_v4[[#This Row],[SL-DB25]],0)</f>
        <v>1.2987012987012988E-2</v>
      </c>
      <c r="AM26" s="51">
        <v>1200</v>
      </c>
      <c r="AN26" s="51">
        <v>1200</v>
      </c>
      <c r="AO26" s="51">
        <v>1200</v>
      </c>
      <c r="AP26" s="51">
        <v>1200</v>
      </c>
      <c r="AQ26" s="51">
        <v>1200</v>
      </c>
      <c r="AR26" s="51">
        <v>1200</v>
      </c>
      <c r="AS26" s="51">
        <v>1200</v>
      </c>
      <c r="AT26" s="51">
        <v>1200</v>
      </c>
      <c r="AU26" s="51">
        <v>1200</v>
      </c>
      <c r="AV26" s="51">
        <v>1200</v>
      </c>
      <c r="AW26" s="51">
        <v>1200</v>
      </c>
      <c r="AX26" s="51">
        <v>1200</v>
      </c>
      <c r="AY26" s="23">
        <v>1200</v>
      </c>
      <c r="AZ26" s="7"/>
      <c r="BA26" s="24">
        <f>KH_26_OPT4_KTQT_v4[[#This Row],[GB-DB25]]-KH_26_OPT4_KTQT_v4[[#This Row],[GB-KH25]]</f>
        <v>1200</v>
      </c>
      <c r="BB26" s="21">
        <f>IFERROR(KH_26_OPT4_KTQT_v4[[#This Row],[GB-+/-]]/KH_26_OPT4_KTQT_v4[[#This Row],[GB-KH25]],0)</f>
        <v>0</v>
      </c>
      <c r="BC26" s="21" t="s">
        <v>534</v>
      </c>
      <c r="BD26" s="47">
        <f>KH_26_OPT4_KTQT_v4[[#This Row],[SL-01]]*KH_26_OPT4_KTQT_v4[[#This Row],[GB-01]]*EXR</f>
        <v>4897200000</v>
      </c>
      <c r="BE26" s="47">
        <f>KH_26_OPT4_KTQT_v4[[#This Row],[SL-02]]*KH_26_OPT4_KTQT_v4[[#This Row],[GB-02]]*EXR</f>
        <v>4197600000</v>
      </c>
      <c r="BF26" s="47">
        <f>KH_26_OPT4_KTQT_v4[[#This Row],[SL-03]]*KH_26_OPT4_KTQT_v4[[#This Row],[GB-03]]*EXR</f>
        <v>4897200000</v>
      </c>
      <c r="BG26" s="47">
        <f>KH_26_OPT4_KTQT_v4[[#This Row],[SL-04]]*KH_26_OPT4_KTQT_v4[[#This Row],[GB-04]]*EXR</f>
        <v>4197600000</v>
      </c>
      <c r="BH26" s="47">
        <f>KH_26_OPT4_KTQT_v4[[#This Row],[SL-05]]*KH_26_OPT4_KTQT_v4[[#This Row],[GB-05]]*EXR</f>
        <v>4897200000</v>
      </c>
      <c r="BI26" s="47">
        <f>KH_26_OPT4_KTQT_v4[[#This Row],[SL-06]]*KH_26_OPT4_KTQT_v4[[#This Row],[GB-06]]*EXR</f>
        <v>4197600000</v>
      </c>
      <c r="BJ26" s="47">
        <f>KH_26_OPT4_KTQT_v4[[#This Row],[SL-07]]*KH_26_OPT4_KTQT_v4[[#This Row],[GB-07]]*EXR</f>
        <v>4897200000</v>
      </c>
      <c r="BK26" s="47">
        <f>KH_26_OPT4_KTQT_v4[[#This Row],[SL-08]]*KH_26_OPT4_KTQT_v4[[#This Row],[GB-08]]*EXR</f>
        <v>4197600000</v>
      </c>
      <c r="BL26" s="47">
        <f>KH_26_OPT4_KTQT_v4[[#This Row],[SL-09]]*KH_26_OPT4_KTQT_v4[[#This Row],[GB-09]]*EXR</f>
        <v>4897200000</v>
      </c>
      <c r="BM26" s="47">
        <f>KH_26_OPT4_KTQT_v4[[#This Row],[SL-10]]*KH_26_OPT4_KTQT_v4[[#This Row],[GB-10]]*EXR</f>
        <v>4197600000</v>
      </c>
      <c r="BN26" s="47">
        <f>KH_26_OPT4_KTQT_v4[[#This Row],[SL-11]]*KH_26_OPT4_KTQT_v4[[#This Row],[GB-11]]*EXR</f>
        <v>4897200000</v>
      </c>
      <c r="BO26" s="47">
        <f>KH_26_OPT4_KTQT_v4[[#This Row],[SL-12]]*KH_26_OPT4_KTQT_v4[[#This Row],[GB-12]]*EXR</f>
        <v>4197600000</v>
      </c>
      <c r="BP26" s="47">
        <f ca="1">SUM(KH_26_OPT4_KTQT_v4[[#This Row],[DT-EXW-01]:[DT-EXW-12]])</f>
        <v>54568800000</v>
      </c>
      <c r="BQ26" s="47">
        <f ca="1">SUMIFS(DB_25[DT-DB25],DB_25[Mã khách],KH_26_OPT4_KTQT_v4[[#This Row],[Mã khách]],DB_25[Mã sản phẩm],KH_26_OPT4_KTQT_v4[[#This Row],[Mã sản phẩm]])</f>
        <v>53810972942.379776</v>
      </c>
      <c r="BR26" s="47">
        <f ca="1">KH_26_OPT4_KTQT_v4[[#This Row],[DT-EXW-KH26]]-KH_26_OPT4_KTQT_v4[[#This Row],[DT-EXW-DB25]]</f>
        <v>757827057.620224</v>
      </c>
      <c r="BS26" s="21">
        <f ca="1">IFERROR(KH_26_OPT4_KTQT_v4[[#This Row],[DT-EXW-+/-]]/KH_26_OPT4_KTQT_v4[[#This Row],[DT-EXW-DB25]],0)</f>
        <v>1.4083132420439549E-2</v>
      </c>
      <c r="BT26" s="139"/>
      <c r="BU26" s="57"/>
      <c r="BV26" s="51"/>
      <c r="BW26" s="47">
        <f>IF(KH_26_OPT4_KTQT_v4[[#This Row],[CPHH-%-SL]]="Dthu",KH_26_OPT4_KTQT_v4[[#This Row],[%HH]]*KH_26_OPT4_KTQT_v4[[#This Row],[DT-EXW-01]],KH_26_OPT4_KTQT_v4[[#This Row],[HH-SL]]*KH_26_OPT4_KTQT_v4[[#This Row],[SL-01]])</f>
        <v>0</v>
      </c>
      <c r="BX26" s="47">
        <f>IF(KH_26_OPT4_KTQT_v4[[#This Row],[CPHH-%-SL]]="Dthu",KH_26_OPT4_KTQT_v4[[#This Row],[%HH]]*KH_26_OPT4_KTQT_v4[[#This Row],[DT-EXW-02]],KH_26_OPT4_KTQT_v4[[#This Row],[HH-SL]]*KH_26_OPT4_KTQT_v4[[#This Row],[SL-02]])</f>
        <v>0</v>
      </c>
      <c r="BY26" s="47">
        <f>IF(KH_26_OPT4_KTQT_v4[[#This Row],[CPHH-%-SL]]="Dthu",KH_26_OPT4_KTQT_v4[[#This Row],[%HH]]*KH_26_OPT4_KTQT_v4[[#This Row],[DT-EXW-03]],KH_26_OPT4_KTQT_v4[[#This Row],[HH-SL]]*KH_26_OPT4_KTQT_v4[[#This Row],[SL-03]])</f>
        <v>0</v>
      </c>
      <c r="BZ26" s="47">
        <f>IF(KH_26_OPT4_KTQT_v4[[#This Row],[CPHH-%-SL]]="Dthu",KH_26_OPT4_KTQT_v4[[#This Row],[%HH]]*KH_26_OPT4_KTQT_v4[[#This Row],[DT-EXW-04]],KH_26_OPT4_KTQT_v4[[#This Row],[HH-SL]]*KH_26_OPT4_KTQT_v4[[#This Row],[SL-04]])</f>
        <v>0</v>
      </c>
      <c r="CA26" s="47">
        <f>IF(KH_26_OPT4_KTQT_v4[[#This Row],[CPHH-%-SL]]="Dthu",KH_26_OPT4_KTQT_v4[[#This Row],[%HH]]*KH_26_OPT4_KTQT_v4[[#This Row],[DT-EXW-05]],KH_26_OPT4_KTQT_v4[[#This Row],[HH-SL]]*KH_26_OPT4_KTQT_v4[[#This Row],[SL-05]])</f>
        <v>0</v>
      </c>
      <c r="CB26" s="47">
        <f>IF(KH_26_OPT4_KTQT_v4[[#This Row],[CPHH-%-SL]]="Dthu",KH_26_OPT4_KTQT_v4[[#This Row],[%HH]]*KH_26_OPT4_KTQT_v4[[#This Row],[DT-EXW-06]],KH_26_OPT4_KTQT_v4[[#This Row],[HH-SL]]*KH_26_OPT4_KTQT_v4[[#This Row],[SL-06]])</f>
        <v>0</v>
      </c>
      <c r="CC26" s="47">
        <f>IF(KH_26_OPT4_KTQT_v4[[#This Row],[CPHH-%-SL]]="Dthu",KH_26_OPT4_KTQT_v4[[#This Row],[%HH]]*KH_26_OPT4_KTQT_v4[[#This Row],[DT-EXW-07]],KH_26_OPT4_KTQT_v4[[#This Row],[HH-SL]]*KH_26_OPT4_KTQT_v4[[#This Row],[SL-07]])</f>
        <v>0</v>
      </c>
      <c r="CD26" s="47">
        <f>IF(KH_26_OPT4_KTQT_v4[[#This Row],[CPHH-%-SL]]="Dthu",KH_26_OPT4_KTQT_v4[[#This Row],[%HH]]*KH_26_OPT4_KTQT_v4[[#This Row],[DT-EXW-08]],KH_26_OPT4_KTQT_v4[[#This Row],[HH-SL]]*KH_26_OPT4_KTQT_v4[[#This Row],[SL-08]])</f>
        <v>0</v>
      </c>
      <c r="CE26" s="47">
        <f>IF(KH_26_OPT4_KTQT_v4[[#This Row],[CPHH-%-SL]]="Dthu",KH_26_OPT4_KTQT_v4[[#This Row],[%HH]]*KH_26_OPT4_KTQT_v4[[#This Row],[DT-EXW-09]],KH_26_OPT4_KTQT_v4[[#This Row],[HH-SL]]*KH_26_OPT4_KTQT_v4[[#This Row],[SL-09]])</f>
        <v>0</v>
      </c>
      <c r="CF26" s="47">
        <f>IF(KH_26_OPT4_KTQT_v4[[#This Row],[CPHH-%-SL]]="Dthu",KH_26_OPT4_KTQT_v4[[#This Row],[%HH]]*KH_26_OPT4_KTQT_v4[[#This Row],[DT-EXW-10]],KH_26_OPT4_KTQT_v4[[#This Row],[HH-SL]]*KH_26_OPT4_KTQT_v4[[#This Row],[SL-10]])</f>
        <v>0</v>
      </c>
      <c r="CG26" s="47">
        <f>IF(KH_26_OPT4_KTQT_v4[[#This Row],[CPHH-%-SL]]="Dthu",KH_26_OPT4_KTQT_v4[[#This Row],[%HH]]*KH_26_OPT4_KTQT_v4[[#This Row],[DT-EXW-11]],KH_26_OPT4_KTQT_v4[[#This Row],[HH-SL]]*KH_26_OPT4_KTQT_v4[[#This Row],[SL-11]])</f>
        <v>0</v>
      </c>
      <c r="CH26" s="47">
        <f>IF(KH_26_OPT4_KTQT_v4[[#This Row],[CPHH-%-SL]]="Dthu",KH_26_OPT4_KTQT_v4[[#This Row],[%HH]]*KH_26_OPT4_KTQT_v4[[#This Row],[DT-EXW-12]],KH_26_OPT4_KTQT_v4[[#This Row],[HH-SL]]*KH_26_OPT4_KTQT_v4[[#This Row],[SL-12]])</f>
        <v>0</v>
      </c>
      <c r="CI26" s="47">
        <f ca="1">SUM(KH_26_OPT4_KTQT_v4[[#This Row],[CPHH-01]:[CPHH-12]])</f>
        <v>0</v>
      </c>
      <c r="CJ26" s="47" cm="1">
        <f t="array" ref="CJ26">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26" s="19">
        <f ca="1">SUM(KH_26_OPT4_KTQT_v4[[#This Row],[ĐGVCNĐ-KXK]:[ĐGVCCT-KXK]])</f>
        <v>530000</v>
      </c>
      <c r="CL26" s="47" cm="1">
        <f t="array" ref="CL26">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530000</v>
      </c>
      <c r="CM26" s="47" cm="1">
        <f t="array" ref="CM26">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26" s="47">
        <f ca="1">(KH_26_OPT4_KTQT_v4[[#This Row],[ĐGVC-KNĐ]]+KH_26_OPT4_KTQT_v4[[#This Row],[ĐGVC-KXK]])*KH_26_OPT4_KTQT_v4[[#This Row],[SL-01]]</f>
        <v>81620000</v>
      </c>
      <c r="CO26" s="47">
        <f ca="1">(KH_26_OPT4_KTQT_v4[[#This Row],[ĐGVC-KNĐ]]+KH_26_OPT4_KTQT_v4[[#This Row],[ĐGVC-KXK]])*KH_26_OPT4_KTQT_v4[[#This Row],[SL-02]]</f>
        <v>69960000</v>
      </c>
      <c r="CP26" s="47">
        <f ca="1">(KH_26_OPT4_KTQT_v4[[#This Row],[ĐGVC-KNĐ]]+KH_26_OPT4_KTQT_v4[[#This Row],[ĐGVC-KXK]])*KH_26_OPT4_KTQT_v4[[#This Row],[SL-03]]</f>
        <v>81620000</v>
      </c>
      <c r="CQ26" s="47">
        <f ca="1">(KH_26_OPT4_KTQT_v4[[#This Row],[ĐGVC-KNĐ]]+KH_26_OPT4_KTQT_v4[[#This Row],[ĐGVC-KXK]])*KH_26_OPT4_KTQT_v4[[#This Row],[SL-04]]</f>
        <v>69960000</v>
      </c>
      <c r="CR26" s="47">
        <f ca="1">(KH_26_OPT4_KTQT_v4[[#This Row],[ĐGVC-KNĐ]]+KH_26_OPT4_KTQT_v4[[#This Row],[ĐGVC-KXK]])*KH_26_OPT4_KTQT_v4[[#This Row],[SL-05]]</f>
        <v>81620000</v>
      </c>
      <c r="CS26" s="47">
        <f ca="1">(KH_26_OPT4_KTQT_v4[[#This Row],[ĐGVC-KNĐ]]+KH_26_OPT4_KTQT_v4[[#This Row],[ĐGVC-KXK]])*KH_26_OPT4_KTQT_v4[[#This Row],[SL-06]]</f>
        <v>69960000</v>
      </c>
      <c r="CT26" s="47">
        <f ca="1">(KH_26_OPT4_KTQT_v4[[#This Row],[ĐGVC-KNĐ]]+KH_26_OPT4_KTQT_v4[[#This Row],[ĐGVC-KXK]])*KH_26_OPT4_KTQT_v4[[#This Row],[SL-07]]</f>
        <v>81620000</v>
      </c>
      <c r="CU26" s="47">
        <f ca="1">(KH_26_OPT4_KTQT_v4[[#This Row],[ĐGVC-KNĐ]]+KH_26_OPT4_KTQT_v4[[#This Row],[ĐGVC-KXK]])*KH_26_OPT4_KTQT_v4[[#This Row],[SL-08]]</f>
        <v>69960000</v>
      </c>
      <c r="CV26" s="47">
        <f ca="1">(KH_26_OPT4_KTQT_v4[[#This Row],[ĐGVC-KNĐ]]+KH_26_OPT4_KTQT_v4[[#This Row],[ĐGVC-KXK]])*KH_26_OPT4_KTQT_v4[[#This Row],[SL-09]]</f>
        <v>81620000</v>
      </c>
      <c r="CW26" s="47">
        <f ca="1">(KH_26_OPT4_KTQT_v4[[#This Row],[ĐGVC-KNĐ]]+KH_26_OPT4_KTQT_v4[[#This Row],[ĐGVC-KXK]])*KH_26_OPT4_KTQT_v4[[#This Row],[SL-10]]</f>
        <v>69960000</v>
      </c>
      <c r="CX26" s="47">
        <f ca="1">(KH_26_OPT4_KTQT_v4[[#This Row],[ĐGVC-KNĐ]]+KH_26_OPT4_KTQT_v4[[#This Row],[ĐGVC-KXK]])*KH_26_OPT4_KTQT_v4[[#This Row],[SL-11]]</f>
        <v>81620000</v>
      </c>
      <c r="CY26" s="47">
        <f ca="1">(KH_26_OPT4_KTQT_v4[[#This Row],[ĐGVC-KNĐ]]+KH_26_OPT4_KTQT_v4[[#This Row],[ĐGVC-KXK]])*KH_26_OPT4_KTQT_v4[[#This Row],[SL-12]]</f>
        <v>69960000</v>
      </c>
      <c r="CZ26" s="47">
        <f ca="1">SUM(KH_26_OPT4_KTQT_v4[[#This Row],[CPVC-01]:[CPVC-12]])</f>
        <v>909480000</v>
      </c>
      <c r="DA26" s="124">
        <f ca="1">KH_26_OPT4_KTQT_v4[[#This Row],[DT-EXW-01]]+KH_26_OPT4_KTQT_v4[[#This Row],[CPVC-01]]+KH_26_OPT4_KTQT_v4[[#This Row],[CPHH-01]]</f>
        <v>4978820000</v>
      </c>
      <c r="DB26" s="47">
        <f ca="1">KH_26_OPT4_KTQT_v4[[#This Row],[DT-EXW-02]]+KH_26_OPT4_KTQT_v4[[#This Row],[CPVC-02]]+KH_26_OPT4_KTQT_v4[[#This Row],[CPHH-02]]</f>
        <v>4267560000</v>
      </c>
      <c r="DC26" s="47">
        <f ca="1">KH_26_OPT4_KTQT_v4[[#This Row],[DT-EXW-03]]+KH_26_OPT4_KTQT_v4[[#This Row],[CPVC-03]]+KH_26_OPT4_KTQT_v4[[#This Row],[CPHH-03]]</f>
        <v>4978820000</v>
      </c>
      <c r="DD26" s="47">
        <f ca="1">KH_26_OPT4_KTQT_v4[[#This Row],[DT-EXW-04]]+KH_26_OPT4_KTQT_v4[[#This Row],[CPVC-04]]+KH_26_OPT4_KTQT_v4[[#This Row],[CPHH-04]]</f>
        <v>4267560000</v>
      </c>
      <c r="DE26" s="47">
        <f ca="1">KH_26_OPT4_KTQT_v4[[#This Row],[DT-EXW-05]]+KH_26_OPT4_KTQT_v4[[#This Row],[CPVC-05]]+KH_26_OPT4_KTQT_v4[[#This Row],[CPHH-05]]</f>
        <v>4978820000</v>
      </c>
      <c r="DF26" s="47">
        <f ca="1">KH_26_OPT4_KTQT_v4[[#This Row],[DT-EXW-06]]+KH_26_OPT4_KTQT_v4[[#This Row],[CPVC-06]]+KH_26_OPT4_KTQT_v4[[#This Row],[CPHH-06]]</f>
        <v>4267560000</v>
      </c>
      <c r="DG26" s="47">
        <f ca="1">KH_26_OPT4_KTQT_v4[[#This Row],[DT-EXW-07]]+KH_26_OPT4_KTQT_v4[[#This Row],[CPVC-07]]+KH_26_OPT4_KTQT_v4[[#This Row],[CPHH-07]]</f>
        <v>4978820000</v>
      </c>
      <c r="DH26" s="47">
        <f ca="1">KH_26_OPT4_KTQT_v4[[#This Row],[DT-EXW-08]]+KH_26_OPT4_KTQT_v4[[#This Row],[CPVC-08]]+KH_26_OPT4_KTQT_v4[[#This Row],[CPHH-08]]</f>
        <v>4267560000</v>
      </c>
      <c r="DI26" s="47">
        <f ca="1">KH_26_OPT4_KTQT_v4[[#This Row],[DT-EXW-09]]+KH_26_OPT4_KTQT_v4[[#This Row],[CPVC-09]]+KH_26_OPT4_KTQT_v4[[#This Row],[CPHH-09]]</f>
        <v>4978820000</v>
      </c>
      <c r="DJ26" s="47">
        <f ca="1">KH_26_OPT4_KTQT_v4[[#This Row],[DT-EXW-10]]+KH_26_OPT4_KTQT_v4[[#This Row],[CPVC-10]]+KH_26_OPT4_KTQT_v4[[#This Row],[CPHH-10]]</f>
        <v>4267560000</v>
      </c>
      <c r="DK26" s="47">
        <f ca="1">KH_26_OPT4_KTQT_v4[[#This Row],[DT-EXW-11]]+KH_26_OPT4_KTQT_v4[[#This Row],[CPVC-11]]+KH_26_OPT4_KTQT_v4[[#This Row],[CPHH-11]]</f>
        <v>4978820000</v>
      </c>
      <c r="DL26" s="47">
        <f ca="1">KH_26_OPT4_KTQT_v4[[#This Row],[DT-EXW-12]]+KH_26_OPT4_KTQT_v4[[#This Row],[CPVC-12]]+KH_26_OPT4_KTQT_v4[[#This Row],[CPHH-12]]</f>
        <v>4267560000</v>
      </c>
      <c r="DM26" s="47">
        <f ca="1">SUM(KH_26_OPT4_KTQT_v4[[#This Row],[DT-01]:[DT-12]])</f>
        <v>55478280000</v>
      </c>
      <c r="DN26" s="7"/>
      <c r="DO26" s="7"/>
      <c r="DP26" s="125"/>
      <c r="DQ26" s="136">
        <v>0.1</v>
      </c>
      <c r="DR26" s="132">
        <f>IFERROR(KH_26_OPT4_KTQT_v4[[#This Row],[DT-EXW-01]]*KH_26_OPT4_KTQT_v4[[#This Row],[%CPDP]],0)</f>
        <v>489720000</v>
      </c>
      <c r="DS26" s="132">
        <f>IFERROR(KH_26_OPT4_KTQT_v4[[#This Row],[DT-EXW-02]]*KH_26_OPT4_KTQT_v4[[#This Row],[%CPDP]],0)</f>
        <v>419760000</v>
      </c>
      <c r="DT26" s="132">
        <f>IFERROR(KH_26_OPT4_KTQT_v4[[#This Row],[DT-EXW-03]]*KH_26_OPT4_KTQT_v4[[#This Row],[%CPDP]],0)</f>
        <v>489720000</v>
      </c>
      <c r="DU26" s="132">
        <f>IFERROR(KH_26_OPT4_KTQT_v4[[#This Row],[DT-EXW-04]]*KH_26_OPT4_KTQT_v4[[#This Row],[%CPDP]],0)</f>
        <v>419760000</v>
      </c>
      <c r="DV26" s="132">
        <f>IFERROR(KH_26_OPT4_KTQT_v4[[#This Row],[DT-EXW-05]]*KH_26_OPT4_KTQT_v4[[#This Row],[%CPDP]],0)</f>
        <v>489720000</v>
      </c>
      <c r="DW26" s="132">
        <f>IFERROR(KH_26_OPT4_KTQT_v4[[#This Row],[DT-EXW-06]]*KH_26_OPT4_KTQT_v4[[#This Row],[%CPDP]],0)</f>
        <v>419760000</v>
      </c>
      <c r="DX26" s="132">
        <f>IFERROR(KH_26_OPT4_KTQT_v4[[#This Row],[DT-EXW-07]]*KH_26_OPT4_KTQT_v4[[#This Row],[%CPDP]],0)</f>
        <v>489720000</v>
      </c>
      <c r="DY26" s="132">
        <f>IFERROR(KH_26_OPT4_KTQT_v4[[#This Row],[DT-EXW-08]]*KH_26_OPT4_KTQT_v4[[#This Row],[%CPDP]],0)</f>
        <v>419760000</v>
      </c>
      <c r="DZ26" s="132">
        <f>IFERROR(KH_26_OPT4_KTQT_v4[[#This Row],[DT-EXW-09]]*KH_26_OPT4_KTQT_v4[[#This Row],[%CPDP]],0)</f>
        <v>489720000</v>
      </c>
      <c r="EA26" s="132">
        <f>IFERROR(KH_26_OPT4_KTQT_v4[[#This Row],[DT-EXW-10]]*KH_26_OPT4_KTQT_v4[[#This Row],[%CPDP]],0)</f>
        <v>419760000</v>
      </c>
      <c r="EB26" s="132">
        <f>IFERROR(KH_26_OPT4_KTQT_v4[[#This Row],[DT-EXW-11]]*KH_26_OPT4_KTQT_v4[[#This Row],[%CPDP]],0)</f>
        <v>489720000</v>
      </c>
      <c r="EC26" s="132">
        <f>IFERROR(KH_26_OPT4_KTQT_v4[[#This Row],[DT-EXW-12]]*KH_26_OPT4_KTQT_v4[[#This Row],[%CPDP]],0)</f>
        <v>419760000</v>
      </c>
      <c r="ED26" s="131">
        <f ca="1">SUM(KH_26_OPT4_KTQT_v4[[#This Row],[CPDP-01]:[CPDP-12]])</f>
        <v>5456880000</v>
      </c>
    </row>
    <row r="27" spans="1:134" ht="14.65" hidden="1" customHeight="1" x14ac:dyDescent="0.35">
      <c r="A27" s="18">
        <v>22</v>
      </c>
      <c r="B27" s="71" t="s">
        <v>95</v>
      </c>
      <c r="C27" s="18" t="str">
        <f>IFERROR(_xlfn.XLOOKUP(KH_26_OPT4_KTQT_v4[[#This Row],[Salesman]],MD_Salesman[Salesman],MD_Salesman[SalesManager]),"")</f>
        <v>Cường</v>
      </c>
      <c r="D27" s="72" t="str">
        <f>IFERROR(INDEX(MD_Customer[Mã khách],MATCH(KH_26_OPT4_KTQT_v4[[#This Row],[Tên khách]],MD_Customer[Tên khách-rút gọn],0)),"")</f>
        <v>105354</v>
      </c>
      <c r="E27" s="7" t="str">
        <f>IFERROR(INDEX(MD_Customer[Parent Account],MATCH(KH_26_OPT4_KTQT_v4[[#This Row],[Tên khách]],MD_Customer[Tên khách-rút gọn],0)),"")</f>
        <v>Unilever</v>
      </c>
      <c r="F27" s="35" t="s">
        <v>323</v>
      </c>
      <c r="G27" s="7" t="str">
        <f>IFERROR(INDEX(MD_Customer[Phân loại],MATCH(KH_26_OPT4_KTQT_v4[[#This Row],[Tên khách]],MD_Customer[Tên khách-rút gọn],0)),"")</f>
        <v>Hiện hữu</v>
      </c>
      <c r="H27" s="7" t="str">
        <f>IFERROR(INDEX(MD_Customer[Kênh bán hàng],MATCH(KH_26_OPT4_KTQT_v4[[#This Row],[Tên khách]],MD_Customer[Tên khách-rút gọn],0)),"")</f>
        <v>Nội địa</v>
      </c>
      <c r="I27" s="35" t="s">
        <v>258</v>
      </c>
      <c r="J27" s="7" t="str">
        <f>IFERROR(INDEX(MD_Destination[Nước],MATCH(KH_26_OPT4_KTQT_v4[[#This Row],[Địa điểm đến]],MD_Destination[Địa điểm đến],0)),"")</f>
        <v>Việt Nam</v>
      </c>
      <c r="K27" s="7" t="str">
        <f>IFERROR(INDEX(MD_Destination[Khu vực],MATCH(KH_26_OPT4_KTQT_v4[[#This Row],[Địa điểm đến]],MD_Destination[Địa điểm đến],0)),"")</f>
        <v>Châu Á</v>
      </c>
      <c r="L27" s="35" t="s">
        <v>262</v>
      </c>
      <c r="M27" s="7" t="str">
        <f>IFERROR(INDEX(MD_SKU[Mã SKU],MATCH(KH_26_OPT4_KTQT_v4[[#This Row],[Tên sản phẩm]],MD_SKU[Tên SKU-rút gọn],0)),"")</f>
        <v>110000354</v>
      </c>
      <c r="N27" s="35" t="s">
        <v>456</v>
      </c>
      <c r="O27" s="7" t="str">
        <f>IFERROR(INDEX(MD_SKU[Ngành hàng],MATCH(KH_26_OPT4_KTQT_v4[[#This Row],[Tên sản phẩm]],MD_SKU[Tên SKU-rút gọn],0)),"")</f>
        <v>rPET</v>
      </c>
      <c r="P27" s="7" t="str">
        <f>IFERROR(INDEX(MD_SKU[Nhóm ngành],MATCH(KH_26_OPT4_KTQT_v4[[#This Row],[Tên sản phẩm]],MD_SKU[Tên SKU-rút gọn],0)),"")</f>
        <v>Hạt PET</v>
      </c>
      <c r="Q27" s="7" t="str">
        <f>IFERROR(
   IF(INDEX(MD_SKU[IV/IM],MATCH(KH_26_OPT4_KTQT_v4[[#This Row],[Tên sản phẩm]],MD_SKU[Tên SKU-rút gọn],0))=0,
      "",
      INDEX(MD_SKU[IV/IM],MATCH(KH_26_OPT4_KTQT_v4[[#This Row],[Tên sản phẩm]],MD_SKU[Tên SKU-rút gọn],0))
   ),
"")</f>
        <v>0.78 ± 0.02</v>
      </c>
      <c r="R27" s="44">
        <f>IFERROR(INDEX(MD_SKU[Application],MATCH(KH_26_OPT4_KTQT_v4[[#This Row],[Tên sản phẩm]],MD_SKU[Tên SKU-rút gọn],0)),"")</f>
        <v>0</v>
      </c>
      <c r="S27" s="7" t="str">
        <f>IFERROR(INDEX(MD_SKU[Phân loại],MATCH(KH_26_OPT4_KTQT_v4[[#This Row],[Tên sản phẩm]],MD_SKU[Tên SKU-rút gọn],0)),"")</f>
        <v>Cũ</v>
      </c>
      <c r="T27" s="7" t="s">
        <v>5</v>
      </c>
      <c r="U27" s="7" t="s">
        <v>1508</v>
      </c>
      <c r="V27" s="70">
        <v>0.8</v>
      </c>
      <c r="W27" s="179">
        <f>44</f>
        <v>44</v>
      </c>
      <c r="X27" s="179">
        <f>44</f>
        <v>44</v>
      </c>
      <c r="Y27" s="179">
        <v>44</v>
      </c>
      <c r="Z27" s="179">
        <v>44</v>
      </c>
      <c r="AA27" s="179">
        <v>44</v>
      </c>
      <c r="AB27" s="179">
        <v>44</v>
      </c>
      <c r="AC27" s="179">
        <v>44</v>
      </c>
      <c r="AD27" s="179">
        <v>44</v>
      </c>
      <c r="AE27" s="179">
        <v>44</v>
      </c>
      <c r="AF27" s="179">
        <v>44</v>
      </c>
      <c r="AG27" s="179">
        <v>44</v>
      </c>
      <c r="AH27" s="179">
        <v>44</v>
      </c>
      <c r="AI27" s="47">
        <f ca="1">SUM(KH_26_OPT4_KTQT_v4[[#This Row],[SL-01]:[SL-12]])</f>
        <v>528</v>
      </c>
      <c r="AJ27" s="47">
        <f ca="1">SUMIFS(DB_25[SL-DB25],DB_25[Mã khách],KH_26_OPT4_KTQT_v4[[#This Row],[Mã khách]],DB_25[Mã sản phẩm],KH_26_OPT4_KTQT_v4[[#This Row],[Mã sản phẩm]])</f>
        <v>572</v>
      </c>
      <c r="AK27" s="20">
        <f ca="1">KH_26_OPT4_KTQT_v4[[#This Row],[SL-KH26]]-KH_26_OPT4_KTQT_v4[[#This Row],[SL-DB25]]</f>
        <v>-44</v>
      </c>
      <c r="AL27" s="21">
        <f ca="1">IFERROR(KH_26_OPT4_KTQT_v4[[#This Row],[SL-+/-]]/KH_26_OPT4_KTQT_v4[[#This Row],[SL-DB25]],0)</f>
        <v>-7.6923076923076927E-2</v>
      </c>
      <c r="AM27" s="51">
        <f t="shared" ref="AM27:AX27" si="2">1217+33</f>
        <v>1250</v>
      </c>
      <c r="AN27" s="51">
        <f t="shared" si="2"/>
        <v>1250</v>
      </c>
      <c r="AO27" s="51">
        <f t="shared" si="2"/>
        <v>1250</v>
      </c>
      <c r="AP27" s="51">
        <f t="shared" si="2"/>
        <v>1250</v>
      </c>
      <c r="AQ27" s="51">
        <f t="shared" si="2"/>
        <v>1250</v>
      </c>
      <c r="AR27" s="51">
        <f t="shared" si="2"/>
        <v>1250</v>
      </c>
      <c r="AS27" s="51">
        <f t="shared" si="2"/>
        <v>1250</v>
      </c>
      <c r="AT27" s="51">
        <f t="shared" si="2"/>
        <v>1250</v>
      </c>
      <c r="AU27" s="51">
        <f t="shared" si="2"/>
        <v>1250</v>
      </c>
      <c r="AV27" s="51">
        <f t="shared" si="2"/>
        <v>1250</v>
      </c>
      <c r="AW27" s="51">
        <f t="shared" si="2"/>
        <v>1250</v>
      </c>
      <c r="AX27" s="51">
        <f t="shared" si="2"/>
        <v>1250</v>
      </c>
      <c r="AY27" s="23">
        <v>1183</v>
      </c>
      <c r="AZ27" s="7"/>
      <c r="BA27" s="24">
        <f>KH_26_OPT4_KTQT_v4[[#This Row],[GB-DB25]]-KH_26_OPT4_KTQT_v4[[#This Row],[GB-KH25]]</f>
        <v>1183</v>
      </c>
      <c r="BB27" s="21">
        <f>IFERROR(KH_26_OPT4_KTQT_v4[[#This Row],[GB-+/-]]/KH_26_OPT4_KTQT_v4[[#This Row],[GB-KH25]],0)</f>
        <v>0</v>
      </c>
      <c r="BC27" s="21"/>
      <c r="BD27" s="47">
        <f>KH_26_OPT4_KTQT_v4[[#This Row],[SL-01]]*KH_26_OPT4_KTQT_v4[[#This Row],[GB-01]]*EXR</f>
        <v>1457500000</v>
      </c>
      <c r="BE27" s="47">
        <f>KH_26_OPT4_KTQT_v4[[#This Row],[SL-02]]*KH_26_OPT4_KTQT_v4[[#This Row],[GB-02]]*EXR</f>
        <v>1457500000</v>
      </c>
      <c r="BF27" s="47">
        <f>KH_26_OPT4_KTQT_v4[[#This Row],[SL-03]]*KH_26_OPT4_KTQT_v4[[#This Row],[GB-03]]*EXR</f>
        <v>1457500000</v>
      </c>
      <c r="BG27" s="47">
        <f>KH_26_OPT4_KTQT_v4[[#This Row],[SL-04]]*KH_26_OPT4_KTQT_v4[[#This Row],[GB-04]]*EXR</f>
        <v>1457500000</v>
      </c>
      <c r="BH27" s="47">
        <f>KH_26_OPT4_KTQT_v4[[#This Row],[SL-05]]*KH_26_OPT4_KTQT_v4[[#This Row],[GB-05]]*EXR</f>
        <v>1457500000</v>
      </c>
      <c r="BI27" s="47">
        <f>KH_26_OPT4_KTQT_v4[[#This Row],[SL-06]]*KH_26_OPT4_KTQT_v4[[#This Row],[GB-06]]*EXR</f>
        <v>1457500000</v>
      </c>
      <c r="BJ27" s="47">
        <f>KH_26_OPT4_KTQT_v4[[#This Row],[SL-07]]*KH_26_OPT4_KTQT_v4[[#This Row],[GB-07]]*EXR</f>
        <v>1457500000</v>
      </c>
      <c r="BK27" s="47">
        <f>KH_26_OPT4_KTQT_v4[[#This Row],[SL-08]]*KH_26_OPT4_KTQT_v4[[#This Row],[GB-08]]*EXR</f>
        <v>1457500000</v>
      </c>
      <c r="BL27" s="47">
        <f>KH_26_OPT4_KTQT_v4[[#This Row],[SL-09]]*KH_26_OPT4_KTQT_v4[[#This Row],[GB-09]]*EXR</f>
        <v>1457500000</v>
      </c>
      <c r="BM27" s="47">
        <f>KH_26_OPT4_KTQT_v4[[#This Row],[SL-10]]*KH_26_OPT4_KTQT_v4[[#This Row],[GB-10]]*EXR</f>
        <v>1457500000</v>
      </c>
      <c r="BN27" s="47">
        <f>KH_26_OPT4_KTQT_v4[[#This Row],[SL-11]]*KH_26_OPT4_KTQT_v4[[#This Row],[GB-11]]*EXR</f>
        <v>1457500000</v>
      </c>
      <c r="BO27" s="47">
        <f>KH_26_OPT4_KTQT_v4[[#This Row],[SL-12]]*KH_26_OPT4_KTQT_v4[[#This Row],[GB-12]]*EXR</f>
        <v>1457500000</v>
      </c>
      <c r="BP27" s="47">
        <f ca="1">SUM(KH_26_OPT4_KTQT_v4[[#This Row],[DT-EXW-01]:[DT-EXW-12]])</f>
        <v>17490000000</v>
      </c>
      <c r="BQ27" s="47">
        <f ca="1">SUMIFS(DB_25[DT-DB25],DB_25[Mã khách],KH_26_OPT4_KTQT_v4[[#This Row],[Mã khách]],DB_25[Mã sản phẩm],KH_26_OPT4_KTQT_v4[[#This Row],[Mã sản phẩm]])</f>
        <v>7872306619.3843365</v>
      </c>
      <c r="BR27" s="47">
        <f ca="1">KH_26_OPT4_KTQT_v4[[#This Row],[DT-EXW-KH26]]-KH_26_OPT4_KTQT_v4[[#This Row],[DT-EXW-DB25]]</f>
        <v>9617693380.6156635</v>
      </c>
      <c r="BS27" s="21">
        <f ca="1">IFERROR(KH_26_OPT4_KTQT_v4[[#This Row],[DT-EXW-+/-]]/KH_26_OPT4_KTQT_v4[[#This Row],[DT-EXW-DB25]],0)</f>
        <v>1.2217122433891972</v>
      </c>
      <c r="BT27" s="139"/>
      <c r="BU27" s="57"/>
      <c r="BV27" s="51"/>
      <c r="BW27" s="47">
        <f>IF(KH_26_OPT4_KTQT_v4[[#This Row],[CPHH-%-SL]]="Dthu",KH_26_OPT4_KTQT_v4[[#This Row],[%HH]]*KH_26_OPT4_KTQT_v4[[#This Row],[DT-EXW-01]],KH_26_OPT4_KTQT_v4[[#This Row],[HH-SL]]*KH_26_OPT4_KTQT_v4[[#This Row],[SL-01]])</f>
        <v>0</v>
      </c>
      <c r="BX27" s="47">
        <f>IF(KH_26_OPT4_KTQT_v4[[#This Row],[CPHH-%-SL]]="Dthu",KH_26_OPT4_KTQT_v4[[#This Row],[%HH]]*KH_26_OPT4_KTQT_v4[[#This Row],[DT-EXW-02]],KH_26_OPT4_KTQT_v4[[#This Row],[HH-SL]]*KH_26_OPT4_KTQT_v4[[#This Row],[SL-02]])</f>
        <v>0</v>
      </c>
      <c r="BY27" s="47">
        <f>IF(KH_26_OPT4_KTQT_v4[[#This Row],[CPHH-%-SL]]="Dthu",KH_26_OPT4_KTQT_v4[[#This Row],[%HH]]*KH_26_OPT4_KTQT_v4[[#This Row],[DT-EXW-03]],KH_26_OPT4_KTQT_v4[[#This Row],[HH-SL]]*KH_26_OPT4_KTQT_v4[[#This Row],[SL-03]])</f>
        <v>0</v>
      </c>
      <c r="BZ27" s="47">
        <f>IF(KH_26_OPT4_KTQT_v4[[#This Row],[CPHH-%-SL]]="Dthu",KH_26_OPT4_KTQT_v4[[#This Row],[%HH]]*KH_26_OPT4_KTQT_v4[[#This Row],[DT-EXW-04]],KH_26_OPT4_KTQT_v4[[#This Row],[HH-SL]]*KH_26_OPT4_KTQT_v4[[#This Row],[SL-04]])</f>
        <v>0</v>
      </c>
      <c r="CA27" s="47">
        <f>IF(KH_26_OPT4_KTQT_v4[[#This Row],[CPHH-%-SL]]="Dthu",KH_26_OPT4_KTQT_v4[[#This Row],[%HH]]*KH_26_OPT4_KTQT_v4[[#This Row],[DT-EXW-05]],KH_26_OPT4_KTQT_v4[[#This Row],[HH-SL]]*KH_26_OPT4_KTQT_v4[[#This Row],[SL-05]])</f>
        <v>0</v>
      </c>
      <c r="CB27" s="47">
        <f>IF(KH_26_OPT4_KTQT_v4[[#This Row],[CPHH-%-SL]]="Dthu",KH_26_OPT4_KTQT_v4[[#This Row],[%HH]]*KH_26_OPT4_KTQT_v4[[#This Row],[DT-EXW-06]],KH_26_OPT4_KTQT_v4[[#This Row],[HH-SL]]*KH_26_OPT4_KTQT_v4[[#This Row],[SL-06]])</f>
        <v>0</v>
      </c>
      <c r="CC27" s="47">
        <f>IF(KH_26_OPT4_KTQT_v4[[#This Row],[CPHH-%-SL]]="Dthu",KH_26_OPT4_KTQT_v4[[#This Row],[%HH]]*KH_26_OPT4_KTQT_v4[[#This Row],[DT-EXW-07]],KH_26_OPT4_KTQT_v4[[#This Row],[HH-SL]]*KH_26_OPT4_KTQT_v4[[#This Row],[SL-07]])</f>
        <v>0</v>
      </c>
      <c r="CD27" s="47">
        <f>IF(KH_26_OPT4_KTQT_v4[[#This Row],[CPHH-%-SL]]="Dthu",KH_26_OPT4_KTQT_v4[[#This Row],[%HH]]*KH_26_OPT4_KTQT_v4[[#This Row],[DT-EXW-08]],KH_26_OPT4_KTQT_v4[[#This Row],[HH-SL]]*KH_26_OPT4_KTQT_v4[[#This Row],[SL-08]])</f>
        <v>0</v>
      </c>
      <c r="CE27" s="47">
        <f>IF(KH_26_OPT4_KTQT_v4[[#This Row],[CPHH-%-SL]]="Dthu",KH_26_OPT4_KTQT_v4[[#This Row],[%HH]]*KH_26_OPT4_KTQT_v4[[#This Row],[DT-EXW-09]],KH_26_OPT4_KTQT_v4[[#This Row],[HH-SL]]*KH_26_OPT4_KTQT_v4[[#This Row],[SL-09]])</f>
        <v>0</v>
      </c>
      <c r="CF27" s="47">
        <f>IF(KH_26_OPT4_KTQT_v4[[#This Row],[CPHH-%-SL]]="Dthu",KH_26_OPT4_KTQT_v4[[#This Row],[%HH]]*KH_26_OPT4_KTQT_v4[[#This Row],[DT-EXW-10]],KH_26_OPT4_KTQT_v4[[#This Row],[HH-SL]]*KH_26_OPT4_KTQT_v4[[#This Row],[SL-10]])</f>
        <v>0</v>
      </c>
      <c r="CG27" s="47">
        <f>IF(KH_26_OPT4_KTQT_v4[[#This Row],[CPHH-%-SL]]="Dthu",KH_26_OPT4_KTQT_v4[[#This Row],[%HH]]*KH_26_OPT4_KTQT_v4[[#This Row],[DT-EXW-11]],KH_26_OPT4_KTQT_v4[[#This Row],[HH-SL]]*KH_26_OPT4_KTQT_v4[[#This Row],[SL-11]])</f>
        <v>0</v>
      </c>
      <c r="CH27" s="47">
        <f>IF(KH_26_OPT4_KTQT_v4[[#This Row],[CPHH-%-SL]]="Dthu",KH_26_OPT4_KTQT_v4[[#This Row],[%HH]]*KH_26_OPT4_KTQT_v4[[#This Row],[DT-EXW-12]],KH_26_OPT4_KTQT_v4[[#This Row],[HH-SL]]*KH_26_OPT4_KTQT_v4[[#This Row],[SL-12]])</f>
        <v>0</v>
      </c>
      <c r="CI27" s="47">
        <f ca="1">SUM(KH_26_OPT4_KTQT_v4[[#This Row],[CPHH-01]:[CPHH-12]])</f>
        <v>0</v>
      </c>
      <c r="CJ27" s="47" cm="1">
        <f t="array" ref="CJ27">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140000</v>
      </c>
      <c r="CK27" s="19">
        <f ca="1">SUM(KH_26_OPT4_KTQT_v4[[#This Row],[ĐGVCNĐ-KXK]:[ĐGVCCT-KXK]])</f>
        <v>0</v>
      </c>
      <c r="CL27" s="47" cm="1">
        <f t="array" ref="CL27">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27" s="47" cm="1">
        <f t="array" ref="CM27">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27" s="47">
        <f ca="1">(KH_26_OPT4_KTQT_v4[[#This Row],[ĐGVC-KNĐ]]+KH_26_OPT4_KTQT_v4[[#This Row],[ĐGVC-KXK]])*KH_26_OPT4_KTQT_v4[[#This Row],[SL-01]]</f>
        <v>6160000</v>
      </c>
      <c r="CO27" s="47">
        <f ca="1">(KH_26_OPT4_KTQT_v4[[#This Row],[ĐGVC-KNĐ]]+KH_26_OPT4_KTQT_v4[[#This Row],[ĐGVC-KXK]])*KH_26_OPT4_KTQT_v4[[#This Row],[SL-02]]</f>
        <v>6160000</v>
      </c>
      <c r="CP27" s="47">
        <f ca="1">(KH_26_OPT4_KTQT_v4[[#This Row],[ĐGVC-KNĐ]]+KH_26_OPT4_KTQT_v4[[#This Row],[ĐGVC-KXK]])*KH_26_OPT4_KTQT_v4[[#This Row],[SL-03]]</f>
        <v>6160000</v>
      </c>
      <c r="CQ27" s="47">
        <f ca="1">(KH_26_OPT4_KTQT_v4[[#This Row],[ĐGVC-KNĐ]]+KH_26_OPT4_KTQT_v4[[#This Row],[ĐGVC-KXK]])*KH_26_OPT4_KTQT_v4[[#This Row],[SL-04]]</f>
        <v>6160000</v>
      </c>
      <c r="CR27" s="47">
        <f ca="1">(KH_26_OPT4_KTQT_v4[[#This Row],[ĐGVC-KNĐ]]+KH_26_OPT4_KTQT_v4[[#This Row],[ĐGVC-KXK]])*KH_26_OPT4_KTQT_v4[[#This Row],[SL-05]]</f>
        <v>6160000</v>
      </c>
      <c r="CS27" s="47">
        <f ca="1">(KH_26_OPT4_KTQT_v4[[#This Row],[ĐGVC-KNĐ]]+KH_26_OPT4_KTQT_v4[[#This Row],[ĐGVC-KXK]])*KH_26_OPT4_KTQT_v4[[#This Row],[SL-06]]</f>
        <v>6160000</v>
      </c>
      <c r="CT27" s="47">
        <f ca="1">(KH_26_OPT4_KTQT_v4[[#This Row],[ĐGVC-KNĐ]]+KH_26_OPT4_KTQT_v4[[#This Row],[ĐGVC-KXK]])*KH_26_OPT4_KTQT_v4[[#This Row],[SL-07]]</f>
        <v>6160000</v>
      </c>
      <c r="CU27" s="47">
        <f ca="1">(KH_26_OPT4_KTQT_v4[[#This Row],[ĐGVC-KNĐ]]+KH_26_OPT4_KTQT_v4[[#This Row],[ĐGVC-KXK]])*KH_26_OPT4_KTQT_v4[[#This Row],[SL-08]]</f>
        <v>6160000</v>
      </c>
      <c r="CV27" s="47">
        <f ca="1">(KH_26_OPT4_KTQT_v4[[#This Row],[ĐGVC-KNĐ]]+KH_26_OPT4_KTQT_v4[[#This Row],[ĐGVC-KXK]])*KH_26_OPT4_KTQT_v4[[#This Row],[SL-09]]</f>
        <v>6160000</v>
      </c>
      <c r="CW27" s="47">
        <f ca="1">(KH_26_OPT4_KTQT_v4[[#This Row],[ĐGVC-KNĐ]]+KH_26_OPT4_KTQT_v4[[#This Row],[ĐGVC-KXK]])*KH_26_OPT4_KTQT_v4[[#This Row],[SL-10]]</f>
        <v>6160000</v>
      </c>
      <c r="CX27" s="47">
        <f ca="1">(KH_26_OPT4_KTQT_v4[[#This Row],[ĐGVC-KNĐ]]+KH_26_OPT4_KTQT_v4[[#This Row],[ĐGVC-KXK]])*KH_26_OPT4_KTQT_v4[[#This Row],[SL-11]]</f>
        <v>6160000</v>
      </c>
      <c r="CY27" s="47">
        <f ca="1">(KH_26_OPT4_KTQT_v4[[#This Row],[ĐGVC-KNĐ]]+KH_26_OPT4_KTQT_v4[[#This Row],[ĐGVC-KXK]])*KH_26_OPT4_KTQT_v4[[#This Row],[SL-12]]</f>
        <v>6160000</v>
      </c>
      <c r="CZ27" s="47">
        <f ca="1">SUM(KH_26_OPT4_KTQT_v4[[#This Row],[CPVC-01]:[CPVC-12]])</f>
        <v>73920000</v>
      </c>
      <c r="DA27" s="124">
        <f ca="1">KH_26_OPT4_KTQT_v4[[#This Row],[DT-EXW-01]]+KH_26_OPT4_KTQT_v4[[#This Row],[CPVC-01]]+KH_26_OPT4_KTQT_v4[[#This Row],[CPHH-01]]</f>
        <v>1463660000</v>
      </c>
      <c r="DB27" s="47">
        <f ca="1">KH_26_OPT4_KTQT_v4[[#This Row],[DT-EXW-02]]+KH_26_OPT4_KTQT_v4[[#This Row],[CPVC-02]]+KH_26_OPT4_KTQT_v4[[#This Row],[CPHH-02]]</f>
        <v>1463660000</v>
      </c>
      <c r="DC27" s="47">
        <f ca="1">KH_26_OPT4_KTQT_v4[[#This Row],[DT-EXW-03]]+KH_26_OPT4_KTQT_v4[[#This Row],[CPVC-03]]+KH_26_OPT4_KTQT_v4[[#This Row],[CPHH-03]]</f>
        <v>1463660000</v>
      </c>
      <c r="DD27" s="47">
        <f ca="1">KH_26_OPT4_KTQT_v4[[#This Row],[DT-EXW-04]]+KH_26_OPT4_KTQT_v4[[#This Row],[CPVC-04]]+KH_26_OPT4_KTQT_v4[[#This Row],[CPHH-04]]</f>
        <v>1463660000</v>
      </c>
      <c r="DE27" s="47">
        <f ca="1">KH_26_OPT4_KTQT_v4[[#This Row],[DT-EXW-05]]+KH_26_OPT4_KTQT_v4[[#This Row],[CPVC-05]]+KH_26_OPT4_KTQT_v4[[#This Row],[CPHH-05]]</f>
        <v>1463660000</v>
      </c>
      <c r="DF27" s="47">
        <f ca="1">KH_26_OPT4_KTQT_v4[[#This Row],[DT-EXW-06]]+KH_26_OPT4_KTQT_v4[[#This Row],[CPVC-06]]+KH_26_OPT4_KTQT_v4[[#This Row],[CPHH-06]]</f>
        <v>1463660000</v>
      </c>
      <c r="DG27" s="47">
        <f ca="1">KH_26_OPT4_KTQT_v4[[#This Row],[DT-EXW-07]]+KH_26_OPT4_KTQT_v4[[#This Row],[CPVC-07]]+KH_26_OPT4_KTQT_v4[[#This Row],[CPHH-07]]</f>
        <v>1463660000</v>
      </c>
      <c r="DH27" s="47">
        <f ca="1">KH_26_OPT4_KTQT_v4[[#This Row],[DT-EXW-08]]+KH_26_OPT4_KTQT_v4[[#This Row],[CPVC-08]]+KH_26_OPT4_KTQT_v4[[#This Row],[CPHH-08]]</f>
        <v>1463660000</v>
      </c>
      <c r="DI27" s="47">
        <f ca="1">KH_26_OPT4_KTQT_v4[[#This Row],[DT-EXW-09]]+KH_26_OPT4_KTQT_v4[[#This Row],[CPVC-09]]+KH_26_OPT4_KTQT_v4[[#This Row],[CPHH-09]]</f>
        <v>1463660000</v>
      </c>
      <c r="DJ27" s="47">
        <f ca="1">KH_26_OPT4_KTQT_v4[[#This Row],[DT-EXW-10]]+KH_26_OPT4_KTQT_v4[[#This Row],[CPVC-10]]+KH_26_OPT4_KTQT_v4[[#This Row],[CPHH-10]]</f>
        <v>1463660000</v>
      </c>
      <c r="DK27" s="47">
        <f ca="1">KH_26_OPT4_KTQT_v4[[#This Row],[DT-EXW-11]]+KH_26_OPT4_KTQT_v4[[#This Row],[CPVC-11]]+KH_26_OPT4_KTQT_v4[[#This Row],[CPHH-11]]</f>
        <v>1463660000</v>
      </c>
      <c r="DL27" s="47">
        <f ca="1">KH_26_OPT4_KTQT_v4[[#This Row],[DT-EXW-12]]+KH_26_OPT4_KTQT_v4[[#This Row],[CPVC-12]]+KH_26_OPT4_KTQT_v4[[#This Row],[CPHH-12]]</f>
        <v>1463660000</v>
      </c>
      <c r="DM27" s="47">
        <f ca="1">SUM(KH_26_OPT4_KTQT_v4[[#This Row],[DT-01]:[DT-12]])</f>
        <v>17563920000</v>
      </c>
      <c r="DN27" s="7"/>
      <c r="DO27" s="7"/>
      <c r="DP27" s="125"/>
      <c r="DQ27" s="136"/>
      <c r="DR27" s="132">
        <f>IFERROR(KH_26_OPT4_KTQT_v4[[#This Row],[DT-EXW-01]]*KH_26_OPT4_KTQT_v4[[#This Row],[%CPDP]],0)</f>
        <v>0</v>
      </c>
      <c r="DS27" s="132">
        <f>IFERROR(KH_26_OPT4_KTQT_v4[[#This Row],[DT-EXW-02]]*KH_26_OPT4_KTQT_v4[[#This Row],[%CPDP]],0)</f>
        <v>0</v>
      </c>
      <c r="DT27" s="132">
        <f>IFERROR(KH_26_OPT4_KTQT_v4[[#This Row],[DT-EXW-03]]*KH_26_OPT4_KTQT_v4[[#This Row],[%CPDP]],0)</f>
        <v>0</v>
      </c>
      <c r="DU27" s="132">
        <f>IFERROR(KH_26_OPT4_KTQT_v4[[#This Row],[DT-EXW-04]]*KH_26_OPT4_KTQT_v4[[#This Row],[%CPDP]],0)</f>
        <v>0</v>
      </c>
      <c r="DV27" s="132">
        <f>IFERROR(KH_26_OPT4_KTQT_v4[[#This Row],[DT-EXW-05]]*KH_26_OPT4_KTQT_v4[[#This Row],[%CPDP]],0)</f>
        <v>0</v>
      </c>
      <c r="DW27" s="132">
        <f>IFERROR(KH_26_OPT4_KTQT_v4[[#This Row],[DT-EXW-06]]*KH_26_OPT4_KTQT_v4[[#This Row],[%CPDP]],0)</f>
        <v>0</v>
      </c>
      <c r="DX27" s="132">
        <f>IFERROR(KH_26_OPT4_KTQT_v4[[#This Row],[DT-EXW-07]]*KH_26_OPT4_KTQT_v4[[#This Row],[%CPDP]],0)</f>
        <v>0</v>
      </c>
      <c r="DY27" s="132">
        <f>IFERROR(KH_26_OPT4_KTQT_v4[[#This Row],[DT-EXW-08]]*KH_26_OPT4_KTQT_v4[[#This Row],[%CPDP]],0)</f>
        <v>0</v>
      </c>
      <c r="DZ27" s="132">
        <f>IFERROR(KH_26_OPT4_KTQT_v4[[#This Row],[DT-EXW-09]]*KH_26_OPT4_KTQT_v4[[#This Row],[%CPDP]],0)</f>
        <v>0</v>
      </c>
      <c r="EA27" s="132">
        <f>IFERROR(KH_26_OPT4_KTQT_v4[[#This Row],[DT-EXW-10]]*KH_26_OPT4_KTQT_v4[[#This Row],[%CPDP]],0)</f>
        <v>0</v>
      </c>
      <c r="EB27" s="132">
        <f>IFERROR(KH_26_OPT4_KTQT_v4[[#This Row],[DT-EXW-11]]*KH_26_OPT4_KTQT_v4[[#This Row],[%CPDP]],0)</f>
        <v>0</v>
      </c>
      <c r="EC27" s="132">
        <f>IFERROR(KH_26_OPT4_KTQT_v4[[#This Row],[DT-EXW-12]]*KH_26_OPT4_KTQT_v4[[#This Row],[%CPDP]],0)</f>
        <v>0</v>
      </c>
      <c r="ED27" s="131">
        <f ca="1">SUM(KH_26_OPT4_KTQT_v4[[#This Row],[CPDP-01]:[CPDP-12]])</f>
        <v>0</v>
      </c>
    </row>
    <row r="28" spans="1:134" ht="14.65" hidden="1" customHeight="1" x14ac:dyDescent="0.35">
      <c r="A28" s="18">
        <v>23</v>
      </c>
      <c r="B28" s="71" t="s">
        <v>101</v>
      </c>
      <c r="C28" s="18" t="str">
        <f>IFERROR(_xlfn.XLOOKUP(KH_26_OPT4_KTQT_v4[[#This Row],[Salesman]],MD_Salesman[Salesman],MD_Salesman[SalesManager]),"")</f>
        <v>Cường</v>
      </c>
      <c r="D28" s="72" t="str">
        <f>IFERROR(INDEX(MD_Customer[Mã khách],MATCH(KH_26_OPT4_KTQT_v4[[#This Row],[Tên khách]],MD_Customer[Tên khách-rút gọn],0)),"")</f>
        <v>105281</v>
      </c>
      <c r="E28" s="7" t="str">
        <f>IFERROR(INDEX(MD_Customer[Parent Account],MATCH(KH_26_OPT4_KTQT_v4[[#This Row],[Tên khách]],MD_Customer[Tên khách-rút gọn],0)),"")</f>
        <v>Plascene</v>
      </c>
      <c r="F28" s="35" t="s">
        <v>266</v>
      </c>
      <c r="G28" s="7" t="str">
        <f>IFERROR(INDEX(MD_Customer[Phân loại],MATCH(KH_26_OPT4_KTQT_v4[[#This Row],[Tên khách]],MD_Customer[Tên khách-rút gọn],0)),"")</f>
        <v>Hiện hữu</v>
      </c>
      <c r="H28" s="7" t="str">
        <f>IFERROR(INDEX(MD_Customer[Kênh bán hàng],MATCH(KH_26_OPT4_KTQT_v4[[#This Row],[Tên khách]],MD_Customer[Tên khách-rút gọn],0)),"")</f>
        <v>Nội địa</v>
      </c>
      <c r="I28" s="35" t="s">
        <v>258</v>
      </c>
      <c r="J28" s="7" t="str">
        <f>IFERROR(INDEX(MD_Destination[Nước],MATCH(KH_26_OPT4_KTQT_v4[[#This Row],[Địa điểm đến]],MD_Destination[Địa điểm đến],0)),"")</f>
        <v>Việt Nam</v>
      </c>
      <c r="K28" s="7" t="str">
        <f>IFERROR(INDEX(MD_Destination[Khu vực],MATCH(KH_26_OPT4_KTQT_v4[[#This Row],[Địa điểm đến]],MD_Destination[Địa điểm đến],0)),"")</f>
        <v>Châu Á</v>
      </c>
      <c r="L28" s="35" t="s">
        <v>262</v>
      </c>
      <c r="M28" s="7" t="str">
        <f>IFERROR(INDEX(MD_SKU[Mã SKU],MATCH(KH_26_OPT4_KTQT_v4[[#This Row],[Tên sản phẩm]],MD_SKU[Tên SKU-rút gọn],0)),"")</f>
        <v>110000354</v>
      </c>
      <c r="N28" s="35" t="s">
        <v>456</v>
      </c>
      <c r="O28" s="7" t="str">
        <f>IFERROR(INDEX(MD_SKU[Ngành hàng],MATCH(KH_26_OPT4_KTQT_v4[[#This Row],[Tên sản phẩm]],MD_SKU[Tên SKU-rút gọn],0)),"")</f>
        <v>rPET</v>
      </c>
      <c r="P28" s="7" t="str">
        <f>IFERROR(INDEX(MD_SKU[Nhóm ngành],MATCH(KH_26_OPT4_KTQT_v4[[#This Row],[Tên sản phẩm]],MD_SKU[Tên SKU-rút gọn],0)),"")</f>
        <v>Hạt PET</v>
      </c>
      <c r="Q28" s="7" t="str">
        <f>IFERROR(
   IF(INDEX(MD_SKU[IV/IM],MATCH(KH_26_OPT4_KTQT_v4[[#This Row],[Tên sản phẩm]],MD_SKU[Tên SKU-rút gọn],0))=0,
      "",
      INDEX(MD_SKU[IV/IM],MATCH(KH_26_OPT4_KTQT_v4[[#This Row],[Tên sản phẩm]],MD_SKU[Tên SKU-rút gọn],0))
   ),
"")</f>
        <v>0.78 ± 0.02</v>
      </c>
      <c r="R28" s="44">
        <f>IFERROR(INDEX(MD_SKU[Application],MATCH(KH_26_OPT4_KTQT_v4[[#This Row],[Tên sản phẩm]],MD_SKU[Tên SKU-rút gọn],0)),"")</f>
        <v>0</v>
      </c>
      <c r="S28" s="7" t="str">
        <f>IFERROR(INDEX(MD_SKU[Phân loại],MATCH(KH_26_OPT4_KTQT_v4[[#This Row],[Tên sản phẩm]],MD_SKU[Tên SKU-rút gọn],0)),"")</f>
        <v>Cũ</v>
      </c>
      <c r="T28" s="7" t="s">
        <v>100</v>
      </c>
      <c r="U28" s="7" t="s">
        <v>1508</v>
      </c>
      <c r="V28" s="70">
        <v>0.8</v>
      </c>
      <c r="W28" s="33">
        <v>22</v>
      </c>
      <c r="X28" s="33">
        <v>22</v>
      </c>
      <c r="Y28" s="33">
        <v>22</v>
      </c>
      <c r="Z28" s="33">
        <v>22</v>
      </c>
      <c r="AA28" s="33">
        <v>22</v>
      </c>
      <c r="AB28" s="33">
        <v>22</v>
      </c>
      <c r="AC28" s="33">
        <v>22</v>
      </c>
      <c r="AD28" s="33">
        <v>22</v>
      </c>
      <c r="AE28" s="33">
        <v>22</v>
      </c>
      <c r="AF28" s="33">
        <v>22</v>
      </c>
      <c r="AG28" s="33">
        <v>22</v>
      </c>
      <c r="AH28" s="33">
        <v>22</v>
      </c>
      <c r="AI28" s="47">
        <f ca="1">SUM(KH_26_OPT4_KTQT_v4[[#This Row],[SL-01]:[SL-12]])</f>
        <v>264</v>
      </c>
      <c r="AJ28" s="47">
        <f ca="1">SUMIFS(DB_25[SL-DB25],DB_25[Mã khách],KH_26_OPT4_KTQT_v4[[#This Row],[Mã khách]],DB_25[Mã sản phẩm],KH_26_OPT4_KTQT_v4[[#This Row],[Mã sản phẩm]])</f>
        <v>715</v>
      </c>
      <c r="AK28" s="20">
        <f ca="1">KH_26_OPT4_KTQT_v4[[#This Row],[SL-KH26]]-KH_26_OPT4_KTQT_v4[[#This Row],[SL-DB25]]</f>
        <v>-451</v>
      </c>
      <c r="AL28" s="21">
        <f ca="1">IFERROR(KH_26_OPT4_KTQT_v4[[#This Row],[SL-+/-]]/KH_26_OPT4_KTQT_v4[[#This Row],[SL-DB25]],0)</f>
        <v>-0.63076923076923075</v>
      </c>
      <c r="AM28" s="51">
        <v>1150</v>
      </c>
      <c r="AN28" s="51">
        <v>1150</v>
      </c>
      <c r="AO28" s="51">
        <v>1150</v>
      </c>
      <c r="AP28" s="51">
        <v>1150</v>
      </c>
      <c r="AQ28" s="51">
        <v>1150</v>
      </c>
      <c r="AR28" s="51">
        <v>1150</v>
      </c>
      <c r="AS28" s="51">
        <v>1150</v>
      </c>
      <c r="AT28" s="51">
        <v>1150</v>
      </c>
      <c r="AU28" s="51">
        <v>1150</v>
      </c>
      <c r="AV28" s="51">
        <v>1150</v>
      </c>
      <c r="AW28" s="51">
        <v>1150</v>
      </c>
      <c r="AX28" s="51">
        <v>1150</v>
      </c>
      <c r="AY28" s="23">
        <v>1150</v>
      </c>
      <c r="AZ28" s="7"/>
      <c r="BA28" s="24">
        <f>KH_26_OPT4_KTQT_v4[[#This Row],[GB-DB25]]-KH_26_OPT4_KTQT_v4[[#This Row],[GB-KH25]]</f>
        <v>1150</v>
      </c>
      <c r="BB28" s="21">
        <f>IFERROR(KH_26_OPT4_KTQT_v4[[#This Row],[GB-+/-]]/KH_26_OPT4_KTQT_v4[[#This Row],[GB-KH25]],0)</f>
        <v>0</v>
      </c>
      <c r="BC28" s="21"/>
      <c r="BD28" s="47">
        <f>KH_26_OPT4_KTQT_v4[[#This Row],[SL-01]]*KH_26_OPT4_KTQT_v4[[#This Row],[GB-01]]*EXR</f>
        <v>670450000</v>
      </c>
      <c r="BE28" s="47">
        <f>KH_26_OPT4_KTQT_v4[[#This Row],[SL-02]]*KH_26_OPT4_KTQT_v4[[#This Row],[GB-02]]*EXR</f>
        <v>670450000</v>
      </c>
      <c r="BF28" s="47">
        <f>KH_26_OPT4_KTQT_v4[[#This Row],[SL-03]]*KH_26_OPT4_KTQT_v4[[#This Row],[GB-03]]*EXR</f>
        <v>670450000</v>
      </c>
      <c r="BG28" s="47">
        <f>KH_26_OPT4_KTQT_v4[[#This Row],[SL-04]]*KH_26_OPT4_KTQT_v4[[#This Row],[GB-04]]*EXR</f>
        <v>670450000</v>
      </c>
      <c r="BH28" s="47">
        <f>KH_26_OPT4_KTQT_v4[[#This Row],[SL-05]]*KH_26_OPT4_KTQT_v4[[#This Row],[GB-05]]*EXR</f>
        <v>670450000</v>
      </c>
      <c r="BI28" s="47">
        <f>KH_26_OPT4_KTQT_v4[[#This Row],[SL-06]]*KH_26_OPT4_KTQT_v4[[#This Row],[GB-06]]*EXR</f>
        <v>670450000</v>
      </c>
      <c r="BJ28" s="47">
        <f>KH_26_OPT4_KTQT_v4[[#This Row],[SL-07]]*KH_26_OPT4_KTQT_v4[[#This Row],[GB-07]]*EXR</f>
        <v>670450000</v>
      </c>
      <c r="BK28" s="47">
        <f>KH_26_OPT4_KTQT_v4[[#This Row],[SL-08]]*KH_26_OPT4_KTQT_v4[[#This Row],[GB-08]]*EXR</f>
        <v>670450000</v>
      </c>
      <c r="BL28" s="47">
        <f>KH_26_OPT4_KTQT_v4[[#This Row],[SL-09]]*KH_26_OPT4_KTQT_v4[[#This Row],[GB-09]]*EXR</f>
        <v>670450000</v>
      </c>
      <c r="BM28" s="47">
        <f>KH_26_OPT4_KTQT_v4[[#This Row],[SL-10]]*KH_26_OPT4_KTQT_v4[[#This Row],[GB-10]]*EXR</f>
        <v>670450000</v>
      </c>
      <c r="BN28" s="47">
        <f>KH_26_OPT4_KTQT_v4[[#This Row],[SL-11]]*KH_26_OPT4_KTQT_v4[[#This Row],[GB-11]]*EXR</f>
        <v>670450000</v>
      </c>
      <c r="BO28" s="47">
        <f>KH_26_OPT4_KTQT_v4[[#This Row],[SL-12]]*KH_26_OPT4_KTQT_v4[[#This Row],[GB-12]]*EXR</f>
        <v>670450000</v>
      </c>
      <c r="BP28" s="47">
        <f ca="1">SUM(KH_26_OPT4_KTQT_v4[[#This Row],[DT-EXW-01]:[DT-EXW-12]])</f>
        <v>8045400000</v>
      </c>
      <c r="BQ28" s="47">
        <f ca="1">SUMIFS(DB_25[DT-DB25],DB_25[Mã khách],KH_26_OPT4_KTQT_v4[[#This Row],[Mã khách]],DB_25[Mã sản phẩm],KH_26_OPT4_KTQT_v4[[#This Row],[Mã sản phẩm]])</f>
        <v>16514678913.542868</v>
      </c>
      <c r="BR28" s="47">
        <f ca="1">KH_26_OPT4_KTQT_v4[[#This Row],[DT-EXW-KH26]]-KH_26_OPT4_KTQT_v4[[#This Row],[DT-EXW-DB25]]</f>
        <v>-8469278913.5428677</v>
      </c>
      <c r="BS28" s="21">
        <f ca="1">IFERROR(KH_26_OPT4_KTQT_v4[[#This Row],[DT-EXW-+/-]]/KH_26_OPT4_KTQT_v4[[#This Row],[DT-EXW-DB25]],0)</f>
        <v>-0.51283339857111199</v>
      </c>
      <c r="BT28" s="139"/>
      <c r="BU28" s="57"/>
      <c r="BV28" s="51"/>
      <c r="BW28" s="47">
        <f>IF(KH_26_OPT4_KTQT_v4[[#This Row],[CPHH-%-SL]]="Dthu",KH_26_OPT4_KTQT_v4[[#This Row],[%HH]]*KH_26_OPT4_KTQT_v4[[#This Row],[DT-EXW-01]],KH_26_OPT4_KTQT_v4[[#This Row],[HH-SL]]*KH_26_OPT4_KTQT_v4[[#This Row],[SL-01]])</f>
        <v>0</v>
      </c>
      <c r="BX28" s="47">
        <f>IF(KH_26_OPT4_KTQT_v4[[#This Row],[CPHH-%-SL]]="Dthu",KH_26_OPT4_KTQT_v4[[#This Row],[%HH]]*KH_26_OPT4_KTQT_v4[[#This Row],[DT-EXW-02]],KH_26_OPT4_KTQT_v4[[#This Row],[HH-SL]]*KH_26_OPT4_KTQT_v4[[#This Row],[SL-02]])</f>
        <v>0</v>
      </c>
      <c r="BY28" s="47">
        <f>IF(KH_26_OPT4_KTQT_v4[[#This Row],[CPHH-%-SL]]="Dthu",KH_26_OPT4_KTQT_v4[[#This Row],[%HH]]*KH_26_OPT4_KTQT_v4[[#This Row],[DT-EXW-03]],KH_26_OPT4_KTQT_v4[[#This Row],[HH-SL]]*KH_26_OPT4_KTQT_v4[[#This Row],[SL-03]])</f>
        <v>0</v>
      </c>
      <c r="BZ28" s="47">
        <f>IF(KH_26_OPT4_KTQT_v4[[#This Row],[CPHH-%-SL]]="Dthu",KH_26_OPT4_KTQT_v4[[#This Row],[%HH]]*KH_26_OPT4_KTQT_v4[[#This Row],[DT-EXW-04]],KH_26_OPT4_KTQT_v4[[#This Row],[HH-SL]]*KH_26_OPT4_KTQT_v4[[#This Row],[SL-04]])</f>
        <v>0</v>
      </c>
      <c r="CA28" s="47">
        <f>IF(KH_26_OPT4_KTQT_v4[[#This Row],[CPHH-%-SL]]="Dthu",KH_26_OPT4_KTQT_v4[[#This Row],[%HH]]*KH_26_OPT4_KTQT_v4[[#This Row],[DT-EXW-05]],KH_26_OPT4_KTQT_v4[[#This Row],[HH-SL]]*KH_26_OPT4_KTQT_v4[[#This Row],[SL-05]])</f>
        <v>0</v>
      </c>
      <c r="CB28" s="47">
        <f>IF(KH_26_OPT4_KTQT_v4[[#This Row],[CPHH-%-SL]]="Dthu",KH_26_OPT4_KTQT_v4[[#This Row],[%HH]]*KH_26_OPT4_KTQT_v4[[#This Row],[DT-EXW-06]],KH_26_OPT4_KTQT_v4[[#This Row],[HH-SL]]*KH_26_OPT4_KTQT_v4[[#This Row],[SL-06]])</f>
        <v>0</v>
      </c>
      <c r="CC28" s="47">
        <f>IF(KH_26_OPT4_KTQT_v4[[#This Row],[CPHH-%-SL]]="Dthu",KH_26_OPT4_KTQT_v4[[#This Row],[%HH]]*KH_26_OPT4_KTQT_v4[[#This Row],[DT-EXW-07]],KH_26_OPT4_KTQT_v4[[#This Row],[HH-SL]]*KH_26_OPT4_KTQT_v4[[#This Row],[SL-07]])</f>
        <v>0</v>
      </c>
      <c r="CD28" s="47">
        <f>IF(KH_26_OPT4_KTQT_v4[[#This Row],[CPHH-%-SL]]="Dthu",KH_26_OPT4_KTQT_v4[[#This Row],[%HH]]*KH_26_OPT4_KTQT_v4[[#This Row],[DT-EXW-08]],KH_26_OPT4_KTQT_v4[[#This Row],[HH-SL]]*KH_26_OPT4_KTQT_v4[[#This Row],[SL-08]])</f>
        <v>0</v>
      </c>
      <c r="CE28" s="47">
        <f>IF(KH_26_OPT4_KTQT_v4[[#This Row],[CPHH-%-SL]]="Dthu",KH_26_OPT4_KTQT_v4[[#This Row],[%HH]]*KH_26_OPT4_KTQT_v4[[#This Row],[DT-EXW-09]],KH_26_OPT4_KTQT_v4[[#This Row],[HH-SL]]*KH_26_OPT4_KTQT_v4[[#This Row],[SL-09]])</f>
        <v>0</v>
      </c>
      <c r="CF28" s="47">
        <f>IF(KH_26_OPT4_KTQT_v4[[#This Row],[CPHH-%-SL]]="Dthu",KH_26_OPT4_KTQT_v4[[#This Row],[%HH]]*KH_26_OPT4_KTQT_v4[[#This Row],[DT-EXW-10]],KH_26_OPT4_KTQT_v4[[#This Row],[HH-SL]]*KH_26_OPT4_KTQT_v4[[#This Row],[SL-10]])</f>
        <v>0</v>
      </c>
      <c r="CG28" s="47">
        <f>IF(KH_26_OPT4_KTQT_v4[[#This Row],[CPHH-%-SL]]="Dthu",KH_26_OPT4_KTQT_v4[[#This Row],[%HH]]*KH_26_OPT4_KTQT_v4[[#This Row],[DT-EXW-11]],KH_26_OPT4_KTQT_v4[[#This Row],[HH-SL]]*KH_26_OPT4_KTQT_v4[[#This Row],[SL-11]])</f>
        <v>0</v>
      </c>
      <c r="CH28" s="47">
        <f>IF(KH_26_OPT4_KTQT_v4[[#This Row],[CPHH-%-SL]]="Dthu",KH_26_OPT4_KTQT_v4[[#This Row],[%HH]]*KH_26_OPT4_KTQT_v4[[#This Row],[DT-EXW-12]],KH_26_OPT4_KTQT_v4[[#This Row],[HH-SL]]*KH_26_OPT4_KTQT_v4[[#This Row],[SL-12]])</f>
        <v>0</v>
      </c>
      <c r="CI28" s="47">
        <f ca="1">SUM(KH_26_OPT4_KTQT_v4[[#This Row],[CPHH-01]:[CPHH-12]])</f>
        <v>0</v>
      </c>
      <c r="CJ28" s="47" cm="1">
        <f t="array" ref="CJ28">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28" s="19">
        <f ca="1">SUM(KH_26_OPT4_KTQT_v4[[#This Row],[ĐGVCNĐ-KXK]:[ĐGVCCT-KXK]])</f>
        <v>0</v>
      </c>
      <c r="CL28" s="47" cm="1">
        <f t="array" ref="CL28">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28" s="47" cm="1">
        <f t="array" ref="CM28">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28" s="47">
        <f ca="1">(KH_26_OPT4_KTQT_v4[[#This Row],[ĐGVC-KNĐ]]+KH_26_OPT4_KTQT_v4[[#This Row],[ĐGVC-KXK]])*KH_26_OPT4_KTQT_v4[[#This Row],[SL-01]]</f>
        <v>0</v>
      </c>
      <c r="CO28" s="47">
        <f ca="1">(KH_26_OPT4_KTQT_v4[[#This Row],[ĐGVC-KNĐ]]+KH_26_OPT4_KTQT_v4[[#This Row],[ĐGVC-KXK]])*KH_26_OPT4_KTQT_v4[[#This Row],[SL-02]]</f>
        <v>0</v>
      </c>
      <c r="CP28" s="47">
        <f ca="1">(KH_26_OPT4_KTQT_v4[[#This Row],[ĐGVC-KNĐ]]+KH_26_OPT4_KTQT_v4[[#This Row],[ĐGVC-KXK]])*KH_26_OPT4_KTQT_v4[[#This Row],[SL-03]]</f>
        <v>0</v>
      </c>
      <c r="CQ28" s="47">
        <f ca="1">(KH_26_OPT4_KTQT_v4[[#This Row],[ĐGVC-KNĐ]]+KH_26_OPT4_KTQT_v4[[#This Row],[ĐGVC-KXK]])*KH_26_OPT4_KTQT_v4[[#This Row],[SL-04]]</f>
        <v>0</v>
      </c>
      <c r="CR28" s="47">
        <f ca="1">(KH_26_OPT4_KTQT_v4[[#This Row],[ĐGVC-KNĐ]]+KH_26_OPT4_KTQT_v4[[#This Row],[ĐGVC-KXK]])*KH_26_OPT4_KTQT_v4[[#This Row],[SL-05]]</f>
        <v>0</v>
      </c>
      <c r="CS28" s="47">
        <f ca="1">(KH_26_OPT4_KTQT_v4[[#This Row],[ĐGVC-KNĐ]]+KH_26_OPT4_KTQT_v4[[#This Row],[ĐGVC-KXK]])*KH_26_OPT4_KTQT_v4[[#This Row],[SL-06]]</f>
        <v>0</v>
      </c>
      <c r="CT28" s="47">
        <f ca="1">(KH_26_OPT4_KTQT_v4[[#This Row],[ĐGVC-KNĐ]]+KH_26_OPT4_KTQT_v4[[#This Row],[ĐGVC-KXK]])*KH_26_OPT4_KTQT_v4[[#This Row],[SL-07]]</f>
        <v>0</v>
      </c>
      <c r="CU28" s="47">
        <f ca="1">(KH_26_OPT4_KTQT_v4[[#This Row],[ĐGVC-KNĐ]]+KH_26_OPT4_KTQT_v4[[#This Row],[ĐGVC-KXK]])*KH_26_OPT4_KTQT_v4[[#This Row],[SL-08]]</f>
        <v>0</v>
      </c>
      <c r="CV28" s="47">
        <f ca="1">(KH_26_OPT4_KTQT_v4[[#This Row],[ĐGVC-KNĐ]]+KH_26_OPT4_KTQT_v4[[#This Row],[ĐGVC-KXK]])*KH_26_OPT4_KTQT_v4[[#This Row],[SL-09]]</f>
        <v>0</v>
      </c>
      <c r="CW28" s="47">
        <f ca="1">(KH_26_OPT4_KTQT_v4[[#This Row],[ĐGVC-KNĐ]]+KH_26_OPT4_KTQT_v4[[#This Row],[ĐGVC-KXK]])*KH_26_OPT4_KTQT_v4[[#This Row],[SL-10]]</f>
        <v>0</v>
      </c>
      <c r="CX28" s="47">
        <f ca="1">(KH_26_OPT4_KTQT_v4[[#This Row],[ĐGVC-KNĐ]]+KH_26_OPT4_KTQT_v4[[#This Row],[ĐGVC-KXK]])*KH_26_OPT4_KTQT_v4[[#This Row],[SL-11]]</f>
        <v>0</v>
      </c>
      <c r="CY28" s="47">
        <f ca="1">(KH_26_OPT4_KTQT_v4[[#This Row],[ĐGVC-KNĐ]]+KH_26_OPT4_KTQT_v4[[#This Row],[ĐGVC-KXK]])*KH_26_OPT4_KTQT_v4[[#This Row],[SL-12]]</f>
        <v>0</v>
      </c>
      <c r="CZ28" s="47">
        <f ca="1">SUM(KH_26_OPT4_KTQT_v4[[#This Row],[CPVC-01]:[CPVC-12]])</f>
        <v>0</v>
      </c>
      <c r="DA28" s="124">
        <f ca="1">KH_26_OPT4_KTQT_v4[[#This Row],[DT-EXW-01]]+KH_26_OPT4_KTQT_v4[[#This Row],[CPVC-01]]+KH_26_OPT4_KTQT_v4[[#This Row],[CPHH-01]]</f>
        <v>670450000</v>
      </c>
      <c r="DB28" s="47">
        <f ca="1">KH_26_OPT4_KTQT_v4[[#This Row],[DT-EXW-02]]+KH_26_OPT4_KTQT_v4[[#This Row],[CPVC-02]]+KH_26_OPT4_KTQT_v4[[#This Row],[CPHH-02]]</f>
        <v>670450000</v>
      </c>
      <c r="DC28" s="47">
        <f ca="1">KH_26_OPT4_KTQT_v4[[#This Row],[DT-EXW-03]]+KH_26_OPT4_KTQT_v4[[#This Row],[CPVC-03]]+KH_26_OPT4_KTQT_v4[[#This Row],[CPHH-03]]</f>
        <v>670450000</v>
      </c>
      <c r="DD28" s="47">
        <f ca="1">KH_26_OPT4_KTQT_v4[[#This Row],[DT-EXW-04]]+KH_26_OPT4_KTQT_v4[[#This Row],[CPVC-04]]+KH_26_OPT4_KTQT_v4[[#This Row],[CPHH-04]]</f>
        <v>670450000</v>
      </c>
      <c r="DE28" s="47">
        <f ca="1">KH_26_OPT4_KTQT_v4[[#This Row],[DT-EXW-05]]+KH_26_OPT4_KTQT_v4[[#This Row],[CPVC-05]]+KH_26_OPT4_KTQT_v4[[#This Row],[CPHH-05]]</f>
        <v>670450000</v>
      </c>
      <c r="DF28" s="47">
        <f ca="1">KH_26_OPT4_KTQT_v4[[#This Row],[DT-EXW-06]]+KH_26_OPT4_KTQT_v4[[#This Row],[CPVC-06]]+KH_26_OPT4_KTQT_v4[[#This Row],[CPHH-06]]</f>
        <v>670450000</v>
      </c>
      <c r="DG28" s="47">
        <f ca="1">KH_26_OPT4_KTQT_v4[[#This Row],[DT-EXW-07]]+KH_26_OPT4_KTQT_v4[[#This Row],[CPVC-07]]+KH_26_OPT4_KTQT_v4[[#This Row],[CPHH-07]]</f>
        <v>670450000</v>
      </c>
      <c r="DH28" s="47">
        <f ca="1">KH_26_OPT4_KTQT_v4[[#This Row],[DT-EXW-08]]+KH_26_OPT4_KTQT_v4[[#This Row],[CPVC-08]]+KH_26_OPT4_KTQT_v4[[#This Row],[CPHH-08]]</f>
        <v>670450000</v>
      </c>
      <c r="DI28" s="47">
        <f ca="1">KH_26_OPT4_KTQT_v4[[#This Row],[DT-EXW-09]]+KH_26_OPT4_KTQT_v4[[#This Row],[CPVC-09]]+KH_26_OPT4_KTQT_v4[[#This Row],[CPHH-09]]</f>
        <v>670450000</v>
      </c>
      <c r="DJ28" s="47">
        <f ca="1">KH_26_OPT4_KTQT_v4[[#This Row],[DT-EXW-10]]+KH_26_OPT4_KTQT_v4[[#This Row],[CPVC-10]]+KH_26_OPT4_KTQT_v4[[#This Row],[CPHH-10]]</f>
        <v>670450000</v>
      </c>
      <c r="DK28" s="47">
        <f ca="1">KH_26_OPT4_KTQT_v4[[#This Row],[DT-EXW-11]]+KH_26_OPT4_KTQT_v4[[#This Row],[CPVC-11]]+KH_26_OPT4_KTQT_v4[[#This Row],[CPHH-11]]</f>
        <v>670450000</v>
      </c>
      <c r="DL28" s="47">
        <f ca="1">KH_26_OPT4_KTQT_v4[[#This Row],[DT-EXW-12]]+KH_26_OPT4_KTQT_v4[[#This Row],[CPVC-12]]+KH_26_OPT4_KTQT_v4[[#This Row],[CPHH-12]]</f>
        <v>670450000</v>
      </c>
      <c r="DM28" s="47">
        <f ca="1">SUM(KH_26_OPT4_KTQT_v4[[#This Row],[DT-01]:[DT-12]])</f>
        <v>8045400000</v>
      </c>
      <c r="DN28" s="7"/>
      <c r="DO28" s="7"/>
      <c r="DP28" s="125"/>
      <c r="DQ28" s="136"/>
      <c r="DR28" s="132">
        <f>IFERROR(KH_26_OPT4_KTQT_v4[[#This Row],[DT-EXW-01]]*KH_26_OPT4_KTQT_v4[[#This Row],[%CPDP]],0)</f>
        <v>0</v>
      </c>
      <c r="DS28" s="132">
        <f>IFERROR(KH_26_OPT4_KTQT_v4[[#This Row],[DT-EXW-02]]*KH_26_OPT4_KTQT_v4[[#This Row],[%CPDP]],0)</f>
        <v>0</v>
      </c>
      <c r="DT28" s="132">
        <f>IFERROR(KH_26_OPT4_KTQT_v4[[#This Row],[DT-EXW-03]]*KH_26_OPT4_KTQT_v4[[#This Row],[%CPDP]],0)</f>
        <v>0</v>
      </c>
      <c r="DU28" s="132">
        <f>IFERROR(KH_26_OPT4_KTQT_v4[[#This Row],[DT-EXW-04]]*KH_26_OPT4_KTQT_v4[[#This Row],[%CPDP]],0)</f>
        <v>0</v>
      </c>
      <c r="DV28" s="132">
        <f>IFERROR(KH_26_OPT4_KTQT_v4[[#This Row],[DT-EXW-05]]*KH_26_OPT4_KTQT_v4[[#This Row],[%CPDP]],0)</f>
        <v>0</v>
      </c>
      <c r="DW28" s="132">
        <f>IFERROR(KH_26_OPT4_KTQT_v4[[#This Row],[DT-EXW-06]]*KH_26_OPT4_KTQT_v4[[#This Row],[%CPDP]],0)</f>
        <v>0</v>
      </c>
      <c r="DX28" s="132">
        <f>IFERROR(KH_26_OPT4_KTQT_v4[[#This Row],[DT-EXW-07]]*KH_26_OPT4_KTQT_v4[[#This Row],[%CPDP]],0)</f>
        <v>0</v>
      </c>
      <c r="DY28" s="132">
        <f>IFERROR(KH_26_OPT4_KTQT_v4[[#This Row],[DT-EXW-08]]*KH_26_OPT4_KTQT_v4[[#This Row],[%CPDP]],0)</f>
        <v>0</v>
      </c>
      <c r="DZ28" s="132">
        <f>IFERROR(KH_26_OPT4_KTQT_v4[[#This Row],[DT-EXW-09]]*KH_26_OPT4_KTQT_v4[[#This Row],[%CPDP]],0)</f>
        <v>0</v>
      </c>
      <c r="EA28" s="132">
        <f>IFERROR(KH_26_OPT4_KTQT_v4[[#This Row],[DT-EXW-10]]*KH_26_OPT4_KTQT_v4[[#This Row],[%CPDP]],0)</f>
        <v>0</v>
      </c>
      <c r="EB28" s="132">
        <f>IFERROR(KH_26_OPT4_KTQT_v4[[#This Row],[DT-EXW-11]]*KH_26_OPT4_KTQT_v4[[#This Row],[%CPDP]],0)</f>
        <v>0</v>
      </c>
      <c r="EC28" s="132">
        <f>IFERROR(KH_26_OPT4_KTQT_v4[[#This Row],[DT-EXW-12]]*KH_26_OPT4_KTQT_v4[[#This Row],[%CPDP]],0)</f>
        <v>0</v>
      </c>
      <c r="ED28" s="131">
        <f ca="1">SUM(KH_26_OPT4_KTQT_v4[[#This Row],[CPDP-01]:[CPDP-12]])</f>
        <v>0</v>
      </c>
    </row>
    <row r="29" spans="1:134" ht="14.65" hidden="1" customHeight="1" x14ac:dyDescent="0.35">
      <c r="A29" s="18">
        <v>24</v>
      </c>
      <c r="B29" s="71" t="s">
        <v>115</v>
      </c>
      <c r="C29" s="18" t="str">
        <f>IFERROR(_xlfn.XLOOKUP(KH_26_OPT4_KTQT_v4[[#This Row],[Salesman]],MD_Salesman[Salesman],MD_Salesman[SalesManager]),"")</f>
        <v>Quốc Anh</v>
      </c>
      <c r="D29" s="72" t="str">
        <f>IFERROR(INDEX(MD_Customer[Mã khách],MATCH(KH_26_OPT4_KTQT_v4[[#This Row],[Tên khách]],MD_Customer[Tên khách-rút gọn],0)),"")</f>
        <v>105287</v>
      </c>
      <c r="E29" s="7" t="str">
        <f>IFERROR(INDEX(MD_Customer[Parent Account],MATCH(KH_26_OPT4_KTQT_v4[[#This Row],[Tên khách]],MD_Customer[Tên khách-rút gọn],0)),"")</f>
        <v>Hưng Dụ</v>
      </c>
      <c r="F29" s="35" t="s">
        <v>267</v>
      </c>
      <c r="G29" s="7" t="str">
        <f>IFERROR(INDEX(MD_Customer[Phân loại],MATCH(KH_26_OPT4_KTQT_v4[[#This Row],[Tên khách]],MD_Customer[Tên khách-rút gọn],0)),"")</f>
        <v>Hiện hữu</v>
      </c>
      <c r="H29" s="7" t="str">
        <f>IFERROR(INDEX(MD_Customer[Kênh bán hàng],MATCH(KH_26_OPT4_KTQT_v4[[#This Row],[Tên khách]],MD_Customer[Tên khách-rút gọn],0)),"")</f>
        <v>Nội địa</v>
      </c>
      <c r="I29" s="35" t="s">
        <v>264</v>
      </c>
      <c r="J29" s="7" t="str">
        <f>IFERROR(INDEX(MD_Destination[Nước],MATCH(KH_26_OPT4_KTQT_v4[[#This Row],[Địa điểm đến]],MD_Destination[Địa điểm đến],0)),"")</f>
        <v>Việt Nam</v>
      </c>
      <c r="K29" s="7" t="str">
        <f>IFERROR(INDEX(MD_Destination[Khu vực],MATCH(KH_26_OPT4_KTQT_v4[[#This Row],[Địa điểm đến]],MD_Destination[Địa điểm đến],0)),"")</f>
        <v>Châu Á</v>
      </c>
      <c r="L29" s="35" t="s">
        <v>262</v>
      </c>
      <c r="M29" s="7" t="str">
        <f>IFERROR(INDEX(MD_SKU[Mã SKU],MATCH(KH_26_OPT4_KTQT_v4[[#This Row],[Tên sản phẩm]],MD_SKU[Tên SKU-rút gọn],0)),"")</f>
        <v>110000436</v>
      </c>
      <c r="N29" s="35" t="s">
        <v>484</v>
      </c>
      <c r="O29" s="7" t="str">
        <f>IFERROR(INDEX(MD_SKU[Ngành hàng],MATCH(KH_26_OPT4_KTQT_v4[[#This Row],[Tên sản phẩm]],MD_SKU[Tên SKU-rút gọn],0)),"")</f>
        <v>Xơ sợi</v>
      </c>
      <c r="P29" s="7" t="str">
        <f>IFERROR(INDEX(MD_SKU[Nhóm ngành],MATCH(KH_26_OPT4_KTQT_v4[[#This Row],[Tên sản phẩm]],MD_SKU[Tên SKU-rút gọn],0)),"")</f>
        <v>Hạt Xơ sợi</v>
      </c>
      <c r="Q29" s="7" t="str">
        <f>IFERROR(
   IF(INDEX(MD_SKU[IV/IM],MATCH(KH_26_OPT4_KTQT_v4[[#This Row],[Tên sản phẩm]],MD_SKU[Tên SKU-rút gọn],0))=0,
      "",
      INDEX(MD_SKU[IV/IM],MATCH(KH_26_OPT4_KTQT_v4[[#This Row],[Tên sản phẩm]],MD_SKU[Tên SKU-rút gọn],0))
   ),
"")</f>
        <v>0.55 ± 0.05</v>
      </c>
      <c r="R29" s="44">
        <f>IFERROR(INDEX(MD_SKU[Application],MATCH(KH_26_OPT4_KTQT_v4[[#This Row],[Tên sản phẩm]],MD_SKU[Tên SKU-rút gọn],0)),"")</f>
        <v>0</v>
      </c>
      <c r="S29" s="7" t="str">
        <f>IFERROR(INDEX(MD_SKU[Phân loại],MATCH(KH_26_OPT4_KTQT_v4[[#This Row],[Tên sản phẩm]],MD_SKU[Tên SKU-rút gọn],0)),"")</f>
        <v>Cũ</v>
      </c>
      <c r="T29" s="7" t="s">
        <v>22</v>
      </c>
      <c r="U29" s="157" t="s">
        <v>1508</v>
      </c>
      <c r="V29" s="70">
        <v>0.8</v>
      </c>
      <c r="W29" s="33"/>
      <c r="X29" s="33"/>
      <c r="Y29" s="33"/>
      <c r="Z29" s="33"/>
      <c r="AA29" s="33"/>
      <c r="AB29" s="33"/>
      <c r="AC29" s="33"/>
      <c r="AD29" s="33"/>
      <c r="AE29" s="33"/>
      <c r="AF29" s="33"/>
      <c r="AG29" s="33"/>
      <c r="AH29" s="33"/>
      <c r="AI29" s="47">
        <f ca="1">SUM(KH_26_OPT4_KTQT_v4[[#This Row],[SL-01]:[SL-12]])</f>
        <v>0</v>
      </c>
      <c r="AJ29" s="47">
        <f ca="1">SUMIFS(DB_25[SL-DB25],DB_25[Mã khách],KH_26_OPT4_KTQT_v4[[#This Row],[Mã khách]],DB_25[Mã sản phẩm],KH_26_OPT4_KTQT_v4[[#This Row],[Mã sản phẩm]])</f>
        <v>886.8</v>
      </c>
      <c r="AK29" s="20">
        <f ca="1">KH_26_OPT4_KTQT_v4[[#This Row],[SL-KH26]]-KH_26_OPT4_KTQT_v4[[#This Row],[SL-DB25]]</f>
        <v>-886.8</v>
      </c>
      <c r="AL29" s="21">
        <f ca="1">IFERROR(KH_26_OPT4_KTQT_v4[[#This Row],[SL-+/-]]/KH_26_OPT4_KTQT_v4[[#This Row],[SL-DB25]],0)</f>
        <v>-1</v>
      </c>
      <c r="AM29" s="51">
        <v>640</v>
      </c>
      <c r="AN29" s="51">
        <v>632</v>
      </c>
      <c r="AO29" s="51">
        <v>624</v>
      </c>
      <c r="AP29" s="51">
        <v>616</v>
      </c>
      <c r="AQ29" s="51">
        <v>608</v>
      </c>
      <c r="AR29" s="51">
        <v>600</v>
      </c>
      <c r="AS29" s="51">
        <v>592</v>
      </c>
      <c r="AT29" s="51">
        <v>584</v>
      </c>
      <c r="AU29" s="51">
        <v>576</v>
      </c>
      <c r="AV29" s="51">
        <v>568</v>
      </c>
      <c r="AW29" s="51">
        <v>560</v>
      </c>
      <c r="AX29" s="51">
        <v>552</v>
      </c>
      <c r="AY29" s="23">
        <v>596</v>
      </c>
      <c r="AZ29" s="7"/>
      <c r="BA29" s="24">
        <f>KH_26_OPT4_KTQT_v4[[#This Row],[GB-DB25]]-KH_26_OPT4_KTQT_v4[[#This Row],[GB-KH25]]</f>
        <v>596</v>
      </c>
      <c r="BB29" s="21">
        <f>IFERROR(KH_26_OPT4_KTQT_v4[[#This Row],[GB-+/-]]/KH_26_OPT4_KTQT_v4[[#This Row],[GB-KH25]],0)</f>
        <v>0</v>
      </c>
      <c r="BC29" s="21"/>
      <c r="BD29" s="47">
        <f>KH_26_OPT4_KTQT_v4[[#This Row],[SL-01]]*KH_26_OPT4_KTQT_v4[[#This Row],[GB-01]]*EXR</f>
        <v>0</v>
      </c>
      <c r="BE29" s="47">
        <f>KH_26_OPT4_KTQT_v4[[#This Row],[SL-02]]*KH_26_OPT4_KTQT_v4[[#This Row],[GB-02]]*EXR</f>
        <v>0</v>
      </c>
      <c r="BF29" s="47">
        <f>KH_26_OPT4_KTQT_v4[[#This Row],[SL-03]]*KH_26_OPT4_KTQT_v4[[#This Row],[GB-03]]*EXR</f>
        <v>0</v>
      </c>
      <c r="BG29" s="47">
        <f>KH_26_OPT4_KTQT_v4[[#This Row],[SL-04]]*KH_26_OPT4_KTQT_v4[[#This Row],[GB-04]]*EXR</f>
        <v>0</v>
      </c>
      <c r="BH29" s="47">
        <f>KH_26_OPT4_KTQT_v4[[#This Row],[SL-05]]*KH_26_OPT4_KTQT_v4[[#This Row],[GB-05]]*EXR</f>
        <v>0</v>
      </c>
      <c r="BI29" s="47">
        <f>KH_26_OPT4_KTQT_v4[[#This Row],[SL-06]]*KH_26_OPT4_KTQT_v4[[#This Row],[GB-06]]*EXR</f>
        <v>0</v>
      </c>
      <c r="BJ29" s="47">
        <f>KH_26_OPT4_KTQT_v4[[#This Row],[SL-07]]*KH_26_OPT4_KTQT_v4[[#This Row],[GB-07]]*EXR</f>
        <v>0</v>
      </c>
      <c r="BK29" s="47">
        <f>KH_26_OPT4_KTQT_v4[[#This Row],[SL-08]]*KH_26_OPT4_KTQT_v4[[#This Row],[GB-08]]*EXR</f>
        <v>0</v>
      </c>
      <c r="BL29" s="47">
        <f>KH_26_OPT4_KTQT_v4[[#This Row],[SL-09]]*KH_26_OPT4_KTQT_v4[[#This Row],[GB-09]]*EXR</f>
        <v>0</v>
      </c>
      <c r="BM29" s="47">
        <f>KH_26_OPT4_KTQT_v4[[#This Row],[SL-10]]*KH_26_OPT4_KTQT_v4[[#This Row],[GB-10]]*EXR</f>
        <v>0</v>
      </c>
      <c r="BN29" s="47">
        <f>KH_26_OPT4_KTQT_v4[[#This Row],[SL-11]]*KH_26_OPT4_KTQT_v4[[#This Row],[GB-11]]*EXR</f>
        <v>0</v>
      </c>
      <c r="BO29" s="47">
        <f>KH_26_OPT4_KTQT_v4[[#This Row],[SL-12]]*KH_26_OPT4_KTQT_v4[[#This Row],[GB-12]]*EXR</f>
        <v>0</v>
      </c>
      <c r="BP29" s="47">
        <f ca="1">SUM(KH_26_OPT4_KTQT_v4[[#This Row],[DT-EXW-01]:[DT-EXW-12]])</f>
        <v>0</v>
      </c>
      <c r="BQ29" s="47">
        <f ca="1">SUMIFS(DB_25[DT-DB25],DB_25[Mã khách],KH_26_OPT4_KTQT_v4[[#This Row],[Mã khách]],DB_25[Mã sản phẩm],KH_26_OPT4_KTQT_v4[[#This Row],[Mã sản phẩm]])</f>
        <v>7713893803.9693661</v>
      </c>
      <c r="BR29" s="47">
        <f ca="1">KH_26_OPT4_KTQT_v4[[#This Row],[DT-EXW-KH26]]-KH_26_OPT4_KTQT_v4[[#This Row],[DT-EXW-DB25]]</f>
        <v>-7713893803.9693661</v>
      </c>
      <c r="BS29" s="21">
        <f ca="1">IFERROR(KH_26_OPT4_KTQT_v4[[#This Row],[DT-EXW-+/-]]/KH_26_OPT4_KTQT_v4[[#This Row],[DT-EXW-DB25]],0)</f>
        <v>-1</v>
      </c>
      <c r="BT29" s="139"/>
      <c r="BU29" s="57"/>
      <c r="BV29" s="51"/>
      <c r="BW29" s="47">
        <f>IF(KH_26_OPT4_KTQT_v4[[#This Row],[CPHH-%-SL]]="Dthu",KH_26_OPT4_KTQT_v4[[#This Row],[%HH]]*KH_26_OPT4_KTQT_v4[[#This Row],[DT-EXW-01]],KH_26_OPT4_KTQT_v4[[#This Row],[HH-SL]]*KH_26_OPT4_KTQT_v4[[#This Row],[SL-01]])</f>
        <v>0</v>
      </c>
      <c r="BX29" s="47">
        <f>IF(KH_26_OPT4_KTQT_v4[[#This Row],[CPHH-%-SL]]="Dthu",KH_26_OPT4_KTQT_v4[[#This Row],[%HH]]*KH_26_OPT4_KTQT_v4[[#This Row],[DT-EXW-02]],KH_26_OPT4_KTQT_v4[[#This Row],[HH-SL]]*KH_26_OPT4_KTQT_v4[[#This Row],[SL-02]])</f>
        <v>0</v>
      </c>
      <c r="BY29" s="47">
        <f>IF(KH_26_OPT4_KTQT_v4[[#This Row],[CPHH-%-SL]]="Dthu",KH_26_OPT4_KTQT_v4[[#This Row],[%HH]]*KH_26_OPT4_KTQT_v4[[#This Row],[DT-EXW-03]],KH_26_OPT4_KTQT_v4[[#This Row],[HH-SL]]*KH_26_OPT4_KTQT_v4[[#This Row],[SL-03]])</f>
        <v>0</v>
      </c>
      <c r="BZ29" s="47">
        <f>IF(KH_26_OPT4_KTQT_v4[[#This Row],[CPHH-%-SL]]="Dthu",KH_26_OPT4_KTQT_v4[[#This Row],[%HH]]*KH_26_OPT4_KTQT_v4[[#This Row],[DT-EXW-04]],KH_26_OPT4_KTQT_v4[[#This Row],[HH-SL]]*KH_26_OPT4_KTQT_v4[[#This Row],[SL-04]])</f>
        <v>0</v>
      </c>
      <c r="CA29" s="47">
        <f>IF(KH_26_OPT4_KTQT_v4[[#This Row],[CPHH-%-SL]]="Dthu",KH_26_OPT4_KTQT_v4[[#This Row],[%HH]]*KH_26_OPT4_KTQT_v4[[#This Row],[DT-EXW-05]],KH_26_OPT4_KTQT_v4[[#This Row],[HH-SL]]*KH_26_OPT4_KTQT_v4[[#This Row],[SL-05]])</f>
        <v>0</v>
      </c>
      <c r="CB29" s="47">
        <f>IF(KH_26_OPT4_KTQT_v4[[#This Row],[CPHH-%-SL]]="Dthu",KH_26_OPT4_KTQT_v4[[#This Row],[%HH]]*KH_26_OPT4_KTQT_v4[[#This Row],[DT-EXW-06]],KH_26_OPT4_KTQT_v4[[#This Row],[HH-SL]]*KH_26_OPT4_KTQT_v4[[#This Row],[SL-06]])</f>
        <v>0</v>
      </c>
      <c r="CC29" s="47">
        <f>IF(KH_26_OPT4_KTQT_v4[[#This Row],[CPHH-%-SL]]="Dthu",KH_26_OPT4_KTQT_v4[[#This Row],[%HH]]*KH_26_OPT4_KTQT_v4[[#This Row],[DT-EXW-07]],KH_26_OPT4_KTQT_v4[[#This Row],[HH-SL]]*KH_26_OPT4_KTQT_v4[[#This Row],[SL-07]])</f>
        <v>0</v>
      </c>
      <c r="CD29" s="47">
        <f>IF(KH_26_OPT4_KTQT_v4[[#This Row],[CPHH-%-SL]]="Dthu",KH_26_OPT4_KTQT_v4[[#This Row],[%HH]]*KH_26_OPT4_KTQT_v4[[#This Row],[DT-EXW-08]],KH_26_OPT4_KTQT_v4[[#This Row],[HH-SL]]*KH_26_OPT4_KTQT_v4[[#This Row],[SL-08]])</f>
        <v>0</v>
      </c>
      <c r="CE29" s="47">
        <f>IF(KH_26_OPT4_KTQT_v4[[#This Row],[CPHH-%-SL]]="Dthu",KH_26_OPT4_KTQT_v4[[#This Row],[%HH]]*KH_26_OPT4_KTQT_v4[[#This Row],[DT-EXW-09]],KH_26_OPT4_KTQT_v4[[#This Row],[HH-SL]]*KH_26_OPT4_KTQT_v4[[#This Row],[SL-09]])</f>
        <v>0</v>
      </c>
      <c r="CF29" s="47">
        <f>IF(KH_26_OPT4_KTQT_v4[[#This Row],[CPHH-%-SL]]="Dthu",KH_26_OPT4_KTQT_v4[[#This Row],[%HH]]*KH_26_OPT4_KTQT_v4[[#This Row],[DT-EXW-10]],KH_26_OPT4_KTQT_v4[[#This Row],[HH-SL]]*KH_26_OPT4_KTQT_v4[[#This Row],[SL-10]])</f>
        <v>0</v>
      </c>
      <c r="CG29" s="47">
        <f>IF(KH_26_OPT4_KTQT_v4[[#This Row],[CPHH-%-SL]]="Dthu",KH_26_OPT4_KTQT_v4[[#This Row],[%HH]]*KH_26_OPT4_KTQT_v4[[#This Row],[DT-EXW-11]],KH_26_OPT4_KTQT_v4[[#This Row],[HH-SL]]*KH_26_OPT4_KTQT_v4[[#This Row],[SL-11]])</f>
        <v>0</v>
      </c>
      <c r="CH29" s="47">
        <f>IF(KH_26_OPT4_KTQT_v4[[#This Row],[CPHH-%-SL]]="Dthu",KH_26_OPT4_KTQT_v4[[#This Row],[%HH]]*KH_26_OPT4_KTQT_v4[[#This Row],[DT-EXW-12]],KH_26_OPT4_KTQT_v4[[#This Row],[HH-SL]]*KH_26_OPT4_KTQT_v4[[#This Row],[SL-12]])</f>
        <v>0</v>
      </c>
      <c r="CI29" s="47">
        <f ca="1">SUM(KH_26_OPT4_KTQT_v4[[#This Row],[CPHH-01]:[CPHH-12]])</f>
        <v>0</v>
      </c>
      <c r="CJ29" s="47" cm="1">
        <f t="array" ref="CJ29">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172727.27272727274</v>
      </c>
      <c r="CK29" s="19">
        <f ca="1">SUM(KH_26_OPT4_KTQT_v4[[#This Row],[ĐGVCNĐ-KXK]:[ĐGVCCT-KXK]])</f>
        <v>0</v>
      </c>
      <c r="CL29" s="47" cm="1">
        <f t="array" ref="CL29">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29" s="47" cm="1">
        <f t="array" ref="CM29">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29" s="47">
        <f ca="1">(KH_26_OPT4_KTQT_v4[[#This Row],[ĐGVC-KNĐ]]+KH_26_OPT4_KTQT_v4[[#This Row],[ĐGVC-KXK]])*KH_26_OPT4_KTQT_v4[[#This Row],[SL-01]]</f>
        <v>0</v>
      </c>
      <c r="CO29" s="47">
        <f ca="1">(KH_26_OPT4_KTQT_v4[[#This Row],[ĐGVC-KNĐ]]+KH_26_OPT4_KTQT_v4[[#This Row],[ĐGVC-KXK]])*KH_26_OPT4_KTQT_v4[[#This Row],[SL-02]]</f>
        <v>0</v>
      </c>
      <c r="CP29" s="47">
        <f ca="1">(KH_26_OPT4_KTQT_v4[[#This Row],[ĐGVC-KNĐ]]+KH_26_OPT4_KTQT_v4[[#This Row],[ĐGVC-KXK]])*KH_26_OPT4_KTQT_v4[[#This Row],[SL-03]]</f>
        <v>0</v>
      </c>
      <c r="CQ29" s="47">
        <f ca="1">(KH_26_OPT4_KTQT_v4[[#This Row],[ĐGVC-KNĐ]]+KH_26_OPT4_KTQT_v4[[#This Row],[ĐGVC-KXK]])*KH_26_OPT4_KTQT_v4[[#This Row],[SL-04]]</f>
        <v>0</v>
      </c>
      <c r="CR29" s="47">
        <f ca="1">(KH_26_OPT4_KTQT_v4[[#This Row],[ĐGVC-KNĐ]]+KH_26_OPT4_KTQT_v4[[#This Row],[ĐGVC-KXK]])*KH_26_OPT4_KTQT_v4[[#This Row],[SL-05]]</f>
        <v>0</v>
      </c>
      <c r="CS29" s="47">
        <f ca="1">(KH_26_OPT4_KTQT_v4[[#This Row],[ĐGVC-KNĐ]]+KH_26_OPT4_KTQT_v4[[#This Row],[ĐGVC-KXK]])*KH_26_OPT4_KTQT_v4[[#This Row],[SL-06]]</f>
        <v>0</v>
      </c>
      <c r="CT29" s="47">
        <f ca="1">(KH_26_OPT4_KTQT_v4[[#This Row],[ĐGVC-KNĐ]]+KH_26_OPT4_KTQT_v4[[#This Row],[ĐGVC-KXK]])*KH_26_OPT4_KTQT_v4[[#This Row],[SL-07]]</f>
        <v>0</v>
      </c>
      <c r="CU29" s="47">
        <f ca="1">(KH_26_OPT4_KTQT_v4[[#This Row],[ĐGVC-KNĐ]]+KH_26_OPT4_KTQT_v4[[#This Row],[ĐGVC-KXK]])*KH_26_OPT4_KTQT_v4[[#This Row],[SL-08]]</f>
        <v>0</v>
      </c>
      <c r="CV29" s="47">
        <f ca="1">(KH_26_OPT4_KTQT_v4[[#This Row],[ĐGVC-KNĐ]]+KH_26_OPT4_KTQT_v4[[#This Row],[ĐGVC-KXK]])*KH_26_OPT4_KTQT_v4[[#This Row],[SL-09]]</f>
        <v>0</v>
      </c>
      <c r="CW29" s="47">
        <f ca="1">(KH_26_OPT4_KTQT_v4[[#This Row],[ĐGVC-KNĐ]]+KH_26_OPT4_KTQT_v4[[#This Row],[ĐGVC-KXK]])*KH_26_OPT4_KTQT_v4[[#This Row],[SL-10]]</f>
        <v>0</v>
      </c>
      <c r="CX29" s="47">
        <f ca="1">(KH_26_OPT4_KTQT_v4[[#This Row],[ĐGVC-KNĐ]]+KH_26_OPT4_KTQT_v4[[#This Row],[ĐGVC-KXK]])*KH_26_OPT4_KTQT_v4[[#This Row],[SL-11]]</f>
        <v>0</v>
      </c>
      <c r="CY29" s="47">
        <f ca="1">(KH_26_OPT4_KTQT_v4[[#This Row],[ĐGVC-KNĐ]]+KH_26_OPT4_KTQT_v4[[#This Row],[ĐGVC-KXK]])*KH_26_OPT4_KTQT_v4[[#This Row],[SL-12]]</f>
        <v>0</v>
      </c>
      <c r="CZ29" s="47">
        <f ca="1">SUM(KH_26_OPT4_KTQT_v4[[#This Row],[CPVC-01]:[CPVC-12]])</f>
        <v>0</v>
      </c>
      <c r="DA29" s="124">
        <f ca="1">KH_26_OPT4_KTQT_v4[[#This Row],[DT-EXW-01]]+KH_26_OPT4_KTQT_v4[[#This Row],[CPVC-01]]+KH_26_OPT4_KTQT_v4[[#This Row],[CPHH-01]]</f>
        <v>0</v>
      </c>
      <c r="DB29" s="47">
        <f ca="1">KH_26_OPT4_KTQT_v4[[#This Row],[DT-EXW-02]]+KH_26_OPT4_KTQT_v4[[#This Row],[CPVC-02]]+KH_26_OPT4_KTQT_v4[[#This Row],[CPHH-02]]</f>
        <v>0</v>
      </c>
      <c r="DC29" s="47">
        <f ca="1">KH_26_OPT4_KTQT_v4[[#This Row],[DT-EXW-03]]+KH_26_OPT4_KTQT_v4[[#This Row],[CPVC-03]]+KH_26_OPT4_KTQT_v4[[#This Row],[CPHH-03]]</f>
        <v>0</v>
      </c>
      <c r="DD29" s="47">
        <f ca="1">KH_26_OPT4_KTQT_v4[[#This Row],[DT-EXW-04]]+KH_26_OPT4_KTQT_v4[[#This Row],[CPVC-04]]+KH_26_OPT4_KTQT_v4[[#This Row],[CPHH-04]]</f>
        <v>0</v>
      </c>
      <c r="DE29" s="47">
        <f ca="1">KH_26_OPT4_KTQT_v4[[#This Row],[DT-EXW-05]]+KH_26_OPT4_KTQT_v4[[#This Row],[CPVC-05]]+KH_26_OPT4_KTQT_v4[[#This Row],[CPHH-05]]</f>
        <v>0</v>
      </c>
      <c r="DF29" s="47">
        <f ca="1">KH_26_OPT4_KTQT_v4[[#This Row],[DT-EXW-06]]+KH_26_OPT4_KTQT_v4[[#This Row],[CPVC-06]]+KH_26_OPT4_KTQT_v4[[#This Row],[CPHH-06]]</f>
        <v>0</v>
      </c>
      <c r="DG29" s="47">
        <f ca="1">KH_26_OPT4_KTQT_v4[[#This Row],[DT-EXW-07]]+KH_26_OPT4_KTQT_v4[[#This Row],[CPVC-07]]+KH_26_OPT4_KTQT_v4[[#This Row],[CPHH-07]]</f>
        <v>0</v>
      </c>
      <c r="DH29" s="47">
        <f ca="1">KH_26_OPT4_KTQT_v4[[#This Row],[DT-EXW-08]]+KH_26_OPT4_KTQT_v4[[#This Row],[CPVC-08]]+KH_26_OPT4_KTQT_v4[[#This Row],[CPHH-08]]</f>
        <v>0</v>
      </c>
      <c r="DI29" s="47">
        <f ca="1">KH_26_OPT4_KTQT_v4[[#This Row],[DT-EXW-09]]+KH_26_OPT4_KTQT_v4[[#This Row],[CPVC-09]]+KH_26_OPT4_KTQT_v4[[#This Row],[CPHH-09]]</f>
        <v>0</v>
      </c>
      <c r="DJ29" s="47">
        <f ca="1">KH_26_OPT4_KTQT_v4[[#This Row],[DT-EXW-10]]+KH_26_OPT4_KTQT_v4[[#This Row],[CPVC-10]]+KH_26_OPT4_KTQT_v4[[#This Row],[CPHH-10]]</f>
        <v>0</v>
      </c>
      <c r="DK29" s="47">
        <f ca="1">KH_26_OPT4_KTQT_v4[[#This Row],[DT-EXW-11]]+KH_26_OPT4_KTQT_v4[[#This Row],[CPVC-11]]+KH_26_OPT4_KTQT_v4[[#This Row],[CPHH-11]]</f>
        <v>0</v>
      </c>
      <c r="DL29" s="47">
        <f ca="1">KH_26_OPT4_KTQT_v4[[#This Row],[DT-EXW-12]]+KH_26_OPT4_KTQT_v4[[#This Row],[CPVC-12]]+KH_26_OPT4_KTQT_v4[[#This Row],[CPHH-12]]</f>
        <v>0</v>
      </c>
      <c r="DM29" s="47">
        <f ca="1">SUM(KH_26_OPT4_KTQT_v4[[#This Row],[DT-01]:[DT-12]])</f>
        <v>0</v>
      </c>
      <c r="DN29" s="7"/>
      <c r="DO29" s="7"/>
      <c r="DP29" s="125"/>
      <c r="DQ29" s="136"/>
      <c r="DR29" s="132">
        <f>IFERROR(KH_26_OPT4_KTQT_v4[[#This Row],[DT-EXW-01]]*KH_26_OPT4_KTQT_v4[[#This Row],[%CPDP]],0)</f>
        <v>0</v>
      </c>
      <c r="DS29" s="132">
        <f>IFERROR(KH_26_OPT4_KTQT_v4[[#This Row],[DT-EXW-02]]*KH_26_OPT4_KTQT_v4[[#This Row],[%CPDP]],0)</f>
        <v>0</v>
      </c>
      <c r="DT29" s="132">
        <f>IFERROR(KH_26_OPT4_KTQT_v4[[#This Row],[DT-EXW-03]]*KH_26_OPT4_KTQT_v4[[#This Row],[%CPDP]],0)</f>
        <v>0</v>
      </c>
      <c r="DU29" s="132">
        <f>IFERROR(KH_26_OPT4_KTQT_v4[[#This Row],[DT-EXW-04]]*KH_26_OPT4_KTQT_v4[[#This Row],[%CPDP]],0)</f>
        <v>0</v>
      </c>
      <c r="DV29" s="132">
        <f>IFERROR(KH_26_OPT4_KTQT_v4[[#This Row],[DT-EXW-05]]*KH_26_OPT4_KTQT_v4[[#This Row],[%CPDP]],0)</f>
        <v>0</v>
      </c>
      <c r="DW29" s="132">
        <f>IFERROR(KH_26_OPT4_KTQT_v4[[#This Row],[DT-EXW-06]]*KH_26_OPT4_KTQT_v4[[#This Row],[%CPDP]],0)</f>
        <v>0</v>
      </c>
      <c r="DX29" s="132">
        <f>IFERROR(KH_26_OPT4_KTQT_v4[[#This Row],[DT-EXW-07]]*KH_26_OPT4_KTQT_v4[[#This Row],[%CPDP]],0)</f>
        <v>0</v>
      </c>
      <c r="DY29" s="132">
        <f>IFERROR(KH_26_OPT4_KTQT_v4[[#This Row],[DT-EXW-08]]*KH_26_OPT4_KTQT_v4[[#This Row],[%CPDP]],0)</f>
        <v>0</v>
      </c>
      <c r="DZ29" s="132">
        <f>IFERROR(KH_26_OPT4_KTQT_v4[[#This Row],[DT-EXW-09]]*KH_26_OPT4_KTQT_v4[[#This Row],[%CPDP]],0)</f>
        <v>0</v>
      </c>
      <c r="EA29" s="132">
        <f>IFERROR(KH_26_OPT4_KTQT_v4[[#This Row],[DT-EXW-10]]*KH_26_OPT4_KTQT_v4[[#This Row],[%CPDP]],0)</f>
        <v>0</v>
      </c>
      <c r="EB29" s="132">
        <f>IFERROR(KH_26_OPT4_KTQT_v4[[#This Row],[DT-EXW-11]]*KH_26_OPT4_KTQT_v4[[#This Row],[%CPDP]],0)</f>
        <v>0</v>
      </c>
      <c r="EC29" s="132">
        <f>IFERROR(KH_26_OPT4_KTQT_v4[[#This Row],[DT-EXW-12]]*KH_26_OPT4_KTQT_v4[[#This Row],[%CPDP]],0)</f>
        <v>0</v>
      </c>
      <c r="ED29" s="131">
        <f ca="1">SUM(KH_26_OPT4_KTQT_v4[[#This Row],[CPDP-01]:[CPDP-12]])</f>
        <v>0</v>
      </c>
    </row>
    <row r="30" spans="1:134" ht="14.65" hidden="1" customHeight="1" x14ac:dyDescent="0.35">
      <c r="A30" s="18">
        <v>25</v>
      </c>
      <c r="B30" s="71" t="s">
        <v>115</v>
      </c>
      <c r="C30" s="18" t="str">
        <f>IFERROR(_xlfn.XLOOKUP(KH_26_OPT4_KTQT_v4[[#This Row],[Salesman]],MD_Salesman[Salesman],MD_Salesman[SalesManager]),"")</f>
        <v>Quốc Anh</v>
      </c>
      <c r="D30" s="72" t="str">
        <f>IFERROR(INDEX(MD_Customer[Mã khách],MATCH(KH_26_OPT4_KTQT_v4[[#This Row],[Tên khách]],MD_Customer[Tên khách-rút gọn],0)),"")</f>
        <v>105287</v>
      </c>
      <c r="E30" s="7" t="str">
        <f>IFERROR(INDEX(MD_Customer[Parent Account],MATCH(KH_26_OPT4_KTQT_v4[[#This Row],[Tên khách]],MD_Customer[Tên khách-rút gọn],0)),"")</f>
        <v>Hưng Dụ</v>
      </c>
      <c r="F30" s="35" t="s">
        <v>267</v>
      </c>
      <c r="G30" s="7" t="str">
        <f>IFERROR(INDEX(MD_Customer[Phân loại],MATCH(KH_26_OPT4_KTQT_v4[[#This Row],[Tên khách]],MD_Customer[Tên khách-rút gọn],0)),"")</f>
        <v>Hiện hữu</v>
      </c>
      <c r="H30" s="7" t="str">
        <f>IFERROR(INDEX(MD_Customer[Kênh bán hàng],MATCH(KH_26_OPT4_KTQT_v4[[#This Row],[Tên khách]],MD_Customer[Tên khách-rút gọn],0)),"")</f>
        <v>Nội địa</v>
      </c>
      <c r="I30" s="35" t="s">
        <v>264</v>
      </c>
      <c r="J30" s="7" t="str">
        <f>IFERROR(INDEX(MD_Destination[Nước],MATCH(KH_26_OPT4_KTQT_v4[[#This Row],[Địa điểm đến]],MD_Destination[Địa điểm đến],0)),"")</f>
        <v>Việt Nam</v>
      </c>
      <c r="K30" s="7" t="str">
        <f>IFERROR(INDEX(MD_Destination[Khu vực],MATCH(KH_26_OPT4_KTQT_v4[[#This Row],[Địa điểm đến]],MD_Destination[Địa điểm đến],0)),"")</f>
        <v>Châu Á</v>
      </c>
      <c r="L30" s="35" t="s">
        <v>262</v>
      </c>
      <c r="M30" s="7" t="str">
        <f>IFERROR(INDEX(MD_SKU[Mã SKU],MATCH(KH_26_OPT4_KTQT_v4[[#This Row],[Tên sản phẩm]],MD_SKU[Tên SKU-rút gọn],0)),"")</f>
        <v>110000466</v>
      </c>
      <c r="N30" s="35" t="s">
        <v>483</v>
      </c>
      <c r="O30" s="7" t="str">
        <f>IFERROR(INDEX(MD_SKU[Ngành hàng],MATCH(KH_26_OPT4_KTQT_v4[[#This Row],[Tên sản phẩm]],MD_SKU[Tên SKU-rút gọn],0)),"")</f>
        <v>Xơ sợi</v>
      </c>
      <c r="P30" s="7" t="str">
        <f>IFERROR(INDEX(MD_SKU[Nhóm ngành],MATCH(KH_26_OPT4_KTQT_v4[[#This Row],[Tên sản phẩm]],MD_SKU[Tên SKU-rút gọn],0)),"")</f>
        <v>Hạt Xơ sợi</v>
      </c>
      <c r="Q30" s="7" t="str">
        <f>IFERROR(
   IF(INDEX(MD_SKU[IV/IM],MATCH(KH_26_OPT4_KTQT_v4[[#This Row],[Tên sản phẩm]],MD_SKU[Tên SKU-rút gọn],0))=0,
      "",
      INDEX(MD_SKU[IV/IM],MATCH(KH_26_OPT4_KTQT_v4[[#This Row],[Tên sản phẩm]],MD_SKU[Tên SKU-rút gọn],0))
   ),
"")</f>
        <v>0.55 ± 0.05</v>
      </c>
      <c r="R30" s="44">
        <f>IFERROR(INDEX(MD_SKU[Application],MATCH(KH_26_OPT4_KTQT_v4[[#This Row],[Tên sản phẩm]],MD_SKU[Tên SKU-rút gọn],0)),"")</f>
        <v>0</v>
      </c>
      <c r="S30" s="7" t="str">
        <f>IFERROR(INDEX(MD_SKU[Phân loại],MATCH(KH_26_OPT4_KTQT_v4[[#This Row],[Tên sản phẩm]],MD_SKU[Tên SKU-rút gọn],0)),"")</f>
        <v>Cũ</v>
      </c>
      <c r="T30" s="7" t="s">
        <v>22</v>
      </c>
      <c r="U30" s="157" t="s">
        <v>1508</v>
      </c>
      <c r="V30" s="70">
        <v>0.8</v>
      </c>
      <c r="W30" s="33"/>
      <c r="X30" s="33"/>
      <c r="Y30" s="33"/>
      <c r="Z30" s="33"/>
      <c r="AA30" s="33"/>
      <c r="AB30" s="33"/>
      <c r="AC30" s="33"/>
      <c r="AD30" s="33"/>
      <c r="AE30" s="33"/>
      <c r="AF30" s="33"/>
      <c r="AG30" s="33"/>
      <c r="AH30" s="33"/>
      <c r="AI30" s="47">
        <f ca="1">SUM(KH_26_OPT4_KTQT_v4[[#This Row],[SL-01]:[SL-12]])</f>
        <v>0</v>
      </c>
      <c r="AJ30" s="47">
        <f ca="1">SUMIFS(DB_25[SL-DB25],DB_25[Mã khách],KH_26_OPT4_KTQT_v4[[#This Row],[Mã khách]],DB_25[Mã sản phẩm],KH_26_OPT4_KTQT_v4[[#This Row],[Mã sản phẩm]])</f>
        <v>286.64999999999998</v>
      </c>
      <c r="AK30" s="20">
        <f ca="1">KH_26_OPT4_KTQT_v4[[#This Row],[SL-KH26]]-KH_26_OPT4_KTQT_v4[[#This Row],[SL-DB25]]</f>
        <v>-286.64999999999998</v>
      </c>
      <c r="AL30" s="21">
        <f ca="1">IFERROR(KH_26_OPT4_KTQT_v4[[#This Row],[SL-+/-]]/KH_26_OPT4_KTQT_v4[[#This Row],[SL-DB25]],0)</f>
        <v>-1</v>
      </c>
      <c r="AM30" s="51">
        <v>640</v>
      </c>
      <c r="AN30" s="51">
        <v>632</v>
      </c>
      <c r="AO30" s="51">
        <v>624</v>
      </c>
      <c r="AP30" s="51">
        <v>616</v>
      </c>
      <c r="AQ30" s="51">
        <v>608</v>
      </c>
      <c r="AR30" s="51">
        <v>600</v>
      </c>
      <c r="AS30" s="51">
        <v>592</v>
      </c>
      <c r="AT30" s="51">
        <v>584</v>
      </c>
      <c r="AU30" s="51">
        <v>576</v>
      </c>
      <c r="AV30" s="51">
        <v>568</v>
      </c>
      <c r="AW30" s="51">
        <v>560</v>
      </c>
      <c r="AX30" s="51">
        <v>552</v>
      </c>
      <c r="AY30" s="23">
        <v>596</v>
      </c>
      <c r="AZ30" s="7"/>
      <c r="BA30" s="24">
        <f>KH_26_OPT4_KTQT_v4[[#This Row],[GB-DB25]]-KH_26_OPT4_KTQT_v4[[#This Row],[GB-KH25]]</f>
        <v>596</v>
      </c>
      <c r="BB30" s="21">
        <f>IFERROR(KH_26_OPT4_KTQT_v4[[#This Row],[GB-+/-]]/KH_26_OPT4_KTQT_v4[[#This Row],[GB-KH25]],0)</f>
        <v>0</v>
      </c>
      <c r="BC30" s="21"/>
      <c r="BD30" s="47">
        <f>KH_26_OPT4_KTQT_v4[[#This Row],[SL-01]]*KH_26_OPT4_KTQT_v4[[#This Row],[GB-01]]*EXR</f>
        <v>0</v>
      </c>
      <c r="BE30" s="47">
        <f>KH_26_OPT4_KTQT_v4[[#This Row],[SL-02]]*KH_26_OPT4_KTQT_v4[[#This Row],[GB-02]]*EXR</f>
        <v>0</v>
      </c>
      <c r="BF30" s="47">
        <f>KH_26_OPT4_KTQT_v4[[#This Row],[SL-03]]*KH_26_OPT4_KTQT_v4[[#This Row],[GB-03]]*EXR</f>
        <v>0</v>
      </c>
      <c r="BG30" s="47">
        <f>KH_26_OPT4_KTQT_v4[[#This Row],[SL-04]]*KH_26_OPT4_KTQT_v4[[#This Row],[GB-04]]*EXR</f>
        <v>0</v>
      </c>
      <c r="BH30" s="47">
        <f>KH_26_OPT4_KTQT_v4[[#This Row],[SL-05]]*KH_26_OPT4_KTQT_v4[[#This Row],[GB-05]]*EXR</f>
        <v>0</v>
      </c>
      <c r="BI30" s="47">
        <f>KH_26_OPT4_KTQT_v4[[#This Row],[SL-06]]*KH_26_OPT4_KTQT_v4[[#This Row],[GB-06]]*EXR</f>
        <v>0</v>
      </c>
      <c r="BJ30" s="47">
        <f>KH_26_OPT4_KTQT_v4[[#This Row],[SL-07]]*KH_26_OPT4_KTQT_v4[[#This Row],[GB-07]]*EXR</f>
        <v>0</v>
      </c>
      <c r="BK30" s="47">
        <f>KH_26_OPT4_KTQT_v4[[#This Row],[SL-08]]*KH_26_OPT4_KTQT_v4[[#This Row],[GB-08]]*EXR</f>
        <v>0</v>
      </c>
      <c r="BL30" s="47">
        <f>KH_26_OPT4_KTQT_v4[[#This Row],[SL-09]]*KH_26_OPT4_KTQT_v4[[#This Row],[GB-09]]*EXR</f>
        <v>0</v>
      </c>
      <c r="BM30" s="47">
        <f>KH_26_OPT4_KTQT_v4[[#This Row],[SL-10]]*KH_26_OPT4_KTQT_v4[[#This Row],[GB-10]]*EXR</f>
        <v>0</v>
      </c>
      <c r="BN30" s="47">
        <f>KH_26_OPT4_KTQT_v4[[#This Row],[SL-11]]*KH_26_OPT4_KTQT_v4[[#This Row],[GB-11]]*EXR</f>
        <v>0</v>
      </c>
      <c r="BO30" s="47">
        <f>KH_26_OPT4_KTQT_v4[[#This Row],[SL-12]]*KH_26_OPT4_KTQT_v4[[#This Row],[GB-12]]*EXR</f>
        <v>0</v>
      </c>
      <c r="BP30" s="47">
        <f ca="1">SUM(KH_26_OPT4_KTQT_v4[[#This Row],[DT-EXW-01]:[DT-EXW-12]])</f>
        <v>0</v>
      </c>
      <c r="BQ30" s="47">
        <f ca="1">SUMIFS(DB_25[DT-DB25],DB_25[Mã khách],KH_26_OPT4_KTQT_v4[[#This Row],[Mã khách]],DB_25[Mã sản phẩm],KH_26_OPT4_KTQT_v4[[#This Row],[Mã sản phẩm]])</f>
        <v>4973142287.9180212</v>
      </c>
      <c r="BR30" s="47">
        <f ca="1">KH_26_OPT4_KTQT_v4[[#This Row],[DT-EXW-KH26]]-KH_26_OPT4_KTQT_v4[[#This Row],[DT-EXW-DB25]]</f>
        <v>-4973142287.9180212</v>
      </c>
      <c r="BS30" s="21">
        <f ca="1">IFERROR(KH_26_OPT4_KTQT_v4[[#This Row],[DT-EXW-+/-]]/KH_26_OPT4_KTQT_v4[[#This Row],[DT-EXW-DB25]],0)</f>
        <v>-1</v>
      </c>
      <c r="BT30" s="139"/>
      <c r="BU30" s="57"/>
      <c r="BV30" s="51"/>
      <c r="BW30" s="47">
        <f>IF(KH_26_OPT4_KTQT_v4[[#This Row],[CPHH-%-SL]]="Dthu",KH_26_OPT4_KTQT_v4[[#This Row],[%HH]]*KH_26_OPT4_KTQT_v4[[#This Row],[DT-EXW-01]],KH_26_OPT4_KTQT_v4[[#This Row],[HH-SL]]*KH_26_OPT4_KTQT_v4[[#This Row],[SL-01]])</f>
        <v>0</v>
      </c>
      <c r="BX30" s="47">
        <f>IF(KH_26_OPT4_KTQT_v4[[#This Row],[CPHH-%-SL]]="Dthu",KH_26_OPT4_KTQT_v4[[#This Row],[%HH]]*KH_26_OPT4_KTQT_v4[[#This Row],[DT-EXW-02]],KH_26_OPT4_KTQT_v4[[#This Row],[HH-SL]]*KH_26_OPT4_KTQT_v4[[#This Row],[SL-02]])</f>
        <v>0</v>
      </c>
      <c r="BY30" s="47">
        <f>IF(KH_26_OPT4_KTQT_v4[[#This Row],[CPHH-%-SL]]="Dthu",KH_26_OPT4_KTQT_v4[[#This Row],[%HH]]*KH_26_OPT4_KTQT_v4[[#This Row],[DT-EXW-03]],KH_26_OPT4_KTQT_v4[[#This Row],[HH-SL]]*KH_26_OPT4_KTQT_v4[[#This Row],[SL-03]])</f>
        <v>0</v>
      </c>
      <c r="BZ30" s="47">
        <f>IF(KH_26_OPT4_KTQT_v4[[#This Row],[CPHH-%-SL]]="Dthu",KH_26_OPT4_KTQT_v4[[#This Row],[%HH]]*KH_26_OPT4_KTQT_v4[[#This Row],[DT-EXW-04]],KH_26_OPT4_KTQT_v4[[#This Row],[HH-SL]]*KH_26_OPT4_KTQT_v4[[#This Row],[SL-04]])</f>
        <v>0</v>
      </c>
      <c r="CA30" s="47">
        <f>IF(KH_26_OPT4_KTQT_v4[[#This Row],[CPHH-%-SL]]="Dthu",KH_26_OPT4_KTQT_v4[[#This Row],[%HH]]*KH_26_OPT4_KTQT_v4[[#This Row],[DT-EXW-05]],KH_26_OPT4_KTQT_v4[[#This Row],[HH-SL]]*KH_26_OPT4_KTQT_v4[[#This Row],[SL-05]])</f>
        <v>0</v>
      </c>
      <c r="CB30" s="47">
        <f>IF(KH_26_OPT4_KTQT_v4[[#This Row],[CPHH-%-SL]]="Dthu",KH_26_OPT4_KTQT_v4[[#This Row],[%HH]]*KH_26_OPT4_KTQT_v4[[#This Row],[DT-EXW-06]],KH_26_OPT4_KTQT_v4[[#This Row],[HH-SL]]*KH_26_OPT4_KTQT_v4[[#This Row],[SL-06]])</f>
        <v>0</v>
      </c>
      <c r="CC30" s="47">
        <f>IF(KH_26_OPT4_KTQT_v4[[#This Row],[CPHH-%-SL]]="Dthu",KH_26_OPT4_KTQT_v4[[#This Row],[%HH]]*KH_26_OPT4_KTQT_v4[[#This Row],[DT-EXW-07]],KH_26_OPT4_KTQT_v4[[#This Row],[HH-SL]]*KH_26_OPT4_KTQT_v4[[#This Row],[SL-07]])</f>
        <v>0</v>
      </c>
      <c r="CD30" s="47">
        <f>IF(KH_26_OPT4_KTQT_v4[[#This Row],[CPHH-%-SL]]="Dthu",KH_26_OPT4_KTQT_v4[[#This Row],[%HH]]*KH_26_OPT4_KTQT_v4[[#This Row],[DT-EXW-08]],KH_26_OPT4_KTQT_v4[[#This Row],[HH-SL]]*KH_26_OPT4_KTQT_v4[[#This Row],[SL-08]])</f>
        <v>0</v>
      </c>
      <c r="CE30" s="47">
        <f>IF(KH_26_OPT4_KTQT_v4[[#This Row],[CPHH-%-SL]]="Dthu",KH_26_OPT4_KTQT_v4[[#This Row],[%HH]]*KH_26_OPT4_KTQT_v4[[#This Row],[DT-EXW-09]],KH_26_OPT4_KTQT_v4[[#This Row],[HH-SL]]*KH_26_OPT4_KTQT_v4[[#This Row],[SL-09]])</f>
        <v>0</v>
      </c>
      <c r="CF30" s="47">
        <f>IF(KH_26_OPT4_KTQT_v4[[#This Row],[CPHH-%-SL]]="Dthu",KH_26_OPT4_KTQT_v4[[#This Row],[%HH]]*KH_26_OPT4_KTQT_v4[[#This Row],[DT-EXW-10]],KH_26_OPT4_KTQT_v4[[#This Row],[HH-SL]]*KH_26_OPT4_KTQT_v4[[#This Row],[SL-10]])</f>
        <v>0</v>
      </c>
      <c r="CG30" s="47">
        <f>IF(KH_26_OPT4_KTQT_v4[[#This Row],[CPHH-%-SL]]="Dthu",KH_26_OPT4_KTQT_v4[[#This Row],[%HH]]*KH_26_OPT4_KTQT_v4[[#This Row],[DT-EXW-11]],KH_26_OPT4_KTQT_v4[[#This Row],[HH-SL]]*KH_26_OPT4_KTQT_v4[[#This Row],[SL-11]])</f>
        <v>0</v>
      </c>
      <c r="CH30" s="47">
        <f>IF(KH_26_OPT4_KTQT_v4[[#This Row],[CPHH-%-SL]]="Dthu",KH_26_OPT4_KTQT_v4[[#This Row],[%HH]]*KH_26_OPT4_KTQT_v4[[#This Row],[DT-EXW-12]],KH_26_OPT4_KTQT_v4[[#This Row],[HH-SL]]*KH_26_OPT4_KTQT_v4[[#This Row],[SL-12]])</f>
        <v>0</v>
      </c>
      <c r="CI30" s="47">
        <f ca="1">SUM(KH_26_OPT4_KTQT_v4[[#This Row],[CPHH-01]:[CPHH-12]])</f>
        <v>0</v>
      </c>
      <c r="CJ30" s="47" cm="1">
        <f t="array" ref="CJ30">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172727.27272727274</v>
      </c>
      <c r="CK30" s="19">
        <f ca="1">SUM(KH_26_OPT4_KTQT_v4[[#This Row],[ĐGVCNĐ-KXK]:[ĐGVCCT-KXK]])</f>
        <v>0</v>
      </c>
      <c r="CL30" s="47" cm="1">
        <f t="array" ref="CL30">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30" s="47" cm="1">
        <f t="array" ref="CM30">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30" s="47">
        <f ca="1">(KH_26_OPT4_KTQT_v4[[#This Row],[ĐGVC-KNĐ]]+KH_26_OPT4_KTQT_v4[[#This Row],[ĐGVC-KXK]])*KH_26_OPT4_KTQT_v4[[#This Row],[SL-01]]</f>
        <v>0</v>
      </c>
      <c r="CO30" s="47">
        <f ca="1">(KH_26_OPT4_KTQT_v4[[#This Row],[ĐGVC-KNĐ]]+KH_26_OPT4_KTQT_v4[[#This Row],[ĐGVC-KXK]])*KH_26_OPT4_KTQT_v4[[#This Row],[SL-02]]</f>
        <v>0</v>
      </c>
      <c r="CP30" s="47">
        <f ca="1">(KH_26_OPT4_KTQT_v4[[#This Row],[ĐGVC-KNĐ]]+KH_26_OPT4_KTQT_v4[[#This Row],[ĐGVC-KXK]])*KH_26_OPT4_KTQT_v4[[#This Row],[SL-03]]</f>
        <v>0</v>
      </c>
      <c r="CQ30" s="47">
        <f ca="1">(KH_26_OPT4_KTQT_v4[[#This Row],[ĐGVC-KNĐ]]+KH_26_OPT4_KTQT_v4[[#This Row],[ĐGVC-KXK]])*KH_26_OPT4_KTQT_v4[[#This Row],[SL-04]]</f>
        <v>0</v>
      </c>
      <c r="CR30" s="47">
        <f ca="1">(KH_26_OPT4_KTQT_v4[[#This Row],[ĐGVC-KNĐ]]+KH_26_OPT4_KTQT_v4[[#This Row],[ĐGVC-KXK]])*KH_26_OPT4_KTQT_v4[[#This Row],[SL-05]]</f>
        <v>0</v>
      </c>
      <c r="CS30" s="47">
        <f ca="1">(KH_26_OPT4_KTQT_v4[[#This Row],[ĐGVC-KNĐ]]+KH_26_OPT4_KTQT_v4[[#This Row],[ĐGVC-KXK]])*KH_26_OPT4_KTQT_v4[[#This Row],[SL-06]]</f>
        <v>0</v>
      </c>
      <c r="CT30" s="47">
        <f ca="1">(KH_26_OPT4_KTQT_v4[[#This Row],[ĐGVC-KNĐ]]+KH_26_OPT4_KTQT_v4[[#This Row],[ĐGVC-KXK]])*KH_26_OPT4_KTQT_v4[[#This Row],[SL-07]]</f>
        <v>0</v>
      </c>
      <c r="CU30" s="47">
        <f ca="1">(KH_26_OPT4_KTQT_v4[[#This Row],[ĐGVC-KNĐ]]+KH_26_OPT4_KTQT_v4[[#This Row],[ĐGVC-KXK]])*KH_26_OPT4_KTQT_v4[[#This Row],[SL-08]]</f>
        <v>0</v>
      </c>
      <c r="CV30" s="47">
        <f ca="1">(KH_26_OPT4_KTQT_v4[[#This Row],[ĐGVC-KNĐ]]+KH_26_OPT4_KTQT_v4[[#This Row],[ĐGVC-KXK]])*KH_26_OPT4_KTQT_v4[[#This Row],[SL-09]]</f>
        <v>0</v>
      </c>
      <c r="CW30" s="47">
        <f ca="1">(KH_26_OPT4_KTQT_v4[[#This Row],[ĐGVC-KNĐ]]+KH_26_OPT4_KTQT_v4[[#This Row],[ĐGVC-KXK]])*KH_26_OPT4_KTQT_v4[[#This Row],[SL-10]]</f>
        <v>0</v>
      </c>
      <c r="CX30" s="47">
        <f ca="1">(KH_26_OPT4_KTQT_v4[[#This Row],[ĐGVC-KNĐ]]+KH_26_OPT4_KTQT_v4[[#This Row],[ĐGVC-KXK]])*KH_26_OPT4_KTQT_v4[[#This Row],[SL-11]]</f>
        <v>0</v>
      </c>
      <c r="CY30" s="47">
        <f ca="1">(KH_26_OPT4_KTQT_v4[[#This Row],[ĐGVC-KNĐ]]+KH_26_OPT4_KTQT_v4[[#This Row],[ĐGVC-KXK]])*KH_26_OPT4_KTQT_v4[[#This Row],[SL-12]]</f>
        <v>0</v>
      </c>
      <c r="CZ30" s="47">
        <f ca="1">SUM(KH_26_OPT4_KTQT_v4[[#This Row],[CPVC-01]:[CPVC-12]])</f>
        <v>0</v>
      </c>
      <c r="DA30" s="124">
        <f ca="1">KH_26_OPT4_KTQT_v4[[#This Row],[DT-EXW-01]]+KH_26_OPT4_KTQT_v4[[#This Row],[CPVC-01]]+KH_26_OPT4_KTQT_v4[[#This Row],[CPHH-01]]</f>
        <v>0</v>
      </c>
      <c r="DB30" s="47">
        <f ca="1">KH_26_OPT4_KTQT_v4[[#This Row],[DT-EXW-02]]+KH_26_OPT4_KTQT_v4[[#This Row],[CPVC-02]]+KH_26_OPT4_KTQT_v4[[#This Row],[CPHH-02]]</f>
        <v>0</v>
      </c>
      <c r="DC30" s="47">
        <f ca="1">KH_26_OPT4_KTQT_v4[[#This Row],[DT-EXW-03]]+KH_26_OPT4_KTQT_v4[[#This Row],[CPVC-03]]+KH_26_OPT4_KTQT_v4[[#This Row],[CPHH-03]]</f>
        <v>0</v>
      </c>
      <c r="DD30" s="47">
        <f ca="1">KH_26_OPT4_KTQT_v4[[#This Row],[DT-EXW-04]]+KH_26_OPT4_KTQT_v4[[#This Row],[CPVC-04]]+KH_26_OPT4_KTQT_v4[[#This Row],[CPHH-04]]</f>
        <v>0</v>
      </c>
      <c r="DE30" s="47">
        <f ca="1">KH_26_OPT4_KTQT_v4[[#This Row],[DT-EXW-05]]+KH_26_OPT4_KTQT_v4[[#This Row],[CPVC-05]]+KH_26_OPT4_KTQT_v4[[#This Row],[CPHH-05]]</f>
        <v>0</v>
      </c>
      <c r="DF30" s="47">
        <f ca="1">KH_26_OPT4_KTQT_v4[[#This Row],[DT-EXW-06]]+KH_26_OPT4_KTQT_v4[[#This Row],[CPVC-06]]+KH_26_OPT4_KTQT_v4[[#This Row],[CPHH-06]]</f>
        <v>0</v>
      </c>
      <c r="DG30" s="47">
        <f ca="1">KH_26_OPT4_KTQT_v4[[#This Row],[DT-EXW-07]]+KH_26_OPT4_KTQT_v4[[#This Row],[CPVC-07]]+KH_26_OPT4_KTQT_v4[[#This Row],[CPHH-07]]</f>
        <v>0</v>
      </c>
      <c r="DH30" s="47">
        <f ca="1">KH_26_OPT4_KTQT_v4[[#This Row],[DT-EXW-08]]+KH_26_OPT4_KTQT_v4[[#This Row],[CPVC-08]]+KH_26_OPT4_KTQT_v4[[#This Row],[CPHH-08]]</f>
        <v>0</v>
      </c>
      <c r="DI30" s="47">
        <f ca="1">KH_26_OPT4_KTQT_v4[[#This Row],[DT-EXW-09]]+KH_26_OPT4_KTQT_v4[[#This Row],[CPVC-09]]+KH_26_OPT4_KTQT_v4[[#This Row],[CPHH-09]]</f>
        <v>0</v>
      </c>
      <c r="DJ30" s="47">
        <f ca="1">KH_26_OPT4_KTQT_v4[[#This Row],[DT-EXW-10]]+KH_26_OPT4_KTQT_v4[[#This Row],[CPVC-10]]+KH_26_OPT4_KTQT_v4[[#This Row],[CPHH-10]]</f>
        <v>0</v>
      </c>
      <c r="DK30" s="47">
        <f ca="1">KH_26_OPT4_KTQT_v4[[#This Row],[DT-EXW-11]]+KH_26_OPT4_KTQT_v4[[#This Row],[CPVC-11]]+KH_26_OPT4_KTQT_v4[[#This Row],[CPHH-11]]</f>
        <v>0</v>
      </c>
      <c r="DL30" s="47">
        <f ca="1">KH_26_OPT4_KTQT_v4[[#This Row],[DT-EXW-12]]+KH_26_OPT4_KTQT_v4[[#This Row],[CPVC-12]]+KH_26_OPT4_KTQT_v4[[#This Row],[CPHH-12]]</f>
        <v>0</v>
      </c>
      <c r="DM30" s="47">
        <f ca="1">SUM(KH_26_OPT4_KTQT_v4[[#This Row],[DT-01]:[DT-12]])</f>
        <v>0</v>
      </c>
      <c r="DN30" s="7"/>
      <c r="DO30" s="7"/>
      <c r="DP30" s="125"/>
      <c r="DQ30" s="136"/>
      <c r="DR30" s="132">
        <f>IFERROR(KH_26_OPT4_KTQT_v4[[#This Row],[DT-EXW-01]]*KH_26_OPT4_KTQT_v4[[#This Row],[%CPDP]],0)</f>
        <v>0</v>
      </c>
      <c r="DS30" s="132">
        <f>IFERROR(KH_26_OPT4_KTQT_v4[[#This Row],[DT-EXW-02]]*KH_26_OPT4_KTQT_v4[[#This Row],[%CPDP]],0)</f>
        <v>0</v>
      </c>
      <c r="DT30" s="132">
        <f>IFERROR(KH_26_OPT4_KTQT_v4[[#This Row],[DT-EXW-03]]*KH_26_OPT4_KTQT_v4[[#This Row],[%CPDP]],0)</f>
        <v>0</v>
      </c>
      <c r="DU30" s="132">
        <f>IFERROR(KH_26_OPT4_KTQT_v4[[#This Row],[DT-EXW-04]]*KH_26_OPT4_KTQT_v4[[#This Row],[%CPDP]],0)</f>
        <v>0</v>
      </c>
      <c r="DV30" s="132">
        <f>IFERROR(KH_26_OPT4_KTQT_v4[[#This Row],[DT-EXW-05]]*KH_26_OPT4_KTQT_v4[[#This Row],[%CPDP]],0)</f>
        <v>0</v>
      </c>
      <c r="DW30" s="132">
        <f>IFERROR(KH_26_OPT4_KTQT_v4[[#This Row],[DT-EXW-06]]*KH_26_OPT4_KTQT_v4[[#This Row],[%CPDP]],0)</f>
        <v>0</v>
      </c>
      <c r="DX30" s="132">
        <f>IFERROR(KH_26_OPT4_KTQT_v4[[#This Row],[DT-EXW-07]]*KH_26_OPT4_KTQT_v4[[#This Row],[%CPDP]],0)</f>
        <v>0</v>
      </c>
      <c r="DY30" s="132">
        <f>IFERROR(KH_26_OPT4_KTQT_v4[[#This Row],[DT-EXW-08]]*KH_26_OPT4_KTQT_v4[[#This Row],[%CPDP]],0)</f>
        <v>0</v>
      </c>
      <c r="DZ30" s="132">
        <f>IFERROR(KH_26_OPT4_KTQT_v4[[#This Row],[DT-EXW-09]]*KH_26_OPT4_KTQT_v4[[#This Row],[%CPDP]],0)</f>
        <v>0</v>
      </c>
      <c r="EA30" s="132">
        <f>IFERROR(KH_26_OPT4_KTQT_v4[[#This Row],[DT-EXW-10]]*KH_26_OPT4_KTQT_v4[[#This Row],[%CPDP]],0)</f>
        <v>0</v>
      </c>
      <c r="EB30" s="132">
        <f>IFERROR(KH_26_OPT4_KTQT_v4[[#This Row],[DT-EXW-11]]*KH_26_OPT4_KTQT_v4[[#This Row],[%CPDP]],0)</f>
        <v>0</v>
      </c>
      <c r="EC30" s="132">
        <f>IFERROR(KH_26_OPT4_KTQT_v4[[#This Row],[DT-EXW-12]]*KH_26_OPT4_KTQT_v4[[#This Row],[%CPDP]],0)</f>
        <v>0</v>
      </c>
      <c r="ED30" s="131">
        <f ca="1">SUM(KH_26_OPT4_KTQT_v4[[#This Row],[CPDP-01]:[CPDP-12]])</f>
        <v>0</v>
      </c>
    </row>
    <row r="31" spans="1:134" ht="14.65" hidden="1" customHeight="1" x14ac:dyDescent="0.35">
      <c r="A31" s="18">
        <v>26</v>
      </c>
      <c r="B31" s="71" t="s">
        <v>110</v>
      </c>
      <c r="C31" s="18" t="str">
        <f>IFERROR(_xlfn.XLOOKUP(KH_26_OPT4_KTQT_v4[[#This Row],[Salesman]],MD_Salesman[Salesman],MD_Salesman[SalesManager]),"")</f>
        <v>Quốc Anh</v>
      </c>
      <c r="D31" s="72" t="str">
        <f>IFERROR(INDEX(MD_Customer[Mã khách],MATCH(KH_26_OPT4_KTQT_v4[[#This Row],[Tên khách]],MD_Customer[Tên khách-rút gọn],0)),"")</f>
        <v>NS26-NEWCUS-021</v>
      </c>
      <c r="E31" s="7" t="str">
        <f>IFERROR(INDEX(MD_Customer[Parent Account],MATCH(KH_26_OPT4_KTQT_v4[[#This Row],[Tên khách]],MD_Customer[Tên khách-rút gọn],0)),"")</f>
        <v>New Developments - Hạt HDPE - NĐ</v>
      </c>
      <c r="F31" s="35" t="s">
        <v>45</v>
      </c>
      <c r="G31" s="7" t="str">
        <f>IFERROR(INDEX(MD_Customer[Phân loại],MATCH(KH_26_OPT4_KTQT_v4[[#This Row],[Tên khách]],MD_Customer[Tên khách-rút gọn],0)),"")</f>
        <v>Mới</v>
      </c>
      <c r="H31" s="7" t="str">
        <f>IFERROR(INDEX(MD_Customer[Kênh bán hàng],MATCH(KH_26_OPT4_KTQT_v4[[#This Row],[Tên khách]],MD_Customer[Tên khách-rút gọn],0)),"")</f>
        <v>Nội địa</v>
      </c>
      <c r="I31" s="35" t="s">
        <v>259</v>
      </c>
      <c r="J31" s="7" t="str">
        <f>IFERROR(INDEX(MD_Destination[Nước],MATCH(KH_26_OPT4_KTQT_v4[[#This Row],[Địa điểm đến]],MD_Destination[Địa điểm đến],0)),"")</f>
        <v>Việt Nam</v>
      </c>
      <c r="K31" s="7" t="str">
        <f>IFERROR(INDEX(MD_Destination[Khu vực],MATCH(KH_26_OPT4_KTQT_v4[[#This Row],[Địa điểm đến]],MD_Destination[Địa điểm đến],0)),"")</f>
        <v>Châu Á</v>
      </c>
      <c r="L31" s="35" t="s">
        <v>260</v>
      </c>
      <c r="M31" s="7" t="str">
        <f>IFERROR(INDEX(MD_SKU[Mã SKU],MATCH(KH_26_OPT4_KTQT_v4[[#This Row],[Tên sản phẩm]],MD_SKU[Tên SKU-rút gọn],0)),"")</f>
        <v>110000361</v>
      </c>
      <c r="N31" s="35" t="s">
        <v>458</v>
      </c>
      <c r="O31" s="7" t="str">
        <f>IFERROR(INDEX(MD_SKU[Ngành hàng],MATCH(KH_26_OPT4_KTQT_v4[[#This Row],[Tên sản phẩm]],MD_SKU[Tên SKU-rút gọn],0)),"")</f>
        <v>rHDPE ép</v>
      </c>
      <c r="P31" s="7" t="str">
        <f>IFERROR(INDEX(MD_SKU[Nhóm ngành],MATCH(KH_26_OPT4_KTQT_v4[[#This Row],[Tên sản phẩm]],MD_SKU[Tên SKU-rút gọn],0)),"")</f>
        <v>Hạt HD ép</v>
      </c>
      <c r="Q31" s="7" t="str">
        <f>IFERROR(
   IF(INDEX(MD_SKU[IV/IM],MATCH(KH_26_OPT4_KTQT_v4[[#This Row],[Tên sản phẩm]],MD_SKU[Tên SKU-rút gọn],0))=0,
      "",
      INDEX(MD_SKU[IV/IM],MATCH(KH_26_OPT4_KTQT_v4[[#This Row],[Tên sản phẩm]],MD_SKU[Tên SKU-rút gọn],0))
   ),
"")</f>
        <v/>
      </c>
      <c r="R31" s="44">
        <f>IFERROR(INDEX(MD_SKU[Application],MATCH(KH_26_OPT4_KTQT_v4[[#This Row],[Tên sản phẩm]],MD_SKU[Tên SKU-rút gọn],0)),"")</f>
        <v>0</v>
      </c>
      <c r="S31" s="7" t="str">
        <f>IFERROR(INDEX(MD_SKU[Phân loại],MATCH(KH_26_OPT4_KTQT_v4[[#This Row],[Tên sản phẩm]],MD_SKU[Tên SKU-rút gọn],0)),"")</f>
        <v>Cũ</v>
      </c>
      <c r="T31" s="7" t="s">
        <v>541</v>
      </c>
      <c r="U31" s="7" t="s">
        <v>1508</v>
      </c>
      <c r="V31" s="70">
        <v>0.8</v>
      </c>
      <c r="W31" s="33"/>
      <c r="X31" s="33"/>
      <c r="Y31" s="33"/>
      <c r="Z31" s="33"/>
      <c r="AA31" s="33"/>
      <c r="AB31" s="33"/>
      <c r="AC31" s="33"/>
      <c r="AD31" s="33"/>
      <c r="AE31" s="33"/>
      <c r="AF31" s="33"/>
      <c r="AG31" s="33"/>
      <c r="AH31" s="33"/>
      <c r="AI31" s="47">
        <f ca="1">SUM(KH_26_OPT4_KTQT_v4[[#This Row],[SL-01]:[SL-12]])</f>
        <v>0</v>
      </c>
      <c r="AJ31" s="47">
        <f ca="1">SUMIFS(DB_25[SL-DB25],DB_25[Mã khách],KH_26_OPT4_KTQT_v4[[#This Row],[Mã khách]],DB_25[Mã sản phẩm],KH_26_OPT4_KTQT_v4[[#This Row],[Mã sản phẩm]])</f>
        <v>0</v>
      </c>
      <c r="AK31" s="20">
        <f ca="1">KH_26_OPT4_KTQT_v4[[#This Row],[SL-KH26]]-KH_26_OPT4_KTQT_v4[[#This Row],[SL-DB25]]</f>
        <v>0</v>
      </c>
      <c r="AL31" s="21">
        <f ca="1">IFERROR(KH_26_OPT4_KTQT_v4[[#This Row],[SL-+/-]]/KH_26_OPT4_KTQT_v4[[#This Row],[SL-DB25]],0)</f>
        <v>0</v>
      </c>
      <c r="AM31" s="51">
        <v>695</v>
      </c>
      <c r="AN31" s="51">
        <v>695</v>
      </c>
      <c r="AO31" s="51">
        <v>695</v>
      </c>
      <c r="AP31" s="51">
        <v>695</v>
      </c>
      <c r="AQ31" s="51">
        <v>695</v>
      </c>
      <c r="AR31" s="51">
        <v>695</v>
      </c>
      <c r="AS31" s="51">
        <v>695</v>
      </c>
      <c r="AT31" s="51">
        <v>695</v>
      </c>
      <c r="AU31" s="51">
        <v>695</v>
      </c>
      <c r="AV31" s="51">
        <v>695</v>
      </c>
      <c r="AW31" s="51">
        <v>695</v>
      </c>
      <c r="AX31" s="51">
        <v>695</v>
      </c>
      <c r="AY31" s="23">
        <v>695</v>
      </c>
      <c r="AZ31" s="7"/>
      <c r="BA31" s="24">
        <f>KH_26_OPT4_KTQT_v4[[#This Row],[GB-DB25]]-KH_26_OPT4_KTQT_v4[[#This Row],[GB-KH25]]</f>
        <v>695</v>
      </c>
      <c r="BB31" s="21">
        <f>IFERROR(KH_26_OPT4_KTQT_v4[[#This Row],[GB-+/-]]/KH_26_OPT4_KTQT_v4[[#This Row],[GB-KH25]],0)</f>
        <v>0</v>
      </c>
      <c r="BC31" s="21"/>
      <c r="BD31" s="47">
        <f>KH_26_OPT4_KTQT_v4[[#This Row],[SL-01]]*KH_26_OPT4_KTQT_v4[[#This Row],[GB-01]]*EXR</f>
        <v>0</v>
      </c>
      <c r="BE31" s="47">
        <f>KH_26_OPT4_KTQT_v4[[#This Row],[SL-02]]*KH_26_OPT4_KTQT_v4[[#This Row],[GB-02]]*EXR</f>
        <v>0</v>
      </c>
      <c r="BF31" s="47">
        <f>KH_26_OPT4_KTQT_v4[[#This Row],[SL-03]]*KH_26_OPT4_KTQT_v4[[#This Row],[GB-03]]*EXR</f>
        <v>0</v>
      </c>
      <c r="BG31" s="47">
        <f>KH_26_OPT4_KTQT_v4[[#This Row],[SL-04]]*KH_26_OPT4_KTQT_v4[[#This Row],[GB-04]]*EXR</f>
        <v>0</v>
      </c>
      <c r="BH31" s="47">
        <f>KH_26_OPT4_KTQT_v4[[#This Row],[SL-05]]*KH_26_OPT4_KTQT_v4[[#This Row],[GB-05]]*EXR</f>
        <v>0</v>
      </c>
      <c r="BI31" s="47">
        <f>KH_26_OPT4_KTQT_v4[[#This Row],[SL-06]]*KH_26_OPT4_KTQT_v4[[#This Row],[GB-06]]*EXR</f>
        <v>0</v>
      </c>
      <c r="BJ31" s="47">
        <f>KH_26_OPT4_KTQT_v4[[#This Row],[SL-07]]*KH_26_OPT4_KTQT_v4[[#This Row],[GB-07]]*EXR</f>
        <v>0</v>
      </c>
      <c r="BK31" s="47">
        <f>KH_26_OPT4_KTQT_v4[[#This Row],[SL-08]]*KH_26_OPT4_KTQT_v4[[#This Row],[GB-08]]*EXR</f>
        <v>0</v>
      </c>
      <c r="BL31" s="47">
        <f>KH_26_OPT4_KTQT_v4[[#This Row],[SL-09]]*KH_26_OPT4_KTQT_v4[[#This Row],[GB-09]]*EXR</f>
        <v>0</v>
      </c>
      <c r="BM31" s="47">
        <f>KH_26_OPT4_KTQT_v4[[#This Row],[SL-10]]*KH_26_OPT4_KTQT_v4[[#This Row],[GB-10]]*EXR</f>
        <v>0</v>
      </c>
      <c r="BN31" s="47">
        <f>KH_26_OPT4_KTQT_v4[[#This Row],[SL-11]]*KH_26_OPT4_KTQT_v4[[#This Row],[GB-11]]*EXR</f>
        <v>0</v>
      </c>
      <c r="BO31" s="47">
        <f>KH_26_OPT4_KTQT_v4[[#This Row],[SL-12]]*KH_26_OPT4_KTQT_v4[[#This Row],[GB-12]]*EXR</f>
        <v>0</v>
      </c>
      <c r="BP31" s="47">
        <f ca="1">SUM(KH_26_OPT4_KTQT_v4[[#This Row],[DT-EXW-01]:[DT-EXW-12]])</f>
        <v>0</v>
      </c>
      <c r="BQ31" s="47">
        <f ca="1">SUMIFS(DB_25[DT-DB25],DB_25[Mã khách],KH_26_OPT4_KTQT_v4[[#This Row],[Mã khách]],DB_25[Mã sản phẩm],KH_26_OPT4_KTQT_v4[[#This Row],[Mã sản phẩm]])</f>
        <v>0</v>
      </c>
      <c r="BR31" s="19">
        <f ca="1">KH_26_OPT4_KTQT_v4[[#This Row],[DT-EXW-KH26]]-KH_26_OPT4_KTQT_v4[[#This Row],[DT-EXW-DB25]]</f>
        <v>0</v>
      </c>
      <c r="BS31" s="21">
        <f ca="1">IFERROR(KH_26_OPT4_KTQT_v4[[#This Row],[DT-EXW-+/-]]/KH_26_OPT4_KTQT_v4[[#This Row],[DT-EXW-DB25]],0)</f>
        <v>0</v>
      </c>
      <c r="BT31" s="139"/>
      <c r="BU31" s="57"/>
      <c r="BV31" s="51"/>
      <c r="BW31" s="47">
        <f>IF(KH_26_OPT4_KTQT_v4[[#This Row],[CPHH-%-SL]]="Dthu",KH_26_OPT4_KTQT_v4[[#This Row],[%HH]]*KH_26_OPT4_KTQT_v4[[#This Row],[DT-EXW-01]],KH_26_OPT4_KTQT_v4[[#This Row],[HH-SL]]*KH_26_OPT4_KTQT_v4[[#This Row],[SL-01]])</f>
        <v>0</v>
      </c>
      <c r="BX31" s="47">
        <f>IF(KH_26_OPT4_KTQT_v4[[#This Row],[CPHH-%-SL]]="Dthu",KH_26_OPT4_KTQT_v4[[#This Row],[%HH]]*KH_26_OPT4_KTQT_v4[[#This Row],[DT-EXW-02]],KH_26_OPT4_KTQT_v4[[#This Row],[HH-SL]]*KH_26_OPT4_KTQT_v4[[#This Row],[SL-02]])</f>
        <v>0</v>
      </c>
      <c r="BY31" s="47">
        <f>IF(KH_26_OPT4_KTQT_v4[[#This Row],[CPHH-%-SL]]="Dthu",KH_26_OPT4_KTQT_v4[[#This Row],[%HH]]*KH_26_OPT4_KTQT_v4[[#This Row],[DT-EXW-03]],KH_26_OPT4_KTQT_v4[[#This Row],[HH-SL]]*KH_26_OPT4_KTQT_v4[[#This Row],[SL-03]])</f>
        <v>0</v>
      </c>
      <c r="BZ31" s="47">
        <f>IF(KH_26_OPT4_KTQT_v4[[#This Row],[CPHH-%-SL]]="Dthu",KH_26_OPT4_KTQT_v4[[#This Row],[%HH]]*KH_26_OPT4_KTQT_v4[[#This Row],[DT-EXW-04]],KH_26_OPT4_KTQT_v4[[#This Row],[HH-SL]]*KH_26_OPT4_KTQT_v4[[#This Row],[SL-04]])</f>
        <v>0</v>
      </c>
      <c r="CA31" s="47">
        <f>IF(KH_26_OPT4_KTQT_v4[[#This Row],[CPHH-%-SL]]="Dthu",KH_26_OPT4_KTQT_v4[[#This Row],[%HH]]*KH_26_OPT4_KTQT_v4[[#This Row],[DT-EXW-05]],KH_26_OPT4_KTQT_v4[[#This Row],[HH-SL]]*KH_26_OPT4_KTQT_v4[[#This Row],[SL-05]])</f>
        <v>0</v>
      </c>
      <c r="CB31" s="47">
        <f>IF(KH_26_OPT4_KTQT_v4[[#This Row],[CPHH-%-SL]]="Dthu",KH_26_OPT4_KTQT_v4[[#This Row],[%HH]]*KH_26_OPT4_KTQT_v4[[#This Row],[DT-EXW-06]],KH_26_OPT4_KTQT_v4[[#This Row],[HH-SL]]*KH_26_OPT4_KTQT_v4[[#This Row],[SL-06]])</f>
        <v>0</v>
      </c>
      <c r="CC31" s="47">
        <f>IF(KH_26_OPT4_KTQT_v4[[#This Row],[CPHH-%-SL]]="Dthu",KH_26_OPT4_KTQT_v4[[#This Row],[%HH]]*KH_26_OPT4_KTQT_v4[[#This Row],[DT-EXW-07]],KH_26_OPT4_KTQT_v4[[#This Row],[HH-SL]]*KH_26_OPT4_KTQT_v4[[#This Row],[SL-07]])</f>
        <v>0</v>
      </c>
      <c r="CD31" s="47">
        <f>IF(KH_26_OPT4_KTQT_v4[[#This Row],[CPHH-%-SL]]="Dthu",KH_26_OPT4_KTQT_v4[[#This Row],[%HH]]*KH_26_OPT4_KTQT_v4[[#This Row],[DT-EXW-08]],KH_26_OPT4_KTQT_v4[[#This Row],[HH-SL]]*KH_26_OPT4_KTQT_v4[[#This Row],[SL-08]])</f>
        <v>0</v>
      </c>
      <c r="CE31" s="47">
        <f>IF(KH_26_OPT4_KTQT_v4[[#This Row],[CPHH-%-SL]]="Dthu",KH_26_OPT4_KTQT_v4[[#This Row],[%HH]]*KH_26_OPT4_KTQT_v4[[#This Row],[DT-EXW-09]],KH_26_OPT4_KTQT_v4[[#This Row],[HH-SL]]*KH_26_OPT4_KTQT_v4[[#This Row],[SL-09]])</f>
        <v>0</v>
      </c>
      <c r="CF31" s="47">
        <f>IF(KH_26_OPT4_KTQT_v4[[#This Row],[CPHH-%-SL]]="Dthu",KH_26_OPT4_KTQT_v4[[#This Row],[%HH]]*KH_26_OPT4_KTQT_v4[[#This Row],[DT-EXW-10]],KH_26_OPT4_KTQT_v4[[#This Row],[HH-SL]]*KH_26_OPT4_KTQT_v4[[#This Row],[SL-10]])</f>
        <v>0</v>
      </c>
      <c r="CG31" s="47">
        <f>IF(KH_26_OPT4_KTQT_v4[[#This Row],[CPHH-%-SL]]="Dthu",KH_26_OPT4_KTQT_v4[[#This Row],[%HH]]*KH_26_OPT4_KTQT_v4[[#This Row],[DT-EXW-11]],KH_26_OPT4_KTQT_v4[[#This Row],[HH-SL]]*KH_26_OPT4_KTQT_v4[[#This Row],[SL-11]])</f>
        <v>0</v>
      </c>
      <c r="CH31" s="47">
        <f>IF(KH_26_OPT4_KTQT_v4[[#This Row],[CPHH-%-SL]]="Dthu",KH_26_OPT4_KTQT_v4[[#This Row],[%HH]]*KH_26_OPT4_KTQT_v4[[#This Row],[DT-EXW-12]],KH_26_OPT4_KTQT_v4[[#This Row],[HH-SL]]*KH_26_OPT4_KTQT_v4[[#This Row],[SL-12]])</f>
        <v>0</v>
      </c>
      <c r="CI31" s="47">
        <f ca="1">SUM(KH_26_OPT4_KTQT_v4[[#This Row],[CPHH-01]:[CPHH-12]])</f>
        <v>0</v>
      </c>
      <c r="CJ31" s="47" cm="1">
        <f t="array" ref="CJ31">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31" s="19">
        <f ca="1">SUM(KH_26_OPT4_KTQT_v4[[#This Row],[ĐGVCNĐ-KXK]:[ĐGVCCT-KXK]])</f>
        <v>0</v>
      </c>
      <c r="CL31" s="47" cm="1">
        <f t="array" ref="CL31">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31" s="47" cm="1">
        <f t="array" ref="CM31">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31" s="47">
        <f ca="1">(KH_26_OPT4_KTQT_v4[[#This Row],[ĐGVC-KNĐ]]+KH_26_OPT4_KTQT_v4[[#This Row],[ĐGVC-KXK]])*KH_26_OPT4_KTQT_v4[[#This Row],[SL-01]]</f>
        <v>0</v>
      </c>
      <c r="CO31" s="47">
        <f ca="1">(KH_26_OPT4_KTQT_v4[[#This Row],[ĐGVC-KNĐ]]+KH_26_OPT4_KTQT_v4[[#This Row],[ĐGVC-KXK]])*KH_26_OPT4_KTQT_v4[[#This Row],[SL-02]]</f>
        <v>0</v>
      </c>
      <c r="CP31" s="47">
        <f ca="1">(KH_26_OPT4_KTQT_v4[[#This Row],[ĐGVC-KNĐ]]+KH_26_OPT4_KTQT_v4[[#This Row],[ĐGVC-KXK]])*KH_26_OPT4_KTQT_v4[[#This Row],[SL-03]]</f>
        <v>0</v>
      </c>
      <c r="CQ31" s="47">
        <f ca="1">(KH_26_OPT4_KTQT_v4[[#This Row],[ĐGVC-KNĐ]]+KH_26_OPT4_KTQT_v4[[#This Row],[ĐGVC-KXK]])*KH_26_OPT4_KTQT_v4[[#This Row],[SL-04]]</f>
        <v>0</v>
      </c>
      <c r="CR31" s="47">
        <f ca="1">(KH_26_OPT4_KTQT_v4[[#This Row],[ĐGVC-KNĐ]]+KH_26_OPT4_KTQT_v4[[#This Row],[ĐGVC-KXK]])*KH_26_OPT4_KTQT_v4[[#This Row],[SL-05]]</f>
        <v>0</v>
      </c>
      <c r="CS31" s="47">
        <f ca="1">(KH_26_OPT4_KTQT_v4[[#This Row],[ĐGVC-KNĐ]]+KH_26_OPT4_KTQT_v4[[#This Row],[ĐGVC-KXK]])*KH_26_OPT4_KTQT_v4[[#This Row],[SL-06]]</f>
        <v>0</v>
      </c>
      <c r="CT31" s="47">
        <f ca="1">(KH_26_OPT4_KTQT_v4[[#This Row],[ĐGVC-KNĐ]]+KH_26_OPT4_KTQT_v4[[#This Row],[ĐGVC-KXK]])*KH_26_OPT4_KTQT_v4[[#This Row],[SL-07]]</f>
        <v>0</v>
      </c>
      <c r="CU31" s="47">
        <f ca="1">(KH_26_OPT4_KTQT_v4[[#This Row],[ĐGVC-KNĐ]]+KH_26_OPT4_KTQT_v4[[#This Row],[ĐGVC-KXK]])*KH_26_OPT4_KTQT_v4[[#This Row],[SL-08]]</f>
        <v>0</v>
      </c>
      <c r="CV31" s="47">
        <f ca="1">(KH_26_OPT4_KTQT_v4[[#This Row],[ĐGVC-KNĐ]]+KH_26_OPT4_KTQT_v4[[#This Row],[ĐGVC-KXK]])*KH_26_OPT4_KTQT_v4[[#This Row],[SL-09]]</f>
        <v>0</v>
      </c>
      <c r="CW31" s="47">
        <f ca="1">(KH_26_OPT4_KTQT_v4[[#This Row],[ĐGVC-KNĐ]]+KH_26_OPT4_KTQT_v4[[#This Row],[ĐGVC-KXK]])*KH_26_OPT4_KTQT_v4[[#This Row],[SL-10]]</f>
        <v>0</v>
      </c>
      <c r="CX31" s="47">
        <f ca="1">(KH_26_OPT4_KTQT_v4[[#This Row],[ĐGVC-KNĐ]]+KH_26_OPT4_KTQT_v4[[#This Row],[ĐGVC-KXK]])*KH_26_OPT4_KTQT_v4[[#This Row],[SL-11]]</f>
        <v>0</v>
      </c>
      <c r="CY31" s="47">
        <f ca="1">(KH_26_OPT4_KTQT_v4[[#This Row],[ĐGVC-KNĐ]]+KH_26_OPT4_KTQT_v4[[#This Row],[ĐGVC-KXK]])*KH_26_OPT4_KTQT_v4[[#This Row],[SL-12]]</f>
        <v>0</v>
      </c>
      <c r="CZ31" s="47">
        <f ca="1">SUM(KH_26_OPT4_KTQT_v4[[#This Row],[CPVC-01]:[CPVC-12]])</f>
        <v>0</v>
      </c>
      <c r="DA31" s="124">
        <f ca="1">KH_26_OPT4_KTQT_v4[[#This Row],[DT-EXW-01]]+KH_26_OPT4_KTQT_v4[[#This Row],[CPVC-01]]+KH_26_OPT4_KTQT_v4[[#This Row],[CPHH-01]]</f>
        <v>0</v>
      </c>
      <c r="DB31" s="47">
        <f ca="1">KH_26_OPT4_KTQT_v4[[#This Row],[DT-EXW-02]]+KH_26_OPT4_KTQT_v4[[#This Row],[CPVC-02]]+KH_26_OPT4_KTQT_v4[[#This Row],[CPHH-02]]</f>
        <v>0</v>
      </c>
      <c r="DC31" s="47">
        <f ca="1">KH_26_OPT4_KTQT_v4[[#This Row],[DT-EXW-03]]+KH_26_OPT4_KTQT_v4[[#This Row],[CPVC-03]]+KH_26_OPT4_KTQT_v4[[#This Row],[CPHH-03]]</f>
        <v>0</v>
      </c>
      <c r="DD31" s="47">
        <f ca="1">KH_26_OPT4_KTQT_v4[[#This Row],[DT-EXW-04]]+KH_26_OPT4_KTQT_v4[[#This Row],[CPVC-04]]+KH_26_OPT4_KTQT_v4[[#This Row],[CPHH-04]]</f>
        <v>0</v>
      </c>
      <c r="DE31" s="47">
        <f ca="1">KH_26_OPT4_KTQT_v4[[#This Row],[DT-EXW-05]]+KH_26_OPT4_KTQT_v4[[#This Row],[CPVC-05]]+KH_26_OPT4_KTQT_v4[[#This Row],[CPHH-05]]</f>
        <v>0</v>
      </c>
      <c r="DF31" s="47">
        <f ca="1">KH_26_OPT4_KTQT_v4[[#This Row],[DT-EXW-06]]+KH_26_OPT4_KTQT_v4[[#This Row],[CPVC-06]]+KH_26_OPT4_KTQT_v4[[#This Row],[CPHH-06]]</f>
        <v>0</v>
      </c>
      <c r="DG31" s="47">
        <f ca="1">KH_26_OPT4_KTQT_v4[[#This Row],[DT-EXW-07]]+KH_26_OPT4_KTQT_v4[[#This Row],[CPVC-07]]+KH_26_OPT4_KTQT_v4[[#This Row],[CPHH-07]]</f>
        <v>0</v>
      </c>
      <c r="DH31" s="47">
        <f ca="1">KH_26_OPT4_KTQT_v4[[#This Row],[DT-EXW-08]]+KH_26_OPT4_KTQT_v4[[#This Row],[CPVC-08]]+KH_26_OPT4_KTQT_v4[[#This Row],[CPHH-08]]</f>
        <v>0</v>
      </c>
      <c r="DI31" s="47">
        <f ca="1">KH_26_OPT4_KTQT_v4[[#This Row],[DT-EXW-09]]+KH_26_OPT4_KTQT_v4[[#This Row],[CPVC-09]]+KH_26_OPT4_KTQT_v4[[#This Row],[CPHH-09]]</f>
        <v>0</v>
      </c>
      <c r="DJ31" s="47">
        <f ca="1">KH_26_OPT4_KTQT_v4[[#This Row],[DT-EXW-10]]+KH_26_OPT4_KTQT_v4[[#This Row],[CPVC-10]]+KH_26_OPT4_KTQT_v4[[#This Row],[CPHH-10]]</f>
        <v>0</v>
      </c>
      <c r="DK31" s="47">
        <f ca="1">KH_26_OPT4_KTQT_v4[[#This Row],[DT-EXW-11]]+KH_26_OPT4_KTQT_v4[[#This Row],[CPVC-11]]+KH_26_OPT4_KTQT_v4[[#This Row],[CPHH-11]]</f>
        <v>0</v>
      </c>
      <c r="DL31" s="47">
        <f ca="1">KH_26_OPT4_KTQT_v4[[#This Row],[DT-EXW-12]]+KH_26_OPT4_KTQT_v4[[#This Row],[CPVC-12]]+KH_26_OPT4_KTQT_v4[[#This Row],[CPHH-12]]</f>
        <v>0</v>
      </c>
      <c r="DM31" s="47">
        <f ca="1">SUM(KH_26_OPT4_KTQT_v4[[#This Row],[DT-01]:[DT-12]])</f>
        <v>0</v>
      </c>
      <c r="DN31" s="7"/>
      <c r="DO31" s="7"/>
      <c r="DP31" s="125"/>
      <c r="DQ31" s="136"/>
      <c r="DR31" s="132">
        <f>IFERROR(KH_26_OPT4_KTQT_v4[[#This Row],[DT-EXW-01]]*KH_26_OPT4_KTQT_v4[[#This Row],[%CPDP]],0)</f>
        <v>0</v>
      </c>
      <c r="DS31" s="132">
        <f>IFERROR(KH_26_OPT4_KTQT_v4[[#This Row],[DT-EXW-02]]*KH_26_OPT4_KTQT_v4[[#This Row],[%CPDP]],0)</f>
        <v>0</v>
      </c>
      <c r="DT31" s="132">
        <f>IFERROR(KH_26_OPT4_KTQT_v4[[#This Row],[DT-EXW-03]]*KH_26_OPT4_KTQT_v4[[#This Row],[%CPDP]],0)</f>
        <v>0</v>
      </c>
      <c r="DU31" s="132">
        <f>IFERROR(KH_26_OPT4_KTQT_v4[[#This Row],[DT-EXW-04]]*KH_26_OPT4_KTQT_v4[[#This Row],[%CPDP]],0)</f>
        <v>0</v>
      </c>
      <c r="DV31" s="132">
        <f>IFERROR(KH_26_OPT4_KTQT_v4[[#This Row],[DT-EXW-05]]*KH_26_OPT4_KTQT_v4[[#This Row],[%CPDP]],0)</f>
        <v>0</v>
      </c>
      <c r="DW31" s="132">
        <f>IFERROR(KH_26_OPT4_KTQT_v4[[#This Row],[DT-EXW-06]]*KH_26_OPT4_KTQT_v4[[#This Row],[%CPDP]],0)</f>
        <v>0</v>
      </c>
      <c r="DX31" s="132">
        <f>IFERROR(KH_26_OPT4_KTQT_v4[[#This Row],[DT-EXW-07]]*KH_26_OPT4_KTQT_v4[[#This Row],[%CPDP]],0)</f>
        <v>0</v>
      </c>
      <c r="DY31" s="132">
        <f>IFERROR(KH_26_OPT4_KTQT_v4[[#This Row],[DT-EXW-08]]*KH_26_OPT4_KTQT_v4[[#This Row],[%CPDP]],0)</f>
        <v>0</v>
      </c>
      <c r="DZ31" s="132">
        <f>IFERROR(KH_26_OPT4_KTQT_v4[[#This Row],[DT-EXW-09]]*KH_26_OPT4_KTQT_v4[[#This Row],[%CPDP]],0)</f>
        <v>0</v>
      </c>
      <c r="EA31" s="132">
        <f>IFERROR(KH_26_OPT4_KTQT_v4[[#This Row],[DT-EXW-10]]*KH_26_OPT4_KTQT_v4[[#This Row],[%CPDP]],0)</f>
        <v>0</v>
      </c>
      <c r="EB31" s="132">
        <f>IFERROR(KH_26_OPT4_KTQT_v4[[#This Row],[DT-EXW-11]]*KH_26_OPT4_KTQT_v4[[#This Row],[%CPDP]],0)</f>
        <v>0</v>
      </c>
      <c r="EC31" s="132">
        <f>IFERROR(KH_26_OPT4_KTQT_v4[[#This Row],[DT-EXW-12]]*KH_26_OPT4_KTQT_v4[[#This Row],[%CPDP]],0)</f>
        <v>0</v>
      </c>
      <c r="ED31" s="131">
        <f ca="1">SUM(KH_26_OPT4_KTQT_v4[[#This Row],[CPDP-01]:[CPDP-12]])</f>
        <v>0</v>
      </c>
    </row>
    <row r="32" spans="1:134" ht="14.65" hidden="1" customHeight="1" x14ac:dyDescent="0.35">
      <c r="A32" s="18">
        <v>27</v>
      </c>
      <c r="B32" s="71" t="s">
        <v>95</v>
      </c>
      <c r="C32" s="18" t="str">
        <f>IFERROR(_xlfn.XLOOKUP(KH_26_OPT4_KTQT_v4[[#This Row],[Salesman]],MD_Salesman[Salesman],MD_Salesman[SalesManager]),"")</f>
        <v>Cường</v>
      </c>
      <c r="D32" s="72" t="str">
        <f>IFERROR(INDEX(MD_Customer[Mã khách],MATCH(KH_26_OPT4_KTQT_v4[[#This Row],[Tên khách]],MD_Customer[Tên khách-rút gọn],0)),"")</f>
        <v>200388</v>
      </c>
      <c r="E32" s="7" t="str">
        <f>IFERROR(INDEX(MD_Customer[Parent Account],MATCH(KH_26_OPT4_KTQT_v4[[#This Row],[Tên khách]],MD_Customer[Tên khách-rút gọn],0)),"")</f>
        <v>Svepol Americas Inc.</v>
      </c>
      <c r="F32" s="35" t="s">
        <v>123</v>
      </c>
      <c r="G32" s="7" t="str">
        <f>IFERROR(INDEX(MD_Customer[Phân loại],MATCH(KH_26_OPT4_KTQT_v4[[#This Row],[Tên khách]],MD_Customer[Tên khách-rút gọn],0)),"")</f>
        <v>Hiện hữu</v>
      </c>
      <c r="H32" s="7" t="str">
        <f>IFERROR(INDEX(MD_Customer[Kênh bán hàng],MATCH(KH_26_OPT4_KTQT_v4[[#This Row],[Tên khách]],MD_Customer[Tên khách-rút gọn],0)),"")</f>
        <v>Xuất khẩu</v>
      </c>
      <c r="I32" s="35" t="s">
        <v>277</v>
      </c>
      <c r="J32" s="7" t="str">
        <f>IFERROR(INDEX(MD_Destination[Nước],MATCH(KH_26_OPT4_KTQT_v4[[#This Row],[Địa điểm đến]],MD_Destination[Địa điểm đến],0)),"")</f>
        <v>Mỹ</v>
      </c>
      <c r="K32" s="7" t="str">
        <f>IFERROR(INDEX(MD_Destination[Khu vực],MATCH(KH_26_OPT4_KTQT_v4[[#This Row],[Địa điểm đến]],MD_Destination[Địa điểm đến],0)),"")</f>
        <v>Châu Mỹ</v>
      </c>
      <c r="L32" s="35" t="s">
        <v>278</v>
      </c>
      <c r="M32" s="7" t="str">
        <f>IFERROR(INDEX(MD_SKU[Mã SKU],MATCH(KH_26_OPT4_KTQT_v4[[#This Row],[Tên sản phẩm]],MD_SKU[Tên SKU-rút gọn],0)),"")</f>
        <v>110000355</v>
      </c>
      <c r="N32" s="35" t="s">
        <v>469</v>
      </c>
      <c r="O32" s="7" t="str">
        <f>IFERROR(INDEX(MD_SKU[Ngành hàng],MATCH(KH_26_OPT4_KTQT_v4[[#This Row],[Tên sản phẩm]],MD_SKU[Tên SKU-rút gọn],0)),"")</f>
        <v>rPET</v>
      </c>
      <c r="P32" s="7" t="str">
        <f>IFERROR(INDEX(MD_SKU[Nhóm ngành],MATCH(KH_26_OPT4_KTQT_v4[[#This Row],[Tên sản phẩm]],MD_SKU[Tên SKU-rút gọn],0)),"")</f>
        <v>Hạt PET</v>
      </c>
      <c r="Q32" s="7" t="str">
        <f>IFERROR(
   IF(INDEX(MD_SKU[IV/IM],MATCH(KH_26_OPT4_KTQT_v4[[#This Row],[Tên sản phẩm]],MD_SKU[Tên SKU-rút gọn],0))=0,
      "",
      INDEX(MD_SKU[IV/IM],MATCH(KH_26_OPT4_KTQT_v4[[#This Row],[Tên sản phẩm]],MD_SKU[Tên SKU-rút gọn],0))
   ),
"")</f>
        <v>0.80 ± 0.02</v>
      </c>
      <c r="R32" s="44">
        <f>IFERROR(INDEX(MD_SKU[Application],MATCH(KH_26_OPT4_KTQT_v4[[#This Row],[Tên sản phẩm]],MD_SKU[Tên SKU-rút gọn],0)),"")</f>
        <v>0</v>
      </c>
      <c r="S32" s="7" t="str">
        <f>IFERROR(INDEX(MD_SKU[Phân loại],MATCH(KH_26_OPT4_KTQT_v4[[#This Row],[Tên sản phẩm]],MD_SKU[Tên SKU-rút gọn],0)),"")</f>
        <v>Cũ</v>
      </c>
      <c r="T32" s="7" t="s">
        <v>123</v>
      </c>
      <c r="U32" s="7" t="s">
        <v>1508</v>
      </c>
      <c r="V32" s="70">
        <v>0.8</v>
      </c>
      <c r="W32" s="33"/>
      <c r="X32" s="33"/>
      <c r="Y32" s="33">
        <v>110</v>
      </c>
      <c r="Z32" s="33"/>
      <c r="AA32" s="33"/>
      <c r="AB32" s="33">
        <v>110</v>
      </c>
      <c r="AC32" s="33"/>
      <c r="AD32" s="33"/>
      <c r="AE32" s="33">
        <v>110</v>
      </c>
      <c r="AF32" s="33"/>
      <c r="AG32" s="33"/>
      <c r="AH32" s="33">
        <v>110</v>
      </c>
      <c r="AI32" s="47">
        <f ca="1">SUM(KH_26_OPT4_KTQT_v4[[#This Row],[SL-01]:[SL-12]])</f>
        <v>440</v>
      </c>
      <c r="AJ32" s="47">
        <f ca="1">SUMIFS(DB_25[SL-DB25],DB_25[Mã khách],KH_26_OPT4_KTQT_v4[[#This Row],[Mã khách]],DB_25[Mã sản phẩm],KH_26_OPT4_KTQT_v4[[#This Row],[Mã sản phẩm]])</f>
        <v>330</v>
      </c>
      <c r="AK32" s="20">
        <f ca="1">KH_26_OPT4_KTQT_v4[[#This Row],[SL-KH26]]-KH_26_OPT4_KTQT_v4[[#This Row],[SL-DB25]]</f>
        <v>110</v>
      </c>
      <c r="AL32" s="21">
        <f ca="1">IFERROR(KH_26_OPT4_KTQT_v4[[#This Row],[SL-+/-]]/KH_26_OPT4_KTQT_v4[[#This Row],[SL-DB25]],0)</f>
        <v>0.33333333333333331</v>
      </c>
      <c r="AM32" s="51">
        <v>1200</v>
      </c>
      <c r="AN32" s="51">
        <v>1200</v>
      </c>
      <c r="AO32" s="51">
        <v>1200</v>
      </c>
      <c r="AP32" s="51">
        <v>1200</v>
      </c>
      <c r="AQ32" s="51">
        <v>1200</v>
      </c>
      <c r="AR32" s="51">
        <v>1200</v>
      </c>
      <c r="AS32" s="51">
        <v>1200</v>
      </c>
      <c r="AT32" s="51">
        <v>1200</v>
      </c>
      <c r="AU32" s="51">
        <v>1200</v>
      </c>
      <c r="AV32" s="51">
        <v>1200</v>
      </c>
      <c r="AW32" s="51">
        <v>1200</v>
      </c>
      <c r="AX32" s="51">
        <v>1200</v>
      </c>
      <c r="AY32" s="23">
        <v>1200</v>
      </c>
      <c r="AZ32" s="7"/>
      <c r="BA32" s="24">
        <f>KH_26_OPT4_KTQT_v4[[#This Row],[GB-DB25]]-KH_26_OPT4_KTQT_v4[[#This Row],[GB-KH25]]</f>
        <v>1200</v>
      </c>
      <c r="BB32" s="21">
        <f>IFERROR(KH_26_OPT4_KTQT_v4[[#This Row],[GB-+/-]]/KH_26_OPT4_KTQT_v4[[#This Row],[GB-KH25]],0)</f>
        <v>0</v>
      </c>
      <c r="BC32" s="21" t="s">
        <v>534</v>
      </c>
      <c r="BD32" s="47">
        <f>KH_26_OPT4_KTQT_v4[[#This Row],[SL-01]]*KH_26_OPT4_KTQT_v4[[#This Row],[GB-01]]*EXR</f>
        <v>0</v>
      </c>
      <c r="BE32" s="47">
        <f>KH_26_OPT4_KTQT_v4[[#This Row],[SL-02]]*KH_26_OPT4_KTQT_v4[[#This Row],[GB-02]]*EXR</f>
        <v>0</v>
      </c>
      <c r="BF32" s="47">
        <f>KH_26_OPT4_KTQT_v4[[#This Row],[SL-03]]*KH_26_OPT4_KTQT_v4[[#This Row],[GB-03]]*EXR</f>
        <v>3498000000</v>
      </c>
      <c r="BG32" s="47">
        <f>KH_26_OPT4_KTQT_v4[[#This Row],[SL-04]]*KH_26_OPT4_KTQT_v4[[#This Row],[GB-04]]*EXR</f>
        <v>0</v>
      </c>
      <c r="BH32" s="47">
        <f>KH_26_OPT4_KTQT_v4[[#This Row],[SL-05]]*KH_26_OPT4_KTQT_v4[[#This Row],[GB-05]]*EXR</f>
        <v>0</v>
      </c>
      <c r="BI32" s="47">
        <f>KH_26_OPT4_KTQT_v4[[#This Row],[SL-06]]*KH_26_OPT4_KTQT_v4[[#This Row],[GB-06]]*EXR</f>
        <v>3498000000</v>
      </c>
      <c r="BJ32" s="47">
        <f>KH_26_OPT4_KTQT_v4[[#This Row],[SL-07]]*KH_26_OPT4_KTQT_v4[[#This Row],[GB-07]]*EXR</f>
        <v>0</v>
      </c>
      <c r="BK32" s="47">
        <f>KH_26_OPT4_KTQT_v4[[#This Row],[SL-08]]*KH_26_OPT4_KTQT_v4[[#This Row],[GB-08]]*EXR</f>
        <v>0</v>
      </c>
      <c r="BL32" s="47">
        <f>KH_26_OPT4_KTQT_v4[[#This Row],[SL-09]]*KH_26_OPT4_KTQT_v4[[#This Row],[GB-09]]*EXR</f>
        <v>3498000000</v>
      </c>
      <c r="BM32" s="47">
        <f>KH_26_OPT4_KTQT_v4[[#This Row],[SL-10]]*KH_26_OPT4_KTQT_v4[[#This Row],[GB-10]]*EXR</f>
        <v>0</v>
      </c>
      <c r="BN32" s="47">
        <f>KH_26_OPT4_KTQT_v4[[#This Row],[SL-11]]*KH_26_OPT4_KTQT_v4[[#This Row],[GB-11]]*EXR</f>
        <v>0</v>
      </c>
      <c r="BO32" s="47">
        <f>KH_26_OPT4_KTQT_v4[[#This Row],[SL-12]]*KH_26_OPT4_KTQT_v4[[#This Row],[GB-12]]*EXR</f>
        <v>3498000000</v>
      </c>
      <c r="BP32" s="47">
        <f ca="1">SUM(KH_26_OPT4_KTQT_v4[[#This Row],[DT-EXW-01]:[DT-EXW-12]])</f>
        <v>13992000000</v>
      </c>
      <c r="BQ32" s="47">
        <f ca="1">SUMIFS(DB_25[DT-DB25],DB_25[Mã khách],KH_26_OPT4_KTQT_v4[[#This Row],[Mã khách]],DB_25[Mã sản phẩm],KH_26_OPT4_KTQT_v4[[#This Row],[Mã sản phẩm]])</f>
        <v>10942233017.145329</v>
      </c>
      <c r="BR32" s="19">
        <f ca="1">KH_26_OPT4_KTQT_v4[[#This Row],[DT-EXW-KH26]]-KH_26_OPT4_KTQT_v4[[#This Row],[DT-EXW-DB25]]</f>
        <v>3049766982.8546715</v>
      </c>
      <c r="BS32" s="21">
        <f ca="1">IFERROR(KH_26_OPT4_KTQT_v4[[#This Row],[DT-EXW-+/-]]/KH_26_OPT4_KTQT_v4[[#This Row],[DT-EXW-DB25]],0)</f>
        <v>0.27871522915624325</v>
      </c>
      <c r="BT32" s="139"/>
      <c r="BU32" s="57"/>
      <c r="BV32" s="51"/>
      <c r="BW32" s="47">
        <f>IF(KH_26_OPT4_KTQT_v4[[#This Row],[CPHH-%-SL]]="Dthu",KH_26_OPT4_KTQT_v4[[#This Row],[%HH]]*KH_26_OPT4_KTQT_v4[[#This Row],[DT-EXW-01]],KH_26_OPT4_KTQT_v4[[#This Row],[HH-SL]]*KH_26_OPT4_KTQT_v4[[#This Row],[SL-01]])</f>
        <v>0</v>
      </c>
      <c r="BX32" s="47">
        <f>IF(KH_26_OPT4_KTQT_v4[[#This Row],[CPHH-%-SL]]="Dthu",KH_26_OPT4_KTQT_v4[[#This Row],[%HH]]*KH_26_OPT4_KTQT_v4[[#This Row],[DT-EXW-02]],KH_26_OPT4_KTQT_v4[[#This Row],[HH-SL]]*KH_26_OPT4_KTQT_v4[[#This Row],[SL-02]])</f>
        <v>0</v>
      </c>
      <c r="BY32" s="47">
        <f>IF(KH_26_OPT4_KTQT_v4[[#This Row],[CPHH-%-SL]]="Dthu",KH_26_OPT4_KTQT_v4[[#This Row],[%HH]]*KH_26_OPT4_KTQT_v4[[#This Row],[DT-EXW-03]],KH_26_OPT4_KTQT_v4[[#This Row],[HH-SL]]*KH_26_OPT4_KTQT_v4[[#This Row],[SL-03]])</f>
        <v>0</v>
      </c>
      <c r="BZ32" s="47">
        <f>IF(KH_26_OPT4_KTQT_v4[[#This Row],[CPHH-%-SL]]="Dthu",KH_26_OPT4_KTQT_v4[[#This Row],[%HH]]*KH_26_OPT4_KTQT_v4[[#This Row],[DT-EXW-04]],KH_26_OPT4_KTQT_v4[[#This Row],[HH-SL]]*KH_26_OPT4_KTQT_v4[[#This Row],[SL-04]])</f>
        <v>0</v>
      </c>
      <c r="CA32" s="47">
        <f>IF(KH_26_OPT4_KTQT_v4[[#This Row],[CPHH-%-SL]]="Dthu",KH_26_OPT4_KTQT_v4[[#This Row],[%HH]]*KH_26_OPT4_KTQT_v4[[#This Row],[DT-EXW-05]],KH_26_OPT4_KTQT_v4[[#This Row],[HH-SL]]*KH_26_OPT4_KTQT_v4[[#This Row],[SL-05]])</f>
        <v>0</v>
      </c>
      <c r="CB32" s="47">
        <f>IF(KH_26_OPT4_KTQT_v4[[#This Row],[CPHH-%-SL]]="Dthu",KH_26_OPT4_KTQT_v4[[#This Row],[%HH]]*KH_26_OPT4_KTQT_v4[[#This Row],[DT-EXW-06]],KH_26_OPT4_KTQT_v4[[#This Row],[HH-SL]]*KH_26_OPT4_KTQT_v4[[#This Row],[SL-06]])</f>
        <v>0</v>
      </c>
      <c r="CC32" s="47">
        <f>IF(KH_26_OPT4_KTQT_v4[[#This Row],[CPHH-%-SL]]="Dthu",KH_26_OPT4_KTQT_v4[[#This Row],[%HH]]*KH_26_OPT4_KTQT_v4[[#This Row],[DT-EXW-07]],KH_26_OPT4_KTQT_v4[[#This Row],[HH-SL]]*KH_26_OPT4_KTQT_v4[[#This Row],[SL-07]])</f>
        <v>0</v>
      </c>
      <c r="CD32" s="47">
        <f>IF(KH_26_OPT4_KTQT_v4[[#This Row],[CPHH-%-SL]]="Dthu",KH_26_OPT4_KTQT_v4[[#This Row],[%HH]]*KH_26_OPT4_KTQT_v4[[#This Row],[DT-EXW-08]],KH_26_OPT4_KTQT_v4[[#This Row],[HH-SL]]*KH_26_OPT4_KTQT_v4[[#This Row],[SL-08]])</f>
        <v>0</v>
      </c>
      <c r="CE32" s="47">
        <f>IF(KH_26_OPT4_KTQT_v4[[#This Row],[CPHH-%-SL]]="Dthu",KH_26_OPT4_KTQT_v4[[#This Row],[%HH]]*KH_26_OPT4_KTQT_v4[[#This Row],[DT-EXW-09]],KH_26_OPT4_KTQT_v4[[#This Row],[HH-SL]]*KH_26_OPT4_KTQT_v4[[#This Row],[SL-09]])</f>
        <v>0</v>
      </c>
      <c r="CF32" s="47">
        <f>IF(KH_26_OPT4_KTQT_v4[[#This Row],[CPHH-%-SL]]="Dthu",KH_26_OPT4_KTQT_v4[[#This Row],[%HH]]*KH_26_OPT4_KTQT_v4[[#This Row],[DT-EXW-10]],KH_26_OPT4_KTQT_v4[[#This Row],[HH-SL]]*KH_26_OPT4_KTQT_v4[[#This Row],[SL-10]])</f>
        <v>0</v>
      </c>
      <c r="CG32" s="47">
        <f>IF(KH_26_OPT4_KTQT_v4[[#This Row],[CPHH-%-SL]]="Dthu",KH_26_OPT4_KTQT_v4[[#This Row],[%HH]]*KH_26_OPT4_KTQT_v4[[#This Row],[DT-EXW-11]],KH_26_OPT4_KTQT_v4[[#This Row],[HH-SL]]*KH_26_OPT4_KTQT_v4[[#This Row],[SL-11]])</f>
        <v>0</v>
      </c>
      <c r="CH32" s="47">
        <f>IF(KH_26_OPT4_KTQT_v4[[#This Row],[CPHH-%-SL]]="Dthu",KH_26_OPT4_KTQT_v4[[#This Row],[%HH]]*KH_26_OPT4_KTQT_v4[[#This Row],[DT-EXW-12]],KH_26_OPT4_KTQT_v4[[#This Row],[HH-SL]]*KH_26_OPT4_KTQT_v4[[#This Row],[SL-12]])</f>
        <v>0</v>
      </c>
      <c r="CI32" s="47">
        <f ca="1">SUM(KH_26_OPT4_KTQT_v4[[#This Row],[CPHH-01]:[CPHH-12]])</f>
        <v>0</v>
      </c>
      <c r="CJ32" s="47" cm="1">
        <f t="array" ref="CJ32">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32" s="19">
        <f ca="1">SUM(KH_26_OPT4_KTQT_v4[[#This Row],[ĐGVCNĐ-KXK]:[ĐGVCCT-KXK]])</f>
        <v>530000</v>
      </c>
      <c r="CL32" s="47" cm="1">
        <f t="array" ref="CL32">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530000</v>
      </c>
      <c r="CM32" s="47" cm="1">
        <f t="array" ref="CM32">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32" s="47">
        <f ca="1">(KH_26_OPT4_KTQT_v4[[#This Row],[ĐGVC-KNĐ]]+KH_26_OPT4_KTQT_v4[[#This Row],[ĐGVC-KXK]])*KH_26_OPT4_KTQT_v4[[#This Row],[SL-01]]</f>
        <v>0</v>
      </c>
      <c r="CO32" s="47">
        <f ca="1">(KH_26_OPT4_KTQT_v4[[#This Row],[ĐGVC-KNĐ]]+KH_26_OPT4_KTQT_v4[[#This Row],[ĐGVC-KXK]])*KH_26_OPT4_KTQT_v4[[#This Row],[SL-02]]</f>
        <v>0</v>
      </c>
      <c r="CP32" s="47">
        <f ca="1">(KH_26_OPT4_KTQT_v4[[#This Row],[ĐGVC-KNĐ]]+KH_26_OPT4_KTQT_v4[[#This Row],[ĐGVC-KXK]])*KH_26_OPT4_KTQT_v4[[#This Row],[SL-03]]</f>
        <v>58300000</v>
      </c>
      <c r="CQ32" s="47">
        <f ca="1">(KH_26_OPT4_KTQT_v4[[#This Row],[ĐGVC-KNĐ]]+KH_26_OPT4_KTQT_v4[[#This Row],[ĐGVC-KXK]])*KH_26_OPT4_KTQT_v4[[#This Row],[SL-04]]</f>
        <v>0</v>
      </c>
      <c r="CR32" s="47">
        <f ca="1">(KH_26_OPT4_KTQT_v4[[#This Row],[ĐGVC-KNĐ]]+KH_26_OPT4_KTQT_v4[[#This Row],[ĐGVC-KXK]])*KH_26_OPT4_KTQT_v4[[#This Row],[SL-05]]</f>
        <v>0</v>
      </c>
      <c r="CS32" s="47">
        <f ca="1">(KH_26_OPT4_KTQT_v4[[#This Row],[ĐGVC-KNĐ]]+KH_26_OPT4_KTQT_v4[[#This Row],[ĐGVC-KXK]])*KH_26_OPT4_KTQT_v4[[#This Row],[SL-06]]</f>
        <v>58300000</v>
      </c>
      <c r="CT32" s="47">
        <f ca="1">(KH_26_OPT4_KTQT_v4[[#This Row],[ĐGVC-KNĐ]]+KH_26_OPT4_KTQT_v4[[#This Row],[ĐGVC-KXK]])*KH_26_OPT4_KTQT_v4[[#This Row],[SL-07]]</f>
        <v>0</v>
      </c>
      <c r="CU32" s="47">
        <f ca="1">(KH_26_OPT4_KTQT_v4[[#This Row],[ĐGVC-KNĐ]]+KH_26_OPT4_KTQT_v4[[#This Row],[ĐGVC-KXK]])*KH_26_OPT4_KTQT_v4[[#This Row],[SL-08]]</f>
        <v>0</v>
      </c>
      <c r="CV32" s="47">
        <f ca="1">(KH_26_OPT4_KTQT_v4[[#This Row],[ĐGVC-KNĐ]]+KH_26_OPT4_KTQT_v4[[#This Row],[ĐGVC-KXK]])*KH_26_OPT4_KTQT_v4[[#This Row],[SL-09]]</f>
        <v>58300000</v>
      </c>
      <c r="CW32" s="47">
        <f ca="1">(KH_26_OPT4_KTQT_v4[[#This Row],[ĐGVC-KNĐ]]+KH_26_OPT4_KTQT_v4[[#This Row],[ĐGVC-KXK]])*KH_26_OPT4_KTQT_v4[[#This Row],[SL-10]]</f>
        <v>0</v>
      </c>
      <c r="CX32" s="47">
        <f ca="1">(KH_26_OPT4_KTQT_v4[[#This Row],[ĐGVC-KNĐ]]+KH_26_OPT4_KTQT_v4[[#This Row],[ĐGVC-KXK]])*KH_26_OPT4_KTQT_v4[[#This Row],[SL-11]]</f>
        <v>0</v>
      </c>
      <c r="CY32" s="47">
        <f ca="1">(KH_26_OPT4_KTQT_v4[[#This Row],[ĐGVC-KNĐ]]+KH_26_OPT4_KTQT_v4[[#This Row],[ĐGVC-KXK]])*KH_26_OPT4_KTQT_v4[[#This Row],[SL-12]]</f>
        <v>58300000</v>
      </c>
      <c r="CZ32" s="47">
        <f ca="1">SUM(KH_26_OPT4_KTQT_v4[[#This Row],[CPVC-01]:[CPVC-12]])</f>
        <v>233200000</v>
      </c>
      <c r="DA32" s="124">
        <f ca="1">KH_26_OPT4_KTQT_v4[[#This Row],[DT-EXW-01]]+KH_26_OPT4_KTQT_v4[[#This Row],[CPVC-01]]+KH_26_OPT4_KTQT_v4[[#This Row],[CPHH-01]]</f>
        <v>0</v>
      </c>
      <c r="DB32" s="47">
        <f ca="1">KH_26_OPT4_KTQT_v4[[#This Row],[DT-EXW-02]]+KH_26_OPT4_KTQT_v4[[#This Row],[CPVC-02]]+KH_26_OPT4_KTQT_v4[[#This Row],[CPHH-02]]</f>
        <v>0</v>
      </c>
      <c r="DC32" s="47">
        <f ca="1">KH_26_OPT4_KTQT_v4[[#This Row],[DT-EXW-03]]+KH_26_OPT4_KTQT_v4[[#This Row],[CPVC-03]]+KH_26_OPT4_KTQT_v4[[#This Row],[CPHH-03]]</f>
        <v>3556300000</v>
      </c>
      <c r="DD32" s="47">
        <f ca="1">KH_26_OPT4_KTQT_v4[[#This Row],[DT-EXW-04]]+KH_26_OPT4_KTQT_v4[[#This Row],[CPVC-04]]+KH_26_OPT4_KTQT_v4[[#This Row],[CPHH-04]]</f>
        <v>0</v>
      </c>
      <c r="DE32" s="47">
        <f ca="1">KH_26_OPT4_KTQT_v4[[#This Row],[DT-EXW-05]]+KH_26_OPT4_KTQT_v4[[#This Row],[CPVC-05]]+KH_26_OPT4_KTQT_v4[[#This Row],[CPHH-05]]</f>
        <v>0</v>
      </c>
      <c r="DF32" s="47">
        <f ca="1">KH_26_OPT4_KTQT_v4[[#This Row],[DT-EXW-06]]+KH_26_OPT4_KTQT_v4[[#This Row],[CPVC-06]]+KH_26_OPT4_KTQT_v4[[#This Row],[CPHH-06]]</f>
        <v>3556300000</v>
      </c>
      <c r="DG32" s="47">
        <f ca="1">KH_26_OPT4_KTQT_v4[[#This Row],[DT-EXW-07]]+KH_26_OPT4_KTQT_v4[[#This Row],[CPVC-07]]+KH_26_OPT4_KTQT_v4[[#This Row],[CPHH-07]]</f>
        <v>0</v>
      </c>
      <c r="DH32" s="47">
        <f ca="1">KH_26_OPT4_KTQT_v4[[#This Row],[DT-EXW-08]]+KH_26_OPT4_KTQT_v4[[#This Row],[CPVC-08]]+KH_26_OPT4_KTQT_v4[[#This Row],[CPHH-08]]</f>
        <v>0</v>
      </c>
      <c r="DI32" s="47">
        <f ca="1">KH_26_OPT4_KTQT_v4[[#This Row],[DT-EXW-09]]+KH_26_OPT4_KTQT_v4[[#This Row],[CPVC-09]]+KH_26_OPT4_KTQT_v4[[#This Row],[CPHH-09]]</f>
        <v>3556300000</v>
      </c>
      <c r="DJ32" s="47">
        <f ca="1">KH_26_OPT4_KTQT_v4[[#This Row],[DT-EXW-10]]+KH_26_OPT4_KTQT_v4[[#This Row],[CPVC-10]]+KH_26_OPT4_KTQT_v4[[#This Row],[CPHH-10]]</f>
        <v>0</v>
      </c>
      <c r="DK32" s="47">
        <f ca="1">KH_26_OPT4_KTQT_v4[[#This Row],[DT-EXW-11]]+KH_26_OPT4_KTQT_v4[[#This Row],[CPVC-11]]+KH_26_OPT4_KTQT_v4[[#This Row],[CPHH-11]]</f>
        <v>0</v>
      </c>
      <c r="DL32" s="47">
        <f ca="1">KH_26_OPT4_KTQT_v4[[#This Row],[DT-EXW-12]]+KH_26_OPT4_KTQT_v4[[#This Row],[CPVC-12]]+KH_26_OPT4_KTQT_v4[[#This Row],[CPHH-12]]</f>
        <v>3556300000</v>
      </c>
      <c r="DM32" s="47">
        <f ca="1">SUM(KH_26_OPT4_KTQT_v4[[#This Row],[DT-01]:[DT-12]])</f>
        <v>14225200000</v>
      </c>
      <c r="DN32" s="7"/>
      <c r="DO32" s="7"/>
      <c r="DP32" s="125"/>
      <c r="DQ32" s="136">
        <v>0.1</v>
      </c>
      <c r="DR32" s="132">
        <f>IFERROR(KH_26_OPT4_KTQT_v4[[#This Row],[DT-EXW-01]]*KH_26_OPT4_KTQT_v4[[#This Row],[%CPDP]],0)</f>
        <v>0</v>
      </c>
      <c r="DS32" s="132">
        <f>IFERROR(KH_26_OPT4_KTQT_v4[[#This Row],[DT-EXW-02]]*KH_26_OPT4_KTQT_v4[[#This Row],[%CPDP]],0)</f>
        <v>0</v>
      </c>
      <c r="DT32" s="132">
        <f>IFERROR(KH_26_OPT4_KTQT_v4[[#This Row],[DT-EXW-03]]*KH_26_OPT4_KTQT_v4[[#This Row],[%CPDP]],0)</f>
        <v>349800000</v>
      </c>
      <c r="DU32" s="132">
        <f>IFERROR(KH_26_OPT4_KTQT_v4[[#This Row],[DT-EXW-04]]*KH_26_OPT4_KTQT_v4[[#This Row],[%CPDP]],0)</f>
        <v>0</v>
      </c>
      <c r="DV32" s="132">
        <f>IFERROR(KH_26_OPT4_KTQT_v4[[#This Row],[DT-EXW-05]]*KH_26_OPT4_KTQT_v4[[#This Row],[%CPDP]],0)</f>
        <v>0</v>
      </c>
      <c r="DW32" s="132">
        <f>IFERROR(KH_26_OPT4_KTQT_v4[[#This Row],[DT-EXW-06]]*KH_26_OPT4_KTQT_v4[[#This Row],[%CPDP]],0)</f>
        <v>349800000</v>
      </c>
      <c r="DX32" s="132">
        <f>IFERROR(KH_26_OPT4_KTQT_v4[[#This Row],[DT-EXW-07]]*KH_26_OPT4_KTQT_v4[[#This Row],[%CPDP]],0)</f>
        <v>0</v>
      </c>
      <c r="DY32" s="132">
        <f>IFERROR(KH_26_OPT4_KTQT_v4[[#This Row],[DT-EXW-08]]*KH_26_OPT4_KTQT_v4[[#This Row],[%CPDP]],0)</f>
        <v>0</v>
      </c>
      <c r="DZ32" s="132">
        <f>IFERROR(KH_26_OPT4_KTQT_v4[[#This Row],[DT-EXW-09]]*KH_26_OPT4_KTQT_v4[[#This Row],[%CPDP]],0)</f>
        <v>349800000</v>
      </c>
      <c r="EA32" s="132">
        <f>IFERROR(KH_26_OPT4_KTQT_v4[[#This Row],[DT-EXW-10]]*KH_26_OPT4_KTQT_v4[[#This Row],[%CPDP]],0)</f>
        <v>0</v>
      </c>
      <c r="EB32" s="132">
        <f>IFERROR(KH_26_OPT4_KTQT_v4[[#This Row],[DT-EXW-11]]*KH_26_OPT4_KTQT_v4[[#This Row],[%CPDP]],0)</f>
        <v>0</v>
      </c>
      <c r="EC32" s="132">
        <f>IFERROR(KH_26_OPT4_KTQT_v4[[#This Row],[DT-EXW-12]]*KH_26_OPT4_KTQT_v4[[#This Row],[%CPDP]],0)</f>
        <v>349800000</v>
      </c>
      <c r="ED32" s="131">
        <f ca="1">SUM(KH_26_OPT4_KTQT_v4[[#This Row],[CPDP-01]:[CPDP-12]])</f>
        <v>1399200000</v>
      </c>
    </row>
    <row r="33" spans="1:134" ht="14.65" hidden="1" customHeight="1" x14ac:dyDescent="0.35">
      <c r="A33" s="18">
        <v>28</v>
      </c>
      <c r="B33" s="71" t="s">
        <v>104</v>
      </c>
      <c r="C33" s="18" t="str">
        <f>IFERROR(_xlfn.XLOOKUP(KH_26_OPT4_KTQT_v4[[#This Row],[Salesman]],MD_Salesman[Salesman],MD_Salesman[SalesManager]),"")</f>
        <v>Quốc Anh</v>
      </c>
      <c r="D33" s="72" t="str">
        <f>IFERROR(INDEX(MD_Customer[Mã khách],MATCH(KH_26_OPT4_KTQT_v4[[#This Row],[Tên khách]],MD_Customer[Tên khách-rút gọn],0)),"")</f>
        <v>NS26-NEWCUS-010</v>
      </c>
      <c r="E33" s="7" t="str">
        <f>IFERROR(INDEX(MD_Customer[Parent Account],MATCH(KH_26_OPT4_KTQT_v4[[#This Row],[Tên khách]],MD_Customer[Tên khách-rút gọn],0)),"")</f>
        <v>Serioplast</v>
      </c>
      <c r="F33" s="35" t="s">
        <v>43</v>
      </c>
      <c r="G33" s="7" t="str">
        <f>IFERROR(INDEX(MD_Customer[Phân loại],MATCH(KH_26_OPT4_KTQT_v4[[#This Row],[Tên khách]],MD_Customer[Tên khách-rút gọn],0)),"")</f>
        <v>Mới</v>
      </c>
      <c r="H33" s="7" t="str">
        <f>IFERROR(INDEX(MD_Customer[Kênh bán hàng],MATCH(KH_26_OPT4_KTQT_v4[[#This Row],[Tên khách]],MD_Customer[Tên khách-rút gọn],0)),"")</f>
        <v>Xuất Khẩu</v>
      </c>
      <c r="I33" s="35" t="s">
        <v>290</v>
      </c>
      <c r="J33" s="7" t="str">
        <f>IFERROR(INDEX(MD_Destination[Nước],MATCH(KH_26_OPT4_KTQT_v4[[#This Row],[Địa điểm đến]],MD_Destination[Địa điểm đến],0)),"")</f>
        <v>Ý</v>
      </c>
      <c r="K33" s="7" t="str">
        <f>IFERROR(INDEX(MD_Destination[Khu vực],MATCH(KH_26_OPT4_KTQT_v4[[#This Row],[Địa điểm đến]],MD_Destination[Địa điểm đến],0)),"")</f>
        <v>Châu Âu</v>
      </c>
      <c r="L33" s="35" t="s">
        <v>278</v>
      </c>
      <c r="M33" s="7" t="str">
        <f>IFERROR(INDEX(MD_SKU[Mã SKU],MATCH(KH_26_OPT4_KTQT_v4[[#This Row],[Tên sản phẩm]],MD_SKU[Tên SKU-rút gọn],0)),"")</f>
        <v>110000443</v>
      </c>
      <c r="N33" s="35" t="s">
        <v>504</v>
      </c>
      <c r="O33" s="7" t="str">
        <f>IFERROR(INDEX(MD_SKU[Ngành hàng],MATCH(KH_26_OPT4_KTQT_v4[[#This Row],[Tên sản phẩm]],MD_SKU[Tên SKU-rút gọn],0)),"")</f>
        <v>rHDPE thổi</v>
      </c>
      <c r="P33" s="7" t="str">
        <f>IFERROR(INDEX(MD_SKU[Nhóm ngành],MATCH(KH_26_OPT4_KTQT_v4[[#This Row],[Tên sản phẩm]],MD_SKU[Tên SKU-rút gọn],0)),"")</f>
        <v>Hạt HD thổi</v>
      </c>
      <c r="Q33" s="7" t="str">
        <f>IFERROR(
   IF(INDEX(MD_SKU[IV/IM],MATCH(KH_26_OPT4_KTQT_v4[[#This Row],[Tên sản phẩm]],MD_SKU[Tên SKU-rút gọn],0))=0,
      "",
      INDEX(MD_SKU[IV/IM],MATCH(KH_26_OPT4_KTQT_v4[[#This Row],[Tên sản phẩm]],MD_SKU[Tên SKU-rút gọn],0))
   ),
"")</f>
        <v/>
      </c>
      <c r="R33" s="44" t="str">
        <f>IFERROR(INDEX(MD_SKU[Application],MATCH(KH_26_OPT4_KTQT_v4[[#This Row],[Tên sản phẩm]],MD_SKU[Tên SKU-rút gọn],0)),"")</f>
        <v>THỔI CHAI</v>
      </c>
      <c r="S33" s="7" t="str">
        <f>IFERROR(INDEX(MD_SKU[Phân loại],MATCH(KH_26_OPT4_KTQT_v4[[#This Row],[Tên sản phẩm]],MD_SKU[Tên SKU-rút gọn],0)),"")</f>
        <v>Cũ</v>
      </c>
      <c r="T33" s="7" t="s">
        <v>541</v>
      </c>
      <c r="U33" s="7" t="s">
        <v>1508</v>
      </c>
      <c r="V33" s="70">
        <v>0.8</v>
      </c>
      <c r="W33" s="7">
        <v>0</v>
      </c>
      <c r="X33" s="7">
        <v>22</v>
      </c>
      <c r="Y33" s="7">
        <v>22</v>
      </c>
      <c r="Z33" s="7">
        <v>44</v>
      </c>
      <c r="AA33" s="7">
        <v>44</v>
      </c>
      <c r="AB33" s="7">
        <v>44</v>
      </c>
      <c r="AC33" s="7">
        <v>44</v>
      </c>
      <c r="AD33" s="7">
        <v>66</v>
      </c>
      <c r="AE33" s="7">
        <v>66</v>
      </c>
      <c r="AF33" s="7">
        <v>66</v>
      </c>
      <c r="AG33" s="7">
        <v>66</v>
      </c>
      <c r="AH33" s="7">
        <v>66</v>
      </c>
      <c r="AI33" s="47">
        <f ca="1">SUM(KH_26_OPT4_KTQT_v4[[#This Row],[SL-01]:[SL-12]])</f>
        <v>550</v>
      </c>
      <c r="AJ33" s="47">
        <f ca="1">SUMIFS(DB_25[SL-DB25],DB_25[Mã khách],KH_26_OPT4_KTQT_v4[[#This Row],[Mã khách]],DB_25[Mã sản phẩm],KH_26_OPT4_KTQT_v4[[#This Row],[Mã sản phẩm]])</f>
        <v>0</v>
      </c>
      <c r="AK33" s="20">
        <f ca="1">KH_26_OPT4_KTQT_v4[[#This Row],[SL-KH26]]-KH_26_OPT4_KTQT_v4[[#This Row],[SL-DB25]]</f>
        <v>550</v>
      </c>
      <c r="AL33" s="21">
        <f ca="1">IFERROR(KH_26_OPT4_KTQT_v4[[#This Row],[SL-+/-]]/KH_26_OPT4_KTQT_v4[[#This Row],[SL-DB25]],0)</f>
        <v>0</v>
      </c>
      <c r="AM33" s="51">
        <v>1260</v>
      </c>
      <c r="AN33" s="51">
        <v>1241</v>
      </c>
      <c r="AO33" s="51">
        <v>1222</v>
      </c>
      <c r="AP33" s="51">
        <v>1203</v>
      </c>
      <c r="AQ33" s="51">
        <v>1184</v>
      </c>
      <c r="AR33" s="51">
        <v>1165</v>
      </c>
      <c r="AS33" s="51">
        <v>1146</v>
      </c>
      <c r="AT33" s="51">
        <v>1127</v>
      </c>
      <c r="AU33" s="51">
        <v>1108</v>
      </c>
      <c r="AV33" s="51">
        <v>1089</v>
      </c>
      <c r="AW33" s="51">
        <v>1070</v>
      </c>
      <c r="AX33" s="51">
        <v>1051</v>
      </c>
      <c r="AY33" s="23">
        <v>1155.5</v>
      </c>
      <c r="AZ33" s="7"/>
      <c r="BA33" s="24">
        <f>KH_26_OPT4_KTQT_v4[[#This Row],[GB-DB25]]-KH_26_OPT4_KTQT_v4[[#This Row],[GB-KH25]]</f>
        <v>1155.5</v>
      </c>
      <c r="BB33" s="21">
        <f>IFERROR(KH_26_OPT4_KTQT_v4[[#This Row],[GB-+/-]]/KH_26_OPT4_KTQT_v4[[#This Row],[GB-KH25]],0)</f>
        <v>0</v>
      </c>
      <c r="BC33" s="21"/>
      <c r="BD33" s="47">
        <f>KH_26_OPT4_KTQT_v4[[#This Row],[SL-01]]*KH_26_OPT4_KTQT_v4[[#This Row],[GB-01]]*EXR</f>
        <v>0</v>
      </c>
      <c r="BE33" s="47">
        <f>KH_26_OPT4_KTQT_v4[[#This Row],[SL-02]]*KH_26_OPT4_KTQT_v4[[#This Row],[GB-02]]*EXR</f>
        <v>723503000</v>
      </c>
      <c r="BF33" s="47">
        <f>KH_26_OPT4_KTQT_v4[[#This Row],[SL-03]]*KH_26_OPT4_KTQT_v4[[#This Row],[GB-03]]*EXR</f>
        <v>712426000</v>
      </c>
      <c r="BG33" s="47">
        <f>KH_26_OPT4_KTQT_v4[[#This Row],[SL-04]]*KH_26_OPT4_KTQT_v4[[#This Row],[GB-04]]*EXR</f>
        <v>1402698000</v>
      </c>
      <c r="BH33" s="47">
        <f>KH_26_OPT4_KTQT_v4[[#This Row],[SL-05]]*KH_26_OPT4_KTQT_v4[[#This Row],[GB-05]]*EXR</f>
        <v>1380544000</v>
      </c>
      <c r="BI33" s="47">
        <f>KH_26_OPT4_KTQT_v4[[#This Row],[SL-06]]*KH_26_OPT4_KTQT_v4[[#This Row],[GB-06]]*EXR</f>
        <v>1358390000</v>
      </c>
      <c r="BJ33" s="47">
        <f>KH_26_OPT4_KTQT_v4[[#This Row],[SL-07]]*KH_26_OPT4_KTQT_v4[[#This Row],[GB-07]]*EXR</f>
        <v>1336236000</v>
      </c>
      <c r="BK33" s="47">
        <f>KH_26_OPT4_KTQT_v4[[#This Row],[SL-08]]*KH_26_OPT4_KTQT_v4[[#This Row],[GB-08]]*EXR</f>
        <v>1971123000</v>
      </c>
      <c r="BL33" s="47">
        <f>KH_26_OPT4_KTQT_v4[[#This Row],[SL-09]]*KH_26_OPT4_KTQT_v4[[#This Row],[GB-09]]*EXR</f>
        <v>1937892000</v>
      </c>
      <c r="BM33" s="47">
        <f>KH_26_OPT4_KTQT_v4[[#This Row],[SL-10]]*KH_26_OPT4_KTQT_v4[[#This Row],[GB-10]]*EXR</f>
        <v>1904661000</v>
      </c>
      <c r="BN33" s="47">
        <f>KH_26_OPT4_KTQT_v4[[#This Row],[SL-11]]*KH_26_OPT4_KTQT_v4[[#This Row],[GB-11]]*EXR</f>
        <v>1871430000</v>
      </c>
      <c r="BO33" s="47">
        <f>KH_26_OPT4_KTQT_v4[[#This Row],[SL-12]]*KH_26_OPT4_KTQT_v4[[#This Row],[GB-12]]*EXR</f>
        <v>1838199000</v>
      </c>
      <c r="BP33" s="47">
        <f ca="1">SUM(KH_26_OPT4_KTQT_v4[[#This Row],[DT-EXW-01]:[DT-EXW-12]])</f>
        <v>16437102000</v>
      </c>
      <c r="BQ33" s="47">
        <f ca="1">SUMIFS(DB_25[DT-DB25],DB_25[Mã khách],KH_26_OPT4_KTQT_v4[[#This Row],[Mã khách]],DB_25[Mã sản phẩm],KH_26_OPT4_KTQT_v4[[#This Row],[Mã sản phẩm]])</f>
        <v>0</v>
      </c>
      <c r="BR33" s="19">
        <f ca="1">KH_26_OPT4_KTQT_v4[[#This Row],[DT-EXW-KH26]]-KH_26_OPT4_KTQT_v4[[#This Row],[DT-EXW-DB25]]</f>
        <v>16437102000</v>
      </c>
      <c r="BS33" s="21">
        <f ca="1">IFERROR(KH_26_OPT4_KTQT_v4[[#This Row],[DT-EXW-+/-]]/KH_26_OPT4_KTQT_v4[[#This Row],[DT-EXW-DB25]],0)</f>
        <v>0</v>
      </c>
      <c r="BT33" s="139"/>
      <c r="BU33" s="57"/>
      <c r="BV33" s="51"/>
      <c r="BW33" s="47">
        <f>IF(KH_26_OPT4_KTQT_v4[[#This Row],[CPHH-%-SL]]="Dthu",KH_26_OPT4_KTQT_v4[[#This Row],[%HH]]*KH_26_OPT4_KTQT_v4[[#This Row],[DT-EXW-01]],KH_26_OPT4_KTQT_v4[[#This Row],[HH-SL]]*KH_26_OPT4_KTQT_v4[[#This Row],[SL-01]])</f>
        <v>0</v>
      </c>
      <c r="BX33" s="47">
        <f>IF(KH_26_OPT4_KTQT_v4[[#This Row],[CPHH-%-SL]]="Dthu",KH_26_OPT4_KTQT_v4[[#This Row],[%HH]]*KH_26_OPT4_KTQT_v4[[#This Row],[DT-EXW-02]],KH_26_OPT4_KTQT_v4[[#This Row],[HH-SL]]*KH_26_OPT4_KTQT_v4[[#This Row],[SL-02]])</f>
        <v>0</v>
      </c>
      <c r="BY33" s="47">
        <f>IF(KH_26_OPT4_KTQT_v4[[#This Row],[CPHH-%-SL]]="Dthu",KH_26_OPT4_KTQT_v4[[#This Row],[%HH]]*KH_26_OPT4_KTQT_v4[[#This Row],[DT-EXW-03]],KH_26_OPT4_KTQT_v4[[#This Row],[HH-SL]]*KH_26_OPT4_KTQT_v4[[#This Row],[SL-03]])</f>
        <v>0</v>
      </c>
      <c r="BZ33" s="47">
        <f>IF(KH_26_OPT4_KTQT_v4[[#This Row],[CPHH-%-SL]]="Dthu",KH_26_OPT4_KTQT_v4[[#This Row],[%HH]]*KH_26_OPT4_KTQT_v4[[#This Row],[DT-EXW-04]],KH_26_OPT4_KTQT_v4[[#This Row],[HH-SL]]*KH_26_OPT4_KTQT_v4[[#This Row],[SL-04]])</f>
        <v>0</v>
      </c>
      <c r="CA33" s="47">
        <f>IF(KH_26_OPT4_KTQT_v4[[#This Row],[CPHH-%-SL]]="Dthu",KH_26_OPT4_KTQT_v4[[#This Row],[%HH]]*KH_26_OPT4_KTQT_v4[[#This Row],[DT-EXW-05]],KH_26_OPT4_KTQT_v4[[#This Row],[HH-SL]]*KH_26_OPT4_KTQT_v4[[#This Row],[SL-05]])</f>
        <v>0</v>
      </c>
      <c r="CB33" s="47">
        <f>IF(KH_26_OPT4_KTQT_v4[[#This Row],[CPHH-%-SL]]="Dthu",KH_26_OPT4_KTQT_v4[[#This Row],[%HH]]*KH_26_OPT4_KTQT_v4[[#This Row],[DT-EXW-06]],KH_26_OPT4_KTQT_v4[[#This Row],[HH-SL]]*KH_26_OPT4_KTQT_v4[[#This Row],[SL-06]])</f>
        <v>0</v>
      </c>
      <c r="CC33" s="47">
        <f>IF(KH_26_OPT4_KTQT_v4[[#This Row],[CPHH-%-SL]]="Dthu",KH_26_OPT4_KTQT_v4[[#This Row],[%HH]]*KH_26_OPT4_KTQT_v4[[#This Row],[DT-EXW-07]],KH_26_OPT4_KTQT_v4[[#This Row],[HH-SL]]*KH_26_OPT4_KTQT_v4[[#This Row],[SL-07]])</f>
        <v>0</v>
      </c>
      <c r="CD33" s="47">
        <f>IF(KH_26_OPT4_KTQT_v4[[#This Row],[CPHH-%-SL]]="Dthu",KH_26_OPT4_KTQT_v4[[#This Row],[%HH]]*KH_26_OPT4_KTQT_v4[[#This Row],[DT-EXW-08]],KH_26_OPT4_KTQT_v4[[#This Row],[HH-SL]]*KH_26_OPT4_KTQT_v4[[#This Row],[SL-08]])</f>
        <v>0</v>
      </c>
      <c r="CE33" s="47">
        <f>IF(KH_26_OPT4_KTQT_v4[[#This Row],[CPHH-%-SL]]="Dthu",KH_26_OPT4_KTQT_v4[[#This Row],[%HH]]*KH_26_OPT4_KTQT_v4[[#This Row],[DT-EXW-09]],KH_26_OPT4_KTQT_v4[[#This Row],[HH-SL]]*KH_26_OPT4_KTQT_v4[[#This Row],[SL-09]])</f>
        <v>0</v>
      </c>
      <c r="CF33" s="47">
        <f>IF(KH_26_OPT4_KTQT_v4[[#This Row],[CPHH-%-SL]]="Dthu",KH_26_OPT4_KTQT_v4[[#This Row],[%HH]]*KH_26_OPT4_KTQT_v4[[#This Row],[DT-EXW-10]],KH_26_OPT4_KTQT_v4[[#This Row],[HH-SL]]*KH_26_OPT4_KTQT_v4[[#This Row],[SL-10]])</f>
        <v>0</v>
      </c>
      <c r="CG33" s="47">
        <f>IF(KH_26_OPT4_KTQT_v4[[#This Row],[CPHH-%-SL]]="Dthu",KH_26_OPT4_KTQT_v4[[#This Row],[%HH]]*KH_26_OPT4_KTQT_v4[[#This Row],[DT-EXW-11]],KH_26_OPT4_KTQT_v4[[#This Row],[HH-SL]]*KH_26_OPT4_KTQT_v4[[#This Row],[SL-11]])</f>
        <v>0</v>
      </c>
      <c r="CH33" s="47">
        <f>IF(KH_26_OPT4_KTQT_v4[[#This Row],[CPHH-%-SL]]="Dthu",KH_26_OPT4_KTQT_v4[[#This Row],[%HH]]*KH_26_OPT4_KTQT_v4[[#This Row],[DT-EXW-12]],KH_26_OPT4_KTQT_v4[[#This Row],[HH-SL]]*KH_26_OPT4_KTQT_v4[[#This Row],[SL-12]])</f>
        <v>0</v>
      </c>
      <c r="CI33" s="47">
        <f ca="1">SUM(KH_26_OPT4_KTQT_v4[[#This Row],[CPHH-01]:[CPHH-12]])</f>
        <v>0</v>
      </c>
      <c r="CJ33" s="47" cm="1">
        <f t="array" ref="CJ33">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33" s="19">
        <f ca="1">SUM(KH_26_OPT4_KTQT_v4[[#This Row],[ĐGVCNĐ-KXK]:[ĐGVCCT-KXK]])</f>
        <v>530000</v>
      </c>
      <c r="CL33" s="47" cm="1">
        <f t="array" ref="CL33">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530000</v>
      </c>
      <c r="CM33" s="47" cm="1">
        <f t="array" ref="CM33">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33" s="47">
        <f ca="1">(KH_26_OPT4_KTQT_v4[[#This Row],[ĐGVC-KNĐ]]+KH_26_OPT4_KTQT_v4[[#This Row],[ĐGVC-KXK]])*KH_26_OPT4_KTQT_v4[[#This Row],[SL-01]]</f>
        <v>0</v>
      </c>
      <c r="CO33" s="47">
        <f ca="1">(KH_26_OPT4_KTQT_v4[[#This Row],[ĐGVC-KNĐ]]+KH_26_OPT4_KTQT_v4[[#This Row],[ĐGVC-KXK]])*KH_26_OPT4_KTQT_v4[[#This Row],[SL-02]]</f>
        <v>11660000</v>
      </c>
      <c r="CP33" s="47">
        <f ca="1">(KH_26_OPT4_KTQT_v4[[#This Row],[ĐGVC-KNĐ]]+KH_26_OPT4_KTQT_v4[[#This Row],[ĐGVC-KXK]])*KH_26_OPT4_KTQT_v4[[#This Row],[SL-03]]</f>
        <v>11660000</v>
      </c>
      <c r="CQ33" s="47">
        <f ca="1">(KH_26_OPT4_KTQT_v4[[#This Row],[ĐGVC-KNĐ]]+KH_26_OPT4_KTQT_v4[[#This Row],[ĐGVC-KXK]])*KH_26_OPT4_KTQT_v4[[#This Row],[SL-04]]</f>
        <v>23320000</v>
      </c>
      <c r="CR33" s="47">
        <f ca="1">(KH_26_OPT4_KTQT_v4[[#This Row],[ĐGVC-KNĐ]]+KH_26_OPT4_KTQT_v4[[#This Row],[ĐGVC-KXK]])*KH_26_OPT4_KTQT_v4[[#This Row],[SL-05]]</f>
        <v>23320000</v>
      </c>
      <c r="CS33" s="47">
        <f ca="1">(KH_26_OPT4_KTQT_v4[[#This Row],[ĐGVC-KNĐ]]+KH_26_OPT4_KTQT_v4[[#This Row],[ĐGVC-KXK]])*KH_26_OPT4_KTQT_v4[[#This Row],[SL-06]]</f>
        <v>23320000</v>
      </c>
      <c r="CT33" s="47">
        <f ca="1">(KH_26_OPT4_KTQT_v4[[#This Row],[ĐGVC-KNĐ]]+KH_26_OPT4_KTQT_v4[[#This Row],[ĐGVC-KXK]])*KH_26_OPT4_KTQT_v4[[#This Row],[SL-07]]</f>
        <v>23320000</v>
      </c>
      <c r="CU33" s="47">
        <f ca="1">(KH_26_OPT4_KTQT_v4[[#This Row],[ĐGVC-KNĐ]]+KH_26_OPT4_KTQT_v4[[#This Row],[ĐGVC-KXK]])*KH_26_OPT4_KTQT_v4[[#This Row],[SL-08]]</f>
        <v>34980000</v>
      </c>
      <c r="CV33" s="47">
        <f ca="1">(KH_26_OPT4_KTQT_v4[[#This Row],[ĐGVC-KNĐ]]+KH_26_OPT4_KTQT_v4[[#This Row],[ĐGVC-KXK]])*KH_26_OPT4_KTQT_v4[[#This Row],[SL-09]]</f>
        <v>34980000</v>
      </c>
      <c r="CW33" s="47">
        <f ca="1">(KH_26_OPT4_KTQT_v4[[#This Row],[ĐGVC-KNĐ]]+KH_26_OPT4_KTQT_v4[[#This Row],[ĐGVC-KXK]])*KH_26_OPT4_KTQT_v4[[#This Row],[SL-10]]</f>
        <v>34980000</v>
      </c>
      <c r="CX33" s="47">
        <f ca="1">(KH_26_OPT4_KTQT_v4[[#This Row],[ĐGVC-KNĐ]]+KH_26_OPT4_KTQT_v4[[#This Row],[ĐGVC-KXK]])*KH_26_OPT4_KTQT_v4[[#This Row],[SL-11]]</f>
        <v>34980000</v>
      </c>
      <c r="CY33" s="47">
        <f ca="1">(KH_26_OPT4_KTQT_v4[[#This Row],[ĐGVC-KNĐ]]+KH_26_OPT4_KTQT_v4[[#This Row],[ĐGVC-KXK]])*KH_26_OPT4_KTQT_v4[[#This Row],[SL-12]]</f>
        <v>34980000</v>
      </c>
      <c r="CZ33" s="47">
        <f ca="1">SUM(KH_26_OPT4_KTQT_v4[[#This Row],[CPVC-01]:[CPVC-12]])</f>
        <v>291500000</v>
      </c>
      <c r="DA33" s="124">
        <f ca="1">KH_26_OPT4_KTQT_v4[[#This Row],[DT-EXW-01]]+KH_26_OPT4_KTQT_v4[[#This Row],[CPVC-01]]+KH_26_OPT4_KTQT_v4[[#This Row],[CPHH-01]]</f>
        <v>0</v>
      </c>
      <c r="DB33" s="47">
        <f ca="1">KH_26_OPT4_KTQT_v4[[#This Row],[DT-EXW-02]]+KH_26_OPT4_KTQT_v4[[#This Row],[CPVC-02]]+KH_26_OPT4_KTQT_v4[[#This Row],[CPHH-02]]</f>
        <v>735163000</v>
      </c>
      <c r="DC33" s="47">
        <f ca="1">KH_26_OPT4_KTQT_v4[[#This Row],[DT-EXW-03]]+KH_26_OPT4_KTQT_v4[[#This Row],[CPVC-03]]+KH_26_OPT4_KTQT_v4[[#This Row],[CPHH-03]]</f>
        <v>724086000</v>
      </c>
      <c r="DD33" s="47">
        <f ca="1">KH_26_OPT4_KTQT_v4[[#This Row],[DT-EXW-04]]+KH_26_OPT4_KTQT_v4[[#This Row],[CPVC-04]]+KH_26_OPT4_KTQT_v4[[#This Row],[CPHH-04]]</f>
        <v>1426018000</v>
      </c>
      <c r="DE33" s="47">
        <f ca="1">KH_26_OPT4_KTQT_v4[[#This Row],[DT-EXW-05]]+KH_26_OPT4_KTQT_v4[[#This Row],[CPVC-05]]+KH_26_OPT4_KTQT_v4[[#This Row],[CPHH-05]]</f>
        <v>1403864000</v>
      </c>
      <c r="DF33" s="47">
        <f ca="1">KH_26_OPT4_KTQT_v4[[#This Row],[DT-EXW-06]]+KH_26_OPT4_KTQT_v4[[#This Row],[CPVC-06]]+KH_26_OPT4_KTQT_v4[[#This Row],[CPHH-06]]</f>
        <v>1381710000</v>
      </c>
      <c r="DG33" s="47">
        <f ca="1">KH_26_OPT4_KTQT_v4[[#This Row],[DT-EXW-07]]+KH_26_OPT4_KTQT_v4[[#This Row],[CPVC-07]]+KH_26_OPT4_KTQT_v4[[#This Row],[CPHH-07]]</f>
        <v>1359556000</v>
      </c>
      <c r="DH33" s="47">
        <f ca="1">KH_26_OPT4_KTQT_v4[[#This Row],[DT-EXW-08]]+KH_26_OPT4_KTQT_v4[[#This Row],[CPVC-08]]+KH_26_OPT4_KTQT_v4[[#This Row],[CPHH-08]]</f>
        <v>2006103000</v>
      </c>
      <c r="DI33" s="47">
        <f ca="1">KH_26_OPT4_KTQT_v4[[#This Row],[DT-EXW-09]]+KH_26_OPT4_KTQT_v4[[#This Row],[CPVC-09]]+KH_26_OPT4_KTQT_v4[[#This Row],[CPHH-09]]</f>
        <v>1972872000</v>
      </c>
      <c r="DJ33" s="47">
        <f ca="1">KH_26_OPT4_KTQT_v4[[#This Row],[DT-EXW-10]]+KH_26_OPT4_KTQT_v4[[#This Row],[CPVC-10]]+KH_26_OPT4_KTQT_v4[[#This Row],[CPHH-10]]</f>
        <v>1939641000</v>
      </c>
      <c r="DK33" s="47">
        <f ca="1">KH_26_OPT4_KTQT_v4[[#This Row],[DT-EXW-11]]+KH_26_OPT4_KTQT_v4[[#This Row],[CPVC-11]]+KH_26_OPT4_KTQT_v4[[#This Row],[CPHH-11]]</f>
        <v>1906410000</v>
      </c>
      <c r="DL33" s="47">
        <f ca="1">KH_26_OPT4_KTQT_v4[[#This Row],[DT-EXW-12]]+KH_26_OPT4_KTQT_v4[[#This Row],[CPVC-12]]+KH_26_OPT4_KTQT_v4[[#This Row],[CPHH-12]]</f>
        <v>1873179000</v>
      </c>
      <c r="DM33" s="47">
        <f ca="1">SUM(KH_26_OPT4_KTQT_v4[[#This Row],[DT-01]:[DT-12]])</f>
        <v>16728602000</v>
      </c>
      <c r="DN33" s="7"/>
      <c r="DO33" s="7"/>
      <c r="DP33" s="125"/>
      <c r="DQ33" s="136"/>
      <c r="DR33" s="132">
        <f>IFERROR(KH_26_OPT4_KTQT_v4[[#This Row],[DT-EXW-01]]*KH_26_OPT4_KTQT_v4[[#This Row],[%CPDP]],0)</f>
        <v>0</v>
      </c>
      <c r="DS33" s="132">
        <f>IFERROR(KH_26_OPT4_KTQT_v4[[#This Row],[DT-EXW-02]]*KH_26_OPT4_KTQT_v4[[#This Row],[%CPDP]],0)</f>
        <v>0</v>
      </c>
      <c r="DT33" s="132">
        <f>IFERROR(KH_26_OPT4_KTQT_v4[[#This Row],[DT-EXW-03]]*KH_26_OPT4_KTQT_v4[[#This Row],[%CPDP]],0)</f>
        <v>0</v>
      </c>
      <c r="DU33" s="132">
        <f>IFERROR(KH_26_OPT4_KTQT_v4[[#This Row],[DT-EXW-04]]*KH_26_OPT4_KTQT_v4[[#This Row],[%CPDP]],0)</f>
        <v>0</v>
      </c>
      <c r="DV33" s="132">
        <f>IFERROR(KH_26_OPT4_KTQT_v4[[#This Row],[DT-EXW-05]]*KH_26_OPT4_KTQT_v4[[#This Row],[%CPDP]],0)</f>
        <v>0</v>
      </c>
      <c r="DW33" s="132">
        <f>IFERROR(KH_26_OPT4_KTQT_v4[[#This Row],[DT-EXW-06]]*KH_26_OPT4_KTQT_v4[[#This Row],[%CPDP]],0)</f>
        <v>0</v>
      </c>
      <c r="DX33" s="132">
        <f>IFERROR(KH_26_OPT4_KTQT_v4[[#This Row],[DT-EXW-07]]*KH_26_OPT4_KTQT_v4[[#This Row],[%CPDP]],0)</f>
        <v>0</v>
      </c>
      <c r="DY33" s="132">
        <f>IFERROR(KH_26_OPT4_KTQT_v4[[#This Row],[DT-EXW-08]]*KH_26_OPT4_KTQT_v4[[#This Row],[%CPDP]],0)</f>
        <v>0</v>
      </c>
      <c r="DZ33" s="132">
        <f>IFERROR(KH_26_OPT4_KTQT_v4[[#This Row],[DT-EXW-09]]*KH_26_OPT4_KTQT_v4[[#This Row],[%CPDP]],0)</f>
        <v>0</v>
      </c>
      <c r="EA33" s="132">
        <f>IFERROR(KH_26_OPT4_KTQT_v4[[#This Row],[DT-EXW-10]]*KH_26_OPT4_KTQT_v4[[#This Row],[%CPDP]],0)</f>
        <v>0</v>
      </c>
      <c r="EB33" s="132">
        <f>IFERROR(KH_26_OPT4_KTQT_v4[[#This Row],[DT-EXW-11]]*KH_26_OPT4_KTQT_v4[[#This Row],[%CPDP]],0)</f>
        <v>0</v>
      </c>
      <c r="EC33" s="132">
        <f>IFERROR(KH_26_OPT4_KTQT_v4[[#This Row],[DT-EXW-12]]*KH_26_OPT4_KTQT_v4[[#This Row],[%CPDP]],0)</f>
        <v>0</v>
      </c>
      <c r="ED33" s="131">
        <f ca="1">SUM(KH_26_OPT4_KTQT_v4[[#This Row],[CPDP-01]:[CPDP-12]])</f>
        <v>0</v>
      </c>
    </row>
    <row r="34" spans="1:134" ht="14.65" hidden="1" customHeight="1" x14ac:dyDescent="0.35">
      <c r="A34" s="18">
        <v>29</v>
      </c>
      <c r="B34" s="71" t="s">
        <v>95</v>
      </c>
      <c r="C34" s="18" t="str">
        <f>IFERROR(_xlfn.XLOOKUP(KH_26_OPT4_KTQT_v4[[#This Row],[Salesman]],MD_Salesman[Salesman],MD_Salesman[SalesManager]),"")</f>
        <v>Cường</v>
      </c>
      <c r="D34" s="72" t="str">
        <f>IFERROR(INDEX(MD_Customer[Mã khách],MATCH(KH_26_OPT4_KTQT_v4[[#This Row],[Tên khách]],MD_Customer[Tên khách-rút gọn],0)),"")</f>
        <v>105263</v>
      </c>
      <c r="E34" s="7" t="str">
        <f>IFERROR(INDEX(MD_Customer[Parent Account],MATCH(KH_26_OPT4_KTQT_v4[[#This Row],[Tên khách]],MD_Customer[Tên khách-rút gọn],0)),"")</f>
        <v>Unilever</v>
      </c>
      <c r="F34" s="35" t="s">
        <v>478</v>
      </c>
      <c r="G34" s="7" t="str">
        <f>IFERROR(INDEX(MD_Customer[Phân loại],MATCH(KH_26_OPT4_KTQT_v4[[#This Row],[Tên khách]],MD_Customer[Tên khách-rút gọn],0)),"")</f>
        <v>Hiện hữu</v>
      </c>
      <c r="H34" s="7" t="str">
        <f>IFERROR(INDEX(MD_Customer[Kênh bán hàng],MATCH(KH_26_OPT4_KTQT_v4[[#This Row],[Tên khách]],MD_Customer[Tên khách-rút gọn],0)),"")</f>
        <v>Nội địa</v>
      </c>
      <c r="I34" s="35" t="s">
        <v>258</v>
      </c>
      <c r="J34" s="7" t="str">
        <f>IFERROR(INDEX(MD_Destination[Nước],MATCH(KH_26_OPT4_KTQT_v4[[#This Row],[Địa điểm đến]],MD_Destination[Địa điểm đến],0)),"")</f>
        <v>Việt Nam</v>
      </c>
      <c r="K34" s="7" t="str">
        <f>IFERROR(INDEX(MD_Destination[Khu vực],MATCH(KH_26_OPT4_KTQT_v4[[#This Row],[Địa điểm đến]],MD_Destination[Địa điểm đến],0)),"")</f>
        <v>Châu Á</v>
      </c>
      <c r="L34" s="35" t="s">
        <v>262</v>
      </c>
      <c r="M34" s="7" t="str">
        <f>IFERROR(INDEX(MD_SKU[Mã SKU],MATCH(KH_26_OPT4_KTQT_v4[[#This Row],[Tên sản phẩm]],MD_SKU[Tên SKU-rút gọn],0)),"")</f>
        <v>110000339</v>
      </c>
      <c r="N34" s="35" t="s">
        <v>465</v>
      </c>
      <c r="O34" s="7" t="str">
        <f>IFERROR(INDEX(MD_SKU[Ngành hàng],MATCH(KH_26_OPT4_KTQT_v4[[#This Row],[Tên sản phẩm]],MD_SKU[Tên SKU-rút gọn],0)),"")</f>
        <v>rHDPE thổi</v>
      </c>
      <c r="P34" s="7" t="str">
        <f>IFERROR(INDEX(MD_SKU[Nhóm ngành],MATCH(KH_26_OPT4_KTQT_v4[[#This Row],[Tên sản phẩm]],MD_SKU[Tên SKU-rút gọn],0)),"")</f>
        <v>Hạt HD thổi</v>
      </c>
      <c r="Q34" s="7" t="str">
        <f>IFERROR(
   IF(INDEX(MD_SKU[IV/IM],MATCH(KH_26_OPT4_KTQT_v4[[#This Row],[Tên sản phẩm]],MD_SKU[Tên SKU-rút gọn],0))=0,
      "",
      INDEX(MD_SKU[IV/IM],MATCH(KH_26_OPT4_KTQT_v4[[#This Row],[Tên sản phẩm]],MD_SKU[Tên SKU-rút gọn],0))
   ),
"")</f>
        <v/>
      </c>
      <c r="R34" s="44" t="str">
        <f>IFERROR(INDEX(MD_SKU[Application],MATCH(KH_26_OPT4_KTQT_v4[[#This Row],[Tên sản phẩm]],MD_SKU[Tên SKU-rút gọn],0)),"")</f>
        <v>THỔI CHAI</v>
      </c>
      <c r="S34" s="7" t="str">
        <f>IFERROR(INDEX(MD_SKU[Phân loại],MATCH(KH_26_OPT4_KTQT_v4[[#This Row],[Tên sản phẩm]],MD_SKU[Tên SKU-rút gọn],0)),"")</f>
        <v>Cũ</v>
      </c>
      <c r="T34" s="7" t="s">
        <v>5</v>
      </c>
      <c r="U34" s="7" t="s">
        <v>1508</v>
      </c>
      <c r="V34" s="70">
        <v>0.8</v>
      </c>
      <c r="W34" s="33">
        <v>44</v>
      </c>
      <c r="X34" s="33">
        <v>44</v>
      </c>
      <c r="Y34" s="33">
        <v>44</v>
      </c>
      <c r="Z34" s="33">
        <v>44</v>
      </c>
      <c r="AA34" s="33">
        <v>44</v>
      </c>
      <c r="AB34" s="33">
        <v>44</v>
      </c>
      <c r="AC34" s="33">
        <v>44</v>
      </c>
      <c r="AD34" s="33">
        <v>44</v>
      </c>
      <c r="AE34" s="33">
        <v>44</v>
      </c>
      <c r="AF34" s="33">
        <v>44</v>
      </c>
      <c r="AG34" s="33">
        <v>44</v>
      </c>
      <c r="AH34" s="33">
        <v>44</v>
      </c>
      <c r="AI34" s="47">
        <f ca="1">SUM(KH_26_OPT4_KTQT_v4[[#This Row],[SL-01]:[SL-12]])</f>
        <v>528</v>
      </c>
      <c r="AJ34" s="47">
        <f ca="1">SUMIFS(DB_25[SL-DB25],DB_25[Mã khách],KH_26_OPT4_KTQT_v4[[#This Row],[Mã khách]],DB_25[Mã sản phẩm],KH_26_OPT4_KTQT_v4[[#This Row],[Mã sản phẩm]])</f>
        <v>824.85</v>
      </c>
      <c r="AK34" s="20">
        <f ca="1">KH_26_OPT4_KTQT_v4[[#This Row],[SL-KH26]]-KH_26_OPT4_KTQT_v4[[#This Row],[SL-DB25]]</f>
        <v>-296.85000000000002</v>
      </c>
      <c r="AL34" s="21">
        <f ca="1">IFERROR(KH_26_OPT4_KTQT_v4[[#This Row],[SL-+/-]]/KH_26_OPT4_KTQT_v4[[#This Row],[SL-DB25]],0)</f>
        <v>-0.35988361520276413</v>
      </c>
      <c r="AM34" s="51">
        <f>1194+106</f>
        <v>1300</v>
      </c>
      <c r="AN34" s="51">
        <f t="shared" ref="AN34:AX34" si="3">1194+106</f>
        <v>1300</v>
      </c>
      <c r="AO34" s="51">
        <f t="shared" si="3"/>
        <v>1300</v>
      </c>
      <c r="AP34" s="51">
        <f t="shared" si="3"/>
        <v>1300</v>
      </c>
      <c r="AQ34" s="51">
        <f t="shared" si="3"/>
        <v>1300</v>
      </c>
      <c r="AR34" s="51">
        <f t="shared" si="3"/>
        <v>1300</v>
      </c>
      <c r="AS34" s="51">
        <f t="shared" si="3"/>
        <v>1300</v>
      </c>
      <c r="AT34" s="51">
        <f t="shared" si="3"/>
        <v>1300</v>
      </c>
      <c r="AU34" s="51">
        <f t="shared" si="3"/>
        <v>1300</v>
      </c>
      <c r="AV34" s="51">
        <f t="shared" si="3"/>
        <v>1300</v>
      </c>
      <c r="AW34" s="51">
        <f t="shared" si="3"/>
        <v>1300</v>
      </c>
      <c r="AX34" s="51">
        <f t="shared" si="3"/>
        <v>1300</v>
      </c>
      <c r="AY34" s="23">
        <v>1286</v>
      </c>
      <c r="AZ34" s="7"/>
      <c r="BA34" s="24">
        <f>KH_26_OPT4_KTQT_v4[[#This Row],[GB-DB25]]-KH_26_OPT4_KTQT_v4[[#This Row],[GB-KH25]]</f>
        <v>1286</v>
      </c>
      <c r="BB34" s="21">
        <f>IFERROR(KH_26_OPT4_KTQT_v4[[#This Row],[GB-+/-]]/KH_26_OPT4_KTQT_v4[[#This Row],[GB-KH25]],0)</f>
        <v>0</v>
      </c>
      <c r="BC34" s="21"/>
      <c r="BD34" s="47">
        <f>KH_26_OPT4_KTQT_v4[[#This Row],[SL-01]]*KH_26_OPT4_KTQT_v4[[#This Row],[GB-01]]*EXR</f>
        <v>1515800000</v>
      </c>
      <c r="BE34" s="47">
        <f>KH_26_OPT4_KTQT_v4[[#This Row],[SL-02]]*KH_26_OPT4_KTQT_v4[[#This Row],[GB-02]]*EXR</f>
        <v>1515800000</v>
      </c>
      <c r="BF34" s="47">
        <f>KH_26_OPT4_KTQT_v4[[#This Row],[SL-03]]*KH_26_OPT4_KTQT_v4[[#This Row],[GB-03]]*EXR</f>
        <v>1515800000</v>
      </c>
      <c r="BG34" s="47">
        <f>KH_26_OPT4_KTQT_v4[[#This Row],[SL-04]]*KH_26_OPT4_KTQT_v4[[#This Row],[GB-04]]*EXR</f>
        <v>1515800000</v>
      </c>
      <c r="BH34" s="47">
        <f>KH_26_OPT4_KTQT_v4[[#This Row],[SL-05]]*KH_26_OPT4_KTQT_v4[[#This Row],[GB-05]]*EXR</f>
        <v>1515800000</v>
      </c>
      <c r="BI34" s="47">
        <f>KH_26_OPT4_KTQT_v4[[#This Row],[SL-06]]*KH_26_OPT4_KTQT_v4[[#This Row],[GB-06]]*EXR</f>
        <v>1515800000</v>
      </c>
      <c r="BJ34" s="47">
        <f>KH_26_OPT4_KTQT_v4[[#This Row],[SL-07]]*KH_26_OPT4_KTQT_v4[[#This Row],[GB-07]]*EXR</f>
        <v>1515800000</v>
      </c>
      <c r="BK34" s="47">
        <f>KH_26_OPT4_KTQT_v4[[#This Row],[SL-08]]*KH_26_OPT4_KTQT_v4[[#This Row],[GB-08]]*EXR</f>
        <v>1515800000</v>
      </c>
      <c r="BL34" s="47">
        <f>KH_26_OPT4_KTQT_v4[[#This Row],[SL-09]]*KH_26_OPT4_KTQT_v4[[#This Row],[GB-09]]*EXR</f>
        <v>1515800000</v>
      </c>
      <c r="BM34" s="47">
        <f>KH_26_OPT4_KTQT_v4[[#This Row],[SL-10]]*KH_26_OPT4_KTQT_v4[[#This Row],[GB-10]]*EXR</f>
        <v>1515800000</v>
      </c>
      <c r="BN34" s="47">
        <f>KH_26_OPT4_KTQT_v4[[#This Row],[SL-11]]*KH_26_OPT4_KTQT_v4[[#This Row],[GB-11]]*EXR</f>
        <v>1515800000</v>
      </c>
      <c r="BO34" s="47">
        <f>KH_26_OPT4_KTQT_v4[[#This Row],[SL-12]]*KH_26_OPT4_KTQT_v4[[#This Row],[GB-12]]*EXR</f>
        <v>1515800000</v>
      </c>
      <c r="BP34" s="47">
        <f ca="1">SUM(KH_26_OPT4_KTQT_v4[[#This Row],[DT-EXW-01]:[DT-EXW-12]])</f>
        <v>18189600000</v>
      </c>
      <c r="BQ34" s="47">
        <f ca="1">SUMIFS(DB_25[DT-DB25],DB_25[Mã khách],KH_26_OPT4_KTQT_v4[[#This Row],[Mã khách]],DB_25[Mã sản phẩm],KH_26_OPT4_KTQT_v4[[#This Row],[Mã sản phẩm]])</f>
        <v>23274943418.940582</v>
      </c>
      <c r="BR34" s="47">
        <f ca="1">KH_26_OPT4_KTQT_v4[[#This Row],[DT-EXW-KH26]]-KH_26_OPT4_KTQT_v4[[#This Row],[DT-EXW-DB25]]</f>
        <v>-5085343418.9405823</v>
      </c>
      <c r="BS34" s="21">
        <f ca="1">IFERROR(KH_26_OPT4_KTQT_v4[[#This Row],[DT-EXW-+/-]]/KH_26_OPT4_KTQT_v4[[#This Row],[DT-EXW-DB25]],0)</f>
        <v>-0.21849004431101016</v>
      </c>
      <c r="BT34" s="139"/>
      <c r="BU34" s="57"/>
      <c r="BV34" s="51"/>
      <c r="BW34" s="47">
        <f>IF(KH_26_OPT4_KTQT_v4[[#This Row],[CPHH-%-SL]]="Dthu",KH_26_OPT4_KTQT_v4[[#This Row],[%HH]]*KH_26_OPT4_KTQT_v4[[#This Row],[DT-EXW-01]],KH_26_OPT4_KTQT_v4[[#This Row],[HH-SL]]*KH_26_OPT4_KTQT_v4[[#This Row],[SL-01]])</f>
        <v>0</v>
      </c>
      <c r="BX34" s="47">
        <f>IF(KH_26_OPT4_KTQT_v4[[#This Row],[CPHH-%-SL]]="Dthu",KH_26_OPT4_KTQT_v4[[#This Row],[%HH]]*KH_26_OPT4_KTQT_v4[[#This Row],[DT-EXW-02]],KH_26_OPT4_KTQT_v4[[#This Row],[HH-SL]]*KH_26_OPT4_KTQT_v4[[#This Row],[SL-02]])</f>
        <v>0</v>
      </c>
      <c r="BY34" s="47">
        <f>IF(KH_26_OPT4_KTQT_v4[[#This Row],[CPHH-%-SL]]="Dthu",KH_26_OPT4_KTQT_v4[[#This Row],[%HH]]*KH_26_OPT4_KTQT_v4[[#This Row],[DT-EXW-03]],KH_26_OPT4_KTQT_v4[[#This Row],[HH-SL]]*KH_26_OPT4_KTQT_v4[[#This Row],[SL-03]])</f>
        <v>0</v>
      </c>
      <c r="BZ34" s="47">
        <f>IF(KH_26_OPT4_KTQT_v4[[#This Row],[CPHH-%-SL]]="Dthu",KH_26_OPT4_KTQT_v4[[#This Row],[%HH]]*KH_26_OPT4_KTQT_v4[[#This Row],[DT-EXW-04]],KH_26_OPT4_KTQT_v4[[#This Row],[HH-SL]]*KH_26_OPT4_KTQT_v4[[#This Row],[SL-04]])</f>
        <v>0</v>
      </c>
      <c r="CA34" s="47">
        <f>IF(KH_26_OPT4_KTQT_v4[[#This Row],[CPHH-%-SL]]="Dthu",KH_26_OPT4_KTQT_v4[[#This Row],[%HH]]*KH_26_OPT4_KTQT_v4[[#This Row],[DT-EXW-05]],KH_26_OPT4_KTQT_v4[[#This Row],[HH-SL]]*KH_26_OPT4_KTQT_v4[[#This Row],[SL-05]])</f>
        <v>0</v>
      </c>
      <c r="CB34" s="47">
        <f>IF(KH_26_OPT4_KTQT_v4[[#This Row],[CPHH-%-SL]]="Dthu",KH_26_OPT4_KTQT_v4[[#This Row],[%HH]]*KH_26_OPT4_KTQT_v4[[#This Row],[DT-EXW-06]],KH_26_OPT4_KTQT_v4[[#This Row],[HH-SL]]*KH_26_OPT4_KTQT_v4[[#This Row],[SL-06]])</f>
        <v>0</v>
      </c>
      <c r="CC34" s="47">
        <f>IF(KH_26_OPT4_KTQT_v4[[#This Row],[CPHH-%-SL]]="Dthu",KH_26_OPT4_KTQT_v4[[#This Row],[%HH]]*KH_26_OPT4_KTQT_v4[[#This Row],[DT-EXW-07]],KH_26_OPT4_KTQT_v4[[#This Row],[HH-SL]]*KH_26_OPT4_KTQT_v4[[#This Row],[SL-07]])</f>
        <v>0</v>
      </c>
      <c r="CD34" s="47">
        <f>IF(KH_26_OPT4_KTQT_v4[[#This Row],[CPHH-%-SL]]="Dthu",KH_26_OPT4_KTQT_v4[[#This Row],[%HH]]*KH_26_OPT4_KTQT_v4[[#This Row],[DT-EXW-08]],KH_26_OPT4_KTQT_v4[[#This Row],[HH-SL]]*KH_26_OPT4_KTQT_v4[[#This Row],[SL-08]])</f>
        <v>0</v>
      </c>
      <c r="CE34" s="47">
        <f>IF(KH_26_OPT4_KTQT_v4[[#This Row],[CPHH-%-SL]]="Dthu",KH_26_OPT4_KTQT_v4[[#This Row],[%HH]]*KH_26_OPT4_KTQT_v4[[#This Row],[DT-EXW-09]],KH_26_OPT4_KTQT_v4[[#This Row],[HH-SL]]*KH_26_OPT4_KTQT_v4[[#This Row],[SL-09]])</f>
        <v>0</v>
      </c>
      <c r="CF34" s="47">
        <f>IF(KH_26_OPT4_KTQT_v4[[#This Row],[CPHH-%-SL]]="Dthu",KH_26_OPT4_KTQT_v4[[#This Row],[%HH]]*KH_26_OPT4_KTQT_v4[[#This Row],[DT-EXW-10]],KH_26_OPT4_KTQT_v4[[#This Row],[HH-SL]]*KH_26_OPT4_KTQT_v4[[#This Row],[SL-10]])</f>
        <v>0</v>
      </c>
      <c r="CG34" s="47">
        <f>IF(KH_26_OPT4_KTQT_v4[[#This Row],[CPHH-%-SL]]="Dthu",KH_26_OPT4_KTQT_v4[[#This Row],[%HH]]*KH_26_OPT4_KTQT_v4[[#This Row],[DT-EXW-11]],KH_26_OPT4_KTQT_v4[[#This Row],[HH-SL]]*KH_26_OPT4_KTQT_v4[[#This Row],[SL-11]])</f>
        <v>0</v>
      </c>
      <c r="CH34" s="47">
        <f>IF(KH_26_OPT4_KTQT_v4[[#This Row],[CPHH-%-SL]]="Dthu",KH_26_OPT4_KTQT_v4[[#This Row],[%HH]]*KH_26_OPT4_KTQT_v4[[#This Row],[DT-EXW-12]],KH_26_OPT4_KTQT_v4[[#This Row],[HH-SL]]*KH_26_OPT4_KTQT_v4[[#This Row],[SL-12]])</f>
        <v>0</v>
      </c>
      <c r="CI34" s="47">
        <f ca="1">SUM(KH_26_OPT4_KTQT_v4[[#This Row],[CPHH-01]:[CPHH-12]])</f>
        <v>0</v>
      </c>
      <c r="CJ34" s="47" cm="1">
        <f t="array" ref="CJ34">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34" s="19">
        <f ca="1">SUM(KH_26_OPT4_KTQT_v4[[#This Row],[ĐGVCNĐ-KXK]:[ĐGVCCT-KXK]])</f>
        <v>0</v>
      </c>
      <c r="CL34" s="47" cm="1">
        <f t="array" ref="CL34">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34" s="47" cm="1">
        <f t="array" ref="CM34">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34" s="47">
        <f ca="1">(KH_26_OPT4_KTQT_v4[[#This Row],[ĐGVC-KNĐ]]+KH_26_OPT4_KTQT_v4[[#This Row],[ĐGVC-KXK]])*KH_26_OPT4_KTQT_v4[[#This Row],[SL-01]]</f>
        <v>0</v>
      </c>
      <c r="CO34" s="47">
        <f ca="1">(KH_26_OPT4_KTQT_v4[[#This Row],[ĐGVC-KNĐ]]+KH_26_OPT4_KTQT_v4[[#This Row],[ĐGVC-KXK]])*KH_26_OPT4_KTQT_v4[[#This Row],[SL-02]]</f>
        <v>0</v>
      </c>
      <c r="CP34" s="47">
        <f ca="1">(KH_26_OPT4_KTQT_v4[[#This Row],[ĐGVC-KNĐ]]+KH_26_OPT4_KTQT_v4[[#This Row],[ĐGVC-KXK]])*KH_26_OPT4_KTQT_v4[[#This Row],[SL-03]]</f>
        <v>0</v>
      </c>
      <c r="CQ34" s="47">
        <f ca="1">(KH_26_OPT4_KTQT_v4[[#This Row],[ĐGVC-KNĐ]]+KH_26_OPT4_KTQT_v4[[#This Row],[ĐGVC-KXK]])*KH_26_OPT4_KTQT_v4[[#This Row],[SL-04]]</f>
        <v>0</v>
      </c>
      <c r="CR34" s="47">
        <f ca="1">(KH_26_OPT4_KTQT_v4[[#This Row],[ĐGVC-KNĐ]]+KH_26_OPT4_KTQT_v4[[#This Row],[ĐGVC-KXK]])*KH_26_OPT4_KTQT_v4[[#This Row],[SL-05]]</f>
        <v>0</v>
      </c>
      <c r="CS34" s="47">
        <f ca="1">(KH_26_OPT4_KTQT_v4[[#This Row],[ĐGVC-KNĐ]]+KH_26_OPT4_KTQT_v4[[#This Row],[ĐGVC-KXK]])*KH_26_OPT4_KTQT_v4[[#This Row],[SL-06]]</f>
        <v>0</v>
      </c>
      <c r="CT34" s="47">
        <f ca="1">(KH_26_OPT4_KTQT_v4[[#This Row],[ĐGVC-KNĐ]]+KH_26_OPT4_KTQT_v4[[#This Row],[ĐGVC-KXK]])*KH_26_OPT4_KTQT_v4[[#This Row],[SL-07]]</f>
        <v>0</v>
      </c>
      <c r="CU34" s="47">
        <f ca="1">(KH_26_OPT4_KTQT_v4[[#This Row],[ĐGVC-KNĐ]]+KH_26_OPT4_KTQT_v4[[#This Row],[ĐGVC-KXK]])*KH_26_OPT4_KTQT_v4[[#This Row],[SL-08]]</f>
        <v>0</v>
      </c>
      <c r="CV34" s="47">
        <f ca="1">(KH_26_OPT4_KTQT_v4[[#This Row],[ĐGVC-KNĐ]]+KH_26_OPT4_KTQT_v4[[#This Row],[ĐGVC-KXK]])*KH_26_OPT4_KTQT_v4[[#This Row],[SL-09]]</f>
        <v>0</v>
      </c>
      <c r="CW34" s="47">
        <f ca="1">(KH_26_OPT4_KTQT_v4[[#This Row],[ĐGVC-KNĐ]]+KH_26_OPT4_KTQT_v4[[#This Row],[ĐGVC-KXK]])*KH_26_OPT4_KTQT_v4[[#This Row],[SL-10]]</f>
        <v>0</v>
      </c>
      <c r="CX34" s="47">
        <f ca="1">(KH_26_OPT4_KTQT_v4[[#This Row],[ĐGVC-KNĐ]]+KH_26_OPT4_KTQT_v4[[#This Row],[ĐGVC-KXK]])*KH_26_OPT4_KTQT_v4[[#This Row],[SL-11]]</f>
        <v>0</v>
      </c>
      <c r="CY34" s="47">
        <f ca="1">(KH_26_OPT4_KTQT_v4[[#This Row],[ĐGVC-KNĐ]]+KH_26_OPT4_KTQT_v4[[#This Row],[ĐGVC-KXK]])*KH_26_OPT4_KTQT_v4[[#This Row],[SL-12]]</f>
        <v>0</v>
      </c>
      <c r="CZ34" s="47">
        <f ca="1">SUM(KH_26_OPT4_KTQT_v4[[#This Row],[CPVC-01]:[CPVC-12]])</f>
        <v>0</v>
      </c>
      <c r="DA34" s="124">
        <f ca="1">KH_26_OPT4_KTQT_v4[[#This Row],[DT-EXW-01]]+KH_26_OPT4_KTQT_v4[[#This Row],[CPVC-01]]+KH_26_OPT4_KTQT_v4[[#This Row],[CPHH-01]]</f>
        <v>1515800000</v>
      </c>
      <c r="DB34" s="47">
        <f ca="1">KH_26_OPT4_KTQT_v4[[#This Row],[DT-EXW-02]]+KH_26_OPT4_KTQT_v4[[#This Row],[CPVC-02]]+KH_26_OPT4_KTQT_v4[[#This Row],[CPHH-02]]</f>
        <v>1515800000</v>
      </c>
      <c r="DC34" s="47">
        <f ca="1">KH_26_OPT4_KTQT_v4[[#This Row],[DT-EXW-03]]+KH_26_OPT4_KTQT_v4[[#This Row],[CPVC-03]]+KH_26_OPT4_KTQT_v4[[#This Row],[CPHH-03]]</f>
        <v>1515800000</v>
      </c>
      <c r="DD34" s="47">
        <f ca="1">KH_26_OPT4_KTQT_v4[[#This Row],[DT-EXW-04]]+KH_26_OPT4_KTQT_v4[[#This Row],[CPVC-04]]+KH_26_OPT4_KTQT_v4[[#This Row],[CPHH-04]]</f>
        <v>1515800000</v>
      </c>
      <c r="DE34" s="47">
        <f ca="1">KH_26_OPT4_KTQT_v4[[#This Row],[DT-EXW-05]]+KH_26_OPT4_KTQT_v4[[#This Row],[CPVC-05]]+KH_26_OPT4_KTQT_v4[[#This Row],[CPHH-05]]</f>
        <v>1515800000</v>
      </c>
      <c r="DF34" s="47">
        <f ca="1">KH_26_OPT4_KTQT_v4[[#This Row],[DT-EXW-06]]+KH_26_OPT4_KTQT_v4[[#This Row],[CPVC-06]]+KH_26_OPT4_KTQT_v4[[#This Row],[CPHH-06]]</f>
        <v>1515800000</v>
      </c>
      <c r="DG34" s="47">
        <f ca="1">KH_26_OPT4_KTQT_v4[[#This Row],[DT-EXW-07]]+KH_26_OPT4_KTQT_v4[[#This Row],[CPVC-07]]+KH_26_OPT4_KTQT_v4[[#This Row],[CPHH-07]]</f>
        <v>1515800000</v>
      </c>
      <c r="DH34" s="47">
        <f ca="1">KH_26_OPT4_KTQT_v4[[#This Row],[DT-EXW-08]]+KH_26_OPT4_KTQT_v4[[#This Row],[CPVC-08]]+KH_26_OPT4_KTQT_v4[[#This Row],[CPHH-08]]</f>
        <v>1515800000</v>
      </c>
      <c r="DI34" s="47">
        <f ca="1">KH_26_OPT4_KTQT_v4[[#This Row],[DT-EXW-09]]+KH_26_OPT4_KTQT_v4[[#This Row],[CPVC-09]]+KH_26_OPT4_KTQT_v4[[#This Row],[CPHH-09]]</f>
        <v>1515800000</v>
      </c>
      <c r="DJ34" s="47">
        <f ca="1">KH_26_OPT4_KTQT_v4[[#This Row],[DT-EXW-10]]+KH_26_OPT4_KTQT_v4[[#This Row],[CPVC-10]]+KH_26_OPT4_KTQT_v4[[#This Row],[CPHH-10]]</f>
        <v>1515800000</v>
      </c>
      <c r="DK34" s="47">
        <f ca="1">KH_26_OPT4_KTQT_v4[[#This Row],[DT-EXW-11]]+KH_26_OPT4_KTQT_v4[[#This Row],[CPVC-11]]+KH_26_OPT4_KTQT_v4[[#This Row],[CPHH-11]]</f>
        <v>1515800000</v>
      </c>
      <c r="DL34" s="47">
        <f ca="1">KH_26_OPT4_KTQT_v4[[#This Row],[DT-EXW-12]]+KH_26_OPT4_KTQT_v4[[#This Row],[CPVC-12]]+KH_26_OPT4_KTQT_v4[[#This Row],[CPHH-12]]</f>
        <v>1515800000</v>
      </c>
      <c r="DM34" s="47">
        <f ca="1">SUM(KH_26_OPT4_KTQT_v4[[#This Row],[DT-01]:[DT-12]])</f>
        <v>18189600000</v>
      </c>
      <c r="DN34" s="7"/>
      <c r="DO34" s="7"/>
      <c r="DP34" s="125"/>
      <c r="DQ34" s="136"/>
      <c r="DR34" s="132">
        <f>IFERROR(KH_26_OPT4_KTQT_v4[[#This Row],[DT-EXW-01]]*KH_26_OPT4_KTQT_v4[[#This Row],[%CPDP]],0)</f>
        <v>0</v>
      </c>
      <c r="DS34" s="132">
        <f>IFERROR(KH_26_OPT4_KTQT_v4[[#This Row],[DT-EXW-02]]*KH_26_OPT4_KTQT_v4[[#This Row],[%CPDP]],0)</f>
        <v>0</v>
      </c>
      <c r="DT34" s="132">
        <f>IFERROR(KH_26_OPT4_KTQT_v4[[#This Row],[DT-EXW-03]]*KH_26_OPT4_KTQT_v4[[#This Row],[%CPDP]],0)</f>
        <v>0</v>
      </c>
      <c r="DU34" s="132">
        <f>IFERROR(KH_26_OPT4_KTQT_v4[[#This Row],[DT-EXW-04]]*KH_26_OPT4_KTQT_v4[[#This Row],[%CPDP]],0)</f>
        <v>0</v>
      </c>
      <c r="DV34" s="132">
        <f>IFERROR(KH_26_OPT4_KTQT_v4[[#This Row],[DT-EXW-05]]*KH_26_OPT4_KTQT_v4[[#This Row],[%CPDP]],0)</f>
        <v>0</v>
      </c>
      <c r="DW34" s="132">
        <f>IFERROR(KH_26_OPT4_KTQT_v4[[#This Row],[DT-EXW-06]]*KH_26_OPT4_KTQT_v4[[#This Row],[%CPDP]],0)</f>
        <v>0</v>
      </c>
      <c r="DX34" s="132">
        <f>IFERROR(KH_26_OPT4_KTQT_v4[[#This Row],[DT-EXW-07]]*KH_26_OPT4_KTQT_v4[[#This Row],[%CPDP]],0)</f>
        <v>0</v>
      </c>
      <c r="DY34" s="132">
        <f>IFERROR(KH_26_OPT4_KTQT_v4[[#This Row],[DT-EXW-08]]*KH_26_OPT4_KTQT_v4[[#This Row],[%CPDP]],0)</f>
        <v>0</v>
      </c>
      <c r="DZ34" s="132">
        <f>IFERROR(KH_26_OPT4_KTQT_v4[[#This Row],[DT-EXW-09]]*KH_26_OPT4_KTQT_v4[[#This Row],[%CPDP]],0)</f>
        <v>0</v>
      </c>
      <c r="EA34" s="132">
        <f>IFERROR(KH_26_OPT4_KTQT_v4[[#This Row],[DT-EXW-10]]*KH_26_OPT4_KTQT_v4[[#This Row],[%CPDP]],0)</f>
        <v>0</v>
      </c>
      <c r="EB34" s="132">
        <f>IFERROR(KH_26_OPT4_KTQT_v4[[#This Row],[DT-EXW-11]]*KH_26_OPT4_KTQT_v4[[#This Row],[%CPDP]],0)</f>
        <v>0</v>
      </c>
      <c r="EC34" s="132">
        <f>IFERROR(KH_26_OPT4_KTQT_v4[[#This Row],[DT-EXW-12]]*KH_26_OPT4_KTQT_v4[[#This Row],[%CPDP]],0)</f>
        <v>0</v>
      </c>
      <c r="ED34" s="131">
        <f ca="1">SUM(KH_26_OPT4_KTQT_v4[[#This Row],[CPDP-01]:[CPDP-12]])</f>
        <v>0</v>
      </c>
    </row>
    <row r="35" spans="1:134" ht="14.65" hidden="1" customHeight="1" x14ac:dyDescent="0.35">
      <c r="A35" s="18">
        <v>30</v>
      </c>
      <c r="B35" s="71" t="s">
        <v>104</v>
      </c>
      <c r="C35" s="18" t="str">
        <f>IFERROR(_xlfn.XLOOKUP(KH_26_OPT4_KTQT_v4[[#This Row],[Salesman]],MD_Salesman[Salesman],MD_Salesman[SalesManager]),"")</f>
        <v>Quốc Anh</v>
      </c>
      <c r="D35" s="72" t="str">
        <f>IFERROR(INDEX(MD_Customer[Mã khách],MATCH(KH_26_OPT4_KTQT_v4[[#This Row],[Tên khách]],MD_Customer[Tên khách-rút gọn],0)),"")</f>
        <v>105284</v>
      </c>
      <c r="E35" s="7" t="str">
        <f>IFERROR(INDEX(MD_Customer[Parent Account],MATCH(KH_26_OPT4_KTQT_v4[[#This Row],[Tên khách]],MD_Customer[Tên khách-rút gọn],0)),"")</f>
        <v>Motul -DTP</v>
      </c>
      <c r="F35" s="35" t="s">
        <v>44</v>
      </c>
      <c r="G35" s="7" t="str">
        <f>IFERROR(INDEX(MD_Customer[Phân loại],MATCH(KH_26_OPT4_KTQT_v4[[#This Row],[Tên khách]],MD_Customer[Tên khách-rút gọn],0)),"")</f>
        <v>Hiện hữu</v>
      </c>
      <c r="H35" s="7" t="str">
        <f>IFERROR(INDEX(MD_Customer[Kênh bán hàng],MATCH(KH_26_OPT4_KTQT_v4[[#This Row],[Tên khách]],MD_Customer[Tên khách-rút gọn],0)),"")</f>
        <v>Nội địa</v>
      </c>
      <c r="I35" s="35" t="s">
        <v>258</v>
      </c>
      <c r="J35" s="7" t="str">
        <f>IFERROR(INDEX(MD_Destination[Nước],MATCH(KH_26_OPT4_KTQT_v4[[#This Row],[Địa điểm đến]],MD_Destination[Địa điểm đến],0)),"")</f>
        <v>Việt Nam</v>
      </c>
      <c r="K35" s="7" t="str">
        <f>IFERROR(INDEX(MD_Destination[Khu vực],MATCH(KH_26_OPT4_KTQT_v4[[#This Row],[Địa điểm đến]],MD_Destination[Địa điểm đến],0)),"")</f>
        <v>Châu Á</v>
      </c>
      <c r="L35" s="35" t="s">
        <v>262</v>
      </c>
      <c r="M35" s="7" t="str">
        <f>IFERROR(INDEX(MD_SKU[Mã SKU],MATCH(KH_26_OPT4_KTQT_v4[[#This Row],[Tên sản phẩm]],MD_SKU[Tên SKU-rút gọn],0)),"")</f>
        <v>110000374</v>
      </c>
      <c r="N35" s="35" t="s">
        <v>477</v>
      </c>
      <c r="O35" s="7" t="str">
        <f>IFERROR(INDEX(MD_SKU[Ngành hàng],MATCH(KH_26_OPT4_KTQT_v4[[#This Row],[Tên sản phẩm]],MD_SKU[Tên SKU-rút gọn],0)),"")</f>
        <v>rHDPE thổi</v>
      </c>
      <c r="P35" s="7" t="str">
        <f>IFERROR(INDEX(MD_SKU[Nhóm ngành],MATCH(KH_26_OPT4_KTQT_v4[[#This Row],[Tên sản phẩm]],MD_SKU[Tên SKU-rút gọn],0)),"")</f>
        <v>Hạt HD thổi</v>
      </c>
      <c r="Q35" s="7" t="str">
        <f>IFERROR(
   IF(INDEX(MD_SKU[IV/IM],MATCH(KH_26_OPT4_KTQT_v4[[#This Row],[Tên sản phẩm]],MD_SKU[Tên SKU-rút gọn],0))=0,
      "",
      INDEX(MD_SKU[IV/IM],MATCH(KH_26_OPT4_KTQT_v4[[#This Row],[Tên sản phẩm]],MD_SKU[Tên SKU-rút gọn],0))
   ),
"")</f>
        <v/>
      </c>
      <c r="R35" s="44" t="str">
        <f>IFERROR(INDEX(MD_SKU[Application],MATCH(KH_26_OPT4_KTQT_v4[[#This Row],[Tên sản phẩm]],MD_SKU[Tên SKU-rút gọn],0)),"")</f>
        <v>THỔI CHAI</v>
      </c>
      <c r="S35" s="7" t="str">
        <f>IFERROR(INDEX(MD_SKU[Phân loại],MATCH(KH_26_OPT4_KTQT_v4[[#This Row],[Tên sản phẩm]],MD_SKU[Tên SKU-rút gọn],0)),"")</f>
        <v>Cũ</v>
      </c>
      <c r="T35" s="7" t="s">
        <v>44</v>
      </c>
      <c r="U35" s="7" t="s">
        <v>1508</v>
      </c>
      <c r="V35" s="70">
        <v>0.8</v>
      </c>
      <c r="W35" s="33">
        <v>44</v>
      </c>
      <c r="X35" s="33">
        <v>44</v>
      </c>
      <c r="Y35" s="33">
        <v>44</v>
      </c>
      <c r="Z35" s="33">
        <v>44</v>
      </c>
      <c r="AA35" s="33">
        <v>44</v>
      </c>
      <c r="AB35" s="33">
        <v>44</v>
      </c>
      <c r="AC35" s="33">
        <v>44</v>
      </c>
      <c r="AD35" s="33">
        <v>44</v>
      </c>
      <c r="AE35" s="33">
        <v>44</v>
      </c>
      <c r="AF35" s="33">
        <v>44</v>
      </c>
      <c r="AG35" s="33">
        <v>44</v>
      </c>
      <c r="AH35" s="33">
        <v>44</v>
      </c>
      <c r="AI35" s="47">
        <f ca="1">SUM(KH_26_OPT4_KTQT_v4[[#This Row],[SL-01]:[SL-12]])</f>
        <v>528</v>
      </c>
      <c r="AJ35" s="47">
        <f ca="1">SUMIFS(DB_25[SL-DB25],DB_25[Mã khách],KH_26_OPT4_KTQT_v4[[#This Row],[Mã khách]],DB_25[Mã sản phẩm],KH_26_OPT4_KTQT_v4[[#This Row],[Mã sản phẩm]])</f>
        <v>319</v>
      </c>
      <c r="AK35" s="20">
        <f ca="1">KH_26_OPT4_KTQT_v4[[#This Row],[SL-KH26]]-KH_26_OPT4_KTQT_v4[[#This Row],[SL-DB25]]</f>
        <v>209</v>
      </c>
      <c r="AL35" s="21">
        <f ca="1">IFERROR(KH_26_OPT4_KTQT_v4[[#This Row],[SL-+/-]]/KH_26_OPT4_KTQT_v4[[#This Row],[SL-DB25]],0)</f>
        <v>0.65517241379310343</v>
      </c>
      <c r="AM35" s="51">
        <v>1150</v>
      </c>
      <c r="AN35" s="51">
        <v>1150</v>
      </c>
      <c r="AO35" s="51">
        <v>1150</v>
      </c>
      <c r="AP35" s="51">
        <v>1150</v>
      </c>
      <c r="AQ35" s="51">
        <v>1150</v>
      </c>
      <c r="AR35" s="51">
        <v>1150</v>
      </c>
      <c r="AS35" s="51">
        <v>1150</v>
      </c>
      <c r="AT35" s="51">
        <v>1150</v>
      </c>
      <c r="AU35" s="51">
        <v>1150</v>
      </c>
      <c r="AV35" s="51">
        <v>1150</v>
      </c>
      <c r="AW35" s="51">
        <v>1150</v>
      </c>
      <c r="AX35" s="51">
        <v>1150</v>
      </c>
      <c r="AY35" s="23">
        <v>1150</v>
      </c>
      <c r="AZ35" s="7"/>
      <c r="BA35" s="24">
        <f>KH_26_OPT4_KTQT_v4[[#This Row],[GB-DB25]]-KH_26_OPT4_KTQT_v4[[#This Row],[GB-KH25]]</f>
        <v>1150</v>
      </c>
      <c r="BB35" s="21">
        <f>IFERROR(KH_26_OPT4_KTQT_v4[[#This Row],[GB-+/-]]/KH_26_OPT4_KTQT_v4[[#This Row],[GB-KH25]],0)</f>
        <v>0</v>
      </c>
      <c r="BC35" s="21"/>
      <c r="BD35" s="47">
        <f>KH_26_OPT4_KTQT_v4[[#This Row],[SL-01]]*KH_26_OPT4_KTQT_v4[[#This Row],[GB-01]]*EXR</f>
        <v>1340900000</v>
      </c>
      <c r="BE35" s="47">
        <f>KH_26_OPT4_KTQT_v4[[#This Row],[SL-02]]*KH_26_OPT4_KTQT_v4[[#This Row],[GB-02]]*EXR</f>
        <v>1340900000</v>
      </c>
      <c r="BF35" s="47">
        <f>KH_26_OPT4_KTQT_v4[[#This Row],[SL-03]]*KH_26_OPT4_KTQT_v4[[#This Row],[GB-03]]*EXR</f>
        <v>1340900000</v>
      </c>
      <c r="BG35" s="47">
        <f>KH_26_OPT4_KTQT_v4[[#This Row],[SL-04]]*KH_26_OPT4_KTQT_v4[[#This Row],[GB-04]]*EXR</f>
        <v>1340900000</v>
      </c>
      <c r="BH35" s="47">
        <f>KH_26_OPT4_KTQT_v4[[#This Row],[SL-05]]*KH_26_OPT4_KTQT_v4[[#This Row],[GB-05]]*EXR</f>
        <v>1340900000</v>
      </c>
      <c r="BI35" s="47">
        <f>KH_26_OPT4_KTQT_v4[[#This Row],[SL-06]]*KH_26_OPT4_KTQT_v4[[#This Row],[GB-06]]*EXR</f>
        <v>1340900000</v>
      </c>
      <c r="BJ35" s="47">
        <f>KH_26_OPT4_KTQT_v4[[#This Row],[SL-07]]*KH_26_OPT4_KTQT_v4[[#This Row],[GB-07]]*EXR</f>
        <v>1340900000</v>
      </c>
      <c r="BK35" s="47">
        <f>KH_26_OPT4_KTQT_v4[[#This Row],[SL-08]]*KH_26_OPT4_KTQT_v4[[#This Row],[GB-08]]*EXR</f>
        <v>1340900000</v>
      </c>
      <c r="BL35" s="47">
        <f>KH_26_OPT4_KTQT_v4[[#This Row],[SL-09]]*KH_26_OPT4_KTQT_v4[[#This Row],[GB-09]]*EXR</f>
        <v>1340900000</v>
      </c>
      <c r="BM35" s="47">
        <f>KH_26_OPT4_KTQT_v4[[#This Row],[SL-10]]*KH_26_OPT4_KTQT_v4[[#This Row],[GB-10]]*EXR</f>
        <v>1340900000</v>
      </c>
      <c r="BN35" s="47">
        <f>KH_26_OPT4_KTQT_v4[[#This Row],[SL-11]]*KH_26_OPT4_KTQT_v4[[#This Row],[GB-11]]*EXR</f>
        <v>1340900000</v>
      </c>
      <c r="BO35" s="47">
        <f>KH_26_OPT4_KTQT_v4[[#This Row],[SL-12]]*KH_26_OPT4_KTQT_v4[[#This Row],[GB-12]]*EXR</f>
        <v>1340900000</v>
      </c>
      <c r="BP35" s="47">
        <f ca="1">SUM(KH_26_OPT4_KTQT_v4[[#This Row],[DT-EXW-01]:[DT-EXW-12]])</f>
        <v>16090800000</v>
      </c>
      <c r="BQ35" s="47">
        <f ca="1">SUMIFS(DB_25[DT-DB25],DB_25[Mã khách],KH_26_OPT4_KTQT_v4[[#This Row],[Mã khách]],DB_25[Mã sản phẩm],KH_26_OPT4_KTQT_v4[[#This Row],[Mã sản phẩm]])</f>
        <v>9093545241.3801041</v>
      </c>
      <c r="BR35" s="47">
        <f ca="1">KH_26_OPT4_KTQT_v4[[#This Row],[DT-EXW-KH26]]-KH_26_OPT4_KTQT_v4[[#This Row],[DT-EXW-DB25]]</f>
        <v>6997254758.6198959</v>
      </c>
      <c r="BS35" s="21">
        <f ca="1">IFERROR(KH_26_OPT4_KTQT_v4[[#This Row],[DT-EXW-+/-]]/KH_26_OPT4_KTQT_v4[[#This Row],[DT-EXW-DB25]],0)</f>
        <v>0.76947489377178713</v>
      </c>
      <c r="BT35" s="139"/>
      <c r="BU35" s="57"/>
      <c r="BV35" s="51"/>
      <c r="BW35" s="47">
        <f>IF(KH_26_OPT4_KTQT_v4[[#This Row],[CPHH-%-SL]]="Dthu",KH_26_OPT4_KTQT_v4[[#This Row],[%HH]]*KH_26_OPT4_KTQT_v4[[#This Row],[DT-EXW-01]],KH_26_OPT4_KTQT_v4[[#This Row],[HH-SL]]*KH_26_OPT4_KTQT_v4[[#This Row],[SL-01]])</f>
        <v>0</v>
      </c>
      <c r="BX35" s="47">
        <f>IF(KH_26_OPT4_KTQT_v4[[#This Row],[CPHH-%-SL]]="Dthu",KH_26_OPT4_KTQT_v4[[#This Row],[%HH]]*KH_26_OPT4_KTQT_v4[[#This Row],[DT-EXW-02]],KH_26_OPT4_KTQT_v4[[#This Row],[HH-SL]]*KH_26_OPT4_KTQT_v4[[#This Row],[SL-02]])</f>
        <v>0</v>
      </c>
      <c r="BY35" s="47">
        <f>IF(KH_26_OPT4_KTQT_v4[[#This Row],[CPHH-%-SL]]="Dthu",KH_26_OPT4_KTQT_v4[[#This Row],[%HH]]*KH_26_OPT4_KTQT_v4[[#This Row],[DT-EXW-03]],KH_26_OPT4_KTQT_v4[[#This Row],[HH-SL]]*KH_26_OPT4_KTQT_v4[[#This Row],[SL-03]])</f>
        <v>0</v>
      </c>
      <c r="BZ35" s="47">
        <f>IF(KH_26_OPT4_KTQT_v4[[#This Row],[CPHH-%-SL]]="Dthu",KH_26_OPT4_KTQT_v4[[#This Row],[%HH]]*KH_26_OPT4_KTQT_v4[[#This Row],[DT-EXW-04]],KH_26_OPT4_KTQT_v4[[#This Row],[HH-SL]]*KH_26_OPT4_KTQT_v4[[#This Row],[SL-04]])</f>
        <v>0</v>
      </c>
      <c r="CA35" s="47">
        <f>IF(KH_26_OPT4_KTQT_v4[[#This Row],[CPHH-%-SL]]="Dthu",KH_26_OPT4_KTQT_v4[[#This Row],[%HH]]*KH_26_OPT4_KTQT_v4[[#This Row],[DT-EXW-05]],KH_26_OPT4_KTQT_v4[[#This Row],[HH-SL]]*KH_26_OPT4_KTQT_v4[[#This Row],[SL-05]])</f>
        <v>0</v>
      </c>
      <c r="CB35" s="47">
        <f>IF(KH_26_OPT4_KTQT_v4[[#This Row],[CPHH-%-SL]]="Dthu",KH_26_OPT4_KTQT_v4[[#This Row],[%HH]]*KH_26_OPT4_KTQT_v4[[#This Row],[DT-EXW-06]],KH_26_OPT4_KTQT_v4[[#This Row],[HH-SL]]*KH_26_OPT4_KTQT_v4[[#This Row],[SL-06]])</f>
        <v>0</v>
      </c>
      <c r="CC35" s="47">
        <f>IF(KH_26_OPT4_KTQT_v4[[#This Row],[CPHH-%-SL]]="Dthu",KH_26_OPT4_KTQT_v4[[#This Row],[%HH]]*KH_26_OPT4_KTQT_v4[[#This Row],[DT-EXW-07]],KH_26_OPT4_KTQT_v4[[#This Row],[HH-SL]]*KH_26_OPT4_KTQT_v4[[#This Row],[SL-07]])</f>
        <v>0</v>
      </c>
      <c r="CD35" s="47">
        <f>IF(KH_26_OPT4_KTQT_v4[[#This Row],[CPHH-%-SL]]="Dthu",KH_26_OPT4_KTQT_v4[[#This Row],[%HH]]*KH_26_OPT4_KTQT_v4[[#This Row],[DT-EXW-08]],KH_26_OPT4_KTQT_v4[[#This Row],[HH-SL]]*KH_26_OPT4_KTQT_v4[[#This Row],[SL-08]])</f>
        <v>0</v>
      </c>
      <c r="CE35" s="47">
        <f>IF(KH_26_OPT4_KTQT_v4[[#This Row],[CPHH-%-SL]]="Dthu",KH_26_OPT4_KTQT_v4[[#This Row],[%HH]]*KH_26_OPT4_KTQT_v4[[#This Row],[DT-EXW-09]],KH_26_OPT4_KTQT_v4[[#This Row],[HH-SL]]*KH_26_OPT4_KTQT_v4[[#This Row],[SL-09]])</f>
        <v>0</v>
      </c>
      <c r="CF35" s="47">
        <f>IF(KH_26_OPT4_KTQT_v4[[#This Row],[CPHH-%-SL]]="Dthu",KH_26_OPT4_KTQT_v4[[#This Row],[%HH]]*KH_26_OPT4_KTQT_v4[[#This Row],[DT-EXW-10]],KH_26_OPT4_KTQT_v4[[#This Row],[HH-SL]]*KH_26_OPT4_KTQT_v4[[#This Row],[SL-10]])</f>
        <v>0</v>
      </c>
      <c r="CG35" s="47">
        <f>IF(KH_26_OPT4_KTQT_v4[[#This Row],[CPHH-%-SL]]="Dthu",KH_26_OPT4_KTQT_v4[[#This Row],[%HH]]*KH_26_OPT4_KTQT_v4[[#This Row],[DT-EXW-11]],KH_26_OPT4_KTQT_v4[[#This Row],[HH-SL]]*KH_26_OPT4_KTQT_v4[[#This Row],[SL-11]])</f>
        <v>0</v>
      </c>
      <c r="CH35" s="47">
        <f>IF(KH_26_OPT4_KTQT_v4[[#This Row],[CPHH-%-SL]]="Dthu",KH_26_OPT4_KTQT_v4[[#This Row],[%HH]]*KH_26_OPT4_KTQT_v4[[#This Row],[DT-EXW-12]],KH_26_OPT4_KTQT_v4[[#This Row],[HH-SL]]*KH_26_OPT4_KTQT_v4[[#This Row],[SL-12]])</f>
        <v>0</v>
      </c>
      <c r="CI35" s="47">
        <f ca="1">SUM(KH_26_OPT4_KTQT_v4[[#This Row],[CPHH-01]:[CPHH-12]])</f>
        <v>0</v>
      </c>
      <c r="CJ35" s="47" cm="1">
        <f t="array" ref="CJ35">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35" s="19">
        <f ca="1">SUM(KH_26_OPT4_KTQT_v4[[#This Row],[ĐGVCNĐ-KXK]:[ĐGVCCT-KXK]])</f>
        <v>0</v>
      </c>
      <c r="CL35" s="47" cm="1">
        <f t="array" ref="CL35">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35" s="47" cm="1">
        <f t="array" ref="CM35">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35" s="47">
        <f ca="1">(KH_26_OPT4_KTQT_v4[[#This Row],[ĐGVC-KNĐ]]+KH_26_OPT4_KTQT_v4[[#This Row],[ĐGVC-KXK]])*KH_26_OPT4_KTQT_v4[[#This Row],[SL-01]]</f>
        <v>0</v>
      </c>
      <c r="CO35" s="47">
        <f ca="1">(KH_26_OPT4_KTQT_v4[[#This Row],[ĐGVC-KNĐ]]+KH_26_OPT4_KTQT_v4[[#This Row],[ĐGVC-KXK]])*KH_26_OPT4_KTQT_v4[[#This Row],[SL-02]]</f>
        <v>0</v>
      </c>
      <c r="CP35" s="47">
        <f ca="1">(KH_26_OPT4_KTQT_v4[[#This Row],[ĐGVC-KNĐ]]+KH_26_OPT4_KTQT_v4[[#This Row],[ĐGVC-KXK]])*KH_26_OPT4_KTQT_v4[[#This Row],[SL-03]]</f>
        <v>0</v>
      </c>
      <c r="CQ35" s="47">
        <f ca="1">(KH_26_OPT4_KTQT_v4[[#This Row],[ĐGVC-KNĐ]]+KH_26_OPT4_KTQT_v4[[#This Row],[ĐGVC-KXK]])*KH_26_OPT4_KTQT_v4[[#This Row],[SL-04]]</f>
        <v>0</v>
      </c>
      <c r="CR35" s="47">
        <f ca="1">(KH_26_OPT4_KTQT_v4[[#This Row],[ĐGVC-KNĐ]]+KH_26_OPT4_KTQT_v4[[#This Row],[ĐGVC-KXK]])*KH_26_OPT4_KTQT_v4[[#This Row],[SL-05]]</f>
        <v>0</v>
      </c>
      <c r="CS35" s="47">
        <f ca="1">(KH_26_OPT4_KTQT_v4[[#This Row],[ĐGVC-KNĐ]]+KH_26_OPT4_KTQT_v4[[#This Row],[ĐGVC-KXK]])*KH_26_OPT4_KTQT_v4[[#This Row],[SL-06]]</f>
        <v>0</v>
      </c>
      <c r="CT35" s="47">
        <f ca="1">(KH_26_OPT4_KTQT_v4[[#This Row],[ĐGVC-KNĐ]]+KH_26_OPT4_KTQT_v4[[#This Row],[ĐGVC-KXK]])*KH_26_OPT4_KTQT_v4[[#This Row],[SL-07]]</f>
        <v>0</v>
      </c>
      <c r="CU35" s="47">
        <f ca="1">(KH_26_OPT4_KTQT_v4[[#This Row],[ĐGVC-KNĐ]]+KH_26_OPT4_KTQT_v4[[#This Row],[ĐGVC-KXK]])*KH_26_OPT4_KTQT_v4[[#This Row],[SL-08]]</f>
        <v>0</v>
      </c>
      <c r="CV35" s="47">
        <f ca="1">(KH_26_OPT4_KTQT_v4[[#This Row],[ĐGVC-KNĐ]]+KH_26_OPT4_KTQT_v4[[#This Row],[ĐGVC-KXK]])*KH_26_OPT4_KTQT_v4[[#This Row],[SL-09]]</f>
        <v>0</v>
      </c>
      <c r="CW35" s="47">
        <f ca="1">(KH_26_OPT4_KTQT_v4[[#This Row],[ĐGVC-KNĐ]]+KH_26_OPT4_KTQT_v4[[#This Row],[ĐGVC-KXK]])*KH_26_OPT4_KTQT_v4[[#This Row],[SL-10]]</f>
        <v>0</v>
      </c>
      <c r="CX35" s="47">
        <f ca="1">(KH_26_OPT4_KTQT_v4[[#This Row],[ĐGVC-KNĐ]]+KH_26_OPT4_KTQT_v4[[#This Row],[ĐGVC-KXK]])*KH_26_OPT4_KTQT_v4[[#This Row],[SL-11]]</f>
        <v>0</v>
      </c>
      <c r="CY35" s="47">
        <f ca="1">(KH_26_OPT4_KTQT_v4[[#This Row],[ĐGVC-KNĐ]]+KH_26_OPT4_KTQT_v4[[#This Row],[ĐGVC-KXK]])*KH_26_OPT4_KTQT_v4[[#This Row],[SL-12]]</f>
        <v>0</v>
      </c>
      <c r="CZ35" s="47">
        <f ca="1">SUM(KH_26_OPT4_KTQT_v4[[#This Row],[CPVC-01]:[CPVC-12]])</f>
        <v>0</v>
      </c>
      <c r="DA35" s="124">
        <f ca="1">KH_26_OPT4_KTQT_v4[[#This Row],[DT-EXW-01]]+KH_26_OPT4_KTQT_v4[[#This Row],[CPVC-01]]+KH_26_OPT4_KTQT_v4[[#This Row],[CPHH-01]]</f>
        <v>1340900000</v>
      </c>
      <c r="DB35" s="47">
        <f ca="1">KH_26_OPT4_KTQT_v4[[#This Row],[DT-EXW-02]]+KH_26_OPT4_KTQT_v4[[#This Row],[CPVC-02]]+KH_26_OPT4_KTQT_v4[[#This Row],[CPHH-02]]</f>
        <v>1340900000</v>
      </c>
      <c r="DC35" s="47">
        <f ca="1">KH_26_OPT4_KTQT_v4[[#This Row],[DT-EXW-03]]+KH_26_OPT4_KTQT_v4[[#This Row],[CPVC-03]]+KH_26_OPT4_KTQT_v4[[#This Row],[CPHH-03]]</f>
        <v>1340900000</v>
      </c>
      <c r="DD35" s="47">
        <f ca="1">KH_26_OPT4_KTQT_v4[[#This Row],[DT-EXW-04]]+KH_26_OPT4_KTQT_v4[[#This Row],[CPVC-04]]+KH_26_OPT4_KTQT_v4[[#This Row],[CPHH-04]]</f>
        <v>1340900000</v>
      </c>
      <c r="DE35" s="47">
        <f ca="1">KH_26_OPT4_KTQT_v4[[#This Row],[DT-EXW-05]]+KH_26_OPT4_KTQT_v4[[#This Row],[CPVC-05]]+KH_26_OPT4_KTQT_v4[[#This Row],[CPHH-05]]</f>
        <v>1340900000</v>
      </c>
      <c r="DF35" s="47">
        <f ca="1">KH_26_OPT4_KTQT_v4[[#This Row],[DT-EXW-06]]+KH_26_OPT4_KTQT_v4[[#This Row],[CPVC-06]]+KH_26_OPT4_KTQT_v4[[#This Row],[CPHH-06]]</f>
        <v>1340900000</v>
      </c>
      <c r="DG35" s="47">
        <f ca="1">KH_26_OPT4_KTQT_v4[[#This Row],[DT-EXW-07]]+KH_26_OPT4_KTQT_v4[[#This Row],[CPVC-07]]+KH_26_OPT4_KTQT_v4[[#This Row],[CPHH-07]]</f>
        <v>1340900000</v>
      </c>
      <c r="DH35" s="47">
        <f ca="1">KH_26_OPT4_KTQT_v4[[#This Row],[DT-EXW-08]]+KH_26_OPT4_KTQT_v4[[#This Row],[CPVC-08]]+KH_26_OPT4_KTQT_v4[[#This Row],[CPHH-08]]</f>
        <v>1340900000</v>
      </c>
      <c r="DI35" s="47">
        <f ca="1">KH_26_OPT4_KTQT_v4[[#This Row],[DT-EXW-09]]+KH_26_OPT4_KTQT_v4[[#This Row],[CPVC-09]]+KH_26_OPT4_KTQT_v4[[#This Row],[CPHH-09]]</f>
        <v>1340900000</v>
      </c>
      <c r="DJ35" s="47">
        <f ca="1">KH_26_OPT4_KTQT_v4[[#This Row],[DT-EXW-10]]+KH_26_OPT4_KTQT_v4[[#This Row],[CPVC-10]]+KH_26_OPT4_KTQT_v4[[#This Row],[CPHH-10]]</f>
        <v>1340900000</v>
      </c>
      <c r="DK35" s="47">
        <f ca="1">KH_26_OPT4_KTQT_v4[[#This Row],[DT-EXW-11]]+KH_26_OPT4_KTQT_v4[[#This Row],[CPVC-11]]+KH_26_OPT4_KTQT_v4[[#This Row],[CPHH-11]]</f>
        <v>1340900000</v>
      </c>
      <c r="DL35" s="47">
        <f ca="1">KH_26_OPT4_KTQT_v4[[#This Row],[DT-EXW-12]]+KH_26_OPT4_KTQT_v4[[#This Row],[CPVC-12]]+KH_26_OPT4_KTQT_v4[[#This Row],[CPHH-12]]</f>
        <v>1340900000</v>
      </c>
      <c r="DM35" s="47">
        <f ca="1">SUM(KH_26_OPT4_KTQT_v4[[#This Row],[DT-01]:[DT-12]])</f>
        <v>16090800000</v>
      </c>
      <c r="DN35" s="7"/>
      <c r="DO35" s="7"/>
      <c r="DP35" s="125"/>
      <c r="DQ35" s="136"/>
      <c r="DR35" s="132">
        <f>IFERROR(KH_26_OPT4_KTQT_v4[[#This Row],[DT-EXW-01]]*KH_26_OPT4_KTQT_v4[[#This Row],[%CPDP]],0)</f>
        <v>0</v>
      </c>
      <c r="DS35" s="132">
        <f>IFERROR(KH_26_OPT4_KTQT_v4[[#This Row],[DT-EXW-02]]*KH_26_OPT4_KTQT_v4[[#This Row],[%CPDP]],0)</f>
        <v>0</v>
      </c>
      <c r="DT35" s="132">
        <f>IFERROR(KH_26_OPT4_KTQT_v4[[#This Row],[DT-EXW-03]]*KH_26_OPT4_KTQT_v4[[#This Row],[%CPDP]],0)</f>
        <v>0</v>
      </c>
      <c r="DU35" s="132">
        <f>IFERROR(KH_26_OPT4_KTQT_v4[[#This Row],[DT-EXW-04]]*KH_26_OPT4_KTQT_v4[[#This Row],[%CPDP]],0)</f>
        <v>0</v>
      </c>
      <c r="DV35" s="132">
        <f>IFERROR(KH_26_OPT4_KTQT_v4[[#This Row],[DT-EXW-05]]*KH_26_OPT4_KTQT_v4[[#This Row],[%CPDP]],0)</f>
        <v>0</v>
      </c>
      <c r="DW35" s="132">
        <f>IFERROR(KH_26_OPT4_KTQT_v4[[#This Row],[DT-EXW-06]]*KH_26_OPT4_KTQT_v4[[#This Row],[%CPDP]],0)</f>
        <v>0</v>
      </c>
      <c r="DX35" s="132">
        <f>IFERROR(KH_26_OPT4_KTQT_v4[[#This Row],[DT-EXW-07]]*KH_26_OPT4_KTQT_v4[[#This Row],[%CPDP]],0)</f>
        <v>0</v>
      </c>
      <c r="DY35" s="132">
        <f>IFERROR(KH_26_OPT4_KTQT_v4[[#This Row],[DT-EXW-08]]*KH_26_OPT4_KTQT_v4[[#This Row],[%CPDP]],0)</f>
        <v>0</v>
      </c>
      <c r="DZ35" s="132">
        <f>IFERROR(KH_26_OPT4_KTQT_v4[[#This Row],[DT-EXW-09]]*KH_26_OPT4_KTQT_v4[[#This Row],[%CPDP]],0)</f>
        <v>0</v>
      </c>
      <c r="EA35" s="132">
        <f>IFERROR(KH_26_OPT4_KTQT_v4[[#This Row],[DT-EXW-10]]*KH_26_OPT4_KTQT_v4[[#This Row],[%CPDP]],0)</f>
        <v>0</v>
      </c>
      <c r="EB35" s="132">
        <f>IFERROR(KH_26_OPT4_KTQT_v4[[#This Row],[DT-EXW-11]]*KH_26_OPT4_KTQT_v4[[#This Row],[%CPDP]],0)</f>
        <v>0</v>
      </c>
      <c r="EC35" s="132">
        <f>IFERROR(KH_26_OPT4_KTQT_v4[[#This Row],[DT-EXW-12]]*KH_26_OPT4_KTQT_v4[[#This Row],[%CPDP]],0)</f>
        <v>0</v>
      </c>
      <c r="ED35" s="131">
        <f ca="1">SUM(KH_26_OPT4_KTQT_v4[[#This Row],[CPDP-01]:[CPDP-12]])</f>
        <v>0</v>
      </c>
    </row>
    <row r="36" spans="1:134" ht="14.65" hidden="1" customHeight="1" x14ac:dyDescent="0.35">
      <c r="A36" s="18">
        <v>31</v>
      </c>
      <c r="B36" s="71" t="s">
        <v>95</v>
      </c>
      <c r="C36" s="18" t="str">
        <f>IFERROR(_xlfn.XLOOKUP(KH_26_OPT4_KTQT_v4[[#This Row],[Salesman]],MD_Salesman[Salesman],MD_Salesman[SalesManager]),"")</f>
        <v>Cường</v>
      </c>
      <c r="D36" s="72" t="str">
        <f>IFERROR(INDEX(MD_Customer[Mã khách],MATCH(KH_26_OPT4_KTQT_v4[[#This Row],[Tên khách]],MD_Customer[Tên khách-rút gọn],0)),"")</f>
        <v>200370</v>
      </c>
      <c r="E36" s="7" t="str">
        <f>IFERROR(INDEX(MD_Customer[Parent Account],MATCH(KH_26_OPT4_KTQT_v4[[#This Row],[Tên khách]],MD_Customer[Tên khách-rút gọn],0)),"")</f>
        <v>KORYFES SA</v>
      </c>
      <c r="F36" s="35" t="s">
        <v>46</v>
      </c>
      <c r="G36" s="7" t="str">
        <f>IFERROR(INDEX(MD_Customer[Phân loại],MATCH(KH_26_OPT4_KTQT_v4[[#This Row],[Tên khách]],MD_Customer[Tên khách-rút gọn],0)),"")</f>
        <v>Hiện hữu</v>
      </c>
      <c r="H36" s="7" t="str">
        <f>IFERROR(INDEX(MD_Customer[Kênh bán hàng],MATCH(KH_26_OPT4_KTQT_v4[[#This Row],[Tên khách]],MD_Customer[Tên khách-rút gọn],0)),"")</f>
        <v>Xuất khẩu</v>
      </c>
      <c r="I36" s="35" t="s">
        <v>291</v>
      </c>
      <c r="J36" s="7" t="str">
        <f>IFERROR(INDEX(MD_Destination[Nước],MATCH(KH_26_OPT4_KTQT_v4[[#This Row],[Địa điểm đến]],MD_Destination[Địa điểm đến],0)),"")</f>
        <v>Bulgaria</v>
      </c>
      <c r="K36" s="7" t="str">
        <f>IFERROR(INDEX(MD_Destination[Khu vực],MATCH(KH_26_OPT4_KTQT_v4[[#This Row],[Địa điểm đến]],MD_Destination[Địa điểm đến],0)),"")</f>
        <v>Châu Âu</v>
      </c>
      <c r="L36" s="35" t="s">
        <v>293</v>
      </c>
      <c r="M36" s="7" t="str">
        <f>IFERROR(INDEX(MD_SKU[Mã SKU],MATCH(KH_26_OPT4_KTQT_v4[[#This Row],[Tên sản phẩm]],MD_SKU[Tên SKU-rút gọn],0)),"")</f>
        <v>110000355</v>
      </c>
      <c r="N36" s="35" t="s">
        <v>469</v>
      </c>
      <c r="O36" s="7" t="str">
        <f>IFERROR(INDEX(MD_SKU[Ngành hàng],MATCH(KH_26_OPT4_KTQT_v4[[#This Row],[Tên sản phẩm]],MD_SKU[Tên SKU-rút gọn],0)),"")</f>
        <v>rPET</v>
      </c>
      <c r="P36" s="7" t="str">
        <f>IFERROR(INDEX(MD_SKU[Nhóm ngành],MATCH(KH_26_OPT4_KTQT_v4[[#This Row],[Tên sản phẩm]],MD_SKU[Tên SKU-rút gọn],0)),"")</f>
        <v>Hạt PET</v>
      </c>
      <c r="Q36" s="7" t="str">
        <f>IFERROR(
   IF(INDEX(MD_SKU[IV/IM],MATCH(KH_26_OPT4_KTQT_v4[[#This Row],[Tên sản phẩm]],MD_SKU[Tên SKU-rút gọn],0))=0,
      "",
      INDEX(MD_SKU[IV/IM],MATCH(KH_26_OPT4_KTQT_v4[[#This Row],[Tên sản phẩm]],MD_SKU[Tên SKU-rút gọn],0))
   ),
"")</f>
        <v>0.80 ± 0.02</v>
      </c>
      <c r="R36" s="44">
        <f>IFERROR(INDEX(MD_SKU[Application],MATCH(KH_26_OPT4_KTQT_v4[[#This Row],[Tên sản phẩm]],MD_SKU[Tên SKU-rút gọn],0)),"")</f>
        <v>0</v>
      </c>
      <c r="S36" s="7" t="str">
        <f>IFERROR(INDEX(MD_SKU[Phân loại],MATCH(KH_26_OPT4_KTQT_v4[[#This Row],[Tên sản phẩm]],MD_SKU[Tên SKU-rút gọn],0)),"")</f>
        <v>Cũ</v>
      </c>
      <c r="T36" s="7" t="s">
        <v>46</v>
      </c>
      <c r="U36" s="7" t="s">
        <v>1508</v>
      </c>
      <c r="V36" s="70">
        <v>0.8</v>
      </c>
      <c r="W36" s="33">
        <v>44</v>
      </c>
      <c r="X36" s="33">
        <v>44</v>
      </c>
      <c r="Y36" s="33">
        <v>44</v>
      </c>
      <c r="Z36" s="33">
        <v>44</v>
      </c>
      <c r="AA36" s="33">
        <v>44</v>
      </c>
      <c r="AB36" s="33">
        <v>44</v>
      </c>
      <c r="AC36" s="33">
        <v>44</v>
      </c>
      <c r="AD36" s="33">
        <v>44</v>
      </c>
      <c r="AE36" s="33">
        <v>44</v>
      </c>
      <c r="AF36" s="33">
        <v>44</v>
      </c>
      <c r="AG36" s="33">
        <v>44</v>
      </c>
      <c r="AH36" s="33">
        <v>44</v>
      </c>
      <c r="AI36" s="47">
        <f ca="1">SUM(KH_26_OPT4_KTQT_v4[[#This Row],[SL-01]:[SL-12]])</f>
        <v>528</v>
      </c>
      <c r="AJ36" s="47">
        <f ca="1">SUMIFS(DB_25[SL-DB25],DB_25[Mã khách],KH_26_OPT4_KTQT_v4[[#This Row],[Mã khách]],DB_25[Mã sản phẩm],KH_26_OPT4_KTQT_v4[[#This Row],[Mã sản phẩm]])</f>
        <v>968</v>
      </c>
      <c r="AK36" s="20">
        <f ca="1">KH_26_OPT4_KTQT_v4[[#This Row],[SL-KH26]]-KH_26_OPT4_KTQT_v4[[#This Row],[SL-DB25]]</f>
        <v>-440</v>
      </c>
      <c r="AL36" s="21">
        <f ca="1">IFERROR(KH_26_OPT4_KTQT_v4[[#This Row],[SL-+/-]]/KH_26_OPT4_KTQT_v4[[#This Row],[SL-DB25]],0)</f>
        <v>-0.45454545454545453</v>
      </c>
      <c r="AM36" s="51">
        <v>1200</v>
      </c>
      <c r="AN36" s="51">
        <v>1200</v>
      </c>
      <c r="AO36" s="51">
        <v>1200</v>
      </c>
      <c r="AP36" s="51">
        <v>1200</v>
      </c>
      <c r="AQ36" s="51">
        <v>1200</v>
      </c>
      <c r="AR36" s="51">
        <v>1200</v>
      </c>
      <c r="AS36" s="51">
        <v>1200</v>
      </c>
      <c r="AT36" s="51">
        <v>1200</v>
      </c>
      <c r="AU36" s="51">
        <v>1200</v>
      </c>
      <c r="AV36" s="51">
        <v>1200</v>
      </c>
      <c r="AW36" s="51">
        <v>1200</v>
      </c>
      <c r="AX36" s="51">
        <v>1200</v>
      </c>
      <c r="AY36" s="23">
        <v>1200</v>
      </c>
      <c r="AZ36" s="7"/>
      <c r="BA36" s="24">
        <f>KH_26_OPT4_KTQT_v4[[#This Row],[GB-DB25]]-KH_26_OPT4_KTQT_v4[[#This Row],[GB-KH25]]</f>
        <v>1200</v>
      </c>
      <c r="BB36" s="21">
        <f>IFERROR(KH_26_OPT4_KTQT_v4[[#This Row],[GB-+/-]]/KH_26_OPT4_KTQT_v4[[#This Row],[GB-KH25]],0)</f>
        <v>0</v>
      </c>
      <c r="BC36" s="21" t="s">
        <v>534</v>
      </c>
      <c r="BD36" s="47">
        <f>KH_26_OPT4_KTQT_v4[[#This Row],[SL-01]]*KH_26_OPT4_KTQT_v4[[#This Row],[GB-01]]*EXR</f>
        <v>1399200000</v>
      </c>
      <c r="BE36" s="47">
        <f>KH_26_OPT4_KTQT_v4[[#This Row],[SL-02]]*KH_26_OPT4_KTQT_v4[[#This Row],[GB-02]]*EXR</f>
        <v>1399200000</v>
      </c>
      <c r="BF36" s="47">
        <f>KH_26_OPT4_KTQT_v4[[#This Row],[SL-03]]*KH_26_OPT4_KTQT_v4[[#This Row],[GB-03]]*EXR</f>
        <v>1399200000</v>
      </c>
      <c r="BG36" s="47">
        <f>KH_26_OPT4_KTQT_v4[[#This Row],[SL-04]]*KH_26_OPT4_KTQT_v4[[#This Row],[GB-04]]*EXR</f>
        <v>1399200000</v>
      </c>
      <c r="BH36" s="47">
        <f>KH_26_OPT4_KTQT_v4[[#This Row],[SL-05]]*KH_26_OPT4_KTQT_v4[[#This Row],[GB-05]]*EXR</f>
        <v>1399200000</v>
      </c>
      <c r="BI36" s="47">
        <f>KH_26_OPT4_KTQT_v4[[#This Row],[SL-06]]*KH_26_OPT4_KTQT_v4[[#This Row],[GB-06]]*EXR</f>
        <v>1399200000</v>
      </c>
      <c r="BJ36" s="47">
        <f>KH_26_OPT4_KTQT_v4[[#This Row],[SL-07]]*KH_26_OPT4_KTQT_v4[[#This Row],[GB-07]]*EXR</f>
        <v>1399200000</v>
      </c>
      <c r="BK36" s="47">
        <f>KH_26_OPT4_KTQT_v4[[#This Row],[SL-08]]*KH_26_OPT4_KTQT_v4[[#This Row],[GB-08]]*EXR</f>
        <v>1399200000</v>
      </c>
      <c r="BL36" s="47">
        <f>KH_26_OPT4_KTQT_v4[[#This Row],[SL-09]]*KH_26_OPT4_KTQT_v4[[#This Row],[GB-09]]*EXR</f>
        <v>1399200000</v>
      </c>
      <c r="BM36" s="47">
        <f>KH_26_OPT4_KTQT_v4[[#This Row],[SL-10]]*KH_26_OPT4_KTQT_v4[[#This Row],[GB-10]]*EXR</f>
        <v>1399200000</v>
      </c>
      <c r="BN36" s="47">
        <f>KH_26_OPT4_KTQT_v4[[#This Row],[SL-11]]*KH_26_OPT4_KTQT_v4[[#This Row],[GB-11]]*EXR</f>
        <v>1399200000</v>
      </c>
      <c r="BO36" s="47">
        <f>KH_26_OPT4_KTQT_v4[[#This Row],[SL-12]]*KH_26_OPT4_KTQT_v4[[#This Row],[GB-12]]*EXR</f>
        <v>1399200000</v>
      </c>
      <c r="BP36" s="47">
        <f ca="1">SUM(KH_26_OPT4_KTQT_v4[[#This Row],[DT-EXW-01]:[DT-EXW-12]])</f>
        <v>16790400000</v>
      </c>
      <c r="BQ36" s="47">
        <f ca="1">SUMIFS(DB_25[DT-DB25],DB_25[Mã khách],KH_26_OPT4_KTQT_v4[[#This Row],[Mã khách]],DB_25[Mã sản phẩm],KH_26_OPT4_KTQT_v4[[#This Row],[Mã sản phẩm]])</f>
        <v>31538143142.724213</v>
      </c>
      <c r="BR36" s="47">
        <f ca="1">KH_26_OPT4_KTQT_v4[[#This Row],[DT-EXW-KH26]]-KH_26_OPT4_KTQT_v4[[#This Row],[DT-EXW-DB25]]</f>
        <v>-14747743142.724213</v>
      </c>
      <c r="BS36" s="21">
        <f ca="1">IFERROR(KH_26_OPT4_KTQT_v4[[#This Row],[DT-EXW-+/-]]/KH_26_OPT4_KTQT_v4[[#This Row],[DT-EXW-DB25]],0)</f>
        <v>-0.46761608874638161</v>
      </c>
      <c r="BT36" s="139"/>
      <c r="BU36" s="57"/>
      <c r="BV36" s="51"/>
      <c r="BW36" s="47">
        <f>IF(KH_26_OPT4_KTQT_v4[[#This Row],[CPHH-%-SL]]="Dthu",KH_26_OPT4_KTQT_v4[[#This Row],[%HH]]*KH_26_OPT4_KTQT_v4[[#This Row],[DT-EXW-01]],KH_26_OPT4_KTQT_v4[[#This Row],[HH-SL]]*KH_26_OPT4_KTQT_v4[[#This Row],[SL-01]])</f>
        <v>0</v>
      </c>
      <c r="BX36" s="47">
        <f>IF(KH_26_OPT4_KTQT_v4[[#This Row],[CPHH-%-SL]]="Dthu",KH_26_OPT4_KTQT_v4[[#This Row],[%HH]]*KH_26_OPT4_KTQT_v4[[#This Row],[DT-EXW-02]],KH_26_OPT4_KTQT_v4[[#This Row],[HH-SL]]*KH_26_OPT4_KTQT_v4[[#This Row],[SL-02]])</f>
        <v>0</v>
      </c>
      <c r="BY36" s="47">
        <f>IF(KH_26_OPT4_KTQT_v4[[#This Row],[CPHH-%-SL]]="Dthu",KH_26_OPT4_KTQT_v4[[#This Row],[%HH]]*KH_26_OPT4_KTQT_v4[[#This Row],[DT-EXW-03]],KH_26_OPT4_KTQT_v4[[#This Row],[HH-SL]]*KH_26_OPT4_KTQT_v4[[#This Row],[SL-03]])</f>
        <v>0</v>
      </c>
      <c r="BZ36" s="47">
        <f>IF(KH_26_OPT4_KTQT_v4[[#This Row],[CPHH-%-SL]]="Dthu",KH_26_OPT4_KTQT_v4[[#This Row],[%HH]]*KH_26_OPT4_KTQT_v4[[#This Row],[DT-EXW-04]],KH_26_OPT4_KTQT_v4[[#This Row],[HH-SL]]*KH_26_OPT4_KTQT_v4[[#This Row],[SL-04]])</f>
        <v>0</v>
      </c>
      <c r="CA36" s="47">
        <f>IF(KH_26_OPT4_KTQT_v4[[#This Row],[CPHH-%-SL]]="Dthu",KH_26_OPT4_KTQT_v4[[#This Row],[%HH]]*KH_26_OPT4_KTQT_v4[[#This Row],[DT-EXW-05]],KH_26_OPT4_KTQT_v4[[#This Row],[HH-SL]]*KH_26_OPT4_KTQT_v4[[#This Row],[SL-05]])</f>
        <v>0</v>
      </c>
      <c r="CB36" s="47">
        <f>IF(KH_26_OPT4_KTQT_v4[[#This Row],[CPHH-%-SL]]="Dthu",KH_26_OPT4_KTQT_v4[[#This Row],[%HH]]*KH_26_OPT4_KTQT_v4[[#This Row],[DT-EXW-06]],KH_26_OPT4_KTQT_v4[[#This Row],[HH-SL]]*KH_26_OPT4_KTQT_v4[[#This Row],[SL-06]])</f>
        <v>0</v>
      </c>
      <c r="CC36" s="47">
        <f>IF(KH_26_OPT4_KTQT_v4[[#This Row],[CPHH-%-SL]]="Dthu",KH_26_OPT4_KTQT_v4[[#This Row],[%HH]]*KH_26_OPT4_KTQT_v4[[#This Row],[DT-EXW-07]],KH_26_OPT4_KTQT_v4[[#This Row],[HH-SL]]*KH_26_OPT4_KTQT_v4[[#This Row],[SL-07]])</f>
        <v>0</v>
      </c>
      <c r="CD36" s="47">
        <f>IF(KH_26_OPT4_KTQT_v4[[#This Row],[CPHH-%-SL]]="Dthu",KH_26_OPT4_KTQT_v4[[#This Row],[%HH]]*KH_26_OPT4_KTQT_v4[[#This Row],[DT-EXW-08]],KH_26_OPT4_KTQT_v4[[#This Row],[HH-SL]]*KH_26_OPT4_KTQT_v4[[#This Row],[SL-08]])</f>
        <v>0</v>
      </c>
      <c r="CE36" s="47">
        <f>IF(KH_26_OPT4_KTQT_v4[[#This Row],[CPHH-%-SL]]="Dthu",KH_26_OPT4_KTQT_v4[[#This Row],[%HH]]*KH_26_OPT4_KTQT_v4[[#This Row],[DT-EXW-09]],KH_26_OPT4_KTQT_v4[[#This Row],[HH-SL]]*KH_26_OPT4_KTQT_v4[[#This Row],[SL-09]])</f>
        <v>0</v>
      </c>
      <c r="CF36" s="47">
        <f>IF(KH_26_OPT4_KTQT_v4[[#This Row],[CPHH-%-SL]]="Dthu",KH_26_OPT4_KTQT_v4[[#This Row],[%HH]]*KH_26_OPT4_KTQT_v4[[#This Row],[DT-EXW-10]],KH_26_OPT4_KTQT_v4[[#This Row],[HH-SL]]*KH_26_OPT4_KTQT_v4[[#This Row],[SL-10]])</f>
        <v>0</v>
      </c>
      <c r="CG36" s="47">
        <f>IF(KH_26_OPT4_KTQT_v4[[#This Row],[CPHH-%-SL]]="Dthu",KH_26_OPT4_KTQT_v4[[#This Row],[%HH]]*KH_26_OPT4_KTQT_v4[[#This Row],[DT-EXW-11]],KH_26_OPT4_KTQT_v4[[#This Row],[HH-SL]]*KH_26_OPT4_KTQT_v4[[#This Row],[SL-11]])</f>
        <v>0</v>
      </c>
      <c r="CH36" s="47">
        <f>IF(KH_26_OPT4_KTQT_v4[[#This Row],[CPHH-%-SL]]="Dthu",KH_26_OPT4_KTQT_v4[[#This Row],[%HH]]*KH_26_OPT4_KTQT_v4[[#This Row],[DT-EXW-12]],KH_26_OPT4_KTQT_v4[[#This Row],[HH-SL]]*KH_26_OPT4_KTQT_v4[[#This Row],[SL-12]])</f>
        <v>0</v>
      </c>
      <c r="CI36" s="47">
        <f ca="1">SUM(KH_26_OPT4_KTQT_v4[[#This Row],[CPHH-01]:[CPHH-12]])</f>
        <v>0</v>
      </c>
      <c r="CJ36" s="47" cm="1">
        <f t="array" ref="CJ36">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36" s="19">
        <f ca="1">SUM(KH_26_OPT4_KTQT_v4[[#This Row],[ĐGVCNĐ-KXK]:[ĐGVCCT-KXK]])</f>
        <v>3782272.7272727275</v>
      </c>
      <c r="CL36" s="47" cm="1">
        <f t="array" ref="CL36">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530000</v>
      </c>
      <c r="CM36" s="47" cm="1">
        <f t="array" ref="CM36">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3252272.7272727275</v>
      </c>
      <c r="CN36" s="47">
        <f ca="1">(KH_26_OPT4_KTQT_v4[[#This Row],[ĐGVC-KNĐ]]+KH_26_OPT4_KTQT_v4[[#This Row],[ĐGVC-KXK]])*KH_26_OPT4_KTQT_v4[[#This Row],[SL-01]]</f>
        <v>166420000</v>
      </c>
      <c r="CO36" s="47">
        <f ca="1">(KH_26_OPT4_KTQT_v4[[#This Row],[ĐGVC-KNĐ]]+KH_26_OPT4_KTQT_v4[[#This Row],[ĐGVC-KXK]])*KH_26_OPT4_KTQT_v4[[#This Row],[SL-02]]</f>
        <v>166420000</v>
      </c>
      <c r="CP36" s="47">
        <f ca="1">(KH_26_OPT4_KTQT_v4[[#This Row],[ĐGVC-KNĐ]]+KH_26_OPT4_KTQT_v4[[#This Row],[ĐGVC-KXK]])*KH_26_OPT4_KTQT_v4[[#This Row],[SL-03]]</f>
        <v>166420000</v>
      </c>
      <c r="CQ36" s="47">
        <f ca="1">(KH_26_OPT4_KTQT_v4[[#This Row],[ĐGVC-KNĐ]]+KH_26_OPT4_KTQT_v4[[#This Row],[ĐGVC-KXK]])*KH_26_OPT4_KTQT_v4[[#This Row],[SL-04]]</f>
        <v>166420000</v>
      </c>
      <c r="CR36" s="47">
        <f ca="1">(KH_26_OPT4_KTQT_v4[[#This Row],[ĐGVC-KNĐ]]+KH_26_OPT4_KTQT_v4[[#This Row],[ĐGVC-KXK]])*KH_26_OPT4_KTQT_v4[[#This Row],[SL-05]]</f>
        <v>166420000</v>
      </c>
      <c r="CS36" s="47">
        <f ca="1">(KH_26_OPT4_KTQT_v4[[#This Row],[ĐGVC-KNĐ]]+KH_26_OPT4_KTQT_v4[[#This Row],[ĐGVC-KXK]])*KH_26_OPT4_KTQT_v4[[#This Row],[SL-06]]</f>
        <v>166420000</v>
      </c>
      <c r="CT36" s="47">
        <f ca="1">(KH_26_OPT4_KTQT_v4[[#This Row],[ĐGVC-KNĐ]]+KH_26_OPT4_KTQT_v4[[#This Row],[ĐGVC-KXK]])*KH_26_OPT4_KTQT_v4[[#This Row],[SL-07]]</f>
        <v>166420000</v>
      </c>
      <c r="CU36" s="47">
        <f ca="1">(KH_26_OPT4_KTQT_v4[[#This Row],[ĐGVC-KNĐ]]+KH_26_OPT4_KTQT_v4[[#This Row],[ĐGVC-KXK]])*KH_26_OPT4_KTQT_v4[[#This Row],[SL-08]]</f>
        <v>166420000</v>
      </c>
      <c r="CV36" s="47">
        <f ca="1">(KH_26_OPT4_KTQT_v4[[#This Row],[ĐGVC-KNĐ]]+KH_26_OPT4_KTQT_v4[[#This Row],[ĐGVC-KXK]])*KH_26_OPT4_KTQT_v4[[#This Row],[SL-09]]</f>
        <v>166420000</v>
      </c>
      <c r="CW36" s="47">
        <f ca="1">(KH_26_OPT4_KTQT_v4[[#This Row],[ĐGVC-KNĐ]]+KH_26_OPT4_KTQT_v4[[#This Row],[ĐGVC-KXK]])*KH_26_OPT4_KTQT_v4[[#This Row],[SL-10]]</f>
        <v>166420000</v>
      </c>
      <c r="CX36" s="47">
        <f ca="1">(KH_26_OPT4_KTQT_v4[[#This Row],[ĐGVC-KNĐ]]+KH_26_OPT4_KTQT_v4[[#This Row],[ĐGVC-KXK]])*KH_26_OPT4_KTQT_v4[[#This Row],[SL-11]]</f>
        <v>166420000</v>
      </c>
      <c r="CY36" s="47">
        <f ca="1">(KH_26_OPT4_KTQT_v4[[#This Row],[ĐGVC-KNĐ]]+KH_26_OPT4_KTQT_v4[[#This Row],[ĐGVC-KXK]])*KH_26_OPT4_KTQT_v4[[#This Row],[SL-12]]</f>
        <v>166420000</v>
      </c>
      <c r="CZ36" s="47">
        <f ca="1">SUM(KH_26_OPT4_KTQT_v4[[#This Row],[CPVC-01]:[CPVC-12]])</f>
        <v>1997040000</v>
      </c>
      <c r="DA36" s="124">
        <f ca="1">KH_26_OPT4_KTQT_v4[[#This Row],[DT-EXW-01]]+KH_26_OPT4_KTQT_v4[[#This Row],[CPVC-01]]+KH_26_OPT4_KTQT_v4[[#This Row],[CPHH-01]]</f>
        <v>1565620000</v>
      </c>
      <c r="DB36" s="47">
        <f ca="1">KH_26_OPT4_KTQT_v4[[#This Row],[DT-EXW-02]]+KH_26_OPT4_KTQT_v4[[#This Row],[CPVC-02]]+KH_26_OPT4_KTQT_v4[[#This Row],[CPHH-02]]</f>
        <v>1565620000</v>
      </c>
      <c r="DC36" s="47">
        <f ca="1">KH_26_OPT4_KTQT_v4[[#This Row],[DT-EXW-03]]+KH_26_OPT4_KTQT_v4[[#This Row],[CPVC-03]]+KH_26_OPT4_KTQT_v4[[#This Row],[CPHH-03]]</f>
        <v>1565620000</v>
      </c>
      <c r="DD36" s="47">
        <f ca="1">KH_26_OPT4_KTQT_v4[[#This Row],[DT-EXW-04]]+KH_26_OPT4_KTQT_v4[[#This Row],[CPVC-04]]+KH_26_OPT4_KTQT_v4[[#This Row],[CPHH-04]]</f>
        <v>1565620000</v>
      </c>
      <c r="DE36" s="47">
        <f ca="1">KH_26_OPT4_KTQT_v4[[#This Row],[DT-EXW-05]]+KH_26_OPT4_KTQT_v4[[#This Row],[CPVC-05]]+KH_26_OPT4_KTQT_v4[[#This Row],[CPHH-05]]</f>
        <v>1565620000</v>
      </c>
      <c r="DF36" s="47">
        <f ca="1">KH_26_OPT4_KTQT_v4[[#This Row],[DT-EXW-06]]+KH_26_OPT4_KTQT_v4[[#This Row],[CPVC-06]]+KH_26_OPT4_KTQT_v4[[#This Row],[CPHH-06]]</f>
        <v>1565620000</v>
      </c>
      <c r="DG36" s="47">
        <f ca="1">KH_26_OPT4_KTQT_v4[[#This Row],[DT-EXW-07]]+KH_26_OPT4_KTQT_v4[[#This Row],[CPVC-07]]+KH_26_OPT4_KTQT_v4[[#This Row],[CPHH-07]]</f>
        <v>1565620000</v>
      </c>
      <c r="DH36" s="47">
        <f ca="1">KH_26_OPT4_KTQT_v4[[#This Row],[DT-EXW-08]]+KH_26_OPT4_KTQT_v4[[#This Row],[CPVC-08]]+KH_26_OPT4_KTQT_v4[[#This Row],[CPHH-08]]</f>
        <v>1565620000</v>
      </c>
      <c r="DI36" s="47">
        <f ca="1">KH_26_OPT4_KTQT_v4[[#This Row],[DT-EXW-09]]+KH_26_OPT4_KTQT_v4[[#This Row],[CPVC-09]]+KH_26_OPT4_KTQT_v4[[#This Row],[CPHH-09]]</f>
        <v>1565620000</v>
      </c>
      <c r="DJ36" s="47">
        <f ca="1">KH_26_OPT4_KTQT_v4[[#This Row],[DT-EXW-10]]+KH_26_OPT4_KTQT_v4[[#This Row],[CPVC-10]]+KH_26_OPT4_KTQT_v4[[#This Row],[CPHH-10]]</f>
        <v>1565620000</v>
      </c>
      <c r="DK36" s="47">
        <f ca="1">KH_26_OPT4_KTQT_v4[[#This Row],[DT-EXW-11]]+KH_26_OPT4_KTQT_v4[[#This Row],[CPVC-11]]+KH_26_OPT4_KTQT_v4[[#This Row],[CPHH-11]]</f>
        <v>1565620000</v>
      </c>
      <c r="DL36" s="47">
        <f ca="1">KH_26_OPT4_KTQT_v4[[#This Row],[DT-EXW-12]]+KH_26_OPT4_KTQT_v4[[#This Row],[CPVC-12]]+KH_26_OPT4_KTQT_v4[[#This Row],[CPHH-12]]</f>
        <v>1565620000</v>
      </c>
      <c r="DM36" s="47">
        <f ca="1">SUM(KH_26_OPT4_KTQT_v4[[#This Row],[DT-01]:[DT-12]])</f>
        <v>18787440000</v>
      </c>
      <c r="DN36" s="7"/>
      <c r="DO36" s="7"/>
      <c r="DP36" s="125"/>
      <c r="DQ36" s="136">
        <v>0.1</v>
      </c>
      <c r="DR36" s="132">
        <f>IFERROR(KH_26_OPT4_KTQT_v4[[#This Row],[DT-EXW-01]]*KH_26_OPT4_KTQT_v4[[#This Row],[%CPDP]],0)</f>
        <v>139920000</v>
      </c>
      <c r="DS36" s="132">
        <f>IFERROR(KH_26_OPT4_KTQT_v4[[#This Row],[DT-EXW-02]]*KH_26_OPT4_KTQT_v4[[#This Row],[%CPDP]],0)</f>
        <v>139920000</v>
      </c>
      <c r="DT36" s="132">
        <f>IFERROR(KH_26_OPT4_KTQT_v4[[#This Row],[DT-EXW-03]]*KH_26_OPT4_KTQT_v4[[#This Row],[%CPDP]],0)</f>
        <v>139920000</v>
      </c>
      <c r="DU36" s="132">
        <f>IFERROR(KH_26_OPT4_KTQT_v4[[#This Row],[DT-EXW-04]]*KH_26_OPT4_KTQT_v4[[#This Row],[%CPDP]],0)</f>
        <v>139920000</v>
      </c>
      <c r="DV36" s="132">
        <f>IFERROR(KH_26_OPT4_KTQT_v4[[#This Row],[DT-EXW-05]]*KH_26_OPT4_KTQT_v4[[#This Row],[%CPDP]],0)</f>
        <v>139920000</v>
      </c>
      <c r="DW36" s="132">
        <f>IFERROR(KH_26_OPT4_KTQT_v4[[#This Row],[DT-EXW-06]]*KH_26_OPT4_KTQT_v4[[#This Row],[%CPDP]],0)</f>
        <v>139920000</v>
      </c>
      <c r="DX36" s="132">
        <f>IFERROR(KH_26_OPT4_KTQT_v4[[#This Row],[DT-EXW-07]]*KH_26_OPT4_KTQT_v4[[#This Row],[%CPDP]],0)</f>
        <v>139920000</v>
      </c>
      <c r="DY36" s="132">
        <f>IFERROR(KH_26_OPT4_KTQT_v4[[#This Row],[DT-EXW-08]]*KH_26_OPT4_KTQT_v4[[#This Row],[%CPDP]],0)</f>
        <v>139920000</v>
      </c>
      <c r="DZ36" s="132">
        <f>IFERROR(KH_26_OPT4_KTQT_v4[[#This Row],[DT-EXW-09]]*KH_26_OPT4_KTQT_v4[[#This Row],[%CPDP]],0)</f>
        <v>139920000</v>
      </c>
      <c r="EA36" s="132">
        <f>IFERROR(KH_26_OPT4_KTQT_v4[[#This Row],[DT-EXW-10]]*KH_26_OPT4_KTQT_v4[[#This Row],[%CPDP]],0)</f>
        <v>139920000</v>
      </c>
      <c r="EB36" s="132">
        <f>IFERROR(KH_26_OPT4_KTQT_v4[[#This Row],[DT-EXW-11]]*KH_26_OPT4_KTQT_v4[[#This Row],[%CPDP]],0)</f>
        <v>139920000</v>
      </c>
      <c r="EC36" s="132">
        <f>IFERROR(KH_26_OPT4_KTQT_v4[[#This Row],[DT-EXW-12]]*KH_26_OPT4_KTQT_v4[[#This Row],[%CPDP]],0)</f>
        <v>139920000</v>
      </c>
      <c r="ED36" s="131">
        <f ca="1">SUM(KH_26_OPT4_KTQT_v4[[#This Row],[CPDP-01]:[CPDP-12]])</f>
        <v>1679040000</v>
      </c>
    </row>
    <row r="37" spans="1:134" ht="14.65" customHeight="1" x14ac:dyDescent="0.35">
      <c r="A37" s="18">
        <v>32</v>
      </c>
      <c r="B37" s="71" t="s">
        <v>101</v>
      </c>
      <c r="C37" s="18" t="str">
        <f>IFERROR(_xlfn.XLOOKUP(KH_26_OPT4_KTQT_v4[[#This Row],[Salesman]],MD_Salesman[Salesman],MD_Salesman[SalesManager]),"")</f>
        <v>Cường</v>
      </c>
      <c r="D37" s="72" t="str">
        <f>IFERROR(INDEX(MD_Customer[Mã khách],MATCH(KH_26_OPT4_KTQT_v4[[#This Row],[Tên khách]],MD_Customer[Tên khách-rút gọn],0)),"")</f>
        <v>200311</v>
      </c>
      <c r="E37" s="7" t="str">
        <f>IFERROR(INDEX(MD_Customer[Parent Account],MATCH(KH_26_OPT4_KTQT_v4[[#This Row],[Tên khách]],MD_Customer[Tên khách-rút gọn],0)),"")</f>
        <v>Plascene, Inc.</v>
      </c>
      <c r="F37" s="35" t="s">
        <v>122</v>
      </c>
      <c r="G37" s="7" t="str">
        <f>IFERROR(INDEX(MD_Customer[Phân loại],MATCH(KH_26_OPT4_KTQT_v4[[#This Row],[Tên khách]],MD_Customer[Tên khách-rút gọn],0)),"")</f>
        <v>Hiện hữu</v>
      </c>
      <c r="H37" s="7" t="str">
        <f>IFERROR(INDEX(MD_Customer[Kênh bán hàng],MATCH(KH_26_OPT4_KTQT_v4[[#This Row],[Tên khách]],MD_Customer[Tên khách-rút gọn],0)),"")</f>
        <v>Xuất khẩu</v>
      </c>
      <c r="I37" s="35" t="s">
        <v>277</v>
      </c>
      <c r="J37" s="7" t="str">
        <f>IFERROR(INDEX(MD_Destination[Nước],MATCH(KH_26_OPT4_KTQT_v4[[#This Row],[Địa điểm đến]],MD_Destination[Địa điểm đến],0)),"")</f>
        <v>Mỹ</v>
      </c>
      <c r="K37" s="7" t="str">
        <f>IFERROR(INDEX(MD_Destination[Khu vực],MATCH(KH_26_OPT4_KTQT_v4[[#This Row],[Địa điểm đến]],MD_Destination[Địa điểm đến],0)),"")</f>
        <v>Châu Mỹ</v>
      </c>
      <c r="L37" s="35" t="s">
        <v>278</v>
      </c>
      <c r="M37" s="7" t="str">
        <f>IFERROR(INDEX(MD_SKU[Mã SKU],MATCH(KH_26_OPT4_KTQT_v4[[#This Row],[Tên sản phẩm]],MD_SKU[Tên SKU-rút gọn],0)),"")</f>
        <v>110000354</v>
      </c>
      <c r="N37" s="35" t="s">
        <v>456</v>
      </c>
      <c r="O37" s="7" t="str">
        <f>IFERROR(INDEX(MD_SKU[Ngành hàng],MATCH(KH_26_OPT4_KTQT_v4[[#This Row],[Tên sản phẩm]],MD_SKU[Tên SKU-rút gọn],0)),"")</f>
        <v>rPET</v>
      </c>
      <c r="P37" s="7" t="str">
        <f>IFERROR(INDEX(MD_SKU[Nhóm ngành],MATCH(KH_26_OPT4_KTQT_v4[[#This Row],[Tên sản phẩm]],MD_SKU[Tên SKU-rút gọn],0)),"")</f>
        <v>Hạt PET</v>
      </c>
      <c r="Q37" s="7" t="str">
        <f>IFERROR(
   IF(INDEX(MD_SKU[IV/IM],MATCH(KH_26_OPT4_KTQT_v4[[#This Row],[Tên sản phẩm]],MD_SKU[Tên SKU-rút gọn],0))=0,
      "",
      INDEX(MD_SKU[IV/IM],MATCH(KH_26_OPT4_KTQT_v4[[#This Row],[Tên sản phẩm]],MD_SKU[Tên SKU-rút gọn],0))
   ),
"")</f>
        <v>0.78 ± 0.02</v>
      </c>
      <c r="R37" s="44">
        <f>IFERROR(INDEX(MD_SKU[Application],MATCH(KH_26_OPT4_KTQT_v4[[#This Row],[Tên sản phẩm]],MD_SKU[Tên SKU-rút gọn],0)),"")</f>
        <v>0</v>
      </c>
      <c r="S37" s="7" t="str">
        <f>IFERROR(INDEX(MD_SKU[Phân loại],MATCH(KH_26_OPT4_KTQT_v4[[#This Row],[Tên sản phẩm]],MD_SKU[Tên SKU-rút gọn],0)),"")</f>
        <v>Cũ</v>
      </c>
      <c r="T37" s="7" t="s">
        <v>122</v>
      </c>
      <c r="U37" s="7" t="s">
        <v>1508</v>
      </c>
      <c r="V37" s="70">
        <v>0.8</v>
      </c>
      <c r="W37" s="33">
        <v>0</v>
      </c>
      <c r="X37" s="33">
        <v>0</v>
      </c>
      <c r="Y37" s="33">
        <v>44</v>
      </c>
      <c r="Z37" s="33">
        <v>44</v>
      </c>
      <c r="AA37" s="33">
        <v>88</v>
      </c>
      <c r="AB37" s="33">
        <v>44</v>
      </c>
      <c r="AC37" s="91">
        <v>64.900000000000006</v>
      </c>
      <c r="AD37" s="91">
        <v>66</v>
      </c>
      <c r="AE37" s="33"/>
      <c r="AF37" s="33"/>
      <c r="AG37" s="33">
        <v>66</v>
      </c>
      <c r="AH37" s="33">
        <v>66</v>
      </c>
      <c r="AI37" s="47">
        <f ca="1">SUM(KH_26_OPT4_KTQT_v4[[#This Row],[SL-01]:[SL-12]])</f>
        <v>482.9</v>
      </c>
      <c r="AJ37" s="47">
        <f ca="1">SUMIFS(DB_25[SL-DB25],DB_25[Mã khách],KH_26_OPT4_KTQT_v4[[#This Row],[Mã khách]],DB_25[Mã sản phẩm],KH_26_OPT4_KTQT_v4[[#This Row],[Mã sản phẩm]])</f>
        <v>482.9</v>
      </c>
      <c r="AK37" s="20">
        <f ca="1">KH_26_OPT4_KTQT_v4[[#This Row],[SL-KH26]]-KH_26_OPT4_KTQT_v4[[#This Row],[SL-DB25]]</f>
        <v>0</v>
      </c>
      <c r="AL37" s="21">
        <f ca="1">IFERROR(KH_26_OPT4_KTQT_v4[[#This Row],[SL-+/-]]/KH_26_OPT4_KTQT_v4[[#This Row],[SL-DB25]],0)</f>
        <v>0</v>
      </c>
      <c r="AM37" s="51">
        <v>1100</v>
      </c>
      <c r="AN37" s="51">
        <v>1100</v>
      </c>
      <c r="AO37" s="51">
        <v>1100</v>
      </c>
      <c r="AP37" s="51">
        <v>1100</v>
      </c>
      <c r="AQ37" s="51">
        <v>1100</v>
      </c>
      <c r="AR37" s="51">
        <v>1100</v>
      </c>
      <c r="AS37" s="51">
        <v>1100</v>
      </c>
      <c r="AT37" s="51">
        <v>1100</v>
      </c>
      <c r="AU37" s="51">
        <v>1100</v>
      </c>
      <c r="AV37" s="51">
        <v>1100</v>
      </c>
      <c r="AW37" s="51">
        <v>1100</v>
      </c>
      <c r="AX37" s="51">
        <v>1100</v>
      </c>
      <c r="AY37" s="23">
        <v>1100</v>
      </c>
      <c r="AZ37" s="7"/>
      <c r="BA37" s="24">
        <f>KH_26_OPT4_KTQT_v4[[#This Row],[GB-DB25]]-KH_26_OPT4_KTQT_v4[[#This Row],[GB-KH25]]</f>
        <v>1100</v>
      </c>
      <c r="BB37" s="21">
        <f>IFERROR(KH_26_OPT4_KTQT_v4[[#This Row],[GB-+/-]]/KH_26_OPT4_KTQT_v4[[#This Row],[GB-KH25]],0)</f>
        <v>0</v>
      </c>
      <c r="BC37" s="21"/>
      <c r="BD37" s="47">
        <f>KH_26_OPT4_KTQT_v4[[#This Row],[SL-01]]*KH_26_OPT4_KTQT_v4[[#This Row],[GB-01]]*EXR</f>
        <v>0</v>
      </c>
      <c r="BE37" s="47">
        <f>KH_26_OPT4_KTQT_v4[[#This Row],[SL-02]]*KH_26_OPT4_KTQT_v4[[#This Row],[GB-02]]*EXR</f>
        <v>0</v>
      </c>
      <c r="BF37" s="47">
        <f>KH_26_OPT4_KTQT_v4[[#This Row],[SL-03]]*KH_26_OPT4_KTQT_v4[[#This Row],[GB-03]]*EXR</f>
        <v>1282600000</v>
      </c>
      <c r="BG37" s="47">
        <f>KH_26_OPT4_KTQT_v4[[#This Row],[SL-04]]*KH_26_OPT4_KTQT_v4[[#This Row],[GB-04]]*EXR</f>
        <v>1282600000</v>
      </c>
      <c r="BH37" s="47">
        <f>KH_26_OPT4_KTQT_v4[[#This Row],[SL-05]]*KH_26_OPT4_KTQT_v4[[#This Row],[GB-05]]*EXR</f>
        <v>2565200000</v>
      </c>
      <c r="BI37" s="47">
        <f>KH_26_OPT4_KTQT_v4[[#This Row],[SL-06]]*KH_26_OPT4_KTQT_v4[[#This Row],[GB-06]]*EXR</f>
        <v>1282600000</v>
      </c>
      <c r="BJ37" s="47">
        <f>KH_26_OPT4_KTQT_v4[[#This Row],[SL-07]]*KH_26_OPT4_KTQT_v4[[#This Row],[GB-07]]*EXR</f>
        <v>1891835000</v>
      </c>
      <c r="BK37" s="47">
        <f>KH_26_OPT4_KTQT_v4[[#This Row],[SL-08]]*KH_26_OPT4_KTQT_v4[[#This Row],[GB-08]]*EXR</f>
        <v>1923900000</v>
      </c>
      <c r="BL37" s="47">
        <f>KH_26_OPT4_KTQT_v4[[#This Row],[SL-09]]*KH_26_OPT4_KTQT_v4[[#This Row],[GB-09]]*EXR</f>
        <v>0</v>
      </c>
      <c r="BM37" s="47">
        <f>KH_26_OPT4_KTQT_v4[[#This Row],[SL-10]]*KH_26_OPT4_KTQT_v4[[#This Row],[GB-10]]*EXR</f>
        <v>0</v>
      </c>
      <c r="BN37" s="47">
        <f>KH_26_OPT4_KTQT_v4[[#This Row],[SL-11]]*KH_26_OPT4_KTQT_v4[[#This Row],[GB-11]]*EXR</f>
        <v>1923900000</v>
      </c>
      <c r="BO37" s="47">
        <f>KH_26_OPT4_KTQT_v4[[#This Row],[SL-12]]*KH_26_OPT4_KTQT_v4[[#This Row],[GB-12]]*EXR</f>
        <v>1923900000</v>
      </c>
      <c r="BP37" s="47">
        <f ca="1">SUM(KH_26_OPT4_KTQT_v4[[#This Row],[DT-EXW-01]:[DT-EXW-12]])</f>
        <v>14076535000</v>
      </c>
      <c r="BQ37" s="47">
        <f ca="1">SUMIFS(DB_25[DT-DB25],DB_25[Mã khách],KH_26_OPT4_KTQT_v4[[#This Row],[Mã khách]],DB_25[Mã sản phẩm],KH_26_OPT4_KTQT_v4[[#This Row],[Mã sản phẩm]])</f>
        <v>11150621465.401171</v>
      </c>
      <c r="BR37" s="47">
        <f ca="1">KH_26_OPT4_KTQT_v4[[#This Row],[DT-EXW-KH26]]-KH_26_OPT4_KTQT_v4[[#This Row],[DT-EXW-DB25]]</f>
        <v>2925913534.5988293</v>
      </c>
      <c r="BS37" s="21">
        <f ca="1">IFERROR(KH_26_OPT4_KTQT_v4[[#This Row],[DT-EXW-+/-]]/KH_26_OPT4_KTQT_v4[[#This Row],[DT-EXW-DB25]],0)</f>
        <v>0.26239914462862296</v>
      </c>
      <c r="BT37" s="139"/>
      <c r="BU37" s="57"/>
      <c r="BV37" s="51"/>
      <c r="BW37" s="47">
        <f>IF(KH_26_OPT4_KTQT_v4[[#This Row],[CPHH-%-SL]]="Dthu",KH_26_OPT4_KTQT_v4[[#This Row],[%HH]]*KH_26_OPT4_KTQT_v4[[#This Row],[DT-EXW-01]],KH_26_OPT4_KTQT_v4[[#This Row],[HH-SL]]*KH_26_OPT4_KTQT_v4[[#This Row],[SL-01]])</f>
        <v>0</v>
      </c>
      <c r="BX37" s="47">
        <f>IF(KH_26_OPT4_KTQT_v4[[#This Row],[CPHH-%-SL]]="Dthu",KH_26_OPT4_KTQT_v4[[#This Row],[%HH]]*KH_26_OPT4_KTQT_v4[[#This Row],[DT-EXW-02]],KH_26_OPT4_KTQT_v4[[#This Row],[HH-SL]]*KH_26_OPT4_KTQT_v4[[#This Row],[SL-02]])</f>
        <v>0</v>
      </c>
      <c r="BY37" s="47">
        <f>IF(KH_26_OPT4_KTQT_v4[[#This Row],[CPHH-%-SL]]="Dthu",KH_26_OPT4_KTQT_v4[[#This Row],[%HH]]*KH_26_OPT4_KTQT_v4[[#This Row],[DT-EXW-03]],KH_26_OPT4_KTQT_v4[[#This Row],[HH-SL]]*KH_26_OPT4_KTQT_v4[[#This Row],[SL-03]])</f>
        <v>0</v>
      </c>
      <c r="BZ37" s="47">
        <f>IF(KH_26_OPT4_KTQT_v4[[#This Row],[CPHH-%-SL]]="Dthu",KH_26_OPT4_KTQT_v4[[#This Row],[%HH]]*KH_26_OPT4_KTQT_v4[[#This Row],[DT-EXW-04]],KH_26_OPT4_KTQT_v4[[#This Row],[HH-SL]]*KH_26_OPT4_KTQT_v4[[#This Row],[SL-04]])</f>
        <v>0</v>
      </c>
      <c r="CA37" s="47">
        <f>IF(KH_26_OPT4_KTQT_v4[[#This Row],[CPHH-%-SL]]="Dthu",KH_26_OPT4_KTQT_v4[[#This Row],[%HH]]*KH_26_OPT4_KTQT_v4[[#This Row],[DT-EXW-05]],KH_26_OPT4_KTQT_v4[[#This Row],[HH-SL]]*KH_26_OPT4_KTQT_v4[[#This Row],[SL-05]])</f>
        <v>0</v>
      </c>
      <c r="CB37" s="47">
        <f>IF(KH_26_OPT4_KTQT_v4[[#This Row],[CPHH-%-SL]]="Dthu",KH_26_OPT4_KTQT_v4[[#This Row],[%HH]]*KH_26_OPT4_KTQT_v4[[#This Row],[DT-EXW-06]],KH_26_OPT4_KTQT_v4[[#This Row],[HH-SL]]*KH_26_OPT4_KTQT_v4[[#This Row],[SL-06]])</f>
        <v>0</v>
      </c>
      <c r="CC37" s="47">
        <f>IF(KH_26_OPT4_KTQT_v4[[#This Row],[CPHH-%-SL]]="Dthu",KH_26_OPT4_KTQT_v4[[#This Row],[%HH]]*KH_26_OPT4_KTQT_v4[[#This Row],[DT-EXW-07]],KH_26_OPT4_KTQT_v4[[#This Row],[HH-SL]]*KH_26_OPT4_KTQT_v4[[#This Row],[SL-07]])</f>
        <v>0</v>
      </c>
      <c r="CD37" s="47">
        <f>IF(KH_26_OPT4_KTQT_v4[[#This Row],[CPHH-%-SL]]="Dthu",KH_26_OPT4_KTQT_v4[[#This Row],[%HH]]*KH_26_OPT4_KTQT_v4[[#This Row],[DT-EXW-08]],KH_26_OPT4_KTQT_v4[[#This Row],[HH-SL]]*KH_26_OPT4_KTQT_v4[[#This Row],[SL-08]])</f>
        <v>0</v>
      </c>
      <c r="CE37" s="47">
        <f>IF(KH_26_OPT4_KTQT_v4[[#This Row],[CPHH-%-SL]]="Dthu",KH_26_OPT4_KTQT_v4[[#This Row],[%HH]]*KH_26_OPT4_KTQT_v4[[#This Row],[DT-EXW-09]],KH_26_OPT4_KTQT_v4[[#This Row],[HH-SL]]*KH_26_OPT4_KTQT_v4[[#This Row],[SL-09]])</f>
        <v>0</v>
      </c>
      <c r="CF37" s="47">
        <f>IF(KH_26_OPT4_KTQT_v4[[#This Row],[CPHH-%-SL]]="Dthu",KH_26_OPT4_KTQT_v4[[#This Row],[%HH]]*KH_26_OPT4_KTQT_v4[[#This Row],[DT-EXW-10]],KH_26_OPT4_KTQT_v4[[#This Row],[HH-SL]]*KH_26_OPT4_KTQT_v4[[#This Row],[SL-10]])</f>
        <v>0</v>
      </c>
      <c r="CG37" s="47">
        <f>IF(KH_26_OPT4_KTQT_v4[[#This Row],[CPHH-%-SL]]="Dthu",KH_26_OPT4_KTQT_v4[[#This Row],[%HH]]*KH_26_OPT4_KTQT_v4[[#This Row],[DT-EXW-11]],KH_26_OPT4_KTQT_v4[[#This Row],[HH-SL]]*KH_26_OPT4_KTQT_v4[[#This Row],[SL-11]])</f>
        <v>0</v>
      </c>
      <c r="CH37" s="47">
        <f>IF(KH_26_OPT4_KTQT_v4[[#This Row],[CPHH-%-SL]]="Dthu",KH_26_OPT4_KTQT_v4[[#This Row],[%HH]]*KH_26_OPT4_KTQT_v4[[#This Row],[DT-EXW-12]],KH_26_OPT4_KTQT_v4[[#This Row],[HH-SL]]*KH_26_OPT4_KTQT_v4[[#This Row],[SL-12]])</f>
        <v>0</v>
      </c>
      <c r="CI37" s="47">
        <f ca="1">SUM(KH_26_OPT4_KTQT_v4[[#This Row],[CPHH-01]:[CPHH-12]])</f>
        <v>0</v>
      </c>
      <c r="CJ37" s="47" cm="1">
        <f t="array" ref="CJ37">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37" s="19">
        <f ca="1">SUM(KH_26_OPT4_KTQT_v4[[#This Row],[ĐGVCNĐ-KXK]:[ĐGVCCT-KXK]])</f>
        <v>530000</v>
      </c>
      <c r="CL37" s="47" cm="1">
        <f t="array" ref="CL37">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530000</v>
      </c>
      <c r="CM37" s="47" cm="1">
        <f t="array" ref="CM37">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37" s="47">
        <f ca="1">(KH_26_OPT4_KTQT_v4[[#This Row],[ĐGVC-KNĐ]]+KH_26_OPT4_KTQT_v4[[#This Row],[ĐGVC-KXK]])*KH_26_OPT4_KTQT_v4[[#This Row],[SL-01]]</f>
        <v>0</v>
      </c>
      <c r="CO37" s="47">
        <f ca="1">(KH_26_OPT4_KTQT_v4[[#This Row],[ĐGVC-KNĐ]]+KH_26_OPT4_KTQT_v4[[#This Row],[ĐGVC-KXK]])*KH_26_OPT4_KTQT_v4[[#This Row],[SL-02]]</f>
        <v>0</v>
      </c>
      <c r="CP37" s="47">
        <f ca="1">(KH_26_OPT4_KTQT_v4[[#This Row],[ĐGVC-KNĐ]]+KH_26_OPT4_KTQT_v4[[#This Row],[ĐGVC-KXK]])*KH_26_OPT4_KTQT_v4[[#This Row],[SL-03]]</f>
        <v>23320000</v>
      </c>
      <c r="CQ37" s="47">
        <f ca="1">(KH_26_OPT4_KTQT_v4[[#This Row],[ĐGVC-KNĐ]]+KH_26_OPT4_KTQT_v4[[#This Row],[ĐGVC-KXK]])*KH_26_OPT4_KTQT_v4[[#This Row],[SL-04]]</f>
        <v>23320000</v>
      </c>
      <c r="CR37" s="47">
        <f ca="1">(KH_26_OPT4_KTQT_v4[[#This Row],[ĐGVC-KNĐ]]+KH_26_OPT4_KTQT_v4[[#This Row],[ĐGVC-KXK]])*KH_26_OPT4_KTQT_v4[[#This Row],[SL-05]]</f>
        <v>46640000</v>
      </c>
      <c r="CS37" s="47">
        <f ca="1">(KH_26_OPT4_KTQT_v4[[#This Row],[ĐGVC-KNĐ]]+KH_26_OPT4_KTQT_v4[[#This Row],[ĐGVC-KXK]])*KH_26_OPT4_KTQT_v4[[#This Row],[SL-06]]</f>
        <v>23320000</v>
      </c>
      <c r="CT37" s="47">
        <f ca="1">(KH_26_OPT4_KTQT_v4[[#This Row],[ĐGVC-KNĐ]]+KH_26_OPT4_KTQT_v4[[#This Row],[ĐGVC-KXK]])*KH_26_OPT4_KTQT_v4[[#This Row],[SL-07]]</f>
        <v>34397000</v>
      </c>
      <c r="CU37" s="47">
        <f ca="1">(KH_26_OPT4_KTQT_v4[[#This Row],[ĐGVC-KNĐ]]+KH_26_OPT4_KTQT_v4[[#This Row],[ĐGVC-KXK]])*KH_26_OPT4_KTQT_v4[[#This Row],[SL-08]]</f>
        <v>34980000</v>
      </c>
      <c r="CV37" s="47">
        <f ca="1">(KH_26_OPT4_KTQT_v4[[#This Row],[ĐGVC-KNĐ]]+KH_26_OPT4_KTQT_v4[[#This Row],[ĐGVC-KXK]])*KH_26_OPT4_KTQT_v4[[#This Row],[SL-09]]</f>
        <v>0</v>
      </c>
      <c r="CW37" s="47">
        <f ca="1">(KH_26_OPT4_KTQT_v4[[#This Row],[ĐGVC-KNĐ]]+KH_26_OPT4_KTQT_v4[[#This Row],[ĐGVC-KXK]])*KH_26_OPT4_KTQT_v4[[#This Row],[SL-10]]</f>
        <v>0</v>
      </c>
      <c r="CX37" s="47">
        <f ca="1">(KH_26_OPT4_KTQT_v4[[#This Row],[ĐGVC-KNĐ]]+KH_26_OPT4_KTQT_v4[[#This Row],[ĐGVC-KXK]])*KH_26_OPT4_KTQT_v4[[#This Row],[SL-11]]</f>
        <v>34980000</v>
      </c>
      <c r="CY37" s="47">
        <f ca="1">(KH_26_OPT4_KTQT_v4[[#This Row],[ĐGVC-KNĐ]]+KH_26_OPT4_KTQT_v4[[#This Row],[ĐGVC-KXK]])*KH_26_OPT4_KTQT_v4[[#This Row],[SL-12]]</f>
        <v>34980000</v>
      </c>
      <c r="CZ37" s="47">
        <f ca="1">SUM(KH_26_OPT4_KTQT_v4[[#This Row],[CPVC-01]:[CPVC-12]])</f>
        <v>255937000</v>
      </c>
      <c r="DA37" s="124">
        <f ca="1">KH_26_OPT4_KTQT_v4[[#This Row],[DT-EXW-01]]+KH_26_OPT4_KTQT_v4[[#This Row],[CPVC-01]]+KH_26_OPT4_KTQT_v4[[#This Row],[CPHH-01]]</f>
        <v>0</v>
      </c>
      <c r="DB37" s="47">
        <f ca="1">KH_26_OPT4_KTQT_v4[[#This Row],[DT-EXW-02]]+KH_26_OPT4_KTQT_v4[[#This Row],[CPVC-02]]+KH_26_OPT4_KTQT_v4[[#This Row],[CPHH-02]]</f>
        <v>0</v>
      </c>
      <c r="DC37" s="47">
        <f ca="1">KH_26_OPT4_KTQT_v4[[#This Row],[DT-EXW-03]]+KH_26_OPT4_KTQT_v4[[#This Row],[CPVC-03]]+KH_26_OPT4_KTQT_v4[[#This Row],[CPHH-03]]</f>
        <v>1305920000</v>
      </c>
      <c r="DD37" s="47">
        <f ca="1">KH_26_OPT4_KTQT_v4[[#This Row],[DT-EXW-04]]+KH_26_OPT4_KTQT_v4[[#This Row],[CPVC-04]]+KH_26_OPT4_KTQT_v4[[#This Row],[CPHH-04]]</f>
        <v>1305920000</v>
      </c>
      <c r="DE37" s="47">
        <f ca="1">KH_26_OPT4_KTQT_v4[[#This Row],[DT-EXW-05]]+KH_26_OPT4_KTQT_v4[[#This Row],[CPVC-05]]+KH_26_OPT4_KTQT_v4[[#This Row],[CPHH-05]]</f>
        <v>2611840000</v>
      </c>
      <c r="DF37" s="47">
        <f ca="1">KH_26_OPT4_KTQT_v4[[#This Row],[DT-EXW-06]]+KH_26_OPT4_KTQT_v4[[#This Row],[CPVC-06]]+KH_26_OPT4_KTQT_v4[[#This Row],[CPHH-06]]</f>
        <v>1305920000</v>
      </c>
      <c r="DG37" s="47">
        <f ca="1">KH_26_OPT4_KTQT_v4[[#This Row],[DT-EXW-07]]+KH_26_OPT4_KTQT_v4[[#This Row],[CPVC-07]]+KH_26_OPT4_KTQT_v4[[#This Row],[CPHH-07]]</f>
        <v>1926232000</v>
      </c>
      <c r="DH37" s="47">
        <f ca="1">KH_26_OPT4_KTQT_v4[[#This Row],[DT-EXW-08]]+KH_26_OPT4_KTQT_v4[[#This Row],[CPVC-08]]+KH_26_OPT4_KTQT_v4[[#This Row],[CPHH-08]]</f>
        <v>1958880000</v>
      </c>
      <c r="DI37" s="47">
        <f ca="1">KH_26_OPT4_KTQT_v4[[#This Row],[DT-EXW-09]]+KH_26_OPT4_KTQT_v4[[#This Row],[CPVC-09]]+KH_26_OPT4_KTQT_v4[[#This Row],[CPHH-09]]</f>
        <v>0</v>
      </c>
      <c r="DJ37" s="47">
        <f ca="1">KH_26_OPT4_KTQT_v4[[#This Row],[DT-EXW-10]]+KH_26_OPT4_KTQT_v4[[#This Row],[CPVC-10]]+KH_26_OPT4_KTQT_v4[[#This Row],[CPHH-10]]</f>
        <v>0</v>
      </c>
      <c r="DK37" s="47">
        <f ca="1">KH_26_OPT4_KTQT_v4[[#This Row],[DT-EXW-11]]+KH_26_OPT4_KTQT_v4[[#This Row],[CPVC-11]]+KH_26_OPT4_KTQT_v4[[#This Row],[CPHH-11]]</f>
        <v>1958880000</v>
      </c>
      <c r="DL37" s="47">
        <f ca="1">KH_26_OPT4_KTQT_v4[[#This Row],[DT-EXW-12]]+KH_26_OPT4_KTQT_v4[[#This Row],[CPVC-12]]+KH_26_OPT4_KTQT_v4[[#This Row],[CPHH-12]]</f>
        <v>1958880000</v>
      </c>
      <c r="DM37" s="47">
        <f ca="1">SUM(KH_26_OPT4_KTQT_v4[[#This Row],[DT-01]:[DT-12]])</f>
        <v>14332472000</v>
      </c>
      <c r="DN37" s="7"/>
      <c r="DO37" s="7"/>
      <c r="DP37" s="125"/>
      <c r="DQ37" s="136"/>
      <c r="DR37" s="132">
        <f>IFERROR(KH_26_OPT4_KTQT_v4[[#This Row],[DT-EXW-01]]*KH_26_OPT4_KTQT_v4[[#This Row],[%CPDP]],0)</f>
        <v>0</v>
      </c>
      <c r="DS37" s="132">
        <f>IFERROR(KH_26_OPT4_KTQT_v4[[#This Row],[DT-EXW-02]]*KH_26_OPT4_KTQT_v4[[#This Row],[%CPDP]],0)</f>
        <v>0</v>
      </c>
      <c r="DT37" s="132">
        <f>IFERROR(KH_26_OPT4_KTQT_v4[[#This Row],[DT-EXW-03]]*KH_26_OPT4_KTQT_v4[[#This Row],[%CPDP]],0)</f>
        <v>0</v>
      </c>
      <c r="DU37" s="132">
        <f>IFERROR(KH_26_OPT4_KTQT_v4[[#This Row],[DT-EXW-04]]*KH_26_OPT4_KTQT_v4[[#This Row],[%CPDP]],0)</f>
        <v>0</v>
      </c>
      <c r="DV37" s="132">
        <f>IFERROR(KH_26_OPT4_KTQT_v4[[#This Row],[DT-EXW-05]]*KH_26_OPT4_KTQT_v4[[#This Row],[%CPDP]],0)</f>
        <v>0</v>
      </c>
      <c r="DW37" s="132">
        <f>IFERROR(KH_26_OPT4_KTQT_v4[[#This Row],[DT-EXW-06]]*KH_26_OPT4_KTQT_v4[[#This Row],[%CPDP]],0)</f>
        <v>0</v>
      </c>
      <c r="DX37" s="132">
        <f>IFERROR(KH_26_OPT4_KTQT_v4[[#This Row],[DT-EXW-07]]*KH_26_OPT4_KTQT_v4[[#This Row],[%CPDP]],0)</f>
        <v>0</v>
      </c>
      <c r="DY37" s="132">
        <f>IFERROR(KH_26_OPT4_KTQT_v4[[#This Row],[DT-EXW-08]]*KH_26_OPT4_KTQT_v4[[#This Row],[%CPDP]],0)</f>
        <v>0</v>
      </c>
      <c r="DZ37" s="132">
        <f>IFERROR(KH_26_OPT4_KTQT_v4[[#This Row],[DT-EXW-09]]*KH_26_OPT4_KTQT_v4[[#This Row],[%CPDP]],0)</f>
        <v>0</v>
      </c>
      <c r="EA37" s="132">
        <f>IFERROR(KH_26_OPT4_KTQT_v4[[#This Row],[DT-EXW-10]]*KH_26_OPT4_KTQT_v4[[#This Row],[%CPDP]],0)</f>
        <v>0</v>
      </c>
      <c r="EB37" s="132">
        <f>IFERROR(KH_26_OPT4_KTQT_v4[[#This Row],[DT-EXW-11]]*KH_26_OPT4_KTQT_v4[[#This Row],[%CPDP]],0)</f>
        <v>0</v>
      </c>
      <c r="EC37" s="132">
        <f>IFERROR(KH_26_OPT4_KTQT_v4[[#This Row],[DT-EXW-12]]*KH_26_OPT4_KTQT_v4[[#This Row],[%CPDP]],0)</f>
        <v>0</v>
      </c>
      <c r="ED37" s="131">
        <f ca="1">SUM(KH_26_OPT4_KTQT_v4[[#This Row],[CPDP-01]:[CPDP-12]])</f>
        <v>0</v>
      </c>
    </row>
    <row r="38" spans="1:134" ht="14.65" hidden="1" customHeight="1" x14ac:dyDescent="0.35">
      <c r="A38" s="18">
        <v>33</v>
      </c>
      <c r="B38" s="71" t="s">
        <v>120</v>
      </c>
      <c r="C38" s="18" t="str">
        <f>IFERROR(_xlfn.XLOOKUP(KH_26_OPT4_KTQT_v4[[#This Row],[Salesman]],MD_Salesman[Salesman],MD_Salesman[SalesManager]),"")</f>
        <v>Cường</v>
      </c>
      <c r="D38" s="72" t="str">
        <f>IFERROR(INDEX(MD_Customer[Mã khách],MATCH(KH_26_OPT4_KTQT_v4[[#This Row],[Tên khách]],MD_Customer[Tên khách-rút gọn],0)),"")</f>
        <v>NS26-NEWCUS-018</v>
      </c>
      <c r="E38" s="7" t="str">
        <f>IFERROR(INDEX(MD_Customer[Parent Account],MATCH(KH_26_OPT4_KTQT_v4[[#This Row],[Tên khách]],MD_Customer[Tên khách-rút gọn],0)),"")</f>
        <v>New Developments - Hạt PET - XK</v>
      </c>
      <c r="F38" s="35" t="s">
        <v>13</v>
      </c>
      <c r="G38" s="7" t="str">
        <f>IFERROR(INDEX(MD_Customer[Phân loại],MATCH(KH_26_OPT4_KTQT_v4[[#This Row],[Tên khách]],MD_Customer[Tên khách-rút gọn],0)),"")</f>
        <v>Mới</v>
      </c>
      <c r="H38" s="7" t="str">
        <f>IFERROR(INDEX(MD_Customer[Kênh bán hàng],MATCH(KH_26_OPT4_KTQT_v4[[#This Row],[Tên khách]],MD_Customer[Tên khách-rút gọn],0)),"")</f>
        <v>Xuất Khẩu</v>
      </c>
      <c r="I38" s="35" t="s">
        <v>329</v>
      </c>
      <c r="J38" s="7" t="str">
        <f>IFERROR(INDEX(MD_Destination[Nước],MATCH(KH_26_OPT4_KTQT_v4[[#This Row],[Địa điểm đến]],MD_Destination[Địa điểm đến],0)),"")</f>
        <v>Unknown</v>
      </c>
      <c r="K38" s="7" t="str">
        <f>IFERROR(INDEX(MD_Destination[Khu vực],MATCH(KH_26_OPT4_KTQT_v4[[#This Row],[Địa điểm đến]],MD_Destination[Địa điểm đến],0)),"")</f>
        <v>Unknown</v>
      </c>
      <c r="L38" s="35" t="s">
        <v>278</v>
      </c>
      <c r="M38" s="7" t="str">
        <f>IFERROR(INDEX(MD_SKU[Mã SKU],MATCH(KH_26_OPT4_KTQT_v4[[#This Row],[Tên sản phẩm]],MD_SKU[Tên SKU-rút gọn],0)),"")</f>
        <v>110000332</v>
      </c>
      <c r="N38" s="35" t="s">
        <v>1124</v>
      </c>
      <c r="O38" s="7" t="str">
        <f>IFERROR(INDEX(MD_SKU[Ngành hàng],MATCH(KH_26_OPT4_KTQT_v4[[#This Row],[Tên sản phẩm]],MD_SKU[Tên SKU-rút gọn],0)),"")</f>
        <v>rPET</v>
      </c>
      <c r="P38" s="7" t="str">
        <f>IFERROR(INDEX(MD_SKU[Nhóm ngành],MATCH(KH_26_OPT4_KTQT_v4[[#This Row],[Tên sản phẩm]],MD_SKU[Tên SKU-rút gọn],0)),"")</f>
        <v>Hạt PET</v>
      </c>
      <c r="Q38" s="7" t="str">
        <f>IFERROR(
   IF(INDEX(MD_SKU[IV/IM],MATCH(KH_26_OPT4_KTQT_v4[[#This Row],[Tên sản phẩm]],MD_SKU[Tên SKU-rút gọn],0))=0,
      "",
      INDEX(MD_SKU[IV/IM],MATCH(KH_26_OPT4_KTQT_v4[[#This Row],[Tên sản phẩm]],MD_SKU[Tên SKU-rút gọn],0))
   ),
"")</f>
        <v>0.84 ± 0.03</v>
      </c>
      <c r="R38" s="44">
        <f>IFERROR(INDEX(MD_SKU[Application],MATCH(KH_26_OPT4_KTQT_v4[[#This Row],[Tên sản phẩm]],MD_SKU[Tên SKU-rút gọn],0)),"")</f>
        <v>0</v>
      </c>
      <c r="S38" s="7" t="str">
        <f>IFERROR(INDEX(MD_SKU[Phân loại],MATCH(KH_26_OPT4_KTQT_v4[[#This Row],[Tên sản phẩm]],MD_SKU[Tên SKU-rút gọn],0)),"")</f>
        <v>Cũ</v>
      </c>
      <c r="T38" s="180" t="s">
        <v>541</v>
      </c>
      <c r="U38" s="7" t="s">
        <v>1508</v>
      </c>
      <c r="V38" s="70">
        <v>0.8</v>
      </c>
      <c r="W38" s="102">
        <v>44</v>
      </c>
      <c r="X38" s="102">
        <v>54</v>
      </c>
      <c r="Y38" s="102">
        <v>55</v>
      </c>
      <c r="Z38" s="102">
        <v>55</v>
      </c>
      <c r="AA38" s="102">
        <v>55</v>
      </c>
      <c r="AB38" s="102">
        <v>55</v>
      </c>
      <c r="AC38" s="102">
        <v>55</v>
      </c>
      <c r="AD38" s="102">
        <v>55</v>
      </c>
      <c r="AE38" s="102">
        <v>55</v>
      </c>
      <c r="AF38" s="102">
        <v>55</v>
      </c>
      <c r="AG38" s="102">
        <v>55</v>
      </c>
      <c r="AH38" s="102">
        <v>55</v>
      </c>
      <c r="AI38" s="47">
        <f ca="1">SUM(KH_26_OPT4_KTQT_v4[[#This Row],[SL-01]:[SL-12]])</f>
        <v>648</v>
      </c>
      <c r="AJ38" s="47">
        <f ca="1">SUMIFS(DB_25[SL-DB25],DB_25[Mã khách],KH_26_OPT4_KTQT_v4[[#This Row],[Mã khách]],DB_25[Mã sản phẩm],KH_26_OPT4_KTQT_v4[[#This Row],[Mã sản phẩm]])</f>
        <v>0</v>
      </c>
      <c r="AK38" s="20">
        <f ca="1">KH_26_OPT4_KTQT_v4[[#This Row],[SL-KH26]]-KH_26_OPT4_KTQT_v4[[#This Row],[SL-DB25]]</f>
        <v>648</v>
      </c>
      <c r="AL38" s="21">
        <f ca="1">IFERROR(KH_26_OPT4_KTQT_v4[[#This Row],[SL-+/-]]/KH_26_OPT4_KTQT_v4[[#This Row],[SL-DB25]],0)</f>
        <v>0</v>
      </c>
      <c r="AM38" s="51">
        <v>1250</v>
      </c>
      <c r="AN38" s="51">
        <v>1250</v>
      </c>
      <c r="AO38" s="51">
        <v>1250</v>
      </c>
      <c r="AP38" s="51">
        <v>1250</v>
      </c>
      <c r="AQ38" s="51">
        <v>1250</v>
      </c>
      <c r="AR38" s="51">
        <v>1250</v>
      </c>
      <c r="AS38" s="51">
        <v>1250</v>
      </c>
      <c r="AT38" s="51">
        <v>1250</v>
      </c>
      <c r="AU38" s="51">
        <v>1250</v>
      </c>
      <c r="AV38" s="51">
        <v>1250</v>
      </c>
      <c r="AW38" s="51">
        <v>1250</v>
      </c>
      <c r="AX38" s="51">
        <v>1250</v>
      </c>
      <c r="AY38" s="23">
        <v>1200</v>
      </c>
      <c r="AZ38" s="7"/>
      <c r="BA38" s="24">
        <f>KH_26_OPT4_KTQT_v4[[#This Row],[GB-DB25]]-KH_26_OPT4_KTQT_v4[[#This Row],[GB-KH25]]</f>
        <v>1200</v>
      </c>
      <c r="BB38" s="21">
        <f>IFERROR(KH_26_OPT4_KTQT_v4[[#This Row],[GB-+/-]]/KH_26_OPT4_KTQT_v4[[#This Row],[GB-KH25]],0)</f>
        <v>0</v>
      </c>
      <c r="BC38" s="21"/>
      <c r="BD38" s="47">
        <f>KH_26_OPT4_KTQT_v4[[#This Row],[SL-01]]*KH_26_OPT4_KTQT_v4[[#This Row],[GB-01]]*EXR</f>
        <v>1457500000</v>
      </c>
      <c r="BE38" s="47">
        <f>KH_26_OPT4_KTQT_v4[[#This Row],[SL-02]]*KH_26_OPT4_KTQT_v4[[#This Row],[GB-02]]*EXR</f>
        <v>1788750000</v>
      </c>
      <c r="BF38" s="47">
        <f>KH_26_OPT4_KTQT_v4[[#This Row],[SL-03]]*KH_26_OPT4_KTQT_v4[[#This Row],[GB-03]]*EXR</f>
        <v>1821875000</v>
      </c>
      <c r="BG38" s="47">
        <f>KH_26_OPT4_KTQT_v4[[#This Row],[SL-04]]*KH_26_OPT4_KTQT_v4[[#This Row],[GB-04]]*EXR</f>
        <v>1821875000</v>
      </c>
      <c r="BH38" s="47">
        <f>KH_26_OPT4_KTQT_v4[[#This Row],[SL-05]]*KH_26_OPT4_KTQT_v4[[#This Row],[GB-05]]*EXR</f>
        <v>1821875000</v>
      </c>
      <c r="BI38" s="47">
        <f>KH_26_OPT4_KTQT_v4[[#This Row],[SL-06]]*KH_26_OPT4_KTQT_v4[[#This Row],[GB-06]]*EXR</f>
        <v>1821875000</v>
      </c>
      <c r="BJ38" s="47">
        <f>KH_26_OPT4_KTQT_v4[[#This Row],[SL-07]]*KH_26_OPT4_KTQT_v4[[#This Row],[GB-07]]*EXR</f>
        <v>1821875000</v>
      </c>
      <c r="BK38" s="47">
        <f>KH_26_OPT4_KTQT_v4[[#This Row],[SL-08]]*KH_26_OPT4_KTQT_v4[[#This Row],[GB-08]]*EXR</f>
        <v>1821875000</v>
      </c>
      <c r="BL38" s="47">
        <f>KH_26_OPT4_KTQT_v4[[#This Row],[SL-09]]*KH_26_OPT4_KTQT_v4[[#This Row],[GB-09]]*EXR</f>
        <v>1821875000</v>
      </c>
      <c r="BM38" s="47">
        <f>KH_26_OPT4_KTQT_v4[[#This Row],[SL-10]]*KH_26_OPT4_KTQT_v4[[#This Row],[GB-10]]*EXR</f>
        <v>1821875000</v>
      </c>
      <c r="BN38" s="47">
        <f>KH_26_OPT4_KTQT_v4[[#This Row],[SL-11]]*KH_26_OPT4_KTQT_v4[[#This Row],[GB-11]]*EXR</f>
        <v>1821875000</v>
      </c>
      <c r="BO38" s="47">
        <f>KH_26_OPT4_KTQT_v4[[#This Row],[SL-12]]*KH_26_OPT4_KTQT_v4[[#This Row],[GB-12]]*EXR</f>
        <v>1821875000</v>
      </c>
      <c r="BP38" s="47">
        <f ca="1">SUM(KH_26_OPT4_KTQT_v4[[#This Row],[DT-EXW-01]:[DT-EXW-12]])</f>
        <v>21465000000</v>
      </c>
      <c r="BQ38" s="47">
        <f ca="1">SUMIFS(DB_25[DT-DB25],DB_25[Mã khách],KH_26_OPT4_KTQT_v4[[#This Row],[Mã khách]],DB_25[Mã sản phẩm],KH_26_OPT4_KTQT_v4[[#This Row],[Mã sản phẩm]])</f>
        <v>0</v>
      </c>
      <c r="BR38" s="19">
        <f ca="1">KH_26_OPT4_KTQT_v4[[#This Row],[DT-EXW-KH26]]-KH_26_OPT4_KTQT_v4[[#This Row],[DT-EXW-DB25]]</f>
        <v>21465000000</v>
      </c>
      <c r="BS38" s="21">
        <f ca="1">IFERROR(KH_26_OPT4_KTQT_v4[[#This Row],[DT-EXW-+/-]]/KH_26_OPT4_KTQT_v4[[#This Row],[DT-EXW-DB25]],0)</f>
        <v>0</v>
      </c>
      <c r="BT38" s="139"/>
      <c r="BU38" s="57"/>
      <c r="BV38" s="51"/>
      <c r="BW38" s="47">
        <f>IF(KH_26_OPT4_KTQT_v4[[#This Row],[CPHH-%-SL]]="Dthu",KH_26_OPT4_KTQT_v4[[#This Row],[%HH]]*KH_26_OPT4_KTQT_v4[[#This Row],[DT-EXW-01]],KH_26_OPT4_KTQT_v4[[#This Row],[HH-SL]]*KH_26_OPT4_KTQT_v4[[#This Row],[SL-01]])</f>
        <v>0</v>
      </c>
      <c r="BX38" s="47">
        <f>IF(KH_26_OPT4_KTQT_v4[[#This Row],[CPHH-%-SL]]="Dthu",KH_26_OPT4_KTQT_v4[[#This Row],[%HH]]*KH_26_OPT4_KTQT_v4[[#This Row],[DT-EXW-02]],KH_26_OPT4_KTQT_v4[[#This Row],[HH-SL]]*KH_26_OPT4_KTQT_v4[[#This Row],[SL-02]])</f>
        <v>0</v>
      </c>
      <c r="BY38" s="47">
        <f>IF(KH_26_OPT4_KTQT_v4[[#This Row],[CPHH-%-SL]]="Dthu",KH_26_OPT4_KTQT_v4[[#This Row],[%HH]]*KH_26_OPT4_KTQT_v4[[#This Row],[DT-EXW-03]],KH_26_OPT4_KTQT_v4[[#This Row],[HH-SL]]*KH_26_OPT4_KTQT_v4[[#This Row],[SL-03]])</f>
        <v>0</v>
      </c>
      <c r="BZ38" s="47">
        <f>IF(KH_26_OPT4_KTQT_v4[[#This Row],[CPHH-%-SL]]="Dthu",KH_26_OPT4_KTQT_v4[[#This Row],[%HH]]*KH_26_OPT4_KTQT_v4[[#This Row],[DT-EXW-04]],KH_26_OPT4_KTQT_v4[[#This Row],[HH-SL]]*KH_26_OPT4_KTQT_v4[[#This Row],[SL-04]])</f>
        <v>0</v>
      </c>
      <c r="CA38" s="47">
        <f>IF(KH_26_OPT4_KTQT_v4[[#This Row],[CPHH-%-SL]]="Dthu",KH_26_OPT4_KTQT_v4[[#This Row],[%HH]]*KH_26_OPT4_KTQT_v4[[#This Row],[DT-EXW-05]],KH_26_OPT4_KTQT_v4[[#This Row],[HH-SL]]*KH_26_OPT4_KTQT_v4[[#This Row],[SL-05]])</f>
        <v>0</v>
      </c>
      <c r="CB38" s="47">
        <f>IF(KH_26_OPT4_KTQT_v4[[#This Row],[CPHH-%-SL]]="Dthu",KH_26_OPT4_KTQT_v4[[#This Row],[%HH]]*KH_26_OPT4_KTQT_v4[[#This Row],[DT-EXW-06]],KH_26_OPT4_KTQT_v4[[#This Row],[HH-SL]]*KH_26_OPT4_KTQT_v4[[#This Row],[SL-06]])</f>
        <v>0</v>
      </c>
      <c r="CC38" s="47">
        <f>IF(KH_26_OPT4_KTQT_v4[[#This Row],[CPHH-%-SL]]="Dthu",KH_26_OPT4_KTQT_v4[[#This Row],[%HH]]*KH_26_OPT4_KTQT_v4[[#This Row],[DT-EXW-07]],KH_26_OPT4_KTQT_v4[[#This Row],[HH-SL]]*KH_26_OPT4_KTQT_v4[[#This Row],[SL-07]])</f>
        <v>0</v>
      </c>
      <c r="CD38" s="47">
        <f>IF(KH_26_OPT4_KTQT_v4[[#This Row],[CPHH-%-SL]]="Dthu",KH_26_OPT4_KTQT_v4[[#This Row],[%HH]]*KH_26_OPT4_KTQT_v4[[#This Row],[DT-EXW-08]],KH_26_OPT4_KTQT_v4[[#This Row],[HH-SL]]*KH_26_OPT4_KTQT_v4[[#This Row],[SL-08]])</f>
        <v>0</v>
      </c>
      <c r="CE38" s="47">
        <f>IF(KH_26_OPT4_KTQT_v4[[#This Row],[CPHH-%-SL]]="Dthu",KH_26_OPT4_KTQT_v4[[#This Row],[%HH]]*KH_26_OPT4_KTQT_v4[[#This Row],[DT-EXW-09]],KH_26_OPT4_KTQT_v4[[#This Row],[HH-SL]]*KH_26_OPT4_KTQT_v4[[#This Row],[SL-09]])</f>
        <v>0</v>
      </c>
      <c r="CF38" s="47">
        <f>IF(KH_26_OPT4_KTQT_v4[[#This Row],[CPHH-%-SL]]="Dthu",KH_26_OPT4_KTQT_v4[[#This Row],[%HH]]*KH_26_OPT4_KTQT_v4[[#This Row],[DT-EXW-10]],KH_26_OPT4_KTQT_v4[[#This Row],[HH-SL]]*KH_26_OPT4_KTQT_v4[[#This Row],[SL-10]])</f>
        <v>0</v>
      </c>
      <c r="CG38" s="47">
        <f>IF(KH_26_OPT4_KTQT_v4[[#This Row],[CPHH-%-SL]]="Dthu",KH_26_OPT4_KTQT_v4[[#This Row],[%HH]]*KH_26_OPT4_KTQT_v4[[#This Row],[DT-EXW-11]],KH_26_OPT4_KTQT_v4[[#This Row],[HH-SL]]*KH_26_OPT4_KTQT_v4[[#This Row],[SL-11]])</f>
        <v>0</v>
      </c>
      <c r="CH38" s="47">
        <f>IF(KH_26_OPT4_KTQT_v4[[#This Row],[CPHH-%-SL]]="Dthu",KH_26_OPT4_KTQT_v4[[#This Row],[%HH]]*KH_26_OPT4_KTQT_v4[[#This Row],[DT-EXW-12]],KH_26_OPT4_KTQT_v4[[#This Row],[HH-SL]]*KH_26_OPT4_KTQT_v4[[#This Row],[SL-12]])</f>
        <v>0</v>
      </c>
      <c r="CI38" s="47">
        <f ca="1">SUM(KH_26_OPT4_KTQT_v4[[#This Row],[CPHH-01]:[CPHH-12]])</f>
        <v>0</v>
      </c>
      <c r="CJ38" s="47" cm="1">
        <f t="array" ref="CJ38">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38" s="19">
        <f ca="1">SUM(KH_26_OPT4_KTQT_v4[[#This Row],[ĐGVCNĐ-KXK]:[ĐGVCCT-KXK]])</f>
        <v>530000</v>
      </c>
      <c r="CL38" s="47" cm="1">
        <f t="array" ref="CL38">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530000</v>
      </c>
      <c r="CM38" s="47" cm="1">
        <f t="array" ref="CM38">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38" s="47">
        <f ca="1">(KH_26_OPT4_KTQT_v4[[#This Row],[ĐGVC-KNĐ]]+KH_26_OPT4_KTQT_v4[[#This Row],[ĐGVC-KXK]])*KH_26_OPT4_KTQT_v4[[#This Row],[SL-01]]</f>
        <v>23320000</v>
      </c>
      <c r="CO38" s="47">
        <f ca="1">(KH_26_OPT4_KTQT_v4[[#This Row],[ĐGVC-KNĐ]]+KH_26_OPT4_KTQT_v4[[#This Row],[ĐGVC-KXK]])*KH_26_OPT4_KTQT_v4[[#This Row],[SL-02]]</f>
        <v>28620000</v>
      </c>
      <c r="CP38" s="47">
        <f ca="1">(KH_26_OPT4_KTQT_v4[[#This Row],[ĐGVC-KNĐ]]+KH_26_OPT4_KTQT_v4[[#This Row],[ĐGVC-KXK]])*KH_26_OPT4_KTQT_v4[[#This Row],[SL-03]]</f>
        <v>29150000</v>
      </c>
      <c r="CQ38" s="47">
        <f ca="1">(KH_26_OPT4_KTQT_v4[[#This Row],[ĐGVC-KNĐ]]+KH_26_OPT4_KTQT_v4[[#This Row],[ĐGVC-KXK]])*KH_26_OPT4_KTQT_v4[[#This Row],[SL-04]]</f>
        <v>29150000</v>
      </c>
      <c r="CR38" s="47">
        <f ca="1">(KH_26_OPT4_KTQT_v4[[#This Row],[ĐGVC-KNĐ]]+KH_26_OPT4_KTQT_v4[[#This Row],[ĐGVC-KXK]])*KH_26_OPT4_KTQT_v4[[#This Row],[SL-05]]</f>
        <v>29150000</v>
      </c>
      <c r="CS38" s="47">
        <f ca="1">(KH_26_OPT4_KTQT_v4[[#This Row],[ĐGVC-KNĐ]]+KH_26_OPT4_KTQT_v4[[#This Row],[ĐGVC-KXK]])*KH_26_OPT4_KTQT_v4[[#This Row],[SL-06]]</f>
        <v>29150000</v>
      </c>
      <c r="CT38" s="47">
        <f ca="1">(KH_26_OPT4_KTQT_v4[[#This Row],[ĐGVC-KNĐ]]+KH_26_OPT4_KTQT_v4[[#This Row],[ĐGVC-KXK]])*KH_26_OPT4_KTQT_v4[[#This Row],[SL-07]]</f>
        <v>29150000</v>
      </c>
      <c r="CU38" s="47">
        <f ca="1">(KH_26_OPT4_KTQT_v4[[#This Row],[ĐGVC-KNĐ]]+KH_26_OPT4_KTQT_v4[[#This Row],[ĐGVC-KXK]])*KH_26_OPT4_KTQT_v4[[#This Row],[SL-08]]</f>
        <v>29150000</v>
      </c>
      <c r="CV38" s="47">
        <f ca="1">(KH_26_OPT4_KTQT_v4[[#This Row],[ĐGVC-KNĐ]]+KH_26_OPT4_KTQT_v4[[#This Row],[ĐGVC-KXK]])*KH_26_OPT4_KTQT_v4[[#This Row],[SL-09]]</f>
        <v>29150000</v>
      </c>
      <c r="CW38" s="47">
        <f ca="1">(KH_26_OPT4_KTQT_v4[[#This Row],[ĐGVC-KNĐ]]+KH_26_OPT4_KTQT_v4[[#This Row],[ĐGVC-KXK]])*KH_26_OPT4_KTQT_v4[[#This Row],[SL-10]]</f>
        <v>29150000</v>
      </c>
      <c r="CX38" s="47">
        <f ca="1">(KH_26_OPT4_KTQT_v4[[#This Row],[ĐGVC-KNĐ]]+KH_26_OPT4_KTQT_v4[[#This Row],[ĐGVC-KXK]])*KH_26_OPT4_KTQT_v4[[#This Row],[SL-11]]</f>
        <v>29150000</v>
      </c>
      <c r="CY38" s="47">
        <f ca="1">(KH_26_OPT4_KTQT_v4[[#This Row],[ĐGVC-KNĐ]]+KH_26_OPT4_KTQT_v4[[#This Row],[ĐGVC-KXK]])*KH_26_OPT4_KTQT_v4[[#This Row],[SL-12]]</f>
        <v>29150000</v>
      </c>
      <c r="CZ38" s="47">
        <f ca="1">SUM(KH_26_OPT4_KTQT_v4[[#This Row],[CPVC-01]:[CPVC-12]])</f>
        <v>343440000</v>
      </c>
      <c r="DA38" s="124">
        <f ca="1">KH_26_OPT4_KTQT_v4[[#This Row],[DT-EXW-01]]+KH_26_OPT4_KTQT_v4[[#This Row],[CPVC-01]]+KH_26_OPT4_KTQT_v4[[#This Row],[CPHH-01]]</f>
        <v>1480820000</v>
      </c>
      <c r="DB38" s="47">
        <f ca="1">KH_26_OPT4_KTQT_v4[[#This Row],[DT-EXW-02]]+KH_26_OPT4_KTQT_v4[[#This Row],[CPVC-02]]+KH_26_OPT4_KTQT_v4[[#This Row],[CPHH-02]]</f>
        <v>1817370000</v>
      </c>
      <c r="DC38" s="47">
        <f ca="1">KH_26_OPT4_KTQT_v4[[#This Row],[DT-EXW-03]]+KH_26_OPT4_KTQT_v4[[#This Row],[CPVC-03]]+KH_26_OPT4_KTQT_v4[[#This Row],[CPHH-03]]</f>
        <v>1851025000</v>
      </c>
      <c r="DD38" s="47">
        <f ca="1">KH_26_OPT4_KTQT_v4[[#This Row],[DT-EXW-04]]+KH_26_OPT4_KTQT_v4[[#This Row],[CPVC-04]]+KH_26_OPT4_KTQT_v4[[#This Row],[CPHH-04]]</f>
        <v>1851025000</v>
      </c>
      <c r="DE38" s="47">
        <f ca="1">KH_26_OPT4_KTQT_v4[[#This Row],[DT-EXW-05]]+KH_26_OPT4_KTQT_v4[[#This Row],[CPVC-05]]+KH_26_OPT4_KTQT_v4[[#This Row],[CPHH-05]]</f>
        <v>1851025000</v>
      </c>
      <c r="DF38" s="47">
        <f ca="1">KH_26_OPT4_KTQT_v4[[#This Row],[DT-EXW-06]]+KH_26_OPT4_KTQT_v4[[#This Row],[CPVC-06]]+KH_26_OPT4_KTQT_v4[[#This Row],[CPHH-06]]</f>
        <v>1851025000</v>
      </c>
      <c r="DG38" s="47">
        <f ca="1">KH_26_OPT4_KTQT_v4[[#This Row],[DT-EXW-07]]+KH_26_OPT4_KTQT_v4[[#This Row],[CPVC-07]]+KH_26_OPT4_KTQT_v4[[#This Row],[CPHH-07]]</f>
        <v>1851025000</v>
      </c>
      <c r="DH38" s="47">
        <f ca="1">KH_26_OPT4_KTQT_v4[[#This Row],[DT-EXW-08]]+KH_26_OPT4_KTQT_v4[[#This Row],[CPVC-08]]+KH_26_OPT4_KTQT_v4[[#This Row],[CPHH-08]]</f>
        <v>1851025000</v>
      </c>
      <c r="DI38" s="47">
        <f ca="1">KH_26_OPT4_KTQT_v4[[#This Row],[DT-EXW-09]]+KH_26_OPT4_KTQT_v4[[#This Row],[CPVC-09]]+KH_26_OPT4_KTQT_v4[[#This Row],[CPHH-09]]</f>
        <v>1851025000</v>
      </c>
      <c r="DJ38" s="47">
        <f ca="1">KH_26_OPT4_KTQT_v4[[#This Row],[DT-EXW-10]]+KH_26_OPT4_KTQT_v4[[#This Row],[CPVC-10]]+KH_26_OPT4_KTQT_v4[[#This Row],[CPHH-10]]</f>
        <v>1851025000</v>
      </c>
      <c r="DK38" s="47">
        <f ca="1">KH_26_OPT4_KTQT_v4[[#This Row],[DT-EXW-11]]+KH_26_OPT4_KTQT_v4[[#This Row],[CPVC-11]]+KH_26_OPT4_KTQT_v4[[#This Row],[CPHH-11]]</f>
        <v>1851025000</v>
      </c>
      <c r="DL38" s="47">
        <f ca="1">KH_26_OPT4_KTQT_v4[[#This Row],[DT-EXW-12]]+KH_26_OPT4_KTQT_v4[[#This Row],[CPVC-12]]+KH_26_OPT4_KTQT_v4[[#This Row],[CPHH-12]]</f>
        <v>1851025000</v>
      </c>
      <c r="DM38" s="47">
        <f ca="1">SUM(KH_26_OPT4_KTQT_v4[[#This Row],[DT-01]:[DT-12]])</f>
        <v>21808440000</v>
      </c>
      <c r="DN38" s="7"/>
      <c r="DO38" s="7"/>
      <c r="DP38" s="125"/>
      <c r="DQ38" s="136"/>
      <c r="DR38" s="132">
        <f>IFERROR(KH_26_OPT4_KTQT_v4[[#This Row],[DT-EXW-01]]*KH_26_OPT4_KTQT_v4[[#This Row],[%CPDP]],0)</f>
        <v>0</v>
      </c>
      <c r="DS38" s="132">
        <f>IFERROR(KH_26_OPT4_KTQT_v4[[#This Row],[DT-EXW-02]]*KH_26_OPT4_KTQT_v4[[#This Row],[%CPDP]],0)</f>
        <v>0</v>
      </c>
      <c r="DT38" s="132">
        <f>IFERROR(KH_26_OPT4_KTQT_v4[[#This Row],[DT-EXW-03]]*KH_26_OPT4_KTQT_v4[[#This Row],[%CPDP]],0)</f>
        <v>0</v>
      </c>
      <c r="DU38" s="132">
        <f>IFERROR(KH_26_OPT4_KTQT_v4[[#This Row],[DT-EXW-04]]*KH_26_OPT4_KTQT_v4[[#This Row],[%CPDP]],0)</f>
        <v>0</v>
      </c>
      <c r="DV38" s="132">
        <f>IFERROR(KH_26_OPT4_KTQT_v4[[#This Row],[DT-EXW-05]]*KH_26_OPT4_KTQT_v4[[#This Row],[%CPDP]],0)</f>
        <v>0</v>
      </c>
      <c r="DW38" s="132">
        <f>IFERROR(KH_26_OPT4_KTQT_v4[[#This Row],[DT-EXW-06]]*KH_26_OPT4_KTQT_v4[[#This Row],[%CPDP]],0)</f>
        <v>0</v>
      </c>
      <c r="DX38" s="132">
        <f>IFERROR(KH_26_OPT4_KTQT_v4[[#This Row],[DT-EXW-07]]*KH_26_OPT4_KTQT_v4[[#This Row],[%CPDP]],0)</f>
        <v>0</v>
      </c>
      <c r="DY38" s="132">
        <f>IFERROR(KH_26_OPT4_KTQT_v4[[#This Row],[DT-EXW-08]]*KH_26_OPT4_KTQT_v4[[#This Row],[%CPDP]],0)</f>
        <v>0</v>
      </c>
      <c r="DZ38" s="132">
        <f>IFERROR(KH_26_OPT4_KTQT_v4[[#This Row],[DT-EXW-09]]*KH_26_OPT4_KTQT_v4[[#This Row],[%CPDP]],0)</f>
        <v>0</v>
      </c>
      <c r="EA38" s="132">
        <f>IFERROR(KH_26_OPT4_KTQT_v4[[#This Row],[DT-EXW-10]]*KH_26_OPT4_KTQT_v4[[#This Row],[%CPDP]],0)</f>
        <v>0</v>
      </c>
      <c r="EB38" s="132">
        <f>IFERROR(KH_26_OPT4_KTQT_v4[[#This Row],[DT-EXW-11]]*KH_26_OPT4_KTQT_v4[[#This Row],[%CPDP]],0)</f>
        <v>0</v>
      </c>
      <c r="EC38" s="132">
        <f>IFERROR(KH_26_OPT4_KTQT_v4[[#This Row],[DT-EXW-12]]*KH_26_OPT4_KTQT_v4[[#This Row],[%CPDP]],0)</f>
        <v>0</v>
      </c>
      <c r="ED38" s="131">
        <f ca="1">SUM(KH_26_OPT4_KTQT_v4[[#This Row],[CPDP-01]:[CPDP-12]])</f>
        <v>0</v>
      </c>
    </row>
    <row r="39" spans="1:134" ht="14.65" hidden="1" customHeight="1" x14ac:dyDescent="0.35">
      <c r="A39" s="18">
        <v>34</v>
      </c>
      <c r="B39" s="71" t="s">
        <v>101</v>
      </c>
      <c r="C39" s="18" t="str">
        <f>IFERROR(_xlfn.XLOOKUP(KH_26_OPT4_KTQT_v4[[#This Row],[Salesman]],MD_Salesman[Salesman],MD_Salesman[SalesManager]),"")</f>
        <v>Cường</v>
      </c>
      <c r="D39" s="72" t="str">
        <f>IFERROR(INDEX(MD_Customer[Mã khách],MATCH(KH_26_OPT4_KTQT_v4[[#This Row],[Tên khách]],MD_Customer[Tên khách-rút gọn],0)),"")</f>
        <v>NS26-NEWCUS-018</v>
      </c>
      <c r="E39" s="7" t="str">
        <f>IFERROR(INDEX(MD_Customer[Parent Account],MATCH(KH_26_OPT4_KTQT_v4[[#This Row],[Tên khách]],MD_Customer[Tên khách-rút gọn],0)),"")</f>
        <v>New Developments - Hạt PET - XK</v>
      </c>
      <c r="F39" s="35" t="s">
        <v>13</v>
      </c>
      <c r="G39" s="7" t="str">
        <f>IFERROR(INDEX(MD_Customer[Phân loại],MATCH(KH_26_OPT4_KTQT_v4[[#This Row],[Tên khách]],MD_Customer[Tên khách-rút gọn],0)),"")</f>
        <v>Mới</v>
      </c>
      <c r="H39" s="7" t="str">
        <f>IFERROR(INDEX(MD_Customer[Kênh bán hàng],MATCH(KH_26_OPT4_KTQT_v4[[#This Row],[Tên khách]],MD_Customer[Tên khách-rút gọn],0)),"")</f>
        <v>Xuất Khẩu</v>
      </c>
      <c r="I39" s="35" t="s">
        <v>329</v>
      </c>
      <c r="J39" s="7" t="str">
        <f>IFERROR(INDEX(MD_Destination[Nước],MATCH(KH_26_OPT4_KTQT_v4[[#This Row],[Địa điểm đến]],MD_Destination[Địa điểm đến],0)),"")</f>
        <v>Unknown</v>
      </c>
      <c r="K39" s="7" t="str">
        <f>IFERROR(INDEX(MD_Destination[Khu vực],MATCH(KH_26_OPT4_KTQT_v4[[#This Row],[Địa điểm đến]],MD_Destination[Địa điểm đến],0)),"")</f>
        <v>Unknown</v>
      </c>
      <c r="L39" s="35" t="s">
        <v>278</v>
      </c>
      <c r="M39" s="7" t="str">
        <f>IFERROR(INDEX(MD_SKU[Mã SKU],MATCH(KH_26_OPT4_KTQT_v4[[#This Row],[Tên sản phẩm]],MD_SKU[Tên SKU-rút gọn],0)),"")</f>
        <v>110000332</v>
      </c>
      <c r="N39" s="35" t="s">
        <v>1124</v>
      </c>
      <c r="O39" s="7" t="str">
        <f>IFERROR(INDEX(MD_SKU[Ngành hàng],MATCH(KH_26_OPT4_KTQT_v4[[#This Row],[Tên sản phẩm]],MD_SKU[Tên SKU-rút gọn],0)),"")</f>
        <v>rPET</v>
      </c>
      <c r="P39" s="7" t="str">
        <f>IFERROR(INDEX(MD_SKU[Nhóm ngành],MATCH(KH_26_OPT4_KTQT_v4[[#This Row],[Tên sản phẩm]],MD_SKU[Tên SKU-rút gọn],0)),"")</f>
        <v>Hạt PET</v>
      </c>
      <c r="Q39" s="7" t="str">
        <f>IFERROR(
   IF(INDEX(MD_SKU[IV/IM],MATCH(KH_26_OPT4_KTQT_v4[[#This Row],[Tên sản phẩm]],MD_SKU[Tên SKU-rút gọn],0))=0,
      "",
      INDEX(MD_SKU[IV/IM],MATCH(KH_26_OPT4_KTQT_v4[[#This Row],[Tên sản phẩm]],MD_SKU[Tên SKU-rút gọn],0))
   ),
"")</f>
        <v>0.84 ± 0.03</v>
      </c>
      <c r="R39" s="44">
        <f>IFERROR(INDEX(MD_SKU[Application],MATCH(KH_26_OPT4_KTQT_v4[[#This Row],[Tên sản phẩm]],MD_SKU[Tên SKU-rút gọn],0)),"")</f>
        <v>0</v>
      </c>
      <c r="S39" s="7" t="str">
        <f>IFERROR(INDEX(MD_SKU[Phân loại],MATCH(KH_26_OPT4_KTQT_v4[[#This Row],[Tên sản phẩm]],MD_SKU[Tên SKU-rút gọn],0)),"")</f>
        <v>Cũ</v>
      </c>
      <c r="T39" s="180" t="s">
        <v>541</v>
      </c>
      <c r="U39" s="7" t="s">
        <v>1508</v>
      </c>
      <c r="V39" s="70">
        <v>0.8</v>
      </c>
      <c r="W39" s="102">
        <v>55</v>
      </c>
      <c r="X39" s="102">
        <v>65</v>
      </c>
      <c r="Y39" s="102">
        <v>66</v>
      </c>
      <c r="Z39" s="102">
        <v>66</v>
      </c>
      <c r="AA39" s="102">
        <v>66</v>
      </c>
      <c r="AB39" s="102">
        <v>66</v>
      </c>
      <c r="AC39" s="102">
        <v>66</v>
      </c>
      <c r="AD39" s="102">
        <v>66</v>
      </c>
      <c r="AE39" s="102">
        <v>66</v>
      </c>
      <c r="AF39" s="102">
        <v>66</v>
      </c>
      <c r="AG39" s="102">
        <v>66</v>
      </c>
      <c r="AH39" s="102">
        <v>66</v>
      </c>
      <c r="AI39" s="47">
        <f ca="1">SUM(KH_26_OPT4_KTQT_v4[[#This Row],[SL-01]:[SL-12]])</f>
        <v>780</v>
      </c>
      <c r="AJ39" s="47">
        <f ca="1">SUMIFS(DB_25[SL-DB25],DB_25[Mã khách],KH_26_OPT4_KTQT_v4[[#This Row],[Mã khách]],DB_25[Mã sản phẩm],KH_26_OPT4_KTQT_v4[[#This Row],[Mã sản phẩm]])</f>
        <v>0</v>
      </c>
      <c r="AK39" s="20">
        <f ca="1">KH_26_OPT4_KTQT_v4[[#This Row],[SL-KH26]]-KH_26_OPT4_KTQT_v4[[#This Row],[SL-DB25]]</f>
        <v>780</v>
      </c>
      <c r="AL39" s="21">
        <f ca="1">IFERROR(KH_26_OPT4_KTQT_v4[[#This Row],[SL-+/-]]/KH_26_OPT4_KTQT_v4[[#This Row],[SL-DB25]],0)</f>
        <v>0</v>
      </c>
      <c r="AM39" s="51">
        <v>1250</v>
      </c>
      <c r="AN39" s="51">
        <v>1250</v>
      </c>
      <c r="AO39" s="51">
        <v>1250</v>
      </c>
      <c r="AP39" s="51">
        <v>1250</v>
      </c>
      <c r="AQ39" s="51">
        <v>1250</v>
      </c>
      <c r="AR39" s="51">
        <v>1250</v>
      </c>
      <c r="AS39" s="51">
        <v>1250</v>
      </c>
      <c r="AT39" s="51">
        <v>1250</v>
      </c>
      <c r="AU39" s="51">
        <v>1250</v>
      </c>
      <c r="AV39" s="51">
        <v>1250</v>
      </c>
      <c r="AW39" s="51">
        <v>1250</v>
      </c>
      <c r="AX39" s="51">
        <v>1250</v>
      </c>
      <c r="AY39" s="23">
        <v>1200</v>
      </c>
      <c r="AZ39" s="7"/>
      <c r="BA39" s="24">
        <f>KH_26_OPT4_KTQT_v4[[#This Row],[GB-DB25]]-KH_26_OPT4_KTQT_v4[[#This Row],[GB-KH25]]</f>
        <v>1200</v>
      </c>
      <c r="BB39" s="21">
        <f>IFERROR(KH_26_OPT4_KTQT_v4[[#This Row],[GB-+/-]]/KH_26_OPT4_KTQT_v4[[#This Row],[GB-KH25]],0)</f>
        <v>0</v>
      </c>
      <c r="BC39" s="21"/>
      <c r="BD39" s="47">
        <f>KH_26_OPT4_KTQT_v4[[#This Row],[SL-01]]*KH_26_OPT4_KTQT_v4[[#This Row],[GB-01]]*EXR</f>
        <v>1821875000</v>
      </c>
      <c r="BE39" s="47">
        <f>KH_26_OPT4_KTQT_v4[[#This Row],[SL-02]]*KH_26_OPT4_KTQT_v4[[#This Row],[GB-02]]*EXR</f>
        <v>2153125000</v>
      </c>
      <c r="BF39" s="47">
        <f>KH_26_OPT4_KTQT_v4[[#This Row],[SL-03]]*KH_26_OPT4_KTQT_v4[[#This Row],[GB-03]]*EXR</f>
        <v>2186250000</v>
      </c>
      <c r="BG39" s="47">
        <f>KH_26_OPT4_KTQT_v4[[#This Row],[SL-04]]*KH_26_OPT4_KTQT_v4[[#This Row],[GB-04]]*EXR</f>
        <v>2186250000</v>
      </c>
      <c r="BH39" s="47">
        <f>KH_26_OPT4_KTQT_v4[[#This Row],[SL-05]]*KH_26_OPT4_KTQT_v4[[#This Row],[GB-05]]*EXR</f>
        <v>2186250000</v>
      </c>
      <c r="BI39" s="47">
        <f>KH_26_OPT4_KTQT_v4[[#This Row],[SL-06]]*KH_26_OPT4_KTQT_v4[[#This Row],[GB-06]]*EXR</f>
        <v>2186250000</v>
      </c>
      <c r="BJ39" s="47">
        <f>KH_26_OPT4_KTQT_v4[[#This Row],[SL-07]]*KH_26_OPT4_KTQT_v4[[#This Row],[GB-07]]*EXR</f>
        <v>2186250000</v>
      </c>
      <c r="BK39" s="47">
        <f>KH_26_OPT4_KTQT_v4[[#This Row],[SL-08]]*KH_26_OPT4_KTQT_v4[[#This Row],[GB-08]]*EXR</f>
        <v>2186250000</v>
      </c>
      <c r="BL39" s="47">
        <f>KH_26_OPT4_KTQT_v4[[#This Row],[SL-09]]*KH_26_OPT4_KTQT_v4[[#This Row],[GB-09]]*EXR</f>
        <v>2186250000</v>
      </c>
      <c r="BM39" s="47">
        <f>KH_26_OPT4_KTQT_v4[[#This Row],[SL-10]]*KH_26_OPT4_KTQT_v4[[#This Row],[GB-10]]*EXR</f>
        <v>2186250000</v>
      </c>
      <c r="BN39" s="47">
        <f>KH_26_OPT4_KTQT_v4[[#This Row],[SL-11]]*KH_26_OPT4_KTQT_v4[[#This Row],[GB-11]]*EXR</f>
        <v>2186250000</v>
      </c>
      <c r="BO39" s="47">
        <f>KH_26_OPT4_KTQT_v4[[#This Row],[SL-12]]*KH_26_OPT4_KTQT_v4[[#This Row],[GB-12]]*EXR</f>
        <v>2186250000</v>
      </c>
      <c r="BP39" s="47">
        <f ca="1">SUM(KH_26_OPT4_KTQT_v4[[#This Row],[DT-EXW-01]:[DT-EXW-12]])</f>
        <v>25837500000</v>
      </c>
      <c r="BQ39" s="47">
        <f ca="1">SUMIFS(DB_25[DT-DB25],DB_25[Mã khách],KH_26_OPT4_KTQT_v4[[#This Row],[Mã khách]],DB_25[Mã sản phẩm],KH_26_OPT4_KTQT_v4[[#This Row],[Mã sản phẩm]])</f>
        <v>0</v>
      </c>
      <c r="BR39" s="19">
        <f ca="1">KH_26_OPT4_KTQT_v4[[#This Row],[DT-EXW-KH26]]-KH_26_OPT4_KTQT_v4[[#This Row],[DT-EXW-DB25]]</f>
        <v>25837500000</v>
      </c>
      <c r="BS39" s="21">
        <f ca="1">IFERROR(KH_26_OPT4_KTQT_v4[[#This Row],[DT-EXW-+/-]]/KH_26_OPT4_KTQT_v4[[#This Row],[DT-EXW-DB25]],0)</f>
        <v>0</v>
      </c>
      <c r="BT39" s="139"/>
      <c r="BU39" s="57"/>
      <c r="BV39" s="51"/>
      <c r="BW39" s="47">
        <f>IF(KH_26_OPT4_KTQT_v4[[#This Row],[CPHH-%-SL]]="Dthu",KH_26_OPT4_KTQT_v4[[#This Row],[%HH]]*KH_26_OPT4_KTQT_v4[[#This Row],[DT-EXW-01]],KH_26_OPT4_KTQT_v4[[#This Row],[HH-SL]]*KH_26_OPT4_KTQT_v4[[#This Row],[SL-01]])</f>
        <v>0</v>
      </c>
      <c r="BX39" s="47">
        <f>IF(KH_26_OPT4_KTQT_v4[[#This Row],[CPHH-%-SL]]="Dthu",KH_26_OPT4_KTQT_v4[[#This Row],[%HH]]*KH_26_OPT4_KTQT_v4[[#This Row],[DT-EXW-02]],KH_26_OPT4_KTQT_v4[[#This Row],[HH-SL]]*KH_26_OPT4_KTQT_v4[[#This Row],[SL-02]])</f>
        <v>0</v>
      </c>
      <c r="BY39" s="47">
        <f>IF(KH_26_OPT4_KTQT_v4[[#This Row],[CPHH-%-SL]]="Dthu",KH_26_OPT4_KTQT_v4[[#This Row],[%HH]]*KH_26_OPT4_KTQT_v4[[#This Row],[DT-EXW-03]],KH_26_OPT4_KTQT_v4[[#This Row],[HH-SL]]*KH_26_OPT4_KTQT_v4[[#This Row],[SL-03]])</f>
        <v>0</v>
      </c>
      <c r="BZ39" s="47">
        <f>IF(KH_26_OPT4_KTQT_v4[[#This Row],[CPHH-%-SL]]="Dthu",KH_26_OPT4_KTQT_v4[[#This Row],[%HH]]*KH_26_OPT4_KTQT_v4[[#This Row],[DT-EXW-04]],KH_26_OPT4_KTQT_v4[[#This Row],[HH-SL]]*KH_26_OPT4_KTQT_v4[[#This Row],[SL-04]])</f>
        <v>0</v>
      </c>
      <c r="CA39" s="47">
        <f>IF(KH_26_OPT4_KTQT_v4[[#This Row],[CPHH-%-SL]]="Dthu",KH_26_OPT4_KTQT_v4[[#This Row],[%HH]]*KH_26_OPT4_KTQT_v4[[#This Row],[DT-EXW-05]],KH_26_OPT4_KTQT_v4[[#This Row],[HH-SL]]*KH_26_OPT4_KTQT_v4[[#This Row],[SL-05]])</f>
        <v>0</v>
      </c>
      <c r="CB39" s="47">
        <f>IF(KH_26_OPT4_KTQT_v4[[#This Row],[CPHH-%-SL]]="Dthu",KH_26_OPT4_KTQT_v4[[#This Row],[%HH]]*KH_26_OPT4_KTQT_v4[[#This Row],[DT-EXW-06]],KH_26_OPT4_KTQT_v4[[#This Row],[HH-SL]]*KH_26_OPT4_KTQT_v4[[#This Row],[SL-06]])</f>
        <v>0</v>
      </c>
      <c r="CC39" s="47">
        <f>IF(KH_26_OPT4_KTQT_v4[[#This Row],[CPHH-%-SL]]="Dthu",KH_26_OPT4_KTQT_v4[[#This Row],[%HH]]*KH_26_OPT4_KTQT_v4[[#This Row],[DT-EXW-07]],KH_26_OPT4_KTQT_v4[[#This Row],[HH-SL]]*KH_26_OPT4_KTQT_v4[[#This Row],[SL-07]])</f>
        <v>0</v>
      </c>
      <c r="CD39" s="47">
        <f>IF(KH_26_OPT4_KTQT_v4[[#This Row],[CPHH-%-SL]]="Dthu",KH_26_OPT4_KTQT_v4[[#This Row],[%HH]]*KH_26_OPT4_KTQT_v4[[#This Row],[DT-EXW-08]],KH_26_OPT4_KTQT_v4[[#This Row],[HH-SL]]*KH_26_OPT4_KTQT_v4[[#This Row],[SL-08]])</f>
        <v>0</v>
      </c>
      <c r="CE39" s="47">
        <f>IF(KH_26_OPT4_KTQT_v4[[#This Row],[CPHH-%-SL]]="Dthu",KH_26_OPT4_KTQT_v4[[#This Row],[%HH]]*KH_26_OPT4_KTQT_v4[[#This Row],[DT-EXW-09]],KH_26_OPT4_KTQT_v4[[#This Row],[HH-SL]]*KH_26_OPT4_KTQT_v4[[#This Row],[SL-09]])</f>
        <v>0</v>
      </c>
      <c r="CF39" s="47">
        <f>IF(KH_26_OPT4_KTQT_v4[[#This Row],[CPHH-%-SL]]="Dthu",KH_26_OPT4_KTQT_v4[[#This Row],[%HH]]*KH_26_OPT4_KTQT_v4[[#This Row],[DT-EXW-10]],KH_26_OPT4_KTQT_v4[[#This Row],[HH-SL]]*KH_26_OPT4_KTQT_v4[[#This Row],[SL-10]])</f>
        <v>0</v>
      </c>
      <c r="CG39" s="47">
        <f>IF(KH_26_OPT4_KTQT_v4[[#This Row],[CPHH-%-SL]]="Dthu",KH_26_OPT4_KTQT_v4[[#This Row],[%HH]]*KH_26_OPT4_KTQT_v4[[#This Row],[DT-EXW-11]],KH_26_OPT4_KTQT_v4[[#This Row],[HH-SL]]*KH_26_OPT4_KTQT_v4[[#This Row],[SL-11]])</f>
        <v>0</v>
      </c>
      <c r="CH39" s="47">
        <f>IF(KH_26_OPT4_KTQT_v4[[#This Row],[CPHH-%-SL]]="Dthu",KH_26_OPT4_KTQT_v4[[#This Row],[%HH]]*KH_26_OPT4_KTQT_v4[[#This Row],[DT-EXW-12]],KH_26_OPT4_KTQT_v4[[#This Row],[HH-SL]]*KH_26_OPT4_KTQT_v4[[#This Row],[SL-12]])</f>
        <v>0</v>
      </c>
      <c r="CI39" s="47">
        <f ca="1">SUM(KH_26_OPT4_KTQT_v4[[#This Row],[CPHH-01]:[CPHH-12]])</f>
        <v>0</v>
      </c>
      <c r="CJ39" s="47" cm="1">
        <f t="array" ref="CJ39">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39" s="19">
        <f ca="1">SUM(KH_26_OPT4_KTQT_v4[[#This Row],[ĐGVCNĐ-KXK]:[ĐGVCCT-KXK]])</f>
        <v>530000</v>
      </c>
      <c r="CL39" s="47" cm="1">
        <f t="array" ref="CL39">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530000</v>
      </c>
      <c r="CM39" s="47" cm="1">
        <f t="array" ref="CM39">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39" s="47">
        <f ca="1">(KH_26_OPT4_KTQT_v4[[#This Row],[ĐGVC-KNĐ]]+KH_26_OPT4_KTQT_v4[[#This Row],[ĐGVC-KXK]])*KH_26_OPT4_KTQT_v4[[#This Row],[SL-01]]</f>
        <v>29150000</v>
      </c>
      <c r="CO39" s="47">
        <f ca="1">(KH_26_OPT4_KTQT_v4[[#This Row],[ĐGVC-KNĐ]]+KH_26_OPT4_KTQT_v4[[#This Row],[ĐGVC-KXK]])*KH_26_OPT4_KTQT_v4[[#This Row],[SL-02]]</f>
        <v>34450000</v>
      </c>
      <c r="CP39" s="47">
        <f ca="1">(KH_26_OPT4_KTQT_v4[[#This Row],[ĐGVC-KNĐ]]+KH_26_OPT4_KTQT_v4[[#This Row],[ĐGVC-KXK]])*KH_26_OPT4_KTQT_v4[[#This Row],[SL-03]]</f>
        <v>34980000</v>
      </c>
      <c r="CQ39" s="47">
        <f ca="1">(KH_26_OPT4_KTQT_v4[[#This Row],[ĐGVC-KNĐ]]+KH_26_OPT4_KTQT_v4[[#This Row],[ĐGVC-KXK]])*KH_26_OPT4_KTQT_v4[[#This Row],[SL-04]]</f>
        <v>34980000</v>
      </c>
      <c r="CR39" s="47">
        <f ca="1">(KH_26_OPT4_KTQT_v4[[#This Row],[ĐGVC-KNĐ]]+KH_26_OPT4_KTQT_v4[[#This Row],[ĐGVC-KXK]])*KH_26_OPT4_KTQT_v4[[#This Row],[SL-05]]</f>
        <v>34980000</v>
      </c>
      <c r="CS39" s="47">
        <f ca="1">(KH_26_OPT4_KTQT_v4[[#This Row],[ĐGVC-KNĐ]]+KH_26_OPT4_KTQT_v4[[#This Row],[ĐGVC-KXK]])*KH_26_OPT4_KTQT_v4[[#This Row],[SL-06]]</f>
        <v>34980000</v>
      </c>
      <c r="CT39" s="47">
        <f ca="1">(KH_26_OPT4_KTQT_v4[[#This Row],[ĐGVC-KNĐ]]+KH_26_OPT4_KTQT_v4[[#This Row],[ĐGVC-KXK]])*KH_26_OPT4_KTQT_v4[[#This Row],[SL-07]]</f>
        <v>34980000</v>
      </c>
      <c r="CU39" s="47">
        <f ca="1">(KH_26_OPT4_KTQT_v4[[#This Row],[ĐGVC-KNĐ]]+KH_26_OPT4_KTQT_v4[[#This Row],[ĐGVC-KXK]])*KH_26_OPT4_KTQT_v4[[#This Row],[SL-08]]</f>
        <v>34980000</v>
      </c>
      <c r="CV39" s="47">
        <f ca="1">(KH_26_OPT4_KTQT_v4[[#This Row],[ĐGVC-KNĐ]]+KH_26_OPT4_KTQT_v4[[#This Row],[ĐGVC-KXK]])*KH_26_OPT4_KTQT_v4[[#This Row],[SL-09]]</f>
        <v>34980000</v>
      </c>
      <c r="CW39" s="47">
        <f ca="1">(KH_26_OPT4_KTQT_v4[[#This Row],[ĐGVC-KNĐ]]+KH_26_OPT4_KTQT_v4[[#This Row],[ĐGVC-KXK]])*KH_26_OPT4_KTQT_v4[[#This Row],[SL-10]]</f>
        <v>34980000</v>
      </c>
      <c r="CX39" s="47">
        <f ca="1">(KH_26_OPT4_KTQT_v4[[#This Row],[ĐGVC-KNĐ]]+KH_26_OPT4_KTQT_v4[[#This Row],[ĐGVC-KXK]])*KH_26_OPT4_KTQT_v4[[#This Row],[SL-11]]</f>
        <v>34980000</v>
      </c>
      <c r="CY39" s="47">
        <f ca="1">(KH_26_OPT4_KTQT_v4[[#This Row],[ĐGVC-KNĐ]]+KH_26_OPT4_KTQT_v4[[#This Row],[ĐGVC-KXK]])*KH_26_OPT4_KTQT_v4[[#This Row],[SL-12]]</f>
        <v>34980000</v>
      </c>
      <c r="CZ39" s="47">
        <f ca="1">SUM(KH_26_OPT4_KTQT_v4[[#This Row],[CPVC-01]:[CPVC-12]])</f>
        <v>413400000</v>
      </c>
      <c r="DA39" s="124">
        <f ca="1">KH_26_OPT4_KTQT_v4[[#This Row],[DT-EXW-01]]+KH_26_OPT4_KTQT_v4[[#This Row],[CPVC-01]]+KH_26_OPT4_KTQT_v4[[#This Row],[CPHH-01]]</f>
        <v>1851025000</v>
      </c>
      <c r="DB39" s="47">
        <f ca="1">KH_26_OPT4_KTQT_v4[[#This Row],[DT-EXW-02]]+KH_26_OPT4_KTQT_v4[[#This Row],[CPVC-02]]+KH_26_OPT4_KTQT_v4[[#This Row],[CPHH-02]]</f>
        <v>2187575000</v>
      </c>
      <c r="DC39" s="47">
        <f ca="1">KH_26_OPT4_KTQT_v4[[#This Row],[DT-EXW-03]]+KH_26_OPT4_KTQT_v4[[#This Row],[CPVC-03]]+KH_26_OPT4_KTQT_v4[[#This Row],[CPHH-03]]</f>
        <v>2221230000</v>
      </c>
      <c r="DD39" s="47">
        <f ca="1">KH_26_OPT4_KTQT_v4[[#This Row],[DT-EXW-04]]+KH_26_OPT4_KTQT_v4[[#This Row],[CPVC-04]]+KH_26_OPT4_KTQT_v4[[#This Row],[CPHH-04]]</f>
        <v>2221230000</v>
      </c>
      <c r="DE39" s="47">
        <f ca="1">KH_26_OPT4_KTQT_v4[[#This Row],[DT-EXW-05]]+KH_26_OPT4_KTQT_v4[[#This Row],[CPVC-05]]+KH_26_OPT4_KTQT_v4[[#This Row],[CPHH-05]]</f>
        <v>2221230000</v>
      </c>
      <c r="DF39" s="47">
        <f ca="1">KH_26_OPT4_KTQT_v4[[#This Row],[DT-EXW-06]]+KH_26_OPT4_KTQT_v4[[#This Row],[CPVC-06]]+KH_26_OPT4_KTQT_v4[[#This Row],[CPHH-06]]</f>
        <v>2221230000</v>
      </c>
      <c r="DG39" s="47">
        <f ca="1">KH_26_OPT4_KTQT_v4[[#This Row],[DT-EXW-07]]+KH_26_OPT4_KTQT_v4[[#This Row],[CPVC-07]]+KH_26_OPT4_KTQT_v4[[#This Row],[CPHH-07]]</f>
        <v>2221230000</v>
      </c>
      <c r="DH39" s="47">
        <f ca="1">KH_26_OPT4_KTQT_v4[[#This Row],[DT-EXW-08]]+KH_26_OPT4_KTQT_v4[[#This Row],[CPVC-08]]+KH_26_OPT4_KTQT_v4[[#This Row],[CPHH-08]]</f>
        <v>2221230000</v>
      </c>
      <c r="DI39" s="47">
        <f ca="1">KH_26_OPT4_KTQT_v4[[#This Row],[DT-EXW-09]]+KH_26_OPT4_KTQT_v4[[#This Row],[CPVC-09]]+KH_26_OPT4_KTQT_v4[[#This Row],[CPHH-09]]</f>
        <v>2221230000</v>
      </c>
      <c r="DJ39" s="47">
        <f ca="1">KH_26_OPT4_KTQT_v4[[#This Row],[DT-EXW-10]]+KH_26_OPT4_KTQT_v4[[#This Row],[CPVC-10]]+KH_26_OPT4_KTQT_v4[[#This Row],[CPHH-10]]</f>
        <v>2221230000</v>
      </c>
      <c r="DK39" s="47">
        <f ca="1">KH_26_OPT4_KTQT_v4[[#This Row],[DT-EXW-11]]+KH_26_OPT4_KTQT_v4[[#This Row],[CPVC-11]]+KH_26_OPT4_KTQT_v4[[#This Row],[CPHH-11]]</f>
        <v>2221230000</v>
      </c>
      <c r="DL39" s="47">
        <f ca="1">KH_26_OPT4_KTQT_v4[[#This Row],[DT-EXW-12]]+KH_26_OPT4_KTQT_v4[[#This Row],[CPVC-12]]+KH_26_OPT4_KTQT_v4[[#This Row],[CPHH-12]]</f>
        <v>2221230000</v>
      </c>
      <c r="DM39" s="47">
        <f ca="1">SUM(KH_26_OPT4_KTQT_v4[[#This Row],[DT-01]:[DT-12]])</f>
        <v>26250900000</v>
      </c>
      <c r="DN39" s="7"/>
      <c r="DO39" s="7"/>
      <c r="DP39" s="125"/>
      <c r="DQ39" s="136"/>
      <c r="DR39" s="132">
        <f>IFERROR(KH_26_OPT4_KTQT_v4[[#This Row],[DT-EXW-01]]*KH_26_OPT4_KTQT_v4[[#This Row],[%CPDP]],0)</f>
        <v>0</v>
      </c>
      <c r="DS39" s="132">
        <f>IFERROR(KH_26_OPT4_KTQT_v4[[#This Row],[DT-EXW-02]]*KH_26_OPT4_KTQT_v4[[#This Row],[%CPDP]],0)</f>
        <v>0</v>
      </c>
      <c r="DT39" s="132">
        <f>IFERROR(KH_26_OPT4_KTQT_v4[[#This Row],[DT-EXW-03]]*KH_26_OPT4_KTQT_v4[[#This Row],[%CPDP]],0)</f>
        <v>0</v>
      </c>
      <c r="DU39" s="132">
        <f>IFERROR(KH_26_OPT4_KTQT_v4[[#This Row],[DT-EXW-04]]*KH_26_OPT4_KTQT_v4[[#This Row],[%CPDP]],0)</f>
        <v>0</v>
      </c>
      <c r="DV39" s="132">
        <f>IFERROR(KH_26_OPT4_KTQT_v4[[#This Row],[DT-EXW-05]]*KH_26_OPT4_KTQT_v4[[#This Row],[%CPDP]],0)</f>
        <v>0</v>
      </c>
      <c r="DW39" s="132">
        <f>IFERROR(KH_26_OPT4_KTQT_v4[[#This Row],[DT-EXW-06]]*KH_26_OPT4_KTQT_v4[[#This Row],[%CPDP]],0)</f>
        <v>0</v>
      </c>
      <c r="DX39" s="132">
        <f>IFERROR(KH_26_OPT4_KTQT_v4[[#This Row],[DT-EXW-07]]*KH_26_OPT4_KTQT_v4[[#This Row],[%CPDP]],0)</f>
        <v>0</v>
      </c>
      <c r="DY39" s="132">
        <f>IFERROR(KH_26_OPT4_KTQT_v4[[#This Row],[DT-EXW-08]]*KH_26_OPT4_KTQT_v4[[#This Row],[%CPDP]],0)</f>
        <v>0</v>
      </c>
      <c r="DZ39" s="132">
        <f>IFERROR(KH_26_OPT4_KTQT_v4[[#This Row],[DT-EXW-09]]*KH_26_OPT4_KTQT_v4[[#This Row],[%CPDP]],0)</f>
        <v>0</v>
      </c>
      <c r="EA39" s="132">
        <f>IFERROR(KH_26_OPT4_KTQT_v4[[#This Row],[DT-EXW-10]]*KH_26_OPT4_KTQT_v4[[#This Row],[%CPDP]],0)</f>
        <v>0</v>
      </c>
      <c r="EB39" s="132">
        <f>IFERROR(KH_26_OPT4_KTQT_v4[[#This Row],[DT-EXW-11]]*KH_26_OPT4_KTQT_v4[[#This Row],[%CPDP]],0)</f>
        <v>0</v>
      </c>
      <c r="EC39" s="132">
        <f>IFERROR(KH_26_OPT4_KTQT_v4[[#This Row],[DT-EXW-12]]*KH_26_OPT4_KTQT_v4[[#This Row],[%CPDP]],0)</f>
        <v>0</v>
      </c>
      <c r="ED39" s="131">
        <f ca="1">SUM(KH_26_OPT4_KTQT_v4[[#This Row],[CPDP-01]:[CPDP-12]])</f>
        <v>0</v>
      </c>
    </row>
    <row r="40" spans="1:134" ht="14.65" hidden="1" customHeight="1" x14ac:dyDescent="0.35">
      <c r="A40" s="18">
        <v>35</v>
      </c>
      <c r="B40" s="71" t="s">
        <v>95</v>
      </c>
      <c r="C40" s="18" t="str">
        <f>IFERROR(_xlfn.XLOOKUP(KH_26_OPT4_KTQT_v4[[#This Row],[Salesman]],MD_Salesman[Salesman],MD_Salesman[SalesManager]),"")</f>
        <v>Cường</v>
      </c>
      <c r="D40" s="72" t="str">
        <f>IFERROR(INDEX(MD_Customer[Mã khách],MATCH(KH_26_OPT4_KTQT_v4[[#This Row],[Tên khách]],MD_Customer[Tên khách-rút gọn],0)),"")</f>
        <v>NS26-NEWCUS-018</v>
      </c>
      <c r="E40" s="7" t="str">
        <f>IFERROR(INDEX(MD_Customer[Parent Account],MATCH(KH_26_OPT4_KTQT_v4[[#This Row],[Tên khách]],MD_Customer[Tên khách-rút gọn],0)),"")</f>
        <v>New Developments - Hạt PET - XK</v>
      </c>
      <c r="F40" s="35" t="s">
        <v>13</v>
      </c>
      <c r="G40" s="7" t="str">
        <f>IFERROR(INDEX(MD_Customer[Phân loại],MATCH(KH_26_OPT4_KTQT_v4[[#This Row],[Tên khách]],MD_Customer[Tên khách-rút gọn],0)),"")</f>
        <v>Mới</v>
      </c>
      <c r="H40" s="7" t="str">
        <f>IFERROR(INDEX(MD_Customer[Kênh bán hàng],MATCH(KH_26_OPT4_KTQT_v4[[#This Row],[Tên khách]],MD_Customer[Tên khách-rút gọn],0)),"")</f>
        <v>Xuất Khẩu</v>
      </c>
      <c r="I40" s="35" t="s">
        <v>329</v>
      </c>
      <c r="J40" s="7" t="str">
        <f>IFERROR(INDEX(MD_Destination[Nước],MATCH(KH_26_OPT4_KTQT_v4[[#This Row],[Địa điểm đến]],MD_Destination[Địa điểm đến],0)),"")</f>
        <v>Unknown</v>
      </c>
      <c r="K40" s="7" t="str">
        <f>IFERROR(INDEX(MD_Destination[Khu vực],MATCH(KH_26_OPT4_KTQT_v4[[#This Row],[Địa điểm đến]],MD_Destination[Địa điểm đến],0)),"")</f>
        <v>Unknown</v>
      </c>
      <c r="L40" s="35" t="s">
        <v>278</v>
      </c>
      <c r="M40" s="7" t="str">
        <f>IFERROR(INDEX(MD_SKU[Mã SKU],MATCH(KH_26_OPT4_KTQT_v4[[#This Row],[Tên sản phẩm]],MD_SKU[Tên SKU-rút gọn],0)),"")</f>
        <v>110000332</v>
      </c>
      <c r="N40" s="35" t="s">
        <v>1124</v>
      </c>
      <c r="O40" s="7" t="str">
        <f>IFERROR(INDEX(MD_SKU[Ngành hàng],MATCH(KH_26_OPT4_KTQT_v4[[#This Row],[Tên sản phẩm]],MD_SKU[Tên SKU-rút gọn],0)),"")</f>
        <v>rPET</v>
      </c>
      <c r="P40" s="7" t="str">
        <f>IFERROR(INDEX(MD_SKU[Nhóm ngành],MATCH(KH_26_OPT4_KTQT_v4[[#This Row],[Tên sản phẩm]],MD_SKU[Tên SKU-rút gọn],0)),"")</f>
        <v>Hạt PET</v>
      </c>
      <c r="Q40" s="7" t="str">
        <f>IFERROR(
   IF(INDEX(MD_SKU[IV/IM],MATCH(KH_26_OPT4_KTQT_v4[[#This Row],[Tên sản phẩm]],MD_SKU[Tên SKU-rút gọn],0))=0,
      "",
      INDEX(MD_SKU[IV/IM],MATCH(KH_26_OPT4_KTQT_v4[[#This Row],[Tên sản phẩm]],MD_SKU[Tên SKU-rút gọn],0))
   ),
"")</f>
        <v>0.84 ± 0.03</v>
      </c>
      <c r="R40" s="44">
        <f>IFERROR(INDEX(MD_SKU[Application],MATCH(KH_26_OPT4_KTQT_v4[[#This Row],[Tên sản phẩm]],MD_SKU[Tên SKU-rút gọn],0)),"")</f>
        <v>0</v>
      </c>
      <c r="S40" s="7" t="str">
        <f>IFERROR(INDEX(MD_SKU[Phân loại],MATCH(KH_26_OPT4_KTQT_v4[[#This Row],[Tên sản phẩm]],MD_SKU[Tên SKU-rút gọn],0)),"")</f>
        <v>Cũ</v>
      </c>
      <c r="T40" s="180" t="s">
        <v>541</v>
      </c>
      <c r="U40" s="7" t="s">
        <v>1508</v>
      </c>
      <c r="V40" s="70">
        <v>0.8</v>
      </c>
      <c r="W40" s="102">
        <v>55</v>
      </c>
      <c r="X40" s="102">
        <v>65</v>
      </c>
      <c r="Y40" s="102">
        <v>66</v>
      </c>
      <c r="Z40" s="102">
        <v>66</v>
      </c>
      <c r="AA40" s="102">
        <v>66</v>
      </c>
      <c r="AB40" s="102">
        <v>66</v>
      </c>
      <c r="AC40" s="102">
        <v>66</v>
      </c>
      <c r="AD40" s="102">
        <v>66</v>
      </c>
      <c r="AE40" s="102">
        <v>66</v>
      </c>
      <c r="AF40" s="102">
        <v>66</v>
      </c>
      <c r="AG40" s="102">
        <v>66</v>
      </c>
      <c r="AH40" s="102">
        <v>66</v>
      </c>
      <c r="AI40" s="47">
        <f ca="1">SUM(KH_26_OPT4_KTQT_v4[[#This Row],[SL-01]:[SL-12]])</f>
        <v>780</v>
      </c>
      <c r="AJ40" s="47">
        <f ca="1">SUMIFS(DB_25[SL-DB25],DB_25[Mã khách],KH_26_OPT4_KTQT_v4[[#This Row],[Mã khách]],DB_25[Mã sản phẩm],KH_26_OPT4_KTQT_v4[[#This Row],[Mã sản phẩm]])</f>
        <v>0</v>
      </c>
      <c r="AK40" s="20">
        <f ca="1">KH_26_OPT4_KTQT_v4[[#This Row],[SL-KH26]]-KH_26_OPT4_KTQT_v4[[#This Row],[SL-DB25]]</f>
        <v>780</v>
      </c>
      <c r="AL40" s="21">
        <f ca="1">IFERROR(KH_26_OPT4_KTQT_v4[[#This Row],[SL-+/-]]/KH_26_OPT4_KTQT_v4[[#This Row],[SL-DB25]],0)</f>
        <v>0</v>
      </c>
      <c r="AM40" s="51">
        <v>1250</v>
      </c>
      <c r="AN40" s="51">
        <v>1250</v>
      </c>
      <c r="AO40" s="51">
        <v>1250</v>
      </c>
      <c r="AP40" s="51">
        <v>1250</v>
      </c>
      <c r="AQ40" s="51">
        <v>1250</v>
      </c>
      <c r="AR40" s="51">
        <v>1250</v>
      </c>
      <c r="AS40" s="51">
        <v>1250</v>
      </c>
      <c r="AT40" s="51">
        <v>1250</v>
      </c>
      <c r="AU40" s="51">
        <v>1250</v>
      </c>
      <c r="AV40" s="51">
        <v>1250</v>
      </c>
      <c r="AW40" s="51">
        <v>1250</v>
      </c>
      <c r="AX40" s="51">
        <v>1250</v>
      </c>
      <c r="AY40" s="23">
        <v>1200</v>
      </c>
      <c r="AZ40" s="7"/>
      <c r="BA40" s="24">
        <f>KH_26_OPT4_KTQT_v4[[#This Row],[GB-DB25]]-KH_26_OPT4_KTQT_v4[[#This Row],[GB-KH25]]</f>
        <v>1200</v>
      </c>
      <c r="BB40" s="21">
        <f>IFERROR(KH_26_OPT4_KTQT_v4[[#This Row],[GB-+/-]]/KH_26_OPT4_KTQT_v4[[#This Row],[GB-KH25]],0)</f>
        <v>0</v>
      </c>
      <c r="BC40" s="21"/>
      <c r="BD40" s="47">
        <f>KH_26_OPT4_KTQT_v4[[#This Row],[SL-01]]*KH_26_OPT4_KTQT_v4[[#This Row],[GB-01]]*EXR</f>
        <v>1821875000</v>
      </c>
      <c r="BE40" s="47">
        <f>KH_26_OPT4_KTQT_v4[[#This Row],[SL-02]]*KH_26_OPT4_KTQT_v4[[#This Row],[GB-02]]*EXR</f>
        <v>2153125000</v>
      </c>
      <c r="BF40" s="47">
        <f>KH_26_OPT4_KTQT_v4[[#This Row],[SL-03]]*KH_26_OPT4_KTQT_v4[[#This Row],[GB-03]]*EXR</f>
        <v>2186250000</v>
      </c>
      <c r="BG40" s="47">
        <f>KH_26_OPT4_KTQT_v4[[#This Row],[SL-04]]*KH_26_OPT4_KTQT_v4[[#This Row],[GB-04]]*EXR</f>
        <v>2186250000</v>
      </c>
      <c r="BH40" s="47">
        <f>KH_26_OPT4_KTQT_v4[[#This Row],[SL-05]]*KH_26_OPT4_KTQT_v4[[#This Row],[GB-05]]*EXR</f>
        <v>2186250000</v>
      </c>
      <c r="BI40" s="47">
        <f>KH_26_OPT4_KTQT_v4[[#This Row],[SL-06]]*KH_26_OPT4_KTQT_v4[[#This Row],[GB-06]]*EXR</f>
        <v>2186250000</v>
      </c>
      <c r="BJ40" s="47">
        <f>KH_26_OPT4_KTQT_v4[[#This Row],[SL-07]]*KH_26_OPT4_KTQT_v4[[#This Row],[GB-07]]*EXR</f>
        <v>2186250000</v>
      </c>
      <c r="BK40" s="47">
        <f>KH_26_OPT4_KTQT_v4[[#This Row],[SL-08]]*KH_26_OPT4_KTQT_v4[[#This Row],[GB-08]]*EXR</f>
        <v>2186250000</v>
      </c>
      <c r="BL40" s="47">
        <f>KH_26_OPT4_KTQT_v4[[#This Row],[SL-09]]*KH_26_OPT4_KTQT_v4[[#This Row],[GB-09]]*EXR</f>
        <v>2186250000</v>
      </c>
      <c r="BM40" s="47">
        <f>KH_26_OPT4_KTQT_v4[[#This Row],[SL-10]]*KH_26_OPT4_KTQT_v4[[#This Row],[GB-10]]*EXR</f>
        <v>2186250000</v>
      </c>
      <c r="BN40" s="47">
        <f>KH_26_OPT4_KTQT_v4[[#This Row],[SL-11]]*KH_26_OPT4_KTQT_v4[[#This Row],[GB-11]]*EXR</f>
        <v>2186250000</v>
      </c>
      <c r="BO40" s="47">
        <f>KH_26_OPT4_KTQT_v4[[#This Row],[SL-12]]*KH_26_OPT4_KTQT_v4[[#This Row],[GB-12]]*EXR</f>
        <v>2186250000</v>
      </c>
      <c r="BP40" s="47">
        <f ca="1">SUM(KH_26_OPT4_KTQT_v4[[#This Row],[DT-EXW-01]:[DT-EXW-12]])</f>
        <v>25837500000</v>
      </c>
      <c r="BQ40" s="47">
        <f ca="1">SUMIFS(DB_25[DT-DB25],DB_25[Mã khách],KH_26_OPT4_KTQT_v4[[#This Row],[Mã khách]],DB_25[Mã sản phẩm],KH_26_OPT4_KTQT_v4[[#This Row],[Mã sản phẩm]])</f>
        <v>0</v>
      </c>
      <c r="BR40" s="19">
        <f ca="1">KH_26_OPT4_KTQT_v4[[#This Row],[DT-EXW-KH26]]-KH_26_OPT4_KTQT_v4[[#This Row],[DT-EXW-DB25]]</f>
        <v>25837500000</v>
      </c>
      <c r="BS40" s="21">
        <f ca="1">IFERROR(KH_26_OPT4_KTQT_v4[[#This Row],[DT-EXW-+/-]]/KH_26_OPT4_KTQT_v4[[#This Row],[DT-EXW-DB25]],0)</f>
        <v>0</v>
      </c>
      <c r="BT40" s="139"/>
      <c r="BU40" s="57"/>
      <c r="BV40" s="51"/>
      <c r="BW40" s="47">
        <f>IF(KH_26_OPT4_KTQT_v4[[#This Row],[CPHH-%-SL]]="Dthu",KH_26_OPT4_KTQT_v4[[#This Row],[%HH]]*KH_26_OPT4_KTQT_v4[[#This Row],[DT-EXW-01]],KH_26_OPT4_KTQT_v4[[#This Row],[HH-SL]]*KH_26_OPT4_KTQT_v4[[#This Row],[SL-01]])</f>
        <v>0</v>
      </c>
      <c r="BX40" s="47">
        <f>IF(KH_26_OPT4_KTQT_v4[[#This Row],[CPHH-%-SL]]="Dthu",KH_26_OPT4_KTQT_v4[[#This Row],[%HH]]*KH_26_OPT4_KTQT_v4[[#This Row],[DT-EXW-02]],KH_26_OPT4_KTQT_v4[[#This Row],[HH-SL]]*KH_26_OPT4_KTQT_v4[[#This Row],[SL-02]])</f>
        <v>0</v>
      </c>
      <c r="BY40" s="47">
        <f>IF(KH_26_OPT4_KTQT_v4[[#This Row],[CPHH-%-SL]]="Dthu",KH_26_OPT4_KTQT_v4[[#This Row],[%HH]]*KH_26_OPT4_KTQT_v4[[#This Row],[DT-EXW-03]],KH_26_OPT4_KTQT_v4[[#This Row],[HH-SL]]*KH_26_OPT4_KTQT_v4[[#This Row],[SL-03]])</f>
        <v>0</v>
      </c>
      <c r="BZ40" s="47">
        <f>IF(KH_26_OPT4_KTQT_v4[[#This Row],[CPHH-%-SL]]="Dthu",KH_26_OPT4_KTQT_v4[[#This Row],[%HH]]*KH_26_OPT4_KTQT_v4[[#This Row],[DT-EXW-04]],KH_26_OPT4_KTQT_v4[[#This Row],[HH-SL]]*KH_26_OPT4_KTQT_v4[[#This Row],[SL-04]])</f>
        <v>0</v>
      </c>
      <c r="CA40" s="47">
        <f>IF(KH_26_OPT4_KTQT_v4[[#This Row],[CPHH-%-SL]]="Dthu",KH_26_OPT4_KTQT_v4[[#This Row],[%HH]]*KH_26_OPT4_KTQT_v4[[#This Row],[DT-EXW-05]],KH_26_OPT4_KTQT_v4[[#This Row],[HH-SL]]*KH_26_OPT4_KTQT_v4[[#This Row],[SL-05]])</f>
        <v>0</v>
      </c>
      <c r="CB40" s="47">
        <f>IF(KH_26_OPT4_KTQT_v4[[#This Row],[CPHH-%-SL]]="Dthu",KH_26_OPT4_KTQT_v4[[#This Row],[%HH]]*KH_26_OPT4_KTQT_v4[[#This Row],[DT-EXW-06]],KH_26_OPT4_KTQT_v4[[#This Row],[HH-SL]]*KH_26_OPT4_KTQT_v4[[#This Row],[SL-06]])</f>
        <v>0</v>
      </c>
      <c r="CC40" s="47">
        <f>IF(KH_26_OPT4_KTQT_v4[[#This Row],[CPHH-%-SL]]="Dthu",KH_26_OPT4_KTQT_v4[[#This Row],[%HH]]*KH_26_OPT4_KTQT_v4[[#This Row],[DT-EXW-07]],KH_26_OPT4_KTQT_v4[[#This Row],[HH-SL]]*KH_26_OPT4_KTQT_v4[[#This Row],[SL-07]])</f>
        <v>0</v>
      </c>
      <c r="CD40" s="47">
        <f>IF(KH_26_OPT4_KTQT_v4[[#This Row],[CPHH-%-SL]]="Dthu",KH_26_OPT4_KTQT_v4[[#This Row],[%HH]]*KH_26_OPT4_KTQT_v4[[#This Row],[DT-EXW-08]],KH_26_OPT4_KTQT_v4[[#This Row],[HH-SL]]*KH_26_OPT4_KTQT_v4[[#This Row],[SL-08]])</f>
        <v>0</v>
      </c>
      <c r="CE40" s="47">
        <f>IF(KH_26_OPT4_KTQT_v4[[#This Row],[CPHH-%-SL]]="Dthu",KH_26_OPT4_KTQT_v4[[#This Row],[%HH]]*KH_26_OPT4_KTQT_v4[[#This Row],[DT-EXW-09]],KH_26_OPT4_KTQT_v4[[#This Row],[HH-SL]]*KH_26_OPT4_KTQT_v4[[#This Row],[SL-09]])</f>
        <v>0</v>
      </c>
      <c r="CF40" s="47">
        <f>IF(KH_26_OPT4_KTQT_v4[[#This Row],[CPHH-%-SL]]="Dthu",KH_26_OPT4_KTQT_v4[[#This Row],[%HH]]*KH_26_OPT4_KTQT_v4[[#This Row],[DT-EXW-10]],KH_26_OPT4_KTQT_v4[[#This Row],[HH-SL]]*KH_26_OPT4_KTQT_v4[[#This Row],[SL-10]])</f>
        <v>0</v>
      </c>
      <c r="CG40" s="47">
        <f>IF(KH_26_OPT4_KTQT_v4[[#This Row],[CPHH-%-SL]]="Dthu",KH_26_OPT4_KTQT_v4[[#This Row],[%HH]]*KH_26_OPT4_KTQT_v4[[#This Row],[DT-EXW-11]],KH_26_OPT4_KTQT_v4[[#This Row],[HH-SL]]*KH_26_OPT4_KTQT_v4[[#This Row],[SL-11]])</f>
        <v>0</v>
      </c>
      <c r="CH40" s="47">
        <f>IF(KH_26_OPT4_KTQT_v4[[#This Row],[CPHH-%-SL]]="Dthu",KH_26_OPT4_KTQT_v4[[#This Row],[%HH]]*KH_26_OPT4_KTQT_v4[[#This Row],[DT-EXW-12]],KH_26_OPT4_KTQT_v4[[#This Row],[HH-SL]]*KH_26_OPT4_KTQT_v4[[#This Row],[SL-12]])</f>
        <v>0</v>
      </c>
      <c r="CI40" s="47">
        <f ca="1">SUM(KH_26_OPT4_KTQT_v4[[#This Row],[CPHH-01]:[CPHH-12]])</f>
        <v>0</v>
      </c>
      <c r="CJ40" s="47" cm="1">
        <f t="array" ref="CJ40">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40" s="19">
        <f ca="1">SUM(KH_26_OPT4_KTQT_v4[[#This Row],[ĐGVCNĐ-KXK]:[ĐGVCCT-KXK]])</f>
        <v>530000</v>
      </c>
      <c r="CL40" s="47" cm="1">
        <f t="array" ref="CL40">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530000</v>
      </c>
      <c r="CM40" s="47" cm="1">
        <f t="array" ref="CM40">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40" s="47">
        <f ca="1">(KH_26_OPT4_KTQT_v4[[#This Row],[ĐGVC-KNĐ]]+KH_26_OPT4_KTQT_v4[[#This Row],[ĐGVC-KXK]])*KH_26_OPT4_KTQT_v4[[#This Row],[SL-01]]</f>
        <v>29150000</v>
      </c>
      <c r="CO40" s="47">
        <f ca="1">(KH_26_OPT4_KTQT_v4[[#This Row],[ĐGVC-KNĐ]]+KH_26_OPT4_KTQT_v4[[#This Row],[ĐGVC-KXK]])*KH_26_OPT4_KTQT_v4[[#This Row],[SL-02]]</f>
        <v>34450000</v>
      </c>
      <c r="CP40" s="47">
        <f ca="1">(KH_26_OPT4_KTQT_v4[[#This Row],[ĐGVC-KNĐ]]+KH_26_OPT4_KTQT_v4[[#This Row],[ĐGVC-KXK]])*KH_26_OPT4_KTQT_v4[[#This Row],[SL-03]]</f>
        <v>34980000</v>
      </c>
      <c r="CQ40" s="47">
        <f ca="1">(KH_26_OPT4_KTQT_v4[[#This Row],[ĐGVC-KNĐ]]+KH_26_OPT4_KTQT_v4[[#This Row],[ĐGVC-KXK]])*KH_26_OPT4_KTQT_v4[[#This Row],[SL-04]]</f>
        <v>34980000</v>
      </c>
      <c r="CR40" s="47">
        <f ca="1">(KH_26_OPT4_KTQT_v4[[#This Row],[ĐGVC-KNĐ]]+KH_26_OPT4_KTQT_v4[[#This Row],[ĐGVC-KXK]])*KH_26_OPT4_KTQT_v4[[#This Row],[SL-05]]</f>
        <v>34980000</v>
      </c>
      <c r="CS40" s="47">
        <f ca="1">(KH_26_OPT4_KTQT_v4[[#This Row],[ĐGVC-KNĐ]]+KH_26_OPT4_KTQT_v4[[#This Row],[ĐGVC-KXK]])*KH_26_OPT4_KTQT_v4[[#This Row],[SL-06]]</f>
        <v>34980000</v>
      </c>
      <c r="CT40" s="47">
        <f ca="1">(KH_26_OPT4_KTQT_v4[[#This Row],[ĐGVC-KNĐ]]+KH_26_OPT4_KTQT_v4[[#This Row],[ĐGVC-KXK]])*KH_26_OPT4_KTQT_v4[[#This Row],[SL-07]]</f>
        <v>34980000</v>
      </c>
      <c r="CU40" s="47">
        <f ca="1">(KH_26_OPT4_KTQT_v4[[#This Row],[ĐGVC-KNĐ]]+KH_26_OPT4_KTQT_v4[[#This Row],[ĐGVC-KXK]])*KH_26_OPT4_KTQT_v4[[#This Row],[SL-08]]</f>
        <v>34980000</v>
      </c>
      <c r="CV40" s="47">
        <f ca="1">(KH_26_OPT4_KTQT_v4[[#This Row],[ĐGVC-KNĐ]]+KH_26_OPT4_KTQT_v4[[#This Row],[ĐGVC-KXK]])*KH_26_OPT4_KTQT_v4[[#This Row],[SL-09]]</f>
        <v>34980000</v>
      </c>
      <c r="CW40" s="47">
        <f ca="1">(KH_26_OPT4_KTQT_v4[[#This Row],[ĐGVC-KNĐ]]+KH_26_OPT4_KTQT_v4[[#This Row],[ĐGVC-KXK]])*KH_26_OPT4_KTQT_v4[[#This Row],[SL-10]]</f>
        <v>34980000</v>
      </c>
      <c r="CX40" s="47">
        <f ca="1">(KH_26_OPT4_KTQT_v4[[#This Row],[ĐGVC-KNĐ]]+KH_26_OPT4_KTQT_v4[[#This Row],[ĐGVC-KXK]])*KH_26_OPT4_KTQT_v4[[#This Row],[SL-11]]</f>
        <v>34980000</v>
      </c>
      <c r="CY40" s="47">
        <f ca="1">(KH_26_OPT4_KTQT_v4[[#This Row],[ĐGVC-KNĐ]]+KH_26_OPT4_KTQT_v4[[#This Row],[ĐGVC-KXK]])*KH_26_OPT4_KTQT_v4[[#This Row],[SL-12]]</f>
        <v>34980000</v>
      </c>
      <c r="CZ40" s="47">
        <f ca="1">SUM(KH_26_OPT4_KTQT_v4[[#This Row],[CPVC-01]:[CPVC-12]])</f>
        <v>413400000</v>
      </c>
      <c r="DA40" s="124">
        <f ca="1">KH_26_OPT4_KTQT_v4[[#This Row],[DT-EXW-01]]+KH_26_OPT4_KTQT_v4[[#This Row],[CPVC-01]]+KH_26_OPT4_KTQT_v4[[#This Row],[CPHH-01]]</f>
        <v>1851025000</v>
      </c>
      <c r="DB40" s="47">
        <f ca="1">KH_26_OPT4_KTQT_v4[[#This Row],[DT-EXW-02]]+KH_26_OPT4_KTQT_v4[[#This Row],[CPVC-02]]+KH_26_OPT4_KTQT_v4[[#This Row],[CPHH-02]]</f>
        <v>2187575000</v>
      </c>
      <c r="DC40" s="47">
        <f ca="1">KH_26_OPT4_KTQT_v4[[#This Row],[DT-EXW-03]]+KH_26_OPT4_KTQT_v4[[#This Row],[CPVC-03]]+KH_26_OPT4_KTQT_v4[[#This Row],[CPHH-03]]</f>
        <v>2221230000</v>
      </c>
      <c r="DD40" s="47">
        <f ca="1">KH_26_OPT4_KTQT_v4[[#This Row],[DT-EXW-04]]+KH_26_OPT4_KTQT_v4[[#This Row],[CPVC-04]]+KH_26_OPT4_KTQT_v4[[#This Row],[CPHH-04]]</f>
        <v>2221230000</v>
      </c>
      <c r="DE40" s="47">
        <f ca="1">KH_26_OPT4_KTQT_v4[[#This Row],[DT-EXW-05]]+KH_26_OPT4_KTQT_v4[[#This Row],[CPVC-05]]+KH_26_OPT4_KTQT_v4[[#This Row],[CPHH-05]]</f>
        <v>2221230000</v>
      </c>
      <c r="DF40" s="47">
        <f ca="1">KH_26_OPT4_KTQT_v4[[#This Row],[DT-EXW-06]]+KH_26_OPT4_KTQT_v4[[#This Row],[CPVC-06]]+KH_26_OPT4_KTQT_v4[[#This Row],[CPHH-06]]</f>
        <v>2221230000</v>
      </c>
      <c r="DG40" s="47">
        <f ca="1">KH_26_OPT4_KTQT_v4[[#This Row],[DT-EXW-07]]+KH_26_OPT4_KTQT_v4[[#This Row],[CPVC-07]]+KH_26_OPT4_KTQT_v4[[#This Row],[CPHH-07]]</f>
        <v>2221230000</v>
      </c>
      <c r="DH40" s="47">
        <f ca="1">KH_26_OPT4_KTQT_v4[[#This Row],[DT-EXW-08]]+KH_26_OPT4_KTQT_v4[[#This Row],[CPVC-08]]+KH_26_OPT4_KTQT_v4[[#This Row],[CPHH-08]]</f>
        <v>2221230000</v>
      </c>
      <c r="DI40" s="47">
        <f ca="1">KH_26_OPT4_KTQT_v4[[#This Row],[DT-EXW-09]]+KH_26_OPT4_KTQT_v4[[#This Row],[CPVC-09]]+KH_26_OPT4_KTQT_v4[[#This Row],[CPHH-09]]</f>
        <v>2221230000</v>
      </c>
      <c r="DJ40" s="47">
        <f ca="1">KH_26_OPT4_KTQT_v4[[#This Row],[DT-EXW-10]]+KH_26_OPT4_KTQT_v4[[#This Row],[CPVC-10]]+KH_26_OPT4_KTQT_v4[[#This Row],[CPHH-10]]</f>
        <v>2221230000</v>
      </c>
      <c r="DK40" s="47">
        <f ca="1">KH_26_OPT4_KTQT_v4[[#This Row],[DT-EXW-11]]+KH_26_OPT4_KTQT_v4[[#This Row],[CPVC-11]]+KH_26_OPT4_KTQT_v4[[#This Row],[CPHH-11]]</f>
        <v>2221230000</v>
      </c>
      <c r="DL40" s="47">
        <f ca="1">KH_26_OPT4_KTQT_v4[[#This Row],[DT-EXW-12]]+KH_26_OPT4_KTQT_v4[[#This Row],[CPVC-12]]+KH_26_OPT4_KTQT_v4[[#This Row],[CPHH-12]]</f>
        <v>2221230000</v>
      </c>
      <c r="DM40" s="47">
        <f ca="1">SUM(KH_26_OPT4_KTQT_v4[[#This Row],[DT-01]:[DT-12]])</f>
        <v>26250900000</v>
      </c>
      <c r="DN40" s="7"/>
      <c r="DO40" s="7"/>
      <c r="DP40" s="125"/>
      <c r="DQ40" s="136"/>
      <c r="DR40" s="132">
        <f>IFERROR(KH_26_OPT4_KTQT_v4[[#This Row],[DT-EXW-01]]*KH_26_OPT4_KTQT_v4[[#This Row],[%CPDP]],0)</f>
        <v>0</v>
      </c>
      <c r="DS40" s="132">
        <f>IFERROR(KH_26_OPT4_KTQT_v4[[#This Row],[DT-EXW-02]]*KH_26_OPT4_KTQT_v4[[#This Row],[%CPDP]],0)</f>
        <v>0</v>
      </c>
      <c r="DT40" s="132">
        <f>IFERROR(KH_26_OPT4_KTQT_v4[[#This Row],[DT-EXW-03]]*KH_26_OPT4_KTQT_v4[[#This Row],[%CPDP]],0)</f>
        <v>0</v>
      </c>
      <c r="DU40" s="132">
        <f>IFERROR(KH_26_OPT4_KTQT_v4[[#This Row],[DT-EXW-04]]*KH_26_OPT4_KTQT_v4[[#This Row],[%CPDP]],0)</f>
        <v>0</v>
      </c>
      <c r="DV40" s="132">
        <f>IFERROR(KH_26_OPT4_KTQT_v4[[#This Row],[DT-EXW-05]]*KH_26_OPT4_KTQT_v4[[#This Row],[%CPDP]],0)</f>
        <v>0</v>
      </c>
      <c r="DW40" s="132">
        <f>IFERROR(KH_26_OPT4_KTQT_v4[[#This Row],[DT-EXW-06]]*KH_26_OPT4_KTQT_v4[[#This Row],[%CPDP]],0)</f>
        <v>0</v>
      </c>
      <c r="DX40" s="132">
        <f>IFERROR(KH_26_OPT4_KTQT_v4[[#This Row],[DT-EXW-07]]*KH_26_OPT4_KTQT_v4[[#This Row],[%CPDP]],0)</f>
        <v>0</v>
      </c>
      <c r="DY40" s="132">
        <f>IFERROR(KH_26_OPT4_KTQT_v4[[#This Row],[DT-EXW-08]]*KH_26_OPT4_KTQT_v4[[#This Row],[%CPDP]],0)</f>
        <v>0</v>
      </c>
      <c r="DZ40" s="132">
        <f>IFERROR(KH_26_OPT4_KTQT_v4[[#This Row],[DT-EXW-09]]*KH_26_OPT4_KTQT_v4[[#This Row],[%CPDP]],0)</f>
        <v>0</v>
      </c>
      <c r="EA40" s="132">
        <f>IFERROR(KH_26_OPT4_KTQT_v4[[#This Row],[DT-EXW-10]]*KH_26_OPT4_KTQT_v4[[#This Row],[%CPDP]],0)</f>
        <v>0</v>
      </c>
      <c r="EB40" s="132">
        <f>IFERROR(KH_26_OPT4_KTQT_v4[[#This Row],[DT-EXW-11]]*KH_26_OPT4_KTQT_v4[[#This Row],[%CPDP]],0)</f>
        <v>0</v>
      </c>
      <c r="EC40" s="132">
        <f>IFERROR(KH_26_OPT4_KTQT_v4[[#This Row],[DT-EXW-12]]*KH_26_OPT4_KTQT_v4[[#This Row],[%CPDP]],0)</f>
        <v>0</v>
      </c>
      <c r="ED40" s="131">
        <f ca="1">SUM(KH_26_OPT4_KTQT_v4[[#This Row],[CPDP-01]:[CPDP-12]])</f>
        <v>0</v>
      </c>
    </row>
    <row r="41" spans="1:134" ht="14.65" hidden="1" customHeight="1" x14ac:dyDescent="0.35">
      <c r="A41" s="18">
        <v>36</v>
      </c>
      <c r="B41" s="71" t="s">
        <v>115</v>
      </c>
      <c r="C41" s="18" t="str">
        <f>IFERROR(_xlfn.XLOOKUP(KH_26_OPT4_KTQT_v4[[#This Row],[Salesman]],MD_Salesman[Salesman],MD_Salesman[SalesManager]),"")</f>
        <v>Quốc Anh</v>
      </c>
      <c r="D41" s="72" t="str">
        <f>IFERROR(INDEX(MD_Customer[Mã khách],MATCH(KH_26_OPT4_KTQT_v4[[#This Row],[Tên khách]],MD_Customer[Tên khách-rút gọn],0)),"")</f>
        <v>200380</v>
      </c>
      <c r="E41" s="7" t="str">
        <f>IFERROR(INDEX(MD_Customer[Parent Account],MATCH(KH_26_OPT4_KTQT_v4[[#This Row],[Tên khách]],MD_Customer[Tên khách-rút gọn],0)),"")</f>
        <v>LION-ITOCHU</v>
      </c>
      <c r="F41" s="35" t="s">
        <v>294</v>
      </c>
      <c r="G41" s="7" t="str">
        <f>IFERROR(INDEX(MD_Customer[Phân loại],MATCH(KH_26_OPT4_KTQT_v4[[#This Row],[Tên khách]],MD_Customer[Tên khách-rút gọn],0)),"")</f>
        <v>Hiện hữu</v>
      </c>
      <c r="H41" s="7" t="str">
        <f>IFERROR(INDEX(MD_Customer[Kênh bán hàng],MATCH(KH_26_OPT4_KTQT_v4[[#This Row],[Tên khách]],MD_Customer[Tên khách-rút gọn],0)),"")</f>
        <v>Xuất khẩu</v>
      </c>
      <c r="I41" s="35" t="s">
        <v>295</v>
      </c>
      <c r="J41" s="7" t="str">
        <f>IFERROR(INDEX(MD_Destination[Nước],MATCH(KH_26_OPT4_KTQT_v4[[#This Row],[Địa điểm đến]],MD_Destination[Địa điểm đến],0)),"")</f>
        <v>Nhật</v>
      </c>
      <c r="K41" s="7" t="str">
        <f>IFERROR(INDEX(MD_Destination[Khu vực],MATCH(KH_26_OPT4_KTQT_v4[[#This Row],[Địa điểm đến]],MD_Destination[Địa điểm đến],0)),"")</f>
        <v>Châu Á</v>
      </c>
      <c r="L41" s="35" t="s">
        <v>278</v>
      </c>
      <c r="M41" s="7" t="str">
        <f>IFERROR(INDEX(MD_SKU[Mã SKU],MATCH(KH_26_OPT4_KTQT_v4[[#This Row],[Tên sản phẩm]],MD_SKU[Tên SKU-rút gọn],0)),"")</f>
        <v>110000355</v>
      </c>
      <c r="N41" s="35" t="s">
        <v>469</v>
      </c>
      <c r="O41" s="7" t="str">
        <f>IFERROR(INDEX(MD_SKU[Ngành hàng],MATCH(KH_26_OPT4_KTQT_v4[[#This Row],[Tên sản phẩm]],MD_SKU[Tên SKU-rút gọn],0)),"")</f>
        <v>rPET</v>
      </c>
      <c r="P41" s="7" t="str">
        <f>IFERROR(INDEX(MD_SKU[Nhóm ngành],MATCH(KH_26_OPT4_KTQT_v4[[#This Row],[Tên sản phẩm]],MD_SKU[Tên SKU-rút gọn],0)),"")</f>
        <v>Hạt PET</v>
      </c>
      <c r="Q41" s="7" t="str">
        <f>IFERROR(
   IF(INDEX(MD_SKU[IV/IM],MATCH(KH_26_OPT4_KTQT_v4[[#This Row],[Tên sản phẩm]],MD_SKU[Tên SKU-rút gọn],0))=0,
      "",
      INDEX(MD_SKU[IV/IM],MATCH(KH_26_OPT4_KTQT_v4[[#This Row],[Tên sản phẩm]],MD_SKU[Tên SKU-rút gọn],0))
   ),
"")</f>
        <v>0.80 ± 0.02</v>
      </c>
      <c r="R41" s="44">
        <f>IFERROR(INDEX(MD_SKU[Application],MATCH(KH_26_OPT4_KTQT_v4[[#This Row],[Tên sản phẩm]],MD_SKU[Tên SKU-rút gọn],0)),"")</f>
        <v>0</v>
      </c>
      <c r="S41" s="7" t="str">
        <f>IFERROR(INDEX(MD_SKU[Phân loại],MATCH(KH_26_OPT4_KTQT_v4[[#This Row],[Tên sản phẩm]],MD_SKU[Tên SKU-rút gọn],0)),"")</f>
        <v>Cũ</v>
      </c>
      <c r="T41" s="7" t="s">
        <v>124</v>
      </c>
      <c r="U41" s="7" t="s">
        <v>1508</v>
      </c>
      <c r="V41" s="70">
        <v>0.8</v>
      </c>
      <c r="W41" s="102"/>
      <c r="X41" s="102"/>
      <c r="Y41" s="102"/>
      <c r="Z41" s="102"/>
      <c r="AA41" s="102">
        <v>105</v>
      </c>
      <c r="AB41" s="102"/>
      <c r="AC41" s="102">
        <v>105</v>
      </c>
      <c r="AD41" s="102"/>
      <c r="AE41" s="102">
        <v>105</v>
      </c>
      <c r="AF41" s="102"/>
      <c r="AG41" s="102">
        <v>105</v>
      </c>
      <c r="AH41" s="102"/>
      <c r="AI41" s="154">
        <f ca="1">SUM(KH_26_OPT4_KTQT_v4[[#This Row],[SL-01]:[SL-12]])</f>
        <v>420</v>
      </c>
      <c r="AJ41" s="47">
        <f ca="1">SUMIFS(DB_25[SL-DB25],DB_25[Mã khách],KH_26_OPT4_KTQT_v4[[#This Row],[Mã khách]],DB_25[Mã sản phẩm],KH_26_OPT4_KTQT_v4[[#This Row],[Mã sản phẩm]])</f>
        <v>336</v>
      </c>
      <c r="AK41" s="20">
        <f ca="1">KH_26_OPT4_KTQT_v4[[#This Row],[SL-KH26]]-KH_26_OPT4_KTQT_v4[[#This Row],[SL-DB25]]</f>
        <v>84</v>
      </c>
      <c r="AL41" s="21">
        <f ca="1">IFERROR(KH_26_OPT4_KTQT_v4[[#This Row],[SL-+/-]]/KH_26_OPT4_KTQT_v4[[#This Row],[SL-DB25]],0)</f>
        <v>0.25</v>
      </c>
      <c r="AM41" s="51">
        <v>1200</v>
      </c>
      <c r="AN41" s="51">
        <v>1200</v>
      </c>
      <c r="AO41" s="51">
        <v>1200</v>
      </c>
      <c r="AP41" s="51">
        <v>1200</v>
      </c>
      <c r="AQ41" s="51">
        <v>1200</v>
      </c>
      <c r="AR41" s="51">
        <v>1200</v>
      </c>
      <c r="AS41" s="51">
        <v>1200</v>
      </c>
      <c r="AT41" s="51">
        <v>1200</v>
      </c>
      <c r="AU41" s="51">
        <v>1200</v>
      </c>
      <c r="AV41" s="51">
        <v>1200</v>
      </c>
      <c r="AW41" s="51">
        <v>1200</v>
      </c>
      <c r="AX41" s="51">
        <v>1200</v>
      </c>
      <c r="AY41" s="23">
        <v>1200</v>
      </c>
      <c r="AZ41" s="7"/>
      <c r="BA41" s="24">
        <f>KH_26_OPT4_KTQT_v4[[#This Row],[GB-DB25]]-KH_26_OPT4_KTQT_v4[[#This Row],[GB-KH25]]</f>
        <v>1200</v>
      </c>
      <c r="BB41" s="21">
        <f>IFERROR(KH_26_OPT4_KTQT_v4[[#This Row],[GB-+/-]]/KH_26_OPT4_KTQT_v4[[#This Row],[GB-KH25]],0)</f>
        <v>0</v>
      </c>
      <c r="BC41" s="21"/>
      <c r="BD41" s="47">
        <f>KH_26_OPT4_KTQT_v4[[#This Row],[SL-01]]*KH_26_OPT4_KTQT_v4[[#This Row],[GB-01]]*EXR</f>
        <v>0</v>
      </c>
      <c r="BE41" s="47">
        <f>KH_26_OPT4_KTQT_v4[[#This Row],[SL-02]]*KH_26_OPT4_KTQT_v4[[#This Row],[GB-02]]*EXR</f>
        <v>0</v>
      </c>
      <c r="BF41" s="47">
        <f>KH_26_OPT4_KTQT_v4[[#This Row],[SL-03]]*KH_26_OPT4_KTQT_v4[[#This Row],[GB-03]]*EXR</f>
        <v>0</v>
      </c>
      <c r="BG41" s="47">
        <f>KH_26_OPT4_KTQT_v4[[#This Row],[SL-04]]*KH_26_OPT4_KTQT_v4[[#This Row],[GB-04]]*EXR</f>
        <v>0</v>
      </c>
      <c r="BH41" s="47">
        <f>KH_26_OPT4_KTQT_v4[[#This Row],[SL-05]]*KH_26_OPT4_KTQT_v4[[#This Row],[GB-05]]*EXR</f>
        <v>3339000000</v>
      </c>
      <c r="BI41" s="47">
        <f>KH_26_OPT4_KTQT_v4[[#This Row],[SL-06]]*KH_26_OPT4_KTQT_v4[[#This Row],[GB-06]]*EXR</f>
        <v>0</v>
      </c>
      <c r="BJ41" s="47">
        <f>KH_26_OPT4_KTQT_v4[[#This Row],[SL-07]]*KH_26_OPT4_KTQT_v4[[#This Row],[GB-07]]*EXR</f>
        <v>3339000000</v>
      </c>
      <c r="BK41" s="47">
        <f>KH_26_OPT4_KTQT_v4[[#This Row],[SL-08]]*KH_26_OPT4_KTQT_v4[[#This Row],[GB-08]]*EXR</f>
        <v>0</v>
      </c>
      <c r="BL41" s="47">
        <f>KH_26_OPT4_KTQT_v4[[#This Row],[SL-09]]*KH_26_OPT4_KTQT_v4[[#This Row],[GB-09]]*EXR</f>
        <v>3339000000</v>
      </c>
      <c r="BM41" s="47">
        <f>KH_26_OPT4_KTQT_v4[[#This Row],[SL-10]]*KH_26_OPT4_KTQT_v4[[#This Row],[GB-10]]*EXR</f>
        <v>0</v>
      </c>
      <c r="BN41" s="47">
        <f>KH_26_OPT4_KTQT_v4[[#This Row],[SL-11]]*KH_26_OPT4_KTQT_v4[[#This Row],[GB-11]]*EXR</f>
        <v>3339000000</v>
      </c>
      <c r="BO41" s="47">
        <f>KH_26_OPT4_KTQT_v4[[#This Row],[SL-12]]*KH_26_OPT4_KTQT_v4[[#This Row],[GB-12]]*EXR</f>
        <v>0</v>
      </c>
      <c r="BP41" s="47">
        <f ca="1">SUM(KH_26_OPT4_KTQT_v4[[#This Row],[DT-EXW-01]:[DT-EXW-12]])</f>
        <v>13356000000</v>
      </c>
      <c r="BQ41" s="47">
        <f ca="1">SUMIFS(DB_25[DT-DB25],DB_25[Mã khách],KH_26_OPT4_KTQT_v4[[#This Row],[Mã khách]],DB_25[Mã sản phẩm],KH_26_OPT4_KTQT_v4[[#This Row],[Mã sản phẩm]])</f>
        <v>6831090793.3387585</v>
      </c>
      <c r="BR41" s="47">
        <f ca="1">KH_26_OPT4_KTQT_v4[[#This Row],[DT-EXW-KH26]]-KH_26_OPT4_KTQT_v4[[#This Row],[DT-EXW-DB25]]</f>
        <v>6524909206.6612415</v>
      </c>
      <c r="BS41" s="21">
        <f ca="1">IFERROR(KH_26_OPT4_KTQT_v4[[#This Row],[DT-EXW-+/-]]/KH_26_OPT4_KTQT_v4[[#This Row],[DT-EXW-DB25]],0)</f>
        <v>0.95517822907930228</v>
      </c>
      <c r="BT41" s="139"/>
      <c r="BU41" s="57"/>
      <c r="BV41" s="51"/>
      <c r="BW41" s="47">
        <f>IF(KH_26_OPT4_KTQT_v4[[#This Row],[CPHH-%-SL]]="Dthu",KH_26_OPT4_KTQT_v4[[#This Row],[%HH]]*KH_26_OPT4_KTQT_v4[[#This Row],[DT-EXW-01]],KH_26_OPT4_KTQT_v4[[#This Row],[HH-SL]]*KH_26_OPT4_KTQT_v4[[#This Row],[SL-01]])</f>
        <v>0</v>
      </c>
      <c r="BX41" s="47">
        <f>IF(KH_26_OPT4_KTQT_v4[[#This Row],[CPHH-%-SL]]="Dthu",KH_26_OPT4_KTQT_v4[[#This Row],[%HH]]*KH_26_OPT4_KTQT_v4[[#This Row],[DT-EXW-02]],KH_26_OPT4_KTQT_v4[[#This Row],[HH-SL]]*KH_26_OPT4_KTQT_v4[[#This Row],[SL-02]])</f>
        <v>0</v>
      </c>
      <c r="BY41" s="47">
        <f>IF(KH_26_OPT4_KTQT_v4[[#This Row],[CPHH-%-SL]]="Dthu",KH_26_OPT4_KTQT_v4[[#This Row],[%HH]]*KH_26_OPT4_KTQT_v4[[#This Row],[DT-EXW-03]],KH_26_OPT4_KTQT_v4[[#This Row],[HH-SL]]*KH_26_OPT4_KTQT_v4[[#This Row],[SL-03]])</f>
        <v>0</v>
      </c>
      <c r="BZ41" s="47">
        <f>IF(KH_26_OPT4_KTQT_v4[[#This Row],[CPHH-%-SL]]="Dthu",KH_26_OPT4_KTQT_v4[[#This Row],[%HH]]*KH_26_OPT4_KTQT_v4[[#This Row],[DT-EXW-04]],KH_26_OPT4_KTQT_v4[[#This Row],[HH-SL]]*KH_26_OPT4_KTQT_v4[[#This Row],[SL-04]])</f>
        <v>0</v>
      </c>
      <c r="CA41" s="47">
        <f>IF(KH_26_OPT4_KTQT_v4[[#This Row],[CPHH-%-SL]]="Dthu",KH_26_OPT4_KTQT_v4[[#This Row],[%HH]]*KH_26_OPT4_KTQT_v4[[#This Row],[DT-EXW-05]],KH_26_OPT4_KTQT_v4[[#This Row],[HH-SL]]*KH_26_OPT4_KTQT_v4[[#This Row],[SL-05]])</f>
        <v>0</v>
      </c>
      <c r="CB41" s="47">
        <f>IF(KH_26_OPT4_KTQT_v4[[#This Row],[CPHH-%-SL]]="Dthu",KH_26_OPT4_KTQT_v4[[#This Row],[%HH]]*KH_26_OPT4_KTQT_v4[[#This Row],[DT-EXW-06]],KH_26_OPT4_KTQT_v4[[#This Row],[HH-SL]]*KH_26_OPT4_KTQT_v4[[#This Row],[SL-06]])</f>
        <v>0</v>
      </c>
      <c r="CC41" s="47">
        <f>IF(KH_26_OPT4_KTQT_v4[[#This Row],[CPHH-%-SL]]="Dthu",KH_26_OPT4_KTQT_v4[[#This Row],[%HH]]*KH_26_OPT4_KTQT_v4[[#This Row],[DT-EXW-07]],KH_26_OPT4_KTQT_v4[[#This Row],[HH-SL]]*KH_26_OPT4_KTQT_v4[[#This Row],[SL-07]])</f>
        <v>0</v>
      </c>
      <c r="CD41" s="47">
        <f>IF(KH_26_OPT4_KTQT_v4[[#This Row],[CPHH-%-SL]]="Dthu",KH_26_OPT4_KTQT_v4[[#This Row],[%HH]]*KH_26_OPT4_KTQT_v4[[#This Row],[DT-EXW-08]],KH_26_OPT4_KTQT_v4[[#This Row],[HH-SL]]*KH_26_OPT4_KTQT_v4[[#This Row],[SL-08]])</f>
        <v>0</v>
      </c>
      <c r="CE41" s="47">
        <f>IF(KH_26_OPT4_KTQT_v4[[#This Row],[CPHH-%-SL]]="Dthu",KH_26_OPT4_KTQT_v4[[#This Row],[%HH]]*KH_26_OPT4_KTQT_v4[[#This Row],[DT-EXW-09]],KH_26_OPT4_KTQT_v4[[#This Row],[HH-SL]]*KH_26_OPT4_KTQT_v4[[#This Row],[SL-09]])</f>
        <v>0</v>
      </c>
      <c r="CF41" s="47">
        <f>IF(KH_26_OPT4_KTQT_v4[[#This Row],[CPHH-%-SL]]="Dthu",KH_26_OPT4_KTQT_v4[[#This Row],[%HH]]*KH_26_OPT4_KTQT_v4[[#This Row],[DT-EXW-10]],KH_26_OPT4_KTQT_v4[[#This Row],[HH-SL]]*KH_26_OPT4_KTQT_v4[[#This Row],[SL-10]])</f>
        <v>0</v>
      </c>
      <c r="CG41" s="47">
        <f>IF(KH_26_OPT4_KTQT_v4[[#This Row],[CPHH-%-SL]]="Dthu",KH_26_OPT4_KTQT_v4[[#This Row],[%HH]]*KH_26_OPT4_KTQT_v4[[#This Row],[DT-EXW-11]],KH_26_OPT4_KTQT_v4[[#This Row],[HH-SL]]*KH_26_OPT4_KTQT_v4[[#This Row],[SL-11]])</f>
        <v>0</v>
      </c>
      <c r="CH41" s="47">
        <f>IF(KH_26_OPT4_KTQT_v4[[#This Row],[CPHH-%-SL]]="Dthu",KH_26_OPT4_KTQT_v4[[#This Row],[%HH]]*KH_26_OPT4_KTQT_v4[[#This Row],[DT-EXW-12]],KH_26_OPT4_KTQT_v4[[#This Row],[HH-SL]]*KH_26_OPT4_KTQT_v4[[#This Row],[SL-12]])</f>
        <v>0</v>
      </c>
      <c r="CI41" s="47">
        <f ca="1">SUM(KH_26_OPT4_KTQT_v4[[#This Row],[CPHH-01]:[CPHH-12]])</f>
        <v>0</v>
      </c>
      <c r="CJ41" s="47" cm="1">
        <f t="array" ref="CJ41">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41" s="19">
        <f ca="1">SUM(KH_26_OPT4_KTQT_v4[[#This Row],[ĐGVCNĐ-KXK]:[ĐGVCCT-KXK]])</f>
        <v>530000</v>
      </c>
      <c r="CL41" s="47" cm="1">
        <f t="array" ref="CL41">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530000</v>
      </c>
      <c r="CM41" s="47" cm="1">
        <f t="array" ref="CM41">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41" s="47">
        <f ca="1">(KH_26_OPT4_KTQT_v4[[#This Row],[ĐGVC-KNĐ]]+KH_26_OPT4_KTQT_v4[[#This Row],[ĐGVC-KXK]])*KH_26_OPT4_KTQT_v4[[#This Row],[SL-01]]</f>
        <v>0</v>
      </c>
      <c r="CO41" s="47">
        <f ca="1">(KH_26_OPT4_KTQT_v4[[#This Row],[ĐGVC-KNĐ]]+KH_26_OPT4_KTQT_v4[[#This Row],[ĐGVC-KXK]])*KH_26_OPT4_KTQT_v4[[#This Row],[SL-02]]</f>
        <v>0</v>
      </c>
      <c r="CP41" s="47">
        <f ca="1">(KH_26_OPT4_KTQT_v4[[#This Row],[ĐGVC-KNĐ]]+KH_26_OPT4_KTQT_v4[[#This Row],[ĐGVC-KXK]])*KH_26_OPT4_KTQT_v4[[#This Row],[SL-03]]</f>
        <v>0</v>
      </c>
      <c r="CQ41" s="47">
        <f ca="1">(KH_26_OPT4_KTQT_v4[[#This Row],[ĐGVC-KNĐ]]+KH_26_OPT4_KTQT_v4[[#This Row],[ĐGVC-KXK]])*KH_26_OPT4_KTQT_v4[[#This Row],[SL-04]]</f>
        <v>0</v>
      </c>
      <c r="CR41" s="47">
        <f ca="1">(KH_26_OPT4_KTQT_v4[[#This Row],[ĐGVC-KNĐ]]+KH_26_OPT4_KTQT_v4[[#This Row],[ĐGVC-KXK]])*KH_26_OPT4_KTQT_v4[[#This Row],[SL-05]]</f>
        <v>55650000</v>
      </c>
      <c r="CS41" s="47">
        <f ca="1">(KH_26_OPT4_KTQT_v4[[#This Row],[ĐGVC-KNĐ]]+KH_26_OPT4_KTQT_v4[[#This Row],[ĐGVC-KXK]])*KH_26_OPT4_KTQT_v4[[#This Row],[SL-06]]</f>
        <v>0</v>
      </c>
      <c r="CT41" s="47">
        <f ca="1">(KH_26_OPT4_KTQT_v4[[#This Row],[ĐGVC-KNĐ]]+KH_26_OPT4_KTQT_v4[[#This Row],[ĐGVC-KXK]])*KH_26_OPT4_KTQT_v4[[#This Row],[SL-07]]</f>
        <v>55650000</v>
      </c>
      <c r="CU41" s="47">
        <f ca="1">(KH_26_OPT4_KTQT_v4[[#This Row],[ĐGVC-KNĐ]]+KH_26_OPT4_KTQT_v4[[#This Row],[ĐGVC-KXK]])*KH_26_OPT4_KTQT_v4[[#This Row],[SL-08]]</f>
        <v>0</v>
      </c>
      <c r="CV41" s="47">
        <f ca="1">(KH_26_OPT4_KTQT_v4[[#This Row],[ĐGVC-KNĐ]]+KH_26_OPT4_KTQT_v4[[#This Row],[ĐGVC-KXK]])*KH_26_OPT4_KTQT_v4[[#This Row],[SL-09]]</f>
        <v>55650000</v>
      </c>
      <c r="CW41" s="47">
        <f ca="1">(KH_26_OPT4_KTQT_v4[[#This Row],[ĐGVC-KNĐ]]+KH_26_OPT4_KTQT_v4[[#This Row],[ĐGVC-KXK]])*KH_26_OPT4_KTQT_v4[[#This Row],[SL-10]]</f>
        <v>0</v>
      </c>
      <c r="CX41" s="47">
        <f ca="1">(KH_26_OPT4_KTQT_v4[[#This Row],[ĐGVC-KNĐ]]+KH_26_OPT4_KTQT_v4[[#This Row],[ĐGVC-KXK]])*KH_26_OPT4_KTQT_v4[[#This Row],[SL-11]]</f>
        <v>55650000</v>
      </c>
      <c r="CY41" s="47">
        <f ca="1">(KH_26_OPT4_KTQT_v4[[#This Row],[ĐGVC-KNĐ]]+KH_26_OPT4_KTQT_v4[[#This Row],[ĐGVC-KXK]])*KH_26_OPT4_KTQT_v4[[#This Row],[SL-12]]</f>
        <v>0</v>
      </c>
      <c r="CZ41" s="47">
        <f ca="1">SUM(KH_26_OPT4_KTQT_v4[[#This Row],[CPVC-01]:[CPVC-12]])</f>
        <v>222600000</v>
      </c>
      <c r="DA41" s="124">
        <f ca="1">KH_26_OPT4_KTQT_v4[[#This Row],[DT-EXW-01]]+KH_26_OPT4_KTQT_v4[[#This Row],[CPVC-01]]+KH_26_OPT4_KTQT_v4[[#This Row],[CPHH-01]]</f>
        <v>0</v>
      </c>
      <c r="DB41" s="47">
        <f ca="1">KH_26_OPT4_KTQT_v4[[#This Row],[DT-EXW-02]]+KH_26_OPT4_KTQT_v4[[#This Row],[CPVC-02]]+KH_26_OPT4_KTQT_v4[[#This Row],[CPHH-02]]</f>
        <v>0</v>
      </c>
      <c r="DC41" s="47">
        <f ca="1">KH_26_OPT4_KTQT_v4[[#This Row],[DT-EXW-03]]+KH_26_OPT4_KTQT_v4[[#This Row],[CPVC-03]]+KH_26_OPT4_KTQT_v4[[#This Row],[CPHH-03]]</f>
        <v>0</v>
      </c>
      <c r="DD41" s="47">
        <f ca="1">KH_26_OPT4_KTQT_v4[[#This Row],[DT-EXW-04]]+KH_26_OPT4_KTQT_v4[[#This Row],[CPVC-04]]+KH_26_OPT4_KTQT_v4[[#This Row],[CPHH-04]]</f>
        <v>0</v>
      </c>
      <c r="DE41" s="47">
        <f ca="1">KH_26_OPT4_KTQT_v4[[#This Row],[DT-EXW-05]]+KH_26_OPT4_KTQT_v4[[#This Row],[CPVC-05]]+KH_26_OPT4_KTQT_v4[[#This Row],[CPHH-05]]</f>
        <v>3394650000</v>
      </c>
      <c r="DF41" s="47">
        <f ca="1">KH_26_OPT4_KTQT_v4[[#This Row],[DT-EXW-06]]+KH_26_OPT4_KTQT_v4[[#This Row],[CPVC-06]]+KH_26_OPT4_KTQT_v4[[#This Row],[CPHH-06]]</f>
        <v>0</v>
      </c>
      <c r="DG41" s="47">
        <f ca="1">KH_26_OPT4_KTQT_v4[[#This Row],[DT-EXW-07]]+KH_26_OPT4_KTQT_v4[[#This Row],[CPVC-07]]+KH_26_OPT4_KTQT_v4[[#This Row],[CPHH-07]]</f>
        <v>3394650000</v>
      </c>
      <c r="DH41" s="47">
        <f ca="1">KH_26_OPT4_KTQT_v4[[#This Row],[DT-EXW-08]]+KH_26_OPT4_KTQT_v4[[#This Row],[CPVC-08]]+KH_26_OPT4_KTQT_v4[[#This Row],[CPHH-08]]</f>
        <v>0</v>
      </c>
      <c r="DI41" s="47">
        <f ca="1">KH_26_OPT4_KTQT_v4[[#This Row],[DT-EXW-09]]+KH_26_OPT4_KTQT_v4[[#This Row],[CPVC-09]]+KH_26_OPT4_KTQT_v4[[#This Row],[CPHH-09]]</f>
        <v>3394650000</v>
      </c>
      <c r="DJ41" s="47">
        <f ca="1">KH_26_OPT4_KTQT_v4[[#This Row],[DT-EXW-10]]+KH_26_OPT4_KTQT_v4[[#This Row],[CPVC-10]]+KH_26_OPT4_KTQT_v4[[#This Row],[CPHH-10]]</f>
        <v>0</v>
      </c>
      <c r="DK41" s="47">
        <f ca="1">KH_26_OPT4_KTQT_v4[[#This Row],[DT-EXW-11]]+KH_26_OPT4_KTQT_v4[[#This Row],[CPVC-11]]+KH_26_OPT4_KTQT_v4[[#This Row],[CPHH-11]]</f>
        <v>3394650000</v>
      </c>
      <c r="DL41" s="47">
        <f ca="1">KH_26_OPT4_KTQT_v4[[#This Row],[DT-EXW-12]]+KH_26_OPT4_KTQT_v4[[#This Row],[CPVC-12]]+KH_26_OPT4_KTQT_v4[[#This Row],[CPHH-12]]</f>
        <v>0</v>
      </c>
      <c r="DM41" s="47">
        <f ca="1">SUM(KH_26_OPT4_KTQT_v4[[#This Row],[DT-01]:[DT-12]])</f>
        <v>13578600000</v>
      </c>
      <c r="DN41" s="7"/>
      <c r="DO41" s="7"/>
      <c r="DP41" s="125"/>
      <c r="DQ41" s="136"/>
      <c r="DR41" s="132">
        <f>IFERROR(KH_26_OPT4_KTQT_v4[[#This Row],[DT-EXW-01]]*KH_26_OPT4_KTQT_v4[[#This Row],[%CPDP]],0)</f>
        <v>0</v>
      </c>
      <c r="DS41" s="132">
        <f>IFERROR(KH_26_OPT4_KTQT_v4[[#This Row],[DT-EXW-02]]*KH_26_OPT4_KTQT_v4[[#This Row],[%CPDP]],0)</f>
        <v>0</v>
      </c>
      <c r="DT41" s="132">
        <f>IFERROR(KH_26_OPT4_KTQT_v4[[#This Row],[DT-EXW-03]]*KH_26_OPT4_KTQT_v4[[#This Row],[%CPDP]],0)</f>
        <v>0</v>
      </c>
      <c r="DU41" s="132">
        <f>IFERROR(KH_26_OPT4_KTQT_v4[[#This Row],[DT-EXW-04]]*KH_26_OPT4_KTQT_v4[[#This Row],[%CPDP]],0)</f>
        <v>0</v>
      </c>
      <c r="DV41" s="132">
        <f>IFERROR(KH_26_OPT4_KTQT_v4[[#This Row],[DT-EXW-05]]*KH_26_OPT4_KTQT_v4[[#This Row],[%CPDP]],0)</f>
        <v>0</v>
      </c>
      <c r="DW41" s="132">
        <f>IFERROR(KH_26_OPT4_KTQT_v4[[#This Row],[DT-EXW-06]]*KH_26_OPT4_KTQT_v4[[#This Row],[%CPDP]],0)</f>
        <v>0</v>
      </c>
      <c r="DX41" s="132">
        <f>IFERROR(KH_26_OPT4_KTQT_v4[[#This Row],[DT-EXW-07]]*KH_26_OPT4_KTQT_v4[[#This Row],[%CPDP]],0)</f>
        <v>0</v>
      </c>
      <c r="DY41" s="132">
        <f>IFERROR(KH_26_OPT4_KTQT_v4[[#This Row],[DT-EXW-08]]*KH_26_OPT4_KTQT_v4[[#This Row],[%CPDP]],0)</f>
        <v>0</v>
      </c>
      <c r="DZ41" s="132">
        <f>IFERROR(KH_26_OPT4_KTQT_v4[[#This Row],[DT-EXW-09]]*KH_26_OPT4_KTQT_v4[[#This Row],[%CPDP]],0)</f>
        <v>0</v>
      </c>
      <c r="EA41" s="132">
        <f>IFERROR(KH_26_OPT4_KTQT_v4[[#This Row],[DT-EXW-10]]*KH_26_OPT4_KTQT_v4[[#This Row],[%CPDP]],0)</f>
        <v>0</v>
      </c>
      <c r="EB41" s="132">
        <f>IFERROR(KH_26_OPT4_KTQT_v4[[#This Row],[DT-EXW-11]]*KH_26_OPT4_KTQT_v4[[#This Row],[%CPDP]],0)</f>
        <v>0</v>
      </c>
      <c r="EC41" s="132">
        <f>IFERROR(KH_26_OPT4_KTQT_v4[[#This Row],[DT-EXW-12]]*KH_26_OPT4_KTQT_v4[[#This Row],[%CPDP]],0)</f>
        <v>0</v>
      </c>
      <c r="ED41" s="131">
        <f ca="1">SUM(KH_26_OPT4_KTQT_v4[[#This Row],[CPDP-01]:[CPDP-12]])</f>
        <v>0</v>
      </c>
    </row>
    <row r="42" spans="1:134" ht="14.65" hidden="1" customHeight="1" x14ac:dyDescent="0.35">
      <c r="A42" s="18">
        <v>37</v>
      </c>
      <c r="B42" s="71" t="s">
        <v>95</v>
      </c>
      <c r="C42" s="18" t="str">
        <f>IFERROR(_xlfn.XLOOKUP(KH_26_OPT4_KTQT_v4[[#This Row],[Salesman]],MD_Salesman[Salesman],MD_Salesman[SalesManager]),"")</f>
        <v>Cường</v>
      </c>
      <c r="D42" s="72" t="str">
        <f>IFERROR(INDEX(MD_Customer[Mã khách],MATCH(KH_26_OPT4_KTQT_v4[[#This Row],[Tên khách]],MD_Customer[Tên khách-rút gọn],0)),"")</f>
        <v>200370</v>
      </c>
      <c r="E42" s="7" t="str">
        <f>IFERROR(INDEX(MD_Customer[Parent Account],MATCH(KH_26_OPT4_KTQT_v4[[#This Row],[Tên khách]],MD_Customer[Tên khách-rút gọn],0)),"")</f>
        <v>KORYFES SA</v>
      </c>
      <c r="F42" s="35" t="s">
        <v>46</v>
      </c>
      <c r="G42" s="7" t="str">
        <f>IFERROR(INDEX(MD_Customer[Phân loại],MATCH(KH_26_OPT4_KTQT_v4[[#This Row],[Tên khách]],MD_Customer[Tên khách-rút gọn],0)),"")</f>
        <v>Hiện hữu</v>
      </c>
      <c r="H42" s="7" t="str">
        <f>IFERROR(INDEX(MD_Customer[Kênh bán hàng],MATCH(KH_26_OPT4_KTQT_v4[[#This Row],[Tên khách]],MD_Customer[Tên khách-rút gọn],0)),"")</f>
        <v>Xuất khẩu</v>
      </c>
      <c r="I42" s="35" t="s">
        <v>297</v>
      </c>
      <c r="J42" s="7" t="str">
        <f>IFERROR(INDEX(MD_Destination[Nước],MATCH(KH_26_OPT4_KTQT_v4[[#This Row],[Địa điểm đến]],MD_Destination[Địa điểm đến],0)),"")</f>
        <v>Bỉ</v>
      </c>
      <c r="K42" s="7" t="str">
        <f>IFERROR(INDEX(MD_Destination[Khu vực],MATCH(KH_26_OPT4_KTQT_v4[[#This Row],[Địa điểm đến]],MD_Destination[Địa điểm đến],0)),"")</f>
        <v>Châu Âu</v>
      </c>
      <c r="L42" s="35" t="s">
        <v>293</v>
      </c>
      <c r="M42" s="7" t="str">
        <f>IFERROR(INDEX(MD_SKU[Mã SKU],MATCH(KH_26_OPT4_KTQT_v4[[#This Row],[Tên sản phẩm]],MD_SKU[Tên SKU-rút gọn],0)),"")</f>
        <v>110000443</v>
      </c>
      <c r="N42" s="35" t="s">
        <v>504</v>
      </c>
      <c r="O42" s="7" t="str">
        <f>IFERROR(INDEX(MD_SKU[Ngành hàng],MATCH(KH_26_OPT4_KTQT_v4[[#This Row],[Tên sản phẩm]],MD_SKU[Tên SKU-rút gọn],0)),"")</f>
        <v>rHDPE thổi</v>
      </c>
      <c r="P42" s="7" t="str">
        <f>IFERROR(INDEX(MD_SKU[Nhóm ngành],MATCH(KH_26_OPT4_KTQT_v4[[#This Row],[Tên sản phẩm]],MD_SKU[Tên SKU-rút gọn],0)),"")</f>
        <v>Hạt HD thổi</v>
      </c>
      <c r="Q42" s="7" t="str">
        <f>IFERROR(
   IF(INDEX(MD_SKU[IV/IM],MATCH(KH_26_OPT4_KTQT_v4[[#This Row],[Tên sản phẩm]],MD_SKU[Tên SKU-rút gọn],0))=0,
      "",
      INDEX(MD_SKU[IV/IM],MATCH(KH_26_OPT4_KTQT_v4[[#This Row],[Tên sản phẩm]],MD_SKU[Tên SKU-rút gọn],0))
   ),
"")</f>
        <v/>
      </c>
      <c r="R42" s="44" t="str">
        <f>IFERROR(INDEX(MD_SKU[Application],MATCH(KH_26_OPT4_KTQT_v4[[#This Row],[Tên sản phẩm]],MD_SKU[Tên SKU-rút gọn],0)),"")</f>
        <v>THỔI CHAI</v>
      </c>
      <c r="S42" s="7" t="str">
        <f>IFERROR(INDEX(MD_SKU[Phân loại],MATCH(KH_26_OPT4_KTQT_v4[[#This Row],[Tên sản phẩm]],MD_SKU[Tên SKU-rút gọn],0)),"")</f>
        <v>Cũ</v>
      </c>
      <c r="T42" s="7" t="s">
        <v>46</v>
      </c>
      <c r="U42" s="7" t="s">
        <v>1508</v>
      </c>
      <c r="V42" s="70">
        <v>0.8</v>
      </c>
      <c r="W42" s="33"/>
      <c r="X42" s="33"/>
      <c r="Y42" s="33">
        <v>99</v>
      </c>
      <c r="Z42" s="33"/>
      <c r="AA42" s="33"/>
      <c r="AB42" s="33">
        <v>99</v>
      </c>
      <c r="AC42" s="33"/>
      <c r="AD42" s="33"/>
      <c r="AE42" s="33">
        <v>99</v>
      </c>
      <c r="AF42" s="33"/>
      <c r="AG42" s="33"/>
      <c r="AH42" s="33">
        <v>99</v>
      </c>
      <c r="AI42" s="47">
        <f ca="1">SUM(KH_26_OPT4_KTQT_v4[[#This Row],[SL-01]:[SL-12]])</f>
        <v>396</v>
      </c>
      <c r="AJ42" s="47">
        <f ca="1">SUMIFS(DB_25[SL-DB25],DB_25[Mã khách],KH_26_OPT4_KTQT_v4[[#This Row],[Mã khách]],DB_25[Mã sản phẩm],KH_26_OPT4_KTQT_v4[[#This Row],[Mã sản phẩm]])</f>
        <v>297</v>
      </c>
      <c r="AK42" s="20">
        <f ca="1">KH_26_OPT4_KTQT_v4[[#This Row],[SL-KH26]]-KH_26_OPT4_KTQT_v4[[#This Row],[SL-DB25]]</f>
        <v>99</v>
      </c>
      <c r="AL42" s="21">
        <f ca="1">IFERROR(KH_26_OPT4_KTQT_v4[[#This Row],[SL-+/-]]/KH_26_OPT4_KTQT_v4[[#This Row],[SL-DB25]],0)</f>
        <v>0.33333333333333331</v>
      </c>
      <c r="AM42" s="51">
        <v>1260</v>
      </c>
      <c r="AN42" s="51">
        <v>1241</v>
      </c>
      <c r="AO42" s="51">
        <v>1222</v>
      </c>
      <c r="AP42" s="51">
        <v>1203</v>
      </c>
      <c r="AQ42" s="51">
        <v>1184</v>
      </c>
      <c r="AR42" s="51">
        <v>1165</v>
      </c>
      <c r="AS42" s="51">
        <v>1146</v>
      </c>
      <c r="AT42" s="51">
        <v>1127</v>
      </c>
      <c r="AU42" s="51">
        <v>1108</v>
      </c>
      <c r="AV42" s="51">
        <v>1089</v>
      </c>
      <c r="AW42" s="51">
        <v>1070</v>
      </c>
      <c r="AX42" s="51">
        <v>1051</v>
      </c>
      <c r="AY42" s="23">
        <v>1155.5</v>
      </c>
      <c r="AZ42" s="7"/>
      <c r="BA42" s="24">
        <f>KH_26_OPT4_KTQT_v4[[#This Row],[GB-DB25]]-KH_26_OPT4_KTQT_v4[[#This Row],[GB-KH25]]</f>
        <v>1155.5</v>
      </c>
      <c r="BB42" s="21">
        <f>IFERROR(KH_26_OPT4_KTQT_v4[[#This Row],[GB-+/-]]/KH_26_OPT4_KTQT_v4[[#This Row],[GB-KH25]],0)</f>
        <v>0</v>
      </c>
      <c r="BC42" s="21"/>
      <c r="BD42" s="47">
        <f>KH_26_OPT4_KTQT_v4[[#This Row],[SL-01]]*KH_26_OPT4_KTQT_v4[[#This Row],[GB-01]]*EXR</f>
        <v>0</v>
      </c>
      <c r="BE42" s="47">
        <f>KH_26_OPT4_KTQT_v4[[#This Row],[SL-02]]*KH_26_OPT4_KTQT_v4[[#This Row],[GB-02]]*EXR</f>
        <v>0</v>
      </c>
      <c r="BF42" s="47">
        <f>KH_26_OPT4_KTQT_v4[[#This Row],[SL-03]]*KH_26_OPT4_KTQT_v4[[#This Row],[GB-03]]*EXR</f>
        <v>3205917000</v>
      </c>
      <c r="BG42" s="47">
        <f>KH_26_OPT4_KTQT_v4[[#This Row],[SL-04]]*KH_26_OPT4_KTQT_v4[[#This Row],[GB-04]]*EXR</f>
        <v>0</v>
      </c>
      <c r="BH42" s="47">
        <f>KH_26_OPT4_KTQT_v4[[#This Row],[SL-05]]*KH_26_OPT4_KTQT_v4[[#This Row],[GB-05]]*EXR</f>
        <v>0</v>
      </c>
      <c r="BI42" s="47">
        <f>KH_26_OPT4_KTQT_v4[[#This Row],[SL-06]]*KH_26_OPT4_KTQT_v4[[#This Row],[GB-06]]*EXR</f>
        <v>3056377500</v>
      </c>
      <c r="BJ42" s="47">
        <f>KH_26_OPT4_KTQT_v4[[#This Row],[SL-07]]*KH_26_OPT4_KTQT_v4[[#This Row],[GB-07]]*EXR</f>
        <v>0</v>
      </c>
      <c r="BK42" s="47">
        <f>KH_26_OPT4_KTQT_v4[[#This Row],[SL-08]]*KH_26_OPT4_KTQT_v4[[#This Row],[GB-08]]*EXR</f>
        <v>0</v>
      </c>
      <c r="BL42" s="47">
        <f>KH_26_OPT4_KTQT_v4[[#This Row],[SL-09]]*KH_26_OPT4_KTQT_v4[[#This Row],[GB-09]]*EXR</f>
        <v>2906838000</v>
      </c>
      <c r="BM42" s="47">
        <f>KH_26_OPT4_KTQT_v4[[#This Row],[SL-10]]*KH_26_OPT4_KTQT_v4[[#This Row],[GB-10]]*EXR</f>
        <v>0</v>
      </c>
      <c r="BN42" s="47">
        <f>KH_26_OPT4_KTQT_v4[[#This Row],[SL-11]]*KH_26_OPT4_KTQT_v4[[#This Row],[GB-11]]*EXR</f>
        <v>0</v>
      </c>
      <c r="BO42" s="47">
        <f>KH_26_OPT4_KTQT_v4[[#This Row],[SL-12]]*KH_26_OPT4_KTQT_v4[[#This Row],[GB-12]]*EXR</f>
        <v>2757298500</v>
      </c>
      <c r="BP42" s="47">
        <f ca="1">SUM(KH_26_OPT4_KTQT_v4[[#This Row],[DT-EXW-01]:[DT-EXW-12]])</f>
        <v>11926431000</v>
      </c>
      <c r="BQ42" s="47">
        <f ca="1">SUMIFS(DB_25[DT-DB25],DB_25[Mã khách],KH_26_OPT4_KTQT_v4[[#This Row],[Mã khách]],DB_25[Mã sản phẩm],KH_26_OPT4_KTQT_v4[[#This Row],[Mã sản phẩm]])</f>
        <v>6952224970.9989347</v>
      </c>
      <c r="BR42" s="47">
        <f ca="1">KH_26_OPT4_KTQT_v4[[#This Row],[DT-EXW-KH26]]-KH_26_OPT4_KTQT_v4[[#This Row],[DT-EXW-DB25]]</f>
        <v>4974206029.0010653</v>
      </c>
      <c r="BS42" s="21">
        <f ca="1">IFERROR(KH_26_OPT4_KTQT_v4[[#This Row],[DT-EXW-+/-]]/KH_26_OPT4_KTQT_v4[[#This Row],[DT-EXW-DB25]],0)</f>
        <v>0.71548404284252376</v>
      </c>
      <c r="BT42" s="139"/>
      <c r="BU42" s="57"/>
      <c r="BV42" s="51"/>
      <c r="BW42" s="47">
        <f>IF(KH_26_OPT4_KTQT_v4[[#This Row],[CPHH-%-SL]]="Dthu",KH_26_OPT4_KTQT_v4[[#This Row],[%HH]]*KH_26_OPT4_KTQT_v4[[#This Row],[DT-EXW-01]],KH_26_OPT4_KTQT_v4[[#This Row],[HH-SL]]*KH_26_OPT4_KTQT_v4[[#This Row],[SL-01]])</f>
        <v>0</v>
      </c>
      <c r="BX42" s="47">
        <f>IF(KH_26_OPT4_KTQT_v4[[#This Row],[CPHH-%-SL]]="Dthu",KH_26_OPT4_KTQT_v4[[#This Row],[%HH]]*KH_26_OPT4_KTQT_v4[[#This Row],[DT-EXW-02]],KH_26_OPT4_KTQT_v4[[#This Row],[HH-SL]]*KH_26_OPT4_KTQT_v4[[#This Row],[SL-02]])</f>
        <v>0</v>
      </c>
      <c r="BY42" s="47">
        <f>IF(KH_26_OPT4_KTQT_v4[[#This Row],[CPHH-%-SL]]="Dthu",KH_26_OPT4_KTQT_v4[[#This Row],[%HH]]*KH_26_OPT4_KTQT_v4[[#This Row],[DT-EXW-03]],KH_26_OPT4_KTQT_v4[[#This Row],[HH-SL]]*KH_26_OPT4_KTQT_v4[[#This Row],[SL-03]])</f>
        <v>0</v>
      </c>
      <c r="BZ42" s="47">
        <f>IF(KH_26_OPT4_KTQT_v4[[#This Row],[CPHH-%-SL]]="Dthu",KH_26_OPT4_KTQT_v4[[#This Row],[%HH]]*KH_26_OPT4_KTQT_v4[[#This Row],[DT-EXW-04]],KH_26_OPT4_KTQT_v4[[#This Row],[HH-SL]]*KH_26_OPT4_KTQT_v4[[#This Row],[SL-04]])</f>
        <v>0</v>
      </c>
      <c r="CA42" s="47">
        <f>IF(KH_26_OPT4_KTQT_v4[[#This Row],[CPHH-%-SL]]="Dthu",KH_26_OPT4_KTQT_v4[[#This Row],[%HH]]*KH_26_OPT4_KTQT_v4[[#This Row],[DT-EXW-05]],KH_26_OPT4_KTQT_v4[[#This Row],[HH-SL]]*KH_26_OPT4_KTQT_v4[[#This Row],[SL-05]])</f>
        <v>0</v>
      </c>
      <c r="CB42" s="47">
        <f>IF(KH_26_OPT4_KTQT_v4[[#This Row],[CPHH-%-SL]]="Dthu",KH_26_OPT4_KTQT_v4[[#This Row],[%HH]]*KH_26_OPT4_KTQT_v4[[#This Row],[DT-EXW-06]],KH_26_OPT4_KTQT_v4[[#This Row],[HH-SL]]*KH_26_OPT4_KTQT_v4[[#This Row],[SL-06]])</f>
        <v>0</v>
      </c>
      <c r="CC42" s="47">
        <f>IF(KH_26_OPT4_KTQT_v4[[#This Row],[CPHH-%-SL]]="Dthu",KH_26_OPT4_KTQT_v4[[#This Row],[%HH]]*KH_26_OPT4_KTQT_v4[[#This Row],[DT-EXW-07]],KH_26_OPT4_KTQT_v4[[#This Row],[HH-SL]]*KH_26_OPT4_KTQT_v4[[#This Row],[SL-07]])</f>
        <v>0</v>
      </c>
      <c r="CD42" s="47">
        <f>IF(KH_26_OPT4_KTQT_v4[[#This Row],[CPHH-%-SL]]="Dthu",KH_26_OPT4_KTQT_v4[[#This Row],[%HH]]*KH_26_OPT4_KTQT_v4[[#This Row],[DT-EXW-08]],KH_26_OPT4_KTQT_v4[[#This Row],[HH-SL]]*KH_26_OPT4_KTQT_v4[[#This Row],[SL-08]])</f>
        <v>0</v>
      </c>
      <c r="CE42" s="47">
        <f>IF(KH_26_OPT4_KTQT_v4[[#This Row],[CPHH-%-SL]]="Dthu",KH_26_OPT4_KTQT_v4[[#This Row],[%HH]]*KH_26_OPT4_KTQT_v4[[#This Row],[DT-EXW-09]],KH_26_OPT4_KTQT_v4[[#This Row],[HH-SL]]*KH_26_OPT4_KTQT_v4[[#This Row],[SL-09]])</f>
        <v>0</v>
      </c>
      <c r="CF42" s="47">
        <f>IF(KH_26_OPT4_KTQT_v4[[#This Row],[CPHH-%-SL]]="Dthu",KH_26_OPT4_KTQT_v4[[#This Row],[%HH]]*KH_26_OPT4_KTQT_v4[[#This Row],[DT-EXW-10]],KH_26_OPT4_KTQT_v4[[#This Row],[HH-SL]]*KH_26_OPT4_KTQT_v4[[#This Row],[SL-10]])</f>
        <v>0</v>
      </c>
      <c r="CG42" s="47">
        <f>IF(KH_26_OPT4_KTQT_v4[[#This Row],[CPHH-%-SL]]="Dthu",KH_26_OPT4_KTQT_v4[[#This Row],[%HH]]*KH_26_OPT4_KTQT_v4[[#This Row],[DT-EXW-11]],KH_26_OPT4_KTQT_v4[[#This Row],[HH-SL]]*KH_26_OPT4_KTQT_v4[[#This Row],[SL-11]])</f>
        <v>0</v>
      </c>
      <c r="CH42" s="47">
        <f>IF(KH_26_OPT4_KTQT_v4[[#This Row],[CPHH-%-SL]]="Dthu",KH_26_OPT4_KTQT_v4[[#This Row],[%HH]]*KH_26_OPT4_KTQT_v4[[#This Row],[DT-EXW-12]],KH_26_OPT4_KTQT_v4[[#This Row],[HH-SL]]*KH_26_OPT4_KTQT_v4[[#This Row],[SL-12]])</f>
        <v>0</v>
      </c>
      <c r="CI42" s="47">
        <f ca="1">SUM(KH_26_OPT4_KTQT_v4[[#This Row],[CPHH-01]:[CPHH-12]])</f>
        <v>0</v>
      </c>
      <c r="CJ42" s="47" cm="1">
        <f t="array" ref="CJ42">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42" s="19">
        <f ca="1">SUM(KH_26_OPT4_KTQT_v4[[#This Row],[ĐGVCNĐ-KXK]:[ĐGVCCT-KXK]])</f>
        <v>2698181.8181818179</v>
      </c>
      <c r="CL42" s="47" cm="1">
        <f t="array" ref="CL42">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530000</v>
      </c>
      <c r="CM42" s="47" cm="1">
        <f t="array" ref="CM42">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2168181.8181818179</v>
      </c>
      <c r="CN42" s="47">
        <f ca="1">(KH_26_OPT4_KTQT_v4[[#This Row],[ĐGVC-KNĐ]]+KH_26_OPT4_KTQT_v4[[#This Row],[ĐGVC-KXK]])*KH_26_OPT4_KTQT_v4[[#This Row],[SL-01]]</f>
        <v>0</v>
      </c>
      <c r="CO42" s="47">
        <f ca="1">(KH_26_OPT4_KTQT_v4[[#This Row],[ĐGVC-KNĐ]]+KH_26_OPT4_KTQT_v4[[#This Row],[ĐGVC-KXK]])*KH_26_OPT4_KTQT_v4[[#This Row],[SL-02]]</f>
        <v>0</v>
      </c>
      <c r="CP42" s="47">
        <f ca="1">(KH_26_OPT4_KTQT_v4[[#This Row],[ĐGVC-KNĐ]]+KH_26_OPT4_KTQT_v4[[#This Row],[ĐGVC-KXK]])*KH_26_OPT4_KTQT_v4[[#This Row],[SL-03]]</f>
        <v>267119999.99999997</v>
      </c>
      <c r="CQ42" s="47">
        <f ca="1">(KH_26_OPT4_KTQT_v4[[#This Row],[ĐGVC-KNĐ]]+KH_26_OPT4_KTQT_v4[[#This Row],[ĐGVC-KXK]])*KH_26_OPT4_KTQT_v4[[#This Row],[SL-04]]</f>
        <v>0</v>
      </c>
      <c r="CR42" s="47">
        <f ca="1">(KH_26_OPT4_KTQT_v4[[#This Row],[ĐGVC-KNĐ]]+KH_26_OPT4_KTQT_v4[[#This Row],[ĐGVC-KXK]])*KH_26_OPT4_KTQT_v4[[#This Row],[SL-05]]</f>
        <v>0</v>
      </c>
      <c r="CS42" s="47">
        <f ca="1">(KH_26_OPT4_KTQT_v4[[#This Row],[ĐGVC-KNĐ]]+KH_26_OPT4_KTQT_v4[[#This Row],[ĐGVC-KXK]])*KH_26_OPT4_KTQT_v4[[#This Row],[SL-06]]</f>
        <v>267119999.99999997</v>
      </c>
      <c r="CT42" s="47">
        <f ca="1">(KH_26_OPT4_KTQT_v4[[#This Row],[ĐGVC-KNĐ]]+KH_26_OPT4_KTQT_v4[[#This Row],[ĐGVC-KXK]])*KH_26_OPT4_KTQT_v4[[#This Row],[SL-07]]</f>
        <v>0</v>
      </c>
      <c r="CU42" s="47">
        <f ca="1">(KH_26_OPT4_KTQT_v4[[#This Row],[ĐGVC-KNĐ]]+KH_26_OPT4_KTQT_v4[[#This Row],[ĐGVC-KXK]])*KH_26_OPT4_KTQT_v4[[#This Row],[SL-08]]</f>
        <v>0</v>
      </c>
      <c r="CV42" s="47">
        <f ca="1">(KH_26_OPT4_KTQT_v4[[#This Row],[ĐGVC-KNĐ]]+KH_26_OPT4_KTQT_v4[[#This Row],[ĐGVC-KXK]])*KH_26_OPT4_KTQT_v4[[#This Row],[SL-09]]</f>
        <v>267119999.99999997</v>
      </c>
      <c r="CW42" s="47">
        <f ca="1">(KH_26_OPT4_KTQT_v4[[#This Row],[ĐGVC-KNĐ]]+KH_26_OPT4_KTQT_v4[[#This Row],[ĐGVC-KXK]])*KH_26_OPT4_KTQT_v4[[#This Row],[SL-10]]</f>
        <v>0</v>
      </c>
      <c r="CX42" s="47">
        <f ca="1">(KH_26_OPT4_KTQT_v4[[#This Row],[ĐGVC-KNĐ]]+KH_26_OPT4_KTQT_v4[[#This Row],[ĐGVC-KXK]])*KH_26_OPT4_KTQT_v4[[#This Row],[SL-11]]</f>
        <v>0</v>
      </c>
      <c r="CY42" s="47">
        <f ca="1">(KH_26_OPT4_KTQT_v4[[#This Row],[ĐGVC-KNĐ]]+KH_26_OPT4_KTQT_v4[[#This Row],[ĐGVC-KXK]])*KH_26_OPT4_KTQT_v4[[#This Row],[SL-12]]</f>
        <v>267119999.99999997</v>
      </c>
      <c r="CZ42" s="47">
        <f ca="1">SUM(KH_26_OPT4_KTQT_v4[[#This Row],[CPVC-01]:[CPVC-12]])</f>
        <v>1068479999.9999999</v>
      </c>
      <c r="DA42" s="124">
        <f ca="1">KH_26_OPT4_KTQT_v4[[#This Row],[DT-EXW-01]]+KH_26_OPT4_KTQT_v4[[#This Row],[CPVC-01]]+KH_26_OPT4_KTQT_v4[[#This Row],[CPHH-01]]</f>
        <v>0</v>
      </c>
      <c r="DB42" s="47">
        <f ca="1">KH_26_OPT4_KTQT_v4[[#This Row],[DT-EXW-02]]+KH_26_OPT4_KTQT_v4[[#This Row],[CPVC-02]]+KH_26_OPT4_KTQT_v4[[#This Row],[CPHH-02]]</f>
        <v>0</v>
      </c>
      <c r="DC42" s="47">
        <f ca="1">KH_26_OPT4_KTQT_v4[[#This Row],[DT-EXW-03]]+KH_26_OPT4_KTQT_v4[[#This Row],[CPVC-03]]+KH_26_OPT4_KTQT_v4[[#This Row],[CPHH-03]]</f>
        <v>3473037000</v>
      </c>
      <c r="DD42" s="47">
        <f ca="1">KH_26_OPT4_KTQT_v4[[#This Row],[DT-EXW-04]]+KH_26_OPT4_KTQT_v4[[#This Row],[CPVC-04]]+KH_26_OPT4_KTQT_v4[[#This Row],[CPHH-04]]</f>
        <v>0</v>
      </c>
      <c r="DE42" s="47">
        <f ca="1">KH_26_OPT4_KTQT_v4[[#This Row],[DT-EXW-05]]+KH_26_OPT4_KTQT_v4[[#This Row],[CPVC-05]]+KH_26_OPT4_KTQT_v4[[#This Row],[CPHH-05]]</f>
        <v>0</v>
      </c>
      <c r="DF42" s="47">
        <f ca="1">KH_26_OPT4_KTQT_v4[[#This Row],[DT-EXW-06]]+KH_26_OPT4_KTQT_v4[[#This Row],[CPVC-06]]+KH_26_OPT4_KTQT_v4[[#This Row],[CPHH-06]]</f>
        <v>3323497500</v>
      </c>
      <c r="DG42" s="47">
        <f ca="1">KH_26_OPT4_KTQT_v4[[#This Row],[DT-EXW-07]]+KH_26_OPT4_KTQT_v4[[#This Row],[CPVC-07]]+KH_26_OPT4_KTQT_v4[[#This Row],[CPHH-07]]</f>
        <v>0</v>
      </c>
      <c r="DH42" s="47">
        <f ca="1">KH_26_OPT4_KTQT_v4[[#This Row],[DT-EXW-08]]+KH_26_OPT4_KTQT_v4[[#This Row],[CPVC-08]]+KH_26_OPT4_KTQT_v4[[#This Row],[CPHH-08]]</f>
        <v>0</v>
      </c>
      <c r="DI42" s="47">
        <f ca="1">KH_26_OPT4_KTQT_v4[[#This Row],[DT-EXW-09]]+KH_26_OPT4_KTQT_v4[[#This Row],[CPVC-09]]+KH_26_OPT4_KTQT_v4[[#This Row],[CPHH-09]]</f>
        <v>3173958000</v>
      </c>
      <c r="DJ42" s="47">
        <f ca="1">KH_26_OPT4_KTQT_v4[[#This Row],[DT-EXW-10]]+KH_26_OPT4_KTQT_v4[[#This Row],[CPVC-10]]+KH_26_OPT4_KTQT_v4[[#This Row],[CPHH-10]]</f>
        <v>0</v>
      </c>
      <c r="DK42" s="47">
        <f ca="1">KH_26_OPT4_KTQT_v4[[#This Row],[DT-EXW-11]]+KH_26_OPT4_KTQT_v4[[#This Row],[CPVC-11]]+KH_26_OPT4_KTQT_v4[[#This Row],[CPHH-11]]</f>
        <v>0</v>
      </c>
      <c r="DL42" s="47">
        <f ca="1">KH_26_OPT4_KTQT_v4[[#This Row],[DT-EXW-12]]+KH_26_OPT4_KTQT_v4[[#This Row],[CPVC-12]]+KH_26_OPT4_KTQT_v4[[#This Row],[CPHH-12]]</f>
        <v>3024418500</v>
      </c>
      <c r="DM42" s="47">
        <f ca="1">SUM(KH_26_OPT4_KTQT_v4[[#This Row],[DT-01]:[DT-12]])</f>
        <v>12994911000</v>
      </c>
      <c r="DN42" s="7"/>
      <c r="DO42" s="7"/>
      <c r="DP42" s="125"/>
      <c r="DQ42" s="136"/>
      <c r="DR42" s="132">
        <f>IFERROR(KH_26_OPT4_KTQT_v4[[#This Row],[DT-EXW-01]]*KH_26_OPT4_KTQT_v4[[#This Row],[%CPDP]],0)</f>
        <v>0</v>
      </c>
      <c r="DS42" s="132">
        <f>IFERROR(KH_26_OPT4_KTQT_v4[[#This Row],[DT-EXW-02]]*KH_26_OPT4_KTQT_v4[[#This Row],[%CPDP]],0)</f>
        <v>0</v>
      </c>
      <c r="DT42" s="132">
        <f>IFERROR(KH_26_OPT4_KTQT_v4[[#This Row],[DT-EXW-03]]*KH_26_OPT4_KTQT_v4[[#This Row],[%CPDP]],0)</f>
        <v>0</v>
      </c>
      <c r="DU42" s="132">
        <f>IFERROR(KH_26_OPT4_KTQT_v4[[#This Row],[DT-EXW-04]]*KH_26_OPT4_KTQT_v4[[#This Row],[%CPDP]],0)</f>
        <v>0</v>
      </c>
      <c r="DV42" s="132">
        <f>IFERROR(KH_26_OPT4_KTQT_v4[[#This Row],[DT-EXW-05]]*KH_26_OPT4_KTQT_v4[[#This Row],[%CPDP]],0)</f>
        <v>0</v>
      </c>
      <c r="DW42" s="132">
        <f>IFERROR(KH_26_OPT4_KTQT_v4[[#This Row],[DT-EXW-06]]*KH_26_OPT4_KTQT_v4[[#This Row],[%CPDP]],0)</f>
        <v>0</v>
      </c>
      <c r="DX42" s="132">
        <f>IFERROR(KH_26_OPT4_KTQT_v4[[#This Row],[DT-EXW-07]]*KH_26_OPT4_KTQT_v4[[#This Row],[%CPDP]],0)</f>
        <v>0</v>
      </c>
      <c r="DY42" s="132">
        <f>IFERROR(KH_26_OPT4_KTQT_v4[[#This Row],[DT-EXW-08]]*KH_26_OPT4_KTQT_v4[[#This Row],[%CPDP]],0)</f>
        <v>0</v>
      </c>
      <c r="DZ42" s="132">
        <f>IFERROR(KH_26_OPT4_KTQT_v4[[#This Row],[DT-EXW-09]]*KH_26_OPT4_KTQT_v4[[#This Row],[%CPDP]],0)</f>
        <v>0</v>
      </c>
      <c r="EA42" s="132">
        <f>IFERROR(KH_26_OPT4_KTQT_v4[[#This Row],[DT-EXW-10]]*KH_26_OPT4_KTQT_v4[[#This Row],[%CPDP]],0)</f>
        <v>0</v>
      </c>
      <c r="EB42" s="132">
        <f>IFERROR(KH_26_OPT4_KTQT_v4[[#This Row],[DT-EXW-11]]*KH_26_OPT4_KTQT_v4[[#This Row],[%CPDP]],0)</f>
        <v>0</v>
      </c>
      <c r="EC42" s="132">
        <f>IFERROR(KH_26_OPT4_KTQT_v4[[#This Row],[DT-EXW-12]]*KH_26_OPT4_KTQT_v4[[#This Row],[%CPDP]],0)</f>
        <v>0</v>
      </c>
      <c r="ED42" s="131">
        <f ca="1">SUM(KH_26_OPT4_KTQT_v4[[#This Row],[CPDP-01]:[CPDP-12]])</f>
        <v>0</v>
      </c>
    </row>
    <row r="43" spans="1:134" ht="14.65" hidden="1" customHeight="1" x14ac:dyDescent="0.35">
      <c r="A43" s="18">
        <v>38</v>
      </c>
      <c r="B43" s="71" t="s">
        <v>95</v>
      </c>
      <c r="C43" s="18" t="str">
        <f>IFERROR(_xlfn.XLOOKUP(KH_26_OPT4_KTQT_v4[[#This Row],[Salesman]],MD_Salesman[Salesman],MD_Salesman[SalesManager]),"")</f>
        <v>Cường</v>
      </c>
      <c r="D43" s="72" t="str">
        <f>IFERROR(INDEX(MD_Customer[Mã khách],MATCH(KH_26_OPT4_KTQT_v4[[#This Row],[Tên khách]],MD_Customer[Tên khách-rút gọn],0)),"")</f>
        <v>200385</v>
      </c>
      <c r="E43" s="7" t="str">
        <f>IFERROR(INDEX(MD_Customer[Parent Account],MATCH(KH_26_OPT4_KTQT_v4[[#This Row],[Tên khách]],MD_Customer[Tên khách-rút gọn],0)),"")</f>
        <v>VINMAR POLYMERS AMERICA LLC</v>
      </c>
      <c r="F43" s="35" t="s">
        <v>42</v>
      </c>
      <c r="G43" s="7" t="str">
        <f>IFERROR(INDEX(MD_Customer[Phân loại],MATCH(KH_26_OPT4_KTQT_v4[[#This Row],[Tên khách]],MD_Customer[Tên khách-rút gọn],0)),"")</f>
        <v>Hiện hữu</v>
      </c>
      <c r="H43" s="7" t="str">
        <f>IFERROR(INDEX(MD_Customer[Kênh bán hàng],MATCH(KH_26_OPT4_KTQT_v4[[#This Row],[Tên khách]],MD_Customer[Tên khách-rút gọn],0)),"")</f>
        <v>Xuất khẩu</v>
      </c>
      <c r="I43" s="35" t="s">
        <v>299</v>
      </c>
      <c r="J43" s="7" t="str">
        <f>IFERROR(INDEX(MD_Destination[Nước],MATCH(KH_26_OPT4_KTQT_v4[[#This Row],[Địa điểm đến]],MD_Destination[Địa điểm đến],0)),"")</f>
        <v>Mỹ</v>
      </c>
      <c r="K43" s="7" t="str">
        <f>IFERROR(INDEX(MD_Destination[Khu vực],MATCH(KH_26_OPT4_KTQT_v4[[#This Row],[Địa điểm đến]],MD_Destination[Địa điểm đến],0)),"")</f>
        <v>Châu Mỹ</v>
      </c>
      <c r="L43" s="35" t="s">
        <v>285</v>
      </c>
      <c r="M43" s="7" t="str">
        <f>IFERROR(INDEX(MD_SKU[Mã SKU],MATCH(KH_26_OPT4_KTQT_v4[[#This Row],[Tên sản phẩm]],MD_SKU[Tên SKU-rút gọn],0)),"")</f>
        <v>110000443</v>
      </c>
      <c r="N43" s="35" t="s">
        <v>504</v>
      </c>
      <c r="O43" s="7" t="str">
        <f>IFERROR(INDEX(MD_SKU[Ngành hàng],MATCH(KH_26_OPT4_KTQT_v4[[#This Row],[Tên sản phẩm]],MD_SKU[Tên SKU-rút gọn],0)),"")</f>
        <v>rHDPE thổi</v>
      </c>
      <c r="P43" s="7" t="str">
        <f>IFERROR(INDEX(MD_SKU[Nhóm ngành],MATCH(KH_26_OPT4_KTQT_v4[[#This Row],[Tên sản phẩm]],MD_SKU[Tên SKU-rút gọn],0)),"")</f>
        <v>Hạt HD thổi</v>
      </c>
      <c r="Q43" s="7" t="str">
        <f>IFERROR(
   IF(INDEX(MD_SKU[IV/IM],MATCH(KH_26_OPT4_KTQT_v4[[#This Row],[Tên sản phẩm]],MD_SKU[Tên SKU-rút gọn],0))=0,
      "",
      INDEX(MD_SKU[IV/IM],MATCH(KH_26_OPT4_KTQT_v4[[#This Row],[Tên sản phẩm]],MD_SKU[Tên SKU-rút gọn],0))
   ),
"")</f>
        <v/>
      </c>
      <c r="R43" s="44" t="str">
        <f>IFERROR(INDEX(MD_SKU[Application],MATCH(KH_26_OPT4_KTQT_v4[[#This Row],[Tên sản phẩm]],MD_SKU[Tên SKU-rút gọn],0)),"")</f>
        <v>THỔI CHAI</v>
      </c>
      <c r="S43" s="7" t="str">
        <f>IFERROR(INDEX(MD_SKU[Phân loại],MATCH(KH_26_OPT4_KTQT_v4[[#This Row],[Tên sản phẩm]],MD_SKU[Tên SKU-rút gọn],0)),"")</f>
        <v>Cũ</v>
      </c>
      <c r="T43" s="7" t="s">
        <v>42</v>
      </c>
      <c r="U43" s="7" t="s">
        <v>1508</v>
      </c>
      <c r="V43" s="70">
        <v>0.8</v>
      </c>
      <c r="W43" s="33"/>
      <c r="X43" s="33"/>
      <c r="Y43" s="33">
        <v>99</v>
      </c>
      <c r="Z43" s="33"/>
      <c r="AA43" s="33"/>
      <c r="AB43" s="33">
        <v>99</v>
      </c>
      <c r="AC43" s="33"/>
      <c r="AD43" s="33"/>
      <c r="AE43" s="33">
        <v>99</v>
      </c>
      <c r="AF43" s="33"/>
      <c r="AG43" s="33"/>
      <c r="AH43" s="33">
        <v>99</v>
      </c>
      <c r="AI43" s="47">
        <f ca="1">SUM(KH_26_OPT4_KTQT_v4[[#This Row],[SL-01]:[SL-12]])</f>
        <v>396</v>
      </c>
      <c r="AJ43" s="47">
        <f ca="1">SUMIFS(DB_25[SL-DB25],DB_25[Mã khách],KH_26_OPT4_KTQT_v4[[#This Row],[Mã khách]],DB_25[Mã sản phẩm],KH_26_OPT4_KTQT_v4[[#This Row],[Mã sản phẩm]])</f>
        <v>4.125</v>
      </c>
      <c r="AK43" s="20">
        <f ca="1">KH_26_OPT4_KTQT_v4[[#This Row],[SL-KH26]]-KH_26_OPT4_KTQT_v4[[#This Row],[SL-DB25]]</f>
        <v>391.875</v>
      </c>
      <c r="AL43" s="21">
        <f ca="1">IFERROR(KH_26_OPT4_KTQT_v4[[#This Row],[SL-+/-]]/KH_26_OPT4_KTQT_v4[[#This Row],[SL-DB25]],0)</f>
        <v>95</v>
      </c>
      <c r="AM43" s="51">
        <v>1260</v>
      </c>
      <c r="AN43" s="51">
        <v>1241</v>
      </c>
      <c r="AO43" s="51">
        <v>1222</v>
      </c>
      <c r="AP43" s="51">
        <v>1203</v>
      </c>
      <c r="AQ43" s="51">
        <v>1184</v>
      </c>
      <c r="AR43" s="51">
        <v>1165</v>
      </c>
      <c r="AS43" s="51">
        <v>1146</v>
      </c>
      <c r="AT43" s="51">
        <v>1127</v>
      </c>
      <c r="AU43" s="51">
        <v>1108</v>
      </c>
      <c r="AV43" s="51">
        <v>1089</v>
      </c>
      <c r="AW43" s="51">
        <v>1070</v>
      </c>
      <c r="AX43" s="51">
        <v>1051</v>
      </c>
      <c r="AY43" s="23">
        <v>1155.5</v>
      </c>
      <c r="AZ43" s="7"/>
      <c r="BA43" s="24">
        <f>KH_26_OPT4_KTQT_v4[[#This Row],[GB-DB25]]-KH_26_OPT4_KTQT_v4[[#This Row],[GB-KH25]]</f>
        <v>1155.5</v>
      </c>
      <c r="BB43" s="21">
        <f>IFERROR(KH_26_OPT4_KTQT_v4[[#This Row],[GB-+/-]]/KH_26_OPT4_KTQT_v4[[#This Row],[GB-KH25]],0)</f>
        <v>0</v>
      </c>
      <c r="BC43" s="21"/>
      <c r="BD43" s="47">
        <f>KH_26_OPT4_KTQT_v4[[#This Row],[SL-01]]*KH_26_OPT4_KTQT_v4[[#This Row],[GB-01]]*EXR</f>
        <v>0</v>
      </c>
      <c r="BE43" s="47">
        <f>KH_26_OPT4_KTQT_v4[[#This Row],[SL-02]]*KH_26_OPT4_KTQT_v4[[#This Row],[GB-02]]*EXR</f>
        <v>0</v>
      </c>
      <c r="BF43" s="47">
        <f>KH_26_OPT4_KTQT_v4[[#This Row],[SL-03]]*KH_26_OPT4_KTQT_v4[[#This Row],[GB-03]]*EXR</f>
        <v>3205917000</v>
      </c>
      <c r="BG43" s="47">
        <f>KH_26_OPT4_KTQT_v4[[#This Row],[SL-04]]*KH_26_OPT4_KTQT_v4[[#This Row],[GB-04]]*EXR</f>
        <v>0</v>
      </c>
      <c r="BH43" s="47">
        <f>KH_26_OPT4_KTQT_v4[[#This Row],[SL-05]]*KH_26_OPT4_KTQT_v4[[#This Row],[GB-05]]*EXR</f>
        <v>0</v>
      </c>
      <c r="BI43" s="47">
        <f>KH_26_OPT4_KTQT_v4[[#This Row],[SL-06]]*KH_26_OPT4_KTQT_v4[[#This Row],[GB-06]]*EXR</f>
        <v>3056377500</v>
      </c>
      <c r="BJ43" s="47">
        <f>KH_26_OPT4_KTQT_v4[[#This Row],[SL-07]]*KH_26_OPT4_KTQT_v4[[#This Row],[GB-07]]*EXR</f>
        <v>0</v>
      </c>
      <c r="BK43" s="47">
        <f>KH_26_OPT4_KTQT_v4[[#This Row],[SL-08]]*KH_26_OPT4_KTQT_v4[[#This Row],[GB-08]]*EXR</f>
        <v>0</v>
      </c>
      <c r="BL43" s="47">
        <f>KH_26_OPT4_KTQT_v4[[#This Row],[SL-09]]*KH_26_OPT4_KTQT_v4[[#This Row],[GB-09]]*EXR</f>
        <v>2906838000</v>
      </c>
      <c r="BM43" s="47">
        <f>KH_26_OPT4_KTQT_v4[[#This Row],[SL-10]]*KH_26_OPT4_KTQT_v4[[#This Row],[GB-10]]*EXR</f>
        <v>0</v>
      </c>
      <c r="BN43" s="47">
        <f>KH_26_OPT4_KTQT_v4[[#This Row],[SL-11]]*KH_26_OPT4_KTQT_v4[[#This Row],[GB-11]]*EXR</f>
        <v>0</v>
      </c>
      <c r="BO43" s="47">
        <f>KH_26_OPT4_KTQT_v4[[#This Row],[SL-12]]*KH_26_OPT4_KTQT_v4[[#This Row],[GB-12]]*EXR</f>
        <v>2757298500</v>
      </c>
      <c r="BP43" s="47">
        <f ca="1">SUM(KH_26_OPT4_KTQT_v4[[#This Row],[DT-EXW-01]:[DT-EXW-12]])</f>
        <v>11926431000</v>
      </c>
      <c r="BQ43" s="47">
        <f ca="1">SUMIFS(DB_25[DT-DB25],DB_25[Mã khách],KH_26_OPT4_KTQT_v4[[#This Row],[Mã khách]],DB_25[Mã sản phẩm],KH_26_OPT4_KTQT_v4[[#This Row],[Mã sản phẩm]])</f>
        <v>149445360</v>
      </c>
      <c r="BR43" s="19">
        <f ca="1">KH_26_OPT4_KTQT_v4[[#This Row],[DT-EXW-KH26]]-KH_26_OPT4_KTQT_v4[[#This Row],[DT-EXW-DB25]]</f>
        <v>11776985640</v>
      </c>
      <c r="BS43" s="21">
        <f ca="1">IFERROR(KH_26_OPT4_KTQT_v4[[#This Row],[DT-EXW-+/-]]/KH_26_OPT4_KTQT_v4[[#This Row],[DT-EXW-DB25]],0)</f>
        <v>78.804625583557765</v>
      </c>
      <c r="BT43" s="139"/>
      <c r="BU43" s="57"/>
      <c r="BV43" s="51"/>
      <c r="BW43" s="47">
        <f>IF(KH_26_OPT4_KTQT_v4[[#This Row],[CPHH-%-SL]]="Dthu",KH_26_OPT4_KTQT_v4[[#This Row],[%HH]]*KH_26_OPT4_KTQT_v4[[#This Row],[DT-EXW-01]],KH_26_OPT4_KTQT_v4[[#This Row],[HH-SL]]*KH_26_OPT4_KTQT_v4[[#This Row],[SL-01]])</f>
        <v>0</v>
      </c>
      <c r="BX43" s="47">
        <f>IF(KH_26_OPT4_KTQT_v4[[#This Row],[CPHH-%-SL]]="Dthu",KH_26_OPT4_KTQT_v4[[#This Row],[%HH]]*KH_26_OPT4_KTQT_v4[[#This Row],[DT-EXW-02]],KH_26_OPT4_KTQT_v4[[#This Row],[HH-SL]]*KH_26_OPT4_KTQT_v4[[#This Row],[SL-02]])</f>
        <v>0</v>
      </c>
      <c r="BY43" s="47">
        <f>IF(KH_26_OPT4_KTQT_v4[[#This Row],[CPHH-%-SL]]="Dthu",KH_26_OPT4_KTQT_v4[[#This Row],[%HH]]*KH_26_OPT4_KTQT_v4[[#This Row],[DT-EXW-03]],KH_26_OPT4_KTQT_v4[[#This Row],[HH-SL]]*KH_26_OPT4_KTQT_v4[[#This Row],[SL-03]])</f>
        <v>0</v>
      </c>
      <c r="BZ43" s="47">
        <f>IF(KH_26_OPT4_KTQT_v4[[#This Row],[CPHH-%-SL]]="Dthu",KH_26_OPT4_KTQT_v4[[#This Row],[%HH]]*KH_26_OPT4_KTQT_v4[[#This Row],[DT-EXW-04]],KH_26_OPT4_KTQT_v4[[#This Row],[HH-SL]]*KH_26_OPT4_KTQT_v4[[#This Row],[SL-04]])</f>
        <v>0</v>
      </c>
      <c r="CA43" s="47">
        <f>IF(KH_26_OPT4_KTQT_v4[[#This Row],[CPHH-%-SL]]="Dthu",KH_26_OPT4_KTQT_v4[[#This Row],[%HH]]*KH_26_OPT4_KTQT_v4[[#This Row],[DT-EXW-05]],KH_26_OPT4_KTQT_v4[[#This Row],[HH-SL]]*KH_26_OPT4_KTQT_v4[[#This Row],[SL-05]])</f>
        <v>0</v>
      </c>
      <c r="CB43" s="47">
        <f>IF(KH_26_OPT4_KTQT_v4[[#This Row],[CPHH-%-SL]]="Dthu",KH_26_OPT4_KTQT_v4[[#This Row],[%HH]]*KH_26_OPT4_KTQT_v4[[#This Row],[DT-EXW-06]],KH_26_OPT4_KTQT_v4[[#This Row],[HH-SL]]*KH_26_OPT4_KTQT_v4[[#This Row],[SL-06]])</f>
        <v>0</v>
      </c>
      <c r="CC43" s="47">
        <f>IF(KH_26_OPT4_KTQT_v4[[#This Row],[CPHH-%-SL]]="Dthu",KH_26_OPT4_KTQT_v4[[#This Row],[%HH]]*KH_26_OPT4_KTQT_v4[[#This Row],[DT-EXW-07]],KH_26_OPT4_KTQT_v4[[#This Row],[HH-SL]]*KH_26_OPT4_KTQT_v4[[#This Row],[SL-07]])</f>
        <v>0</v>
      </c>
      <c r="CD43" s="47">
        <f>IF(KH_26_OPT4_KTQT_v4[[#This Row],[CPHH-%-SL]]="Dthu",KH_26_OPT4_KTQT_v4[[#This Row],[%HH]]*KH_26_OPT4_KTQT_v4[[#This Row],[DT-EXW-08]],KH_26_OPT4_KTQT_v4[[#This Row],[HH-SL]]*KH_26_OPT4_KTQT_v4[[#This Row],[SL-08]])</f>
        <v>0</v>
      </c>
      <c r="CE43" s="47">
        <f>IF(KH_26_OPT4_KTQT_v4[[#This Row],[CPHH-%-SL]]="Dthu",KH_26_OPT4_KTQT_v4[[#This Row],[%HH]]*KH_26_OPT4_KTQT_v4[[#This Row],[DT-EXW-09]],KH_26_OPT4_KTQT_v4[[#This Row],[HH-SL]]*KH_26_OPT4_KTQT_v4[[#This Row],[SL-09]])</f>
        <v>0</v>
      </c>
      <c r="CF43" s="47">
        <f>IF(KH_26_OPT4_KTQT_v4[[#This Row],[CPHH-%-SL]]="Dthu",KH_26_OPT4_KTQT_v4[[#This Row],[%HH]]*KH_26_OPT4_KTQT_v4[[#This Row],[DT-EXW-10]],KH_26_OPT4_KTQT_v4[[#This Row],[HH-SL]]*KH_26_OPT4_KTQT_v4[[#This Row],[SL-10]])</f>
        <v>0</v>
      </c>
      <c r="CG43" s="47">
        <f>IF(KH_26_OPT4_KTQT_v4[[#This Row],[CPHH-%-SL]]="Dthu",KH_26_OPT4_KTQT_v4[[#This Row],[%HH]]*KH_26_OPT4_KTQT_v4[[#This Row],[DT-EXW-11]],KH_26_OPT4_KTQT_v4[[#This Row],[HH-SL]]*KH_26_OPT4_KTQT_v4[[#This Row],[SL-11]])</f>
        <v>0</v>
      </c>
      <c r="CH43" s="47">
        <f>IF(KH_26_OPT4_KTQT_v4[[#This Row],[CPHH-%-SL]]="Dthu",KH_26_OPT4_KTQT_v4[[#This Row],[%HH]]*KH_26_OPT4_KTQT_v4[[#This Row],[DT-EXW-12]],KH_26_OPT4_KTQT_v4[[#This Row],[HH-SL]]*KH_26_OPT4_KTQT_v4[[#This Row],[SL-12]])</f>
        <v>0</v>
      </c>
      <c r="CI43" s="47">
        <f ca="1">SUM(KH_26_OPT4_KTQT_v4[[#This Row],[CPHH-01]:[CPHH-12]])</f>
        <v>0</v>
      </c>
      <c r="CJ43" s="47" cm="1">
        <f t="array" ref="CJ43">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43" s="19">
        <f ca="1">SUM(KH_26_OPT4_KTQT_v4[[#This Row],[ĐGVCNĐ-KXK]:[ĐGVCCT-KXK]])</f>
        <v>3180000</v>
      </c>
      <c r="CL43" s="47" cm="1">
        <f t="array" ref="CL43">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530000</v>
      </c>
      <c r="CM43" s="47" cm="1">
        <f t="array" ref="CM43">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2650000</v>
      </c>
      <c r="CN43" s="47">
        <f ca="1">(KH_26_OPT4_KTQT_v4[[#This Row],[ĐGVC-KNĐ]]+KH_26_OPT4_KTQT_v4[[#This Row],[ĐGVC-KXK]])*KH_26_OPT4_KTQT_v4[[#This Row],[SL-01]]</f>
        <v>0</v>
      </c>
      <c r="CO43" s="47">
        <f ca="1">(KH_26_OPT4_KTQT_v4[[#This Row],[ĐGVC-KNĐ]]+KH_26_OPT4_KTQT_v4[[#This Row],[ĐGVC-KXK]])*KH_26_OPT4_KTQT_v4[[#This Row],[SL-02]]</f>
        <v>0</v>
      </c>
      <c r="CP43" s="47">
        <f ca="1">(KH_26_OPT4_KTQT_v4[[#This Row],[ĐGVC-KNĐ]]+KH_26_OPT4_KTQT_v4[[#This Row],[ĐGVC-KXK]])*KH_26_OPT4_KTQT_v4[[#This Row],[SL-03]]</f>
        <v>314820000</v>
      </c>
      <c r="CQ43" s="47">
        <f ca="1">(KH_26_OPT4_KTQT_v4[[#This Row],[ĐGVC-KNĐ]]+KH_26_OPT4_KTQT_v4[[#This Row],[ĐGVC-KXK]])*KH_26_OPT4_KTQT_v4[[#This Row],[SL-04]]</f>
        <v>0</v>
      </c>
      <c r="CR43" s="47">
        <f ca="1">(KH_26_OPT4_KTQT_v4[[#This Row],[ĐGVC-KNĐ]]+KH_26_OPT4_KTQT_v4[[#This Row],[ĐGVC-KXK]])*KH_26_OPT4_KTQT_v4[[#This Row],[SL-05]]</f>
        <v>0</v>
      </c>
      <c r="CS43" s="47">
        <f ca="1">(KH_26_OPT4_KTQT_v4[[#This Row],[ĐGVC-KNĐ]]+KH_26_OPT4_KTQT_v4[[#This Row],[ĐGVC-KXK]])*KH_26_OPT4_KTQT_v4[[#This Row],[SL-06]]</f>
        <v>314820000</v>
      </c>
      <c r="CT43" s="47">
        <f ca="1">(KH_26_OPT4_KTQT_v4[[#This Row],[ĐGVC-KNĐ]]+KH_26_OPT4_KTQT_v4[[#This Row],[ĐGVC-KXK]])*KH_26_OPT4_KTQT_v4[[#This Row],[SL-07]]</f>
        <v>0</v>
      </c>
      <c r="CU43" s="47">
        <f ca="1">(KH_26_OPT4_KTQT_v4[[#This Row],[ĐGVC-KNĐ]]+KH_26_OPT4_KTQT_v4[[#This Row],[ĐGVC-KXK]])*KH_26_OPT4_KTQT_v4[[#This Row],[SL-08]]</f>
        <v>0</v>
      </c>
      <c r="CV43" s="47">
        <f ca="1">(KH_26_OPT4_KTQT_v4[[#This Row],[ĐGVC-KNĐ]]+KH_26_OPT4_KTQT_v4[[#This Row],[ĐGVC-KXK]])*KH_26_OPT4_KTQT_v4[[#This Row],[SL-09]]</f>
        <v>314820000</v>
      </c>
      <c r="CW43" s="47">
        <f ca="1">(KH_26_OPT4_KTQT_v4[[#This Row],[ĐGVC-KNĐ]]+KH_26_OPT4_KTQT_v4[[#This Row],[ĐGVC-KXK]])*KH_26_OPT4_KTQT_v4[[#This Row],[SL-10]]</f>
        <v>0</v>
      </c>
      <c r="CX43" s="47">
        <f ca="1">(KH_26_OPT4_KTQT_v4[[#This Row],[ĐGVC-KNĐ]]+KH_26_OPT4_KTQT_v4[[#This Row],[ĐGVC-KXK]])*KH_26_OPT4_KTQT_v4[[#This Row],[SL-11]]</f>
        <v>0</v>
      </c>
      <c r="CY43" s="47">
        <f ca="1">(KH_26_OPT4_KTQT_v4[[#This Row],[ĐGVC-KNĐ]]+KH_26_OPT4_KTQT_v4[[#This Row],[ĐGVC-KXK]])*KH_26_OPT4_KTQT_v4[[#This Row],[SL-12]]</f>
        <v>314820000</v>
      </c>
      <c r="CZ43" s="47">
        <f ca="1">SUM(KH_26_OPT4_KTQT_v4[[#This Row],[CPVC-01]:[CPVC-12]])</f>
        <v>1259280000</v>
      </c>
      <c r="DA43" s="124">
        <f ca="1">KH_26_OPT4_KTQT_v4[[#This Row],[DT-EXW-01]]+KH_26_OPT4_KTQT_v4[[#This Row],[CPVC-01]]+KH_26_OPT4_KTQT_v4[[#This Row],[CPHH-01]]</f>
        <v>0</v>
      </c>
      <c r="DB43" s="47">
        <f ca="1">KH_26_OPT4_KTQT_v4[[#This Row],[DT-EXW-02]]+KH_26_OPT4_KTQT_v4[[#This Row],[CPVC-02]]+KH_26_OPT4_KTQT_v4[[#This Row],[CPHH-02]]</f>
        <v>0</v>
      </c>
      <c r="DC43" s="47">
        <f ca="1">KH_26_OPT4_KTQT_v4[[#This Row],[DT-EXW-03]]+KH_26_OPT4_KTQT_v4[[#This Row],[CPVC-03]]+KH_26_OPT4_KTQT_v4[[#This Row],[CPHH-03]]</f>
        <v>3520737000</v>
      </c>
      <c r="DD43" s="47">
        <f ca="1">KH_26_OPT4_KTQT_v4[[#This Row],[DT-EXW-04]]+KH_26_OPT4_KTQT_v4[[#This Row],[CPVC-04]]+KH_26_OPT4_KTQT_v4[[#This Row],[CPHH-04]]</f>
        <v>0</v>
      </c>
      <c r="DE43" s="47">
        <f ca="1">KH_26_OPT4_KTQT_v4[[#This Row],[DT-EXW-05]]+KH_26_OPT4_KTQT_v4[[#This Row],[CPVC-05]]+KH_26_OPT4_KTQT_v4[[#This Row],[CPHH-05]]</f>
        <v>0</v>
      </c>
      <c r="DF43" s="47">
        <f ca="1">KH_26_OPT4_KTQT_v4[[#This Row],[DT-EXW-06]]+KH_26_OPT4_KTQT_v4[[#This Row],[CPVC-06]]+KH_26_OPT4_KTQT_v4[[#This Row],[CPHH-06]]</f>
        <v>3371197500</v>
      </c>
      <c r="DG43" s="47">
        <f ca="1">KH_26_OPT4_KTQT_v4[[#This Row],[DT-EXW-07]]+KH_26_OPT4_KTQT_v4[[#This Row],[CPVC-07]]+KH_26_OPT4_KTQT_v4[[#This Row],[CPHH-07]]</f>
        <v>0</v>
      </c>
      <c r="DH43" s="47">
        <f ca="1">KH_26_OPT4_KTQT_v4[[#This Row],[DT-EXW-08]]+KH_26_OPT4_KTQT_v4[[#This Row],[CPVC-08]]+KH_26_OPT4_KTQT_v4[[#This Row],[CPHH-08]]</f>
        <v>0</v>
      </c>
      <c r="DI43" s="47">
        <f ca="1">KH_26_OPT4_KTQT_v4[[#This Row],[DT-EXW-09]]+KH_26_OPT4_KTQT_v4[[#This Row],[CPVC-09]]+KH_26_OPT4_KTQT_v4[[#This Row],[CPHH-09]]</f>
        <v>3221658000</v>
      </c>
      <c r="DJ43" s="47">
        <f ca="1">KH_26_OPT4_KTQT_v4[[#This Row],[DT-EXW-10]]+KH_26_OPT4_KTQT_v4[[#This Row],[CPVC-10]]+KH_26_OPT4_KTQT_v4[[#This Row],[CPHH-10]]</f>
        <v>0</v>
      </c>
      <c r="DK43" s="47">
        <f ca="1">KH_26_OPT4_KTQT_v4[[#This Row],[DT-EXW-11]]+KH_26_OPT4_KTQT_v4[[#This Row],[CPVC-11]]+KH_26_OPT4_KTQT_v4[[#This Row],[CPHH-11]]</f>
        <v>0</v>
      </c>
      <c r="DL43" s="47">
        <f ca="1">KH_26_OPT4_KTQT_v4[[#This Row],[DT-EXW-12]]+KH_26_OPT4_KTQT_v4[[#This Row],[CPVC-12]]+KH_26_OPT4_KTQT_v4[[#This Row],[CPHH-12]]</f>
        <v>3072118500</v>
      </c>
      <c r="DM43" s="47">
        <f ca="1">SUM(KH_26_OPT4_KTQT_v4[[#This Row],[DT-01]:[DT-12]])</f>
        <v>13185711000</v>
      </c>
      <c r="DN43" s="7"/>
      <c r="DO43" s="7"/>
      <c r="DP43" s="125"/>
      <c r="DQ43" s="136"/>
      <c r="DR43" s="132">
        <f>IFERROR(KH_26_OPT4_KTQT_v4[[#This Row],[DT-EXW-01]]*KH_26_OPT4_KTQT_v4[[#This Row],[%CPDP]],0)</f>
        <v>0</v>
      </c>
      <c r="DS43" s="132">
        <f>IFERROR(KH_26_OPT4_KTQT_v4[[#This Row],[DT-EXW-02]]*KH_26_OPT4_KTQT_v4[[#This Row],[%CPDP]],0)</f>
        <v>0</v>
      </c>
      <c r="DT43" s="132">
        <f>IFERROR(KH_26_OPT4_KTQT_v4[[#This Row],[DT-EXW-03]]*KH_26_OPT4_KTQT_v4[[#This Row],[%CPDP]],0)</f>
        <v>0</v>
      </c>
      <c r="DU43" s="132">
        <f>IFERROR(KH_26_OPT4_KTQT_v4[[#This Row],[DT-EXW-04]]*KH_26_OPT4_KTQT_v4[[#This Row],[%CPDP]],0)</f>
        <v>0</v>
      </c>
      <c r="DV43" s="132">
        <f>IFERROR(KH_26_OPT4_KTQT_v4[[#This Row],[DT-EXW-05]]*KH_26_OPT4_KTQT_v4[[#This Row],[%CPDP]],0)</f>
        <v>0</v>
      </c>
      <c r="DW43" s="132">
        <f>IFERROR(KH_26_OPT4_KTQT_v4[[#This Row],[DT-EXW-06]]*KH_26_OPT4_KTQT_v4[[#This Row],[%CPDP]],0)</f>
        <v>0</v>
      </c>
      <c r="DX43" s="132">
        <f>IFERROR(KH_26_OPT4_KTQT_v4[[#This Row],[DT-EXW-07]]*KH_26_OPT4_KTQT_v4[[#This Row],[%CPDP]],0)</f>
        <v>0</v>
      </c>
      <c r="DY43" s="132">
        <f>IFERROR(KH_26_OPT4_KTQT_v4[[#This Row],[DT-EXW-08]]*KH_26_OPT4_KTQT_v4[[#This Row],[%CPDP]],0)</f>
        <v>0</v>
      </c>
      <c r="DZ43" s="132">
        <f>IFERROR(KH_26_OPT4_KTQT_v4[[#This Row],[DT-EXW-09]]*KH_26_OPT4_KTQT_v4[[#This Row],[%CPDP]],0)</f>
        <v>0</v>
      </c>
      <c r="EA43" s="132">
        <f>IFERROR(KH_26_OPT4_KTQT_v4[[#This Row],[DT-EXW-10]]*KH_26_OPT4_KTQT_v4[[#This Row],[%CPDP]],0)</f>
        <v>0</v>
      </c>
      <c r="EB43" s="132">
        <f>IFERROR(KH_26_OPT4_KTQT_v4[[#This Row],[DT-EXW-11]]*KH_26_OPT4_KTQT_v4[[#This Row],[%CPDP]],0)</f>
        <v>0</v>
      </c>
      <c r="EC43" s="132">
        <f>IFERROR(KH_26_OPT4_KTQT_v4[[#This Row],[DT-EXW-12]]*KH_26_OPT4_KTQT_v4[[#This Row],[%CPDP]],0)</f>
        <v>0</v>
      </c>
      <c r="ED43" s="131">
        <f ca="1">SUM(KH_26_OPT4_KTQT_v4[[#This Row],[CPDP-01]:[CPDP-12]])</f>
        <v>0</v>
      </c>
    </row>
    <row r="44" spans="1:134" ht="14.65" hidden="1" customHeight="1" x14ac:dyDescent="0.35">
      <c r="A44" s="18">
        <v>39</v>
      </c>
      <c r="B44" s="71" t="s">
        <v>115</v>
      </c>
      <c r="C44" s="18" t="str">
        <f>IFERROR(_xlfn.XLOOKUP(KH_26_OPT4_KTQT_v4[[#This Row],[Salesman]],MD_Salesman[Salesman],MD_Salesman[SalesManager]),"")</f>
        <v>Quốc Anh</v>
      </c>
      <c r="D44" s="72" t="str">
        <f>IFERROR(INDEX(MD_Customer[Mã khách],MATCH(KH_26_OPT4_KTQT_v4[[#This Row],[Tên khách]],MD_Customer[Tên khách-rút gọn],0)),"")</f>
        <v>105349</v>
      </c>
      <c r="E44" s="7" t="str">
        <f>IFERROR(INDEX(MD_Customer[Parent Account],MATCH(KH_26_OPT4_KTQT_v4[[#This Row],[Tên khách]],MD_Customer[Tên khách-rút gọn],0)),"")</f>
        <v>MTVN Plastic</v>
      </c>
      <c r="F44" s="35" t="s">
        <v>52</v>
      </c>
      <c r="G44" s="7" t="str">
        <f>IFERROR(INDEX(MD_Customer[Phân loại],MATCH(KH_26_OPT4_KTQT_v4[[#This Row],[Tên khách]],MD_Customer[Tên khách-rút gọn],0)),"")</f>
        <v>Hiện hữu</v>
      </c>
      <c r="H44" s="7" t="str">
        <f>IFERROR(INDEX(MD_Customer[Kênh bán hàng],MATCH(KH_26_OPT4_KTQT_v4[[#This Row],[Tên khách]],MD_Customer[Tên khách-rút gọn],0)),"")</f>
        <v>Nội địa</v>
      </c>
      <c r="I44" s="35" t="s">
        <v>268</v>
      </c>
      <c r="J44" s="7" t="str">
        <f>IFERROR(INDEX(MD_Destination[Nước],MATCH(KH_26_OPT4_KTQT_v4[[#This Row],[Địa điểm đến]],MD_Destination[Địa điểm đến],0)),"")</f>
        <v>Việt Nam</v>
      </c>
      <c r="K44" s="7" t="str">
        <f>IFERROR(INDEX(MD_Destination[Khu vực],MATCH(KH_26_OPT4_KTQT_v4[[#This Row],[Địa điểm đến]],MD_Destination[Địa điểm đến],0)),"")</f>
        <v>Châu Á</v>
      </c>
      <c r="L44" s="35" t="s">
        <v>260</v>
      </c>
      <c r="M44" s="7" t="str">
        <f>IFERROR(INDEX(MD_SKU[Mã SKU],MATCH(KH_26_OPT4_KTQT_v4[[#This Row],[Tên sản phẩm]],MD_SKU[Tên SKU-rút gọn],0)),"")</f>
        <v>110000341</v>
      </c>
      <c r="N44" s="35" t="s">
        <v>486</v>
      </c>
      <c r="O44" s="7" t="str">
        <f>IFERROR(INDEX(MD_SKU[Ngành hàng],MATCH(KH_26_OPT4_KTQT_v4[[#This Row],[Tên sản phẩm]],MD_SKU[Tên SKU-rút gọn],0)),"")</f>
        <v>rHDPE thổi</v>
      </c>
      <c r="P44" s="7" t="str">
        <f>IFERROR(INDEX(MD_SKU[Nhóm ngành],MATCH(KH_26_OPT4_KTQT_v4[[#This Row],[Tên sản phẩm]],MD_SKU[Tên SKU-rút gọn],0)),"")</f>
        <v>Hạt HD thổi</v>
      </c>
      <c r="Q44" s="7" t="str">
        <f>IFERROR(
   IF(INDEX(MD_SKU[IV/IM],MATCH(KH_26_OPT4_KTQT_v4[[#This Row],[Tên sản phẩm]],MD_SKU[Tên SKU-rút gọn],0))=0,
      "",
      INDEX(MD_SKU[IV/IM],MATCH(KH_26_OPT4_KTQT_v4[[#This Row],[Tên sản phẩm]],MD_SKU[Tên SKU-rút gọn],0))
   ),
"")</f>
        <v/>
      </c>
      <c r="R44" s="44" t="str">
        <f>IFERROR(INDEX(MD_SKU[Application],MATCH(KH_26_OPT4_KTQT_v4[[#This Row],[Tên sản phẩm]],MD_SKU[Tên SKU-rút gọn],0)),"")</f>
        <v>THỔI ỐNG</v>
      </c>
      <c r="S44" s="7" t="str">
        <f>IFERROR(INDEX(MD_SKU[Phân loại],MATCH(KH_26_OPT4_KTQT_v4[[#This Row],[Tên sản phẩm]],MD_SKU[Tên SKU-rút gọn],0)),"")</f>
        <v>Cũ</v>
      </c>
      <c r="T44" s="7" t="s">
        <v>52</v>
      </c>
      <c r="U44" s="7" t="s">
        <v>1508</v>
      </c>
      <c r="V44" s="70">
        <v>0.8</v>
      </c>
      <c r="W44" s="33"/>
      <c r="X44" s="33"/>
      <c r="Y44" s="33"/>
      <c r="Z44" s="33"/>
      <c r="AA44" s="33"/>
      <c r="AB44" s="33"/>
      <c r="AC44" s="33"/>
      <c r="AD44" s="33"/>
      <c r="AE44" s="33"/>
      <c r="AF44" s="33"/>
      <c r="AG44" s="33"/>
      <c r="AH44" s="33"/>
      <c r="AI44" s="47">
        <f ca="1">SUM(KH_26_OPT4_KTQT_v4[[#This Row],[SL-01]:[SL-12]])</f>
        <v>0</v>
      </c>
      <c r="AJ44" s="47">
        <f ca="1">SUMIFS(DB_25[SL-DB25],DB_25[Mã khách],KH_26_OPT4_KTQT_v4[[#This Row],[Mã khách]],DB_25[Mã sản phẩm],KH_26_OPT4_KTQT_v4[[#This Row],[Mã sản phẩm]])</f>
        <v>122.625</v>
      </c>
      <c r="AK44" s="20">
        <f ca="1">KH_26_OPT4_KTQT_v4[[#This Row],[SL-KH26]]-KH_26_OPT4_KTQT_v4[[#This Row],[SL-DB25]]</f>
        <v>-122.625</v>
      </c>
      <c r="AL44" s="21">
        <f ca="1">IFERROR(KH_26_OPT4_KTQT_v4[[#This Row],[SL-+/-]]/KH_26_OPT4_KTQT_v4[[#This Row],[SL-DB25]],0)</f>
        <v>-1</v>
      </c>
      <c r="AM44" s="51">
        <v>600</v>
      </c>
      <c r="AN44" s="51">
        <v>600</v>
      </c>
      <c r="AO44" s="51">
        <v>600</v>
      </c>
      <c r="AP44" s="51">
        <v>600</v>
      </c>
      <c r="AQ44" s="51">
        <v>600</v>
      </c>
      <c r="AR44" s="51">
        <v>600</v>
      </c>
      <c r="AS44" s="51">
        <v>600</v>
      </c>
      <c r="AT44" s="51">
        <v>600</v>
      </c>
      <c r="AU44" s="51">
        <v>600</v>
      </c>
      <c r="AV44" s="51">
        <v>600</v>
      </c>
      <c r="AW44" s="51">
        <v>600</v>
      </c>
      <c r="AX44" s="51">
        <v>600</v>
      </c>
      <c r="AY44" s="23">
        <v>600</v>
      </c>
      <c r="AZ44" s="7"/>
      <c r="BA44" s="24">
        <f>KH_26_OPT4_KTQT_v4[[#This Row],[GB-DB25]]-KH_26_OPT4_KTQT_v4[[#This Row],[GB-KH25]]</f>
        <v>600</v>
      </c>
      <c r="BB44" s="21">
        <f>IFERROR(KH_26_OPT4_KTQT_v4[[#This Row],[GB-+/-]]/KH_26_OPT4_KTQT_v4[[#This Row],[GB-KH25]],0)</f>
        <v>0</v>
      </c>
      <c r="BC44" s="21"/>
      <c r="BD44" s="47">
        <f>KH_26_OPT4_KTQT_v4[[#This Row],[SL-01]]*KH_26_OPT4_KTQT_v4[[#This Row],[GB-01]]*EXR</f>
        <v>0</v>
      </c>
      <c r="BE44" s="47">
        <f>KH_26_OPT4_KTQT_v4[[#This Row],[SL-02]]*KH_26_OPT4_KTQT_v4[[#This Row],[GB-02]]*EXR</f>
        <v>0</v>
      </c>
      <c r="BF44" s="47">
        <f>KH_26_OPT4_KTQT_v4[[#This Row],[SL-03]]*KH_26_OPT4_KTQT_v4[[#This Row],[GB-03]]*EXR</f>
        <v>0</v>
      </c>
      <c r="BG44" s="47">
        <f>KH_26_OPT4_KTQT_v4[[#This Row],[SL-04]]*KH_26_OPT4_KTQT_v4[[#This Row],[GB-04]]*EXR</f>
        <v>0</v>
      </c>
      <c r="BH44" s="47">
        <f>KH_26_OPT4_KTQT_v4[[#This Row],[SL-05]]*KH_26_OPT4_KTQT_v4[[#This Row],[GB-05]]*EXR</f>
        <v>0</v>
      </c>
      <c r="BI44" s="47">
        <f>KH_26_OPT4_KTQT_v4[[#This Row],[SL-06]]*KH_26_OPT4_KTQT_v4[[#This Row],[GB-06]]*EXR</f>
        <v>0</v>
      </c>
      <c r="BJ44" s="47">
        <f>KH_26_OPT4_KTQT_v4[[#This Row],[SL-07]]*KH_26_OPT4_KTQT_v4[[#This Row],[GB-07]]*EXR</f>
        <v>0</v>
      </c>
      <c r="BK44" s="47">
        <f>KH_26_OPT4_KTQT_v4[[#This Row],[SL-08]]*KH_26_OPT4_KTQT_v4[[#This Row],[GB-08]]*EXR</f>
        <v>0</v>
      </c>
      <c r="BL44" s="47">
        <f>KH_26_OPT4_KTQT_v4[[#This Row],[SL-09]]*KH_26_OPT4_KTQT_v4[[#This Row],[GB-09]]*EXR</f>
        <v>0</v>
      </c>
      <c r="BM44" s="47">
        <f>KH_26_OPT4_KTQT_v4[[#This Row],[SL-10]]*KH_26_OPT4_KTQT_v4[[#This Row],[GB-10]]*EXR</f>
        <v>0</v>
      </c>
      <c r="BN44" s="47">
        <f>KH_26_OPT4_KTQT_v4[[#This Row],[SL-11]]*KH_26_OPT4_KTQT_v4[[#This Row],[GB-11]]*EXR</f>
        <v>0</v>
      </c>
      <c r="BO44" s="47">
        <f>KH_26_OPT4_KTQT_v4[[#This Row],[SL-12]]*KH_26_OPT4_KTQT_v4[[#This Row],[GB-12]]*EXR</f>
        <v>0</v>
      </c>
      <c r="BP44" s="47">
        <f ca="1">SUM(KH_26_OPT4_KTQT_v4[[#This Row],[DT-EXW-01]:[DT-EXW-12]])</f>
        <v>0</v>
      </c>
      <c r="BQ44" s="47">
        <f ca="1">SUMIFS(DB_25[DT-DB25],DB_25[Mã khách],KH_26_OPT4_KTQT_v4[[#This Row],[Mã khách]],DB_25[Mã sản phẩm],KH_26_OPT4_KTQT_v4[[#This Row],[Mã sản phẩm]])</f>
        <v>1929691564</v>
      </c>
      <c r="BR44" s="47">
        <f ca="1">KH_26_OPT4_KTQT_v4[[#This Row],[DT-EXW-KH26]]-KH_26_OPT4_KTQT_v4[[#This Row],[DT-EXW-DB25]]</f>
        <v>-1929691564</v>
      </c>
      <c r="BS44" s="21">
        <f ca="1">IFERROR(KH_26_OPT4_KTQT_v4[[#This Row],[DT-EXW-+/-]]/KH_26_OPT4_KTQT_v4[[#This Row],[DT-EXW-DB25]],0)</f>
        <v>-1</v>
      </c>
      <c r="BT44" s="139"/>
      <c r="BU44" s="57"/>
      <c r="BV44" s="51"/>
      <c r="BW44" s="47">
        <f>IF(KH_26_OPT4_KTQT_v4[[#This Row],[CPHH-%-SL]]="Dthu",KH_26_OPT4_KTQT_v4[[#This Row],[%HH]]*KH_26_OPT4_KTQT_v4[[#This Row],[DT-EXW-01]],KH_26_OPT4_KTQT_v4[[#This Row],[HH-SL]]*KH_26_OPT4_KTQT_v4[[#This Row],[SL-01]])</f>
        <v>0</v>
      </c>
      <c r="BX44" s="47">
        <f>IF(KH_26_OPT4_KTQT_v4[[#This Row],[CPHH-%-SL]]="Dthu",KH_26_OPT4_KTQT_v4[[#This Row],[%HH]]*KH_26_OPT4_KTQT_v4[[#This Row],[DT-EXW-02]],KH_26_OPT4_KTQT_v4[[#This Row],[HH-SL]]*KH_26_OPT4_KTQT_v4[[#This Row],[SL-02]])</f>
        <v>0</v>
      </c>
      <c r="BY44" s="47">
        <f>IF(KH_26_OPT4_KTQT_v4[[#This Row],[CPHH-%-SL]]="Dthu",KH_26_OPT4_KTQT_v4[[#This Row],[%HH]]*KH_26_OPT4_KTQT_v4[[#This Row],[DT-EXW-03]],KH_26_OPT4_KTQT_v4[[#This Row],[HH-SL]]*KH_26_OPT4_KTQT_v4[[#This Row],[SL-03]])</f>
        <v>0</v>
      </c>
      <c r="BZ44" s="47">
        <f>IF(KH_26_OPT4_KTQT_v4[[#This Row],[CPHH-%-SL]]="Dthu",KH_26_OPT4_KTQT_v4[[#This Row],[%HH]]*KH_26_OPT4_KTQT_v4[[#This Row],[DT-EXW-04]],KH_26_OPT4_KTQT_v4[[#This Row],[HH-SL]]*KH_26_OPT4_KTQT_v4[[#This Row],[SL-04]])</f>
        <v>0</v>
      </c>
      <c r="CA44" s="47">
        <f>IF(KH_26_OPT4_KTQT_v4[[#This Row],[CPHH-%-SL]]="Dthu",KH_26_OPT4_KTQT_v4[[#This Row],[%HH]]*KH_26_OPT4_KTQT_v4[[#This Row],[DT-EXW-05]],KH_26_OPT4_KTQT_v4[[#This Row],[HH-SL]]*KH_26_OPT4_KTQT_v4[[#This Row],[SL-05]])</f>
        <v>0</v>
      </c>
      <c r="CB44" s="47">
        <f>IF(KH_26_OPT4_KTQT_v4[[#This Row],[CPHH-%-SL]]="Dthu",KH_26_OPT4_KTQT_v4[[#This Row],[%HH]]*KH_26_OPT4_KTQT_v4[[#This Row],[DT-EXW-06]],KH_26_OPT4_KTQT_v4[[#This Row],[HH-SL]]*KH_26_OPT4_KTQT_v4[[#This Row],[SL-06]])</f>
        <v>0</v>
      </c>
      <c r="CC44" s="47">
        <f>IF(KH_26_OPT4_KTQT_v4[[#This Row],[CPHH-%-SL]]="Dthu",KH_26_OPT4_KTQT_v4[[#This Row],[%HH]]*KH_26_OPT4_KTQT_v4[[#This Row],[DT-EXW-07]],KH_26_OPT4_KTQT_v4[[#This Row],[HH-SL]]*KH_26_OPT4_KTQT_v4[[#This Row],[SL-07]])</f>
        <v>0</v>
      </c>
      <c r="CD44" s="47">
        <f>IF(KH_26_OPT4_KTQT_v4[[#This Row],[CPHH-%-SL]]="Dthu",KH_26_OPT4_KTQT_v4[[#This Row],[%HH]]*KH_26_OPT4_KTQT_v4[[#This Row],[DT-EXW-08]],KH_26_OPT4_KTQT_v4[[#This Row],[HH-SL]]*KH_26_OPT4_KTQT_v4[[#This Row],[SL-08]])</f>
        <v>0</v>
      </c>
      <c r="CE44" s="47">
        <f>IF(KH_26_OPT4_KTQT_v4[[#This Row],[CPHH-%-SL]]="Dthu",KH_26_OPT4_KTQT_v4[[#This Row],[%HH]]*KH_26_OPT4_KTQT_v4[[#This Row],[DT-EXW-09]],KH_26_OPT4_KTQT_v4[[#This Row],[HH-SL]]*KH_26_OPT4_KTQT_v4[[#This Row],[SL-09]])</f>
        <v>0</v>
      </c>
      <c r="CF44" s="47">
        <f>IF(KH_26_OPT4_KTQT_v4[[#This Row],[CPHH-%-SL]]="Dthu",KH_26_OPT4_KTQT_v4[[#This Row],[%HH]]*KH_26_OPT4_KTQT_v4[[#This Row],[DT-EXW-10]],KH_26_OPT4_KTQT_v4[[#This Row],[HH-SL]]*KH_26_OPT4_KTQT_v4[[#This Row],[SL-10]])</f>
        <v>0</v>
      </c>
      <c r="CG44" s="47">
        <f>IF(KH_26_OPT4_KTQT_v4[[#This Row],[CPHH-%-SL]]="Dthu",KH_26_OPT4_KTQT_v4[[#This Row],[%HH]]*KH_26_OPT4_KTQT_v4[[#This Row],[DT-EXW-11]],KH_26_OPT4_KTQT_v4[[#This Row],[HH-SL]]*KH_26_OPT4_KTQT_v4[[#This Row],[SL-11]])</f>
        <v>0</v>
      </c>
      <c r="CH44" s="47">
        <f>IF(KH_26_OPT4_KTQT_v4[[#This Row],[CPHH-%-SL]]="Dthu",KH_26_OPT4_KTQT_v4[[#This Row],[%HH]]*KH_26_OPT4_KTQT_v4[[#This Row],[DT-EXW-12]],KH_26_OPT4_KTQT_v4[[#This Row],[HH-SL]]*KH_26_OPT4_KTQT_v4[[#This Row],[SL-12]])</f>
        <v>0</v>
      </c>
      <c r="CI44" s="47">
        <f ca="1">SUM(KH_26_OPT4_KTQT_v4[[#This Row],[CPHH-01]:[CPHH-12]])</f>
        <v>0</v>
      </c>
      <c r="CJ44" s="47" cm="1">
        <f t="array" ref="CJ44">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44" s="19">
        <f ca="1">SUM(KH_26_OPT4_KTQT_v4[[#This Row],[ĐGVCNĐ-KXK]:[ĐGVCCT-KXK]])</f>
        <v>0</v>
      </c>
      <c r="CL44" s="47" cm="1">
        <f t="array" ref="CL44">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44" s="47" cm="1">
        <f t="array" ref="CM44">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44" s="47">
        <f ca="1">(KH_26_OPT4_KTQT_v4[[#This Row],[ĐGVC-KNĐ]]+KH_26_OPT4_KTQT_v4[[#This Row],[ĐGVC-KXK]])*KH_26_OPT4_KTQT_v4[[#This Row],[SL-01]]</f>
        <v>0</v>
      </c>
      <c r="CO44" s="47">
        <f ca="1">(KH_26_OPT4_KTQT_v4[[#This Row],[ĐGVC-KNĐ]]+KH_26_OPT4_KTQT_v4[[#This Row],[ĐGVC-KXK]])*KH_26_OPT4_KTQT_v4[[#This Row],[SL-02]]</f>
        <v>0</v>
      </c>
      <c r="CP44" s="47">
        <f ca="1">(KH_26_OPT4_KTQT_v4[[#This Row],[ĐGVC-KNĐ]]+KH_26_OPT4_KTQT_v4[[#This Row],[ĐGVC-KXK]])*KH_26_OPT4_KTQT_v4[[#This Row],[SL-03]]</f>
        <v>0</v>
      </c>
      <c r="CQ44" s="47">
        <f ca="1">(KH_26_OPT4_KTQT_v4[[#This Row],[ĐGVC-KNĐ]]+KH_26_OPT4_KTQT_v4[[#This Row],[ĐGVC-KXK]])*KH_26_OPT4_KTQT_v4[[#This Row],[SL-04]]</f>
        <v>0</v>
      </c>
      <c r="CR44" s="47">
        <f ca="1">(KH_26_OPT4_KTQT_v4[[#This Row],[ĐGVC-KNĐ]]+KH_26_OPT4_KTQT_v4[[#This Row],[ĐGVC-KXK]])*KH_26_OPT4_KTQT_v4[[#This Row],[SL-05]]</f>
        <v>0</v>
      </c>
      <c r="CS44" s="47">
        <f ca="1">(KH_26_OPT4_KTQT_v4[[#This Row],[ĐGVC-KNĐ]]+KH_26_OPT4_KTQT_v4[[#This Row],[ĐGVC-KXK]])*KH_26_OPT4_KTQT_v4[[#This Row],[SL-06]]</f>
        <v>0</v>
      </c>
      <c r="CT44" s="47">
        <f ca="1">(KH_26_OPT4_KTQT_v4[[#This Row],[ĐGVC-KNĐ]]+KH_26_OPT4_KTQT_v4[[#This Row],[ĐGVC-KXK]])*KH_26_OPT4_KTQT_v4[[#This Row],[SL-07]]</f>
        <v>0</v>
      </c>
      <c r="CU44" s="47">
        <f ca="1">(KH_26_OPT4_KTQT_v4[[#This Row],[ĐGVC-KNĐ]]+KH_26_OPT4_KTQT_v4[[#This Row],[ĐGVC-KXK]])*KH_26_OPT4_KTQT_v4[[#This Row],[SL-08]]</f>
        <v>0</v>
      </c>
      <c r="CV44" s="47">
        <f ca="1">(KH_26_OPT4_KTQT_v4[[#This Row],[ĐGVC-KNĐ]]+KH_26_OPT4_KTQT_v4[[#This Row],[ĐGVC-KXK]])*KH_26_OPT4_KTQT_v4[[#This Row],[SL-09]]</f>
        <v>0</v>
      </c>
      <c r="CW44" s="47">
        <f ca="1">(KH_26_OPT4_KTQT_v4[[#This Row],[ĐGVC-KNĐ]]+KH_26_OPT4_KTQT_v4[[#This Row],[ĐGVC-KXK]])*KH_26_OPT4_KTQT_v4[[#This Row],[SL-10]]</f>
        <v>0</v>
      </c>
      <c r="CX44" s="47">
        <f ca="1">(KH_26_OPT4_KTQT_v4[[#This Row],[ĐGVC-KNĐ]]+KH_26_OPT4_KTQT_v4[[#This Row],[ĐGVC-KXK]])*KH_26_OPT4_KTQT_v4[[#This Row],[SL-11]]</f>
        <v>0</v>
      </c>
      <c r="CY44" s="47">
        <f ca="1">(KH_26_OPT4_KTQT_v4[[#This Row],[ĐGVC-KNĐ]]+KH_26_OPT4_KTQT_v4[[#This Row],[ĐGVC-KXK]])*KH_26_OPT4_KTQT_v4[[#This Row],[SL-12]]</f>
        <v>0</v>
      </c>
      <c r="CZ44" s="47">
        <f ca="1">SUM(KH_26_OPT4_KTQT_v4[[#This Row],[CPVC-01]:[CPVC-12]])</f>
        <v>0</v>
      </c>
      <c r="DA44" s="124">
        <f ca="1">KH_26_OPT4_KTQT_v4[[#This Row],[DT-EXW-01]]+KH_26_OPT4_KTQT_v4[[#This Row],[CPVC-01]]+KH_26_OPT4_KTQT_v4[[#This Row],[CPHH-01]]</f>
        <v>0</v>
      </c>
      <c r="DB44" s="47">
        <f ca="1">KH_26_OPT4_KTQT_v4[[#This Row],[DT-EXW-02]]+KH_26_OPT4_KTQT_v4[[#This Row],[CPVC-02]]+KH_26_OPT4_KTQT_v4[[#This Row],[CPHH-02]]</f>
        <v>0</v>
      </c>
      <c r="DC44" s="47">
        <f ca="1">KH_26_OPT4_KTQT_v4[[#This Row],[DT-EXW-03]]+KH_26_OPT4_KTQT_v4[[#This Row],[CPVC-03]]+KH_26_OPT4_KTQT_v4[[#This Row],[CPHH-03]]</f>
        <v>0</v>
      </c>
      <c r="DD44" s="47">
        <f ca="1">KH_26_OPT4_KTQT_v4[[#This Row],[DT-EXW-04]]+KH_26_OPT4_KTQT_v4[[#This Row],[CPVC-04]]+KH_26_OPT4_KTQT_v4[[#This Row],[CPHH-04]]</f>
        <v>0</v>
      </c>
      <c r="DE44" s="47">
        <f ca="1">KH_26_OPT4_KTQT_v4[[#This Row],[DT-EXW-05]]+KH_26_OPT4_KTQT_v4[[#This Row],[CPVC-05]]+KH_26_OPT4_KTQT_v4[[#This Row],[CPHH-05]]</f>
        <v>0</v>
      </c>
      <c r="DF44" s="47">
        <f ca="1">KH_26_OPT4_KTQT_v4[[#This Row],[DT-EXW-06]]+KH_26_OPT4_KTQT_v4[[#This Row],[CPVC-06]]+KH_26_OPT4_KTQT_v4[[#This Row],[CPHH-06]]</f>
        <v>0</v>
      </c>
      <c r="DG44" s="47">
        <f ca="1">KH_26_OPT4_KTQT_v4[[#This Row],[DT-EXW-07]]+KH_26_OPT4_KTQT_v4[[#This Row],[CPVC-07]]+KH_26_OPT4_KTQT_v4[[#This Row],[CPHH-07]]</f>
        <v>0</v>
      </c>
      <c r="DH44" s="47">
        <f ca="1">KH_26_OPT4_KTQT_v4[[#This Row],[DT-EXW-08]]+KH_26_OPT4_KTQT_v4[[#This Row],[CPVC-08]]+KH_26_OPT4_KTQT_v4[[#This Row],[CPHH-08]]</f>
        <v>0</v>
      </c>
      <c r="DI44" s="47">
        <f ca="1">KH_26_OPT4_KTQT_v4[[#This Row],[DT-EXW-09]]+KH_26_OPT4_KTQT_v4[[#This Row],[CPVC-09]]+KH_26_OPT4_KTQT_v4[[#This Row],[CPHH-09]]</f>
        <v>0</v>
      </c>
      <c r="DJ44" s="47">
        <f ca="1">KH_26_OPT4_KTQT_v4[[#This Row],[DT-EXW-10]]+KH_26_OPT4_KTQT_v4[[#This Row],[CPVC-10]]+KH_26_OPT4_KTQT_v4[[#This Row],[CPHH-10]]</f>
        <v>0</v>
      </c>
      <c r="DK44" s="47">
        <f ca="1">KH_26_OPT4_KTQT_v4[[#This Row],[DT-EXW-11]]+KH_26_OPT4_KTQT_v4[[#This Row],[CPVC-11]]+KH_26_OPT4_KTQT_v4[[#This Row],[CPHH-11]]</f>
        <v>0</v>
      </c>
      <c r="DL44" s="47">
        <f ca="1">KH_26_OPT4_KTQT_v4[[#This Row],[DT-EXW-12]]+KH_26_OPT4_KTQT_v4[[#This Row],[CPVC-12]]+KH_26_OPT4_KTQT_v4[[#This Row],[CPHH-12]]</f>
        <v>0</v>
      </c>
      <c r="DM44" s="47">
        <f ca="1">SUM(KH_26_OPT4_KTQT_v4[[#This Row],[DT-01]:[DT-12]])</f>
        <v>0</v>
      </c>
      <c r="DN44" s="7"/>
      <c r="DO44" s="7"/>
      <c r="DP44" s="125"/>
      <c r="DQ44" s="136"/>
      <c r="DR44" s="132">
        <f>IFERROR(KH_26_OPT4_KTQT_v4[[#This Row],[DT-EXW-01]]*KH_26_OPT4_KTQT_v4[[#This Row],[%CPDP]],0)</f>
        <v>0</v>
      </c>
      <c r="DS44" s="132">
        <f>IFERROR(KH_26_OPT4_KTQT_v4[[#This Row],[DT-EXW-02]]*KH_26_OPT4_KTQT_v4[[#This Row],[%CPDP]],0)</f>
        <v>0</v>
      </c>
      <c r="DT44" s="132">
        <f>IFERROR(KH_26_OPT4_KTQT_v4[[#This Row],[DT-EXW-03]]*KH_26_OPT4_KTQT_v4[[#This Row],[%CPDP]],0)</f>
        <v>0</v>
      </c>
      <c r="DU44" s="132">
        <f>IFERROR(KH_26_OPT4_KTQT_v4[[#This Row],[DT-EXW-04]]*KH_26_OPT4_KTQT_v4[[#This Row],[%CPDP]],0)</f>
        <v>0</v>
      </c>
      <c r="DV44" s="132">
        <f>IFERROR(KH_26_OPT4_KTQT_v4[[#This Row],[DT-EXW-05]]*KH_26_OPT4_KTQT_v4[[#This Row],[%CPDP]],0)</f>
        <v>0</v>
      </c>
      <c r="DW44" s="132">
        <f>IFERROR(KH_26_OPT4_KTQT_v4[[#This Row],[DT-EXW-06]]*KH_26_OPT4_KTQT_v4[[#This Row],[%CPDP]],0)</f>
        <v>0</v>
      </c>
      <c r="DX44" s="132">
        <f>IFERROR(KH_26_OPT4_KTQT_v4[[#This Row],[DT-EXW-07]]*KH_26_OPT4_KTQT_v4[[#This Row],[%CPDP]],0)</f>
        <v>0</v>
      </c>
      <c r="DY44" s="132">
        <f>IFERROR(KH_26_OPT4_KTQT_v4[[#This Row],[DT-EXW-08]]*KH_26_OPT4_KTQT_v4[[#This Row],[%CPDP]],0)</f>
        <v>0</v>
      </c>
      <c r="DZ44" s="132">
        <f>IFERROR(KH_26_OPT4_KTQT_v4[[#This Row],[DT-EXW-09]]*KH_26_OPT4_KTQT_v4[[#This Row],[%CPDP]],0)</f>
        <v>0</v>
      </c>
      <c r="EA44" s="132">
        <f>IFERROR(KH_26_OPT4_KTQT_v4[[#This Row],[DT-EXW-10]]*KH_26_OPT4_KTQT_v4[[#This Row],[%CPDP]],0)</f>
        <v>0</v>
      </c>
      <c r="EB44" s="132">
        <f>IFERROR(KH_26_OPT4_KTQT_v4[[#This Row],[DT-EXW-11]]*KH_26_OPT4_KTQT_v4[[#This Row],[%CPDP]],0)</f>
        <v>0</v>
      </c>
      <c r="EC44" s="132">
        <f>IFERROR(KH_26_OPT4_KTQT_v4[[#This Row],[DT-EXW-12]]*KH_26_OPT4_KTQT_v4[[#This Row],[%CPDP]],0)</f>
        <v>0</v>
      </c>
      <c r="ED44" s="131">
        <f ca="1">SUM(KH_26_OPT4_KTQT_v4[[#This Row],[CPDP-01]:[CPDP-12]])</f>
        <v>0</v>
      </c>
    </row>
    <row r="45" spans="1:134" ht="14.65" hidden="1" customHeight="1" x14ac:dyDescent="0.35">
      <c r="A45" s="18">
        <v>40</v>
      </c>
      <c r="B45" s="71" t="s">
        <v>104</v>
      </c>
      <c r="C45" s="18" t="str">
        <f>IFERROR(_xlfn.XLOOKUP(KH_26_OPT4_KTQT_v4[[#This Row],[Salesman]],MD_Salesman[Salesman],MD_Salesman[SalesManager]),"")</f>
        <v>Quốc Anh</v>
      </c>
      <c r="D45" s="72" t="str">
        <f>IFERROR(INDEX(MD_Customer[Mã khách],MATCH(KH_26_OPT4_KTQT_v4[[#This Row],[Tên khách]],MD_Customer[Tên khách-rút gọn],0)),"")</f>
        <v>200344</v>
      </c>
      <c r="E45" s="7" t="str">
        <f>IFERROR(INDEX(MD_Customer[Parent Account],MATCH(KH_26_OPT4_KTQT_v4[[#This Row],[Tên khách]],MD_Customer[Tên khách-rút gọn],0)),"")</f>
        <v>Wiese</v>
      </c>
      <c r="F45" s="35" t="s">
        <v>153</v>
      </c>
      <c r="G45" s="7" t="str">
        <f>IFERROR(INDEX(MD_Customer[Phân loại],MATCH(KH_26_OPT4_KTQT_v4[[#This Row],[Tên khách]],MD_Customer[Tên khách-rút gọn],0)),"")</f>
        <v>Mới</v>
      </c>
      <c r="H45" s="7" t="str">
        <f>IFERROR(INDEX(MD_Customer[Kênh bán hàng],MATCH(KH_26_OPT4_KTQT_v4[[#This Row],[Tên khách]],MD_Customer[Tên khách-rút gọn],0)),"")</f>
        <v>Xuất Khẩu</v>
      </c>
      <c r="I45" s="35" t="s">
        <v>300</v>
      </c>
      <c r="J45" s="7" t="str">
        <f>IFERROR(INDEX(MD_Destination[Nước],MATCH(KH_26_OPT4_KTQT_v4[[#This Row],[Địa điểm đến]],MD_Destination[Địa điểm đến],0)),"")</f>
        <v>Mexico</v>
      </c>
      <c r="K45" s="7" t="str">
        <f>IFERROR(INDEX(MD_Destination[Khu vực],MATCH(KH_26_OPT4_KTQT_v4[[#This Row],[Địa điểm đến]],MD_Destination[Địa điểm đến],0)),"")</f>
        <v>Châu Mỹ</v>
      </c>
      <c r="L45" s="35" t="s">
        <v>285</v>
      </c>
      <c r="M45" s="7" t="str">
        <f>IFERROR(INDEX(MD_SKU[Mã SKU],MATCH(KH_26_OPT4_KTQT_v4[[#This Row],[Tên sản phẩm]],MD_SKU[Tên SKU-rút gọn],0)),"")</f>
        <v>110000443</v>
      </c>
      <c r="N45" s="35" t="s">
        <v>504</v>
      </c>
      <c r="O45" s="7" t="str">
        <f>IFERROR(INDEX(MD_SKU[Ngành hàng],MATCH(KH_26_OPT4_KTQT_v4[[#This Row],[Tên sản phẩm]],MD_SKU[Tên SKU-rút gọn],0)),"")</f>
        <v>rHDPE thổi</v>
      </c>
      <c r="P45" s="7" t="str">
        <f>IFERROR(INDEX(MD_SKU[Nhóm ngành],MATCH(KH_26_OPT4_KTQT_v4[[#This Row],[Tên sản phẩm]],MD_SKU[Tên SKU-rút gọn],0)),"")</f>
        <v>Hạt HD thổi</v>
      </c>
      <c r="Q45" s="7" t="str">
        <f>IFERROR(
   IF(INDEX(MD_SKU[IV/IM],MATCH(KH_26_OPT4_KTQT_v4[[#This Row],[Tên sản phẩm]],MD_SKU[Tên SKU-rút gọn],0))=0,
      "",
      INDEX(MD_SKU[IV/IM],MATCH(KH_26_OPT4_KTQT_v4[[#This Row],[Tên sản phẩm]],MD_SKU[Tên SKU-rút gọn],0))
   ),
"")</f>
        <v/>
      </c>
      <c r="R45" s="44" t="str">
        <f>IFERROR(INDEX(MD_SKU[Application],MATCH(KH_26_OPT4_KTQT_v4[[#This Row],[Tên sản phẩm]],MD_SKU[Tên SKU-rút gọn],0)),"")</f>
        <v>THỔI CHAI</v>
      </c>
      <c r="S45" s="7" t="str">
        <f>IFERROR(INDEX(MD_SKU[Phân loại],MATCH(KH_26_OPT4_KTQT_v4[[#This Row],[Tên sản phẩm]],MD_SKU[Tên SKU-rút gọn],0)),"")</f>
        <v>Cũ</v>
      </c>
      <c r="T45" s="7" t="s">
        <v>153</v>
      </c>
      <c r="U45" s="7" t="s">
        <v>1508</v>
      </c>
      <c r="V45" s="70">
        <v>0.8</v>
      </c>
      <c r="W45" s="7">
        <v>0</v>
      </c>
      <c r="X45" s="7">
        <v>22</v>
      </c>
      <c r="Y45" s="7">
        <v>22</v>
      </c>
      <c r="Z45" s="7">
        <v>22</v>
      </c>
      <c r="AA45" s="7">
        <v>22</v>
      </c>
      <c r="AB45" s="7">
        <v>22</v>
      </c>
      <c r="AC45" s="7">
        <v>44</v>
      </c>
      <c r="AD45" s="7">
        <v>44</v>
      </c>
      <c r="AE45" s="7">
        <v>44</v>
      </c>
      <c r="AF45" s="7">
        <v>44</v>
      </c>
      <c r="AG45" s="7">
        <v>44</v>
      </c>
      <c r="AH45" s="7">
        <v>44</v>
      </c>
      <c r="AI45" s="47">
        <f ca="1">SUM(KH_26_OPT4_KTQT_v4[[#This Row],[SL-01]:[SL-12]])</f>
        <v>374</v>
      </c>
      <c r="AJ45" s="47">
        <f ca="1">SUMIFS(DB_25[SL-DB25],DB_25[Mã khách],KH_26_OPT4_KTQT_v4[[#This Row],[Mã khách]],DB_25[Mã sản phẩm],KH_26_OPT4_KTQT_v4[[#This Row],[Mã sản phẩm]])</f>
        <v>0</v>
      </c>
      <c r="AK45" s="20">
        <f ca="1">KH_26_OPT4_KTQT_v4[[#This Row],[SL-KH26]]-KH_26_OPT4_KTQT_v4[[#This Row],[SL-DB25]]</f>
        <v>374</v>
      </c>
      <c r="AL45" s="21">
        <f ca="1">IFERROR(KH_26_OPT4_KTQT_v4[[#This Row],[SL-+/-]]/KH_26_OPT4_KTQT_v4[[#This Row],[SL-DB25]],0)</f>
        <v>0</v>
      </c>
      <c r="AM45" s="51">
        <v>1260</v>
      </c>
      <c r="AN45" s="51">
        <v>1241</v>
      </c>
      <c r="AO45" s="51">
        <v>1222</v>
      </c>
      <c r="AP45" s="51">
        <v>1203</v>
      </c>
      <c r="AQ45" s="51">
        <v>1184</v>
      </c>
      <c r="AR45" s="51">
        <v>1165</v>
      </c>
      <c r="AS45" s="51">
        <v>1146</v>
      </c>
      <c r="AT45" s="51">
        <v>1127</v>
      </c>
      <c r="AU45" s="51">
        <v>1108</v>
      </c>
      <c r="AV45" s="51">
        <v>1089</v>
      </c>
      <c r="AW45" s="51">
        <v>1070</v>
      </c>
      <c r="AX45" s="51">
        <v>1051</v>
      </c>
      <c r="AY45" s="23">
        <v>1155.5</v>
      </c>
      <c r="AZ45" s="7"/>
      <c r="BA45" s="24">
        <f>KH_26_OPT4_KTQT_v4[[#This Row],[GB-DB25]]-KH_26_OPT4_KTQT_v4[[#This Row],[GB-KH25]]</f>
        <v>1155.5</v>
      </c>
      <c r="BB45" s="21">
        <f>IFERROR(KH_26_OPT4_KTQT_v4[[#This Row],[GB-+/-]]/KH_26_OPT4_KTQT_v4[[#This Row],[GB-KH25]],0)</f>
        <v>0</v>
      </c>
      <c r="BC45" s="21"/>
      <c r="BD45" s="47">
        <f>KH_26_OPT4_KTQT_v4[[#This Row],[SL-01]]*KH_26_OPT4_KTQT_v4[[#This Row],[GB-01]]*EXR</f>
        <v>0</v>
      </c>
      <c r="BE45" s="47">
        <f>KH_26_OPT4_KTQT_v4[[#This Row],[SL-02]]*KH_26_OPT4_KTQT_v4[[#This Row],[GB-02]]*EXR</f>
        <v>723503000</v>
      </c>
      <c r="BF45" s="47">
        <f>KH_26_OPT4_KTQT_v4[[#This Row],[SL-03]]*KH_26_OPT4_KTQT_v4[[#This Row],[GB-03]]*EXR</f>
        <v>712426000</v>
      </c>
      <c r="BG45" s="47">
        <f>KH_26_OPT4_KTQT_v4[[#This Row],[SL-04]]*KH_26_OPT4_KTQT_v4[[#This Row],[GB-04]]*EXR</f>
        <v>701349000</v>
      </c>
      <c r="BH45" s="47">
        <f>KH_26_OPT4_KTQT_v4[[#This Row],[SL-05]]*KH_26_OPT4_KTQT_v4[[#This Row],[GB-05]]*EXR</f>
        <v>690272000</v>
      </c>
      <c r="BI45" s="47">
        <f>KH_26_OPT4_KTQT_v4[[#This Row],[SL-06]]*KH_26_OPT4_KTQT_v4[[#This Row],[GB-06]]*EXR</f>
        <v>679195000</v>
      </c>
      <c r="BJ45" s="47">
        <f>KH_26_OPT4_KTQT_v4[[#This Row],[SL-07]]*KH_26_OPT4_KTQT_v4[[#This Row],[GB-07]]*EXR</f>
        <v>1336236000</v>
      </c>
      <c r="BK45" s="47">
        <f>KH_26_OPT4_KTQT_v4[[#This Row],[SL-08]]*KH_26_OPT4_KTQT_v4[[#This Row],[GB-08]]*EXR</f>
        <v>1314082000</v>
      </c>
      <c r="BL45" s="47">
        <f>KH_26_OPT4_KTQT_v4[[#This Row],[SL-09]]*KH_26_OPT4_KTQT_v4[[#This Row],[GB-09]]*EXR</f>
        <v>1291928000</v>
      </c>
      <c r="BM45" s="47">
        <f>KH_26_OPT4_KTQT_v4[[#This Row],[SL-10]]*KH_26_OPT4_KTQT_v4[[#This Row],[GB-10]]*EXR</f>
        <v>1269774000</v>
      </c>
      <c r="BN45" s="47">
        <f>KH_26_OPT4_KTQT_v4[[#This Row],[SL-11]]*KH_26_OPT4_KTQT_v4[[#This Row],[GB-11]]*EXR</f>
        <v>1247620000</v>
      </c>
      <c r="BO45" s="47">
        <f>KH_26_OPT4_KTQT_v4[[#This Row],[SL-12]]*KH_26_OPT4_KTQT_v4[[#This Row],[GB-12]]*EXR</f>
        <v>1225466000</v>
      </c>
      <c r="BP45" s="47">
        <f ca="1">SUM(KH_26_OPT4_KTQT_v4[[#This Row],[DT-EXW-01]:[DT-EXW-12]])</f>
        <v>11191851000</v>
      </c>
      <c r="BQ45" s="47">
        <f ca="1">SUMIFS(DB_25[DT-DB25],DB_25[Mã khách],KH_26_OPT4_KTQT_v4[[#This Row],[Mã khách]],DB_25[Mã sản phẩm],KH_26_OPT4_KTQT_v4[[#This Row],[Mã sản phẩm]])</f>
        <v>0</v>
      </c>
      <c r="BR45" s="19">
        <f ca="1">KH_26_OPT4_KTQT_v4[[#This Row],[DT-EXW-KH26]]-KH_26_OPT4_KTQT_v4[[#This Row],[DT-EXW-DB25]]</f>
        <v>11191851000</v>
      </c>
      <c r="BS45" s="21">
        <f ca="1">IFERROR(KH_26_OPT4_KTQT_v4[[#This Row],[DT-EXW-+/-]]/KH_26_OPT4_KTQT_v4[[#This Row],[DT-EXW-DB25]],0)</f>
        <v>0</v>
      </c>
      <c r="BT45" s="139"/>
      <c r="BU45" s="57"/>
      <c r="BV45" s="51"/>
      <c r="BW45" s="47">
        <f>IF(KH_26_OPT4_KTQT_v4[[#This Row],[CPHH-%-SL]]="Dthu",KH_26_OPT4_KTQT_v4[[#This Row],[%HH]]*KH_26_OPT4_KTQT_v4[[#This Row],[DT-EXW-01]],KH_26_OPT4_KTQT_v4[[#This Row],[HH-SL]]*KH_26_OPT4_KTQT_v4[[#This Row],[SL-01]])</f>
        <v>0</v>
      </c>
      <c r="BX45" s="47">
        <f>IF(KH_26_OPT4_KTQT_v4[[#This Row],[CPHH-%-SL]]="Dthu",KH_26_OPT4_KTQT_v4[[#This Row],[%HH]]*KH_26_OPT4_KTQT_v4[[#This Row],[DT-EXW-02]],KH_26_OPT4_KTQT_v4[[#This Row],[HH-SL]]*KH_26_OPT4_KTQT_v4[[#This Row],[SL-02]])</f>
        <v>0</v>
      </c>
      <c r="BY45" s="47">
        <f>IF(KH_26_OPT4_KTQT_v4[[#This Row],[CPHH-%-SL]]="Dthu",KH_26_OPT4_KTQT_v4[[#This Row],[%HH]]*KH_26_OPT4_KTQT_v4[[#This Row],[DT-EXW-03]],KH_26_OPT4_KTQT_v4[[#This Row],[HH-SL]]*KH_26_OPT4_KTQT_v4[[#This Row],[SL-03]])</f>
        <v>0</v>
      </c>
      <c r="BZ45" s="47">
        <f>IF(KH_26_OPT4_KTQT_v4[[#This Row],[CPHH-%-SL]]="Dthu",KH_26_OPT4_KTQT_v4[[#This Row],[%HH]]*KH_26_OPT4_KTQT_v4[[#This Row],[DT-EXW-04]],KH_26_OPT4_KTQT_v4[[#This Row],[HH-SL]]*KH_26_OPT4_KTQT_v4[[#This Row],[SL-04]])</f>
        <v>0</v>
      </c>
      <c r="CA45" s="47">
        <f>IF(KH_26_OPT4_KTQT_v4[[#This Row],[CPHH-%-SL]]="Dthu",KH_26_OPT4_KTQT_v4[[#This Row],[%HH]]*KH_26_OPT4_KTQT_v4[[#This Row],[DT-EXW-05]],KH_26_OPT4_KTQT_v4[[#This Row],[HH-SL]]*KH_26_OPT4_KTQT_v4[[#This Row],[SL-05]])</f>
        <v>0</v>
      </c>
      <c r="CB45" s="47">
        <f>IF(KH_26_OPT4_KTQT_v4[[#This Row],[CPHH-%-SL]]="Dthu",KH_26_OPT4_KTQT_v4[[#This Row],[%HH]]*KH_26_OPT4_KTQT_v4[[#This Row],[DT-EXW-06]],KH_26_OPT4_KTQT_v4[[#This Row],[HH-SL]]*KH_26_OPT4_KTQT_v4[[#This Row],[SL-06]])</f>
        <v>0</v>
      </c>
      <c r="CC45" s="47">
        <f>IF(KH_26_OPT4_KTQT_v4[[#This Row],[CPHH-%-SL]]="Dthu",KH_26_OPT4_KTQT_v4[[#This Row],[%HH]]*KH_26_OPT4_KTQT_v4[[#This Row],[DT-EXW-07]],KH_26_OPT4_KTQT_v4[[#This Row],[HH-SL]]*KH_26_OPT4_KTQT_v4[[#This Row],[SL-07]])</f>
        <v>0</v>
      </c>
      <c r="CD45" s="47">
        <f>IF(KH_26_OPT4_KTQT_v4[[#This Row],[CPHH-%-SL]]="Dthu",KH_26_OPT4_KTQT_v4[[#This Row],[%HH]]*KH_26_OPT4_KTQT_v4[[#This Row],[DT-EXW-08]],KH_26_OPT4_KTQT_v4[[#This Row],[HH-SL]]*KH_26_OPT4_KTQT_v4[[#This Row],[SL-08]])</f>
        <v>0</v>
      </c>
      <c r="CE45" s="47">
        <f>IF(KH_26_OPT4_KTQT_v4[[#This Row],[CPHH-%-SL]]="Dthu",KH_26_OPT4_KTQT_v4[[#This Row],[%HH]]*KH_26_OPT4_KTQT_v4[[#This Row],[DT-EXW-09]],KH_26_OPT4_KTQT_v4[[#This Row],[HH-SL]]*KH_26_OPT4_KTQT_v4[[#This Row],[SL-09]])</f>
        <v>0</v>
      </c>
      <c r="CF45" s="47">
        <f>IF(KH_26_OPT4_KTQT_v4[[#This Row],[CPHH-%-SL]]="Dthu",KH_26_OPT4_KTQT_v4[[#This Row],[%HH]]*KH_26_OPT4_KTQT_v4[[#This Row],[DT-EXW-10]],KH_26_OPT4_KTQT_v4[[#This Row],[HH-SL]]*KH_26_OPT4_KTQT_v4[[#This Row],[SL-10]])</f>
        <v>0</v>
      </c>
      <c r="CG45" s="47">
        <f>IF(KH_26_OPT4_KTQT_v4[[#This Row],[CPHH-%-SL]]="Dthu",KH_26_OPT4_KTQT_v4[[#This Row],[%HH]]*KH_26_OPT4_KTQT_v4[[#This Row],[DT-EXW-11]],KH_26_OPT4_KTQT_v4[[#This Row],[HH-SL]]*KH_26_OPT4_KTQT_v4[[#This Row],[SL-11]])</f>
        <v>0</v>
      </c>
      <c r="CH45" s="47">
        <f>IF(KH_26_OPT4_KTQT_v4[[#This Row],[CPHH-%-SL]]="Dthu",KH_26_OPT4_KTQT_v4[[#This Row],[%HH]]*KH_26_OPT4_KTQT_v4[[#This Row],[DT-EXW-12]],KH_26_OPT4_KTQT_v4[[#This Row],[HH-SL]]*KH_26_OPT4_KTQT_v4[[#This Row],[SL-12]])</f>
        <v>0</v>
      </c>
      <c r="CI45" s="47">
        <f ca="1">SUM(KH_26_OPT4_KTQT_v4[[#This Row],[CPHH-01]:[CPHH-12]])</f>
        <v>0</v>
      </c>
      <c r="CJ45" s="47" cm="1">
        <f t="array" ref="CJ45">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45" s="19">
        <f ca="1">SUM(KH_26_OPT4_KTQT_v4[[#This Row],[ĐGVCNĐ-KXK]:[ĐGVCCT-KXK]])</f>
        <v>530000</v>
      </c>
      <c r="CL45" s="47" cm="1">
        <f t="array" ref="CL45">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530000</v>
      </c>
      <c r="CM45" s="47" cm="1">
        <f t="array" ref="CM45">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45" s="47">
        <f ca="1">(KH_26_OPT4_KTQT_v4[[#This Row],[ĐGVC-KNĐ]]+KH_26_OPT4_KTQT_v4[[#This Row],[ĐGVC-KXK]])*KH_26_OPT4_KTQT_v4[[#This Row],[SL-01]]</f>
        <v>0</v>
      </c>
      <c r="CO45" s="47">
        <f ca="1">(KH_26_OPT4_KTQT_v4[[#This Row],[ĐGVC-KNĐ]]+KH_26_OPT4_KTQT_v4[[#This Row],[ĐGVC-KXK]])*KH_26_OPT4_KTQT_v4[[#This Row],[SL-02]]</f>
        <v>11660000</v>
      </c>
      <c r="CP45" s="47">
        <f ca="1">(KH_26_OPT4_KTQT_v4[[#This Row],[ĐGVC-KNĐ]]+KH_26_OPT4_KTQT_v4[[#This Row],[ĐGVC-KXK]])*KH_26_OPT4_KTQT_v4[[#This Row],[SL-03]]</f>
        <v>11660000</v>
      </c>
      <c r="CQ45" s="47">
        <f ca="1">(KH_26_OPT4_KTQT_v4[[#This Row],[ĐGVC-KNĐ]]+KH_26_OPT4_KTQT_v4[[#This Row],[ĐGVC-KXK]])*KH_26_OPT4_KTQT_v4[[#This Row],[SL-04]]</f>
        <v>11660000</v>
      </c>
      <c r="CR45" s="47">
        <f ca="1">(KH_26_OPT4_KTQT_v4[[#This Row],[ĐGVC-KNĐ]]+KH_26_OPT4_KTQT_v4[[#This Row],[ĐGVC-KXK]])*KH_26_OPT4_KTQT_v4[[#This Row],[SL-05]]</f>
        <v>11660000</v>
      </c>
      <c r="CS45" s="47">
        <f ca="1">(KH_26_OPT4_KTQT_v4[[#This Row],[ĐGVC-KNĐ]]+KH_26_OPT4_KTQT_v4[[#This Row],[ĐGVC-KXK]])*KH_26_OPT4_KTQT_v4[[#This Row],[SL-06]]</f>
        <v>11660000</v>
      </c>
      <c r="CT45" s="47">
        <f ca="1">(KH_26_OPT4_KTQT_v4[[#This Row],[ĐGVC-KNĐ]]+KH_26_OPT4_KTQT_v4[[#This Row],[ĐGVC-KXK]])*KH_26_OPT4_KTQT_v4[[#This Row],[SL-07]]</f>
        <v>23320000</v>
      </c>
      <c r="CU45" s="47">
        <f ca="1">(KH_26_OPT4_KTQT_v4[[#This Row],[ĐGVC-KNĐ]]+KH_26_OPT4_KTQT_v4[[#This Row],[ĐGVC-KXK]])*KH_26_OPT4_KTQT_v4[[#This Row],[SL-08]]</f>
        <v>23320000</v>
      </c>
      <c r="CV45" s="47">
        <f ca="1">(KH_26_OPT4_KTQT_v4[[#This Row],[ĐGVC-KNĐ]]+KH_26_OPT4_KTQT_v4[[#This Row],[ĐGVC-KXK]])*KH_26_OPT4_KTQT_v4[[#This Row],[SL-09]]</f>
        <v>23320000</v>
      </c>
      <c r="CW45" s="47">
        <f ca="1">(KH_26_OPT4_KTQT_v4[[#This Row],[ĐGVC-KNĐ]]+KH_26_OPT4_KTQT_v4[[#This Row],[ĐGVC-KXK]])*KH_26_OPT4_KTQT_v4[[#This Row],[SL-10]]</f>
        <v>23320000</v>
      </c>
      <c r="CX45" s="47">
        <f ca="1">(KH_26_OPT4_KTQT_v4[[#This Row],[ĐGVC-KNĐ]]+KH_26_OPT4_KTQT_v4[[#This Row],[ĐGVC-KXK]])*KH_26_OPT4_KTQT_v4[[#This Row],[SL-11]]</f>
        <v>23320000</v>
      </c>
      <c r="CY45" s="47">
        <f ca="1">(KH_26_OPT4_KTQT_v4[[#This Row],[ĐGVC-KNĐ]]+KH_26_OPT4_KTQT_v4[[#This Row],[ĐGVC-KXK]])*KH_26_OPT4_KTQT_v4[[#This Row],[SL-12]]</f>
        <v>23320000</v>
      </c>
      <c r="CZ45" s="47">
        <f ca="1">SUM(KH_26_OPT4_KTQT_v4[[#This Row],[CPVC-01]:[CPVC-12]])</f>
        <v>198220000</v>
      </c>
      <c r="DA45" s="124">
        <f ca="1">KH_26_OPT4_KTQT_v4[[#This Row],[DT-EXW-01]]+KH_26_OPT4_KTQT_v4[[#This Row],[CPVC-01]]+KH_26_OPT4_KTQT_v4[[#This Row],[CPHH-01]]</f>
        <v>0</v>
      </c>
      <c r="DB45" s="47">
        <f ca="1">KH_26_OPT4_KTQT_v4[[#This Row],[DT-EXW-02]]+KH_26_OPT4_KTQT_v4[[#This Row],[CPVC-02]]+KH_26_OPT4_KTQT_v4[[#This Row],[CPHH-02]]</f>
        <v>735163000</v>
      </c>
      <c r="DC45" s="47">
        <f ca="1">KH_26_OPT4_KTQT_v4[[#This Row],[DT-EXW-03]]+KH_26_OPT4_KTQT_v4[[#This Row],[CPVC-03]]+KH_26_OPT4_KTQT_v4[[#This Row],[CPHH-03]]</f>
        <v>724086000</v>
      </c>
      <c r="DD45" s="47">
        <f ca="1">KH_26_OPT4_KTQT_v4[[#This Row],[DT-EXW-04]]+KH_26_OPT4_KTQT_v4[[#This Row],[CPVC-04]]+KH_26_OPT4_KTQT_v4[[#This Row],[CPHH-04]]</f>
        <v>713009000</v>
      </c>
      <c r="DE45" s="47">
        <f ca="1">KH_26_OPT4_KTQT_v4[[#This Row],[DT-EXW-05]]+KH_26_OPT4_KTQT_v4[[#This Row],[CPVC-05]]+KH_26_OPT4_KTQT_v4[[#This Row],[CPHH-05]]</f>
        <v>701932000</v>
      </c>
      <c r="DF45" s="47">
        <f ca="1">KH_26_OPT4_KTQT_v4[[#This Row],[DT-EXW-06]]+KH_26_OPT4_KTQT_v4[[#This Row],[CPVC-06]]+KH_26_OPT4_KTQT_v4[[#This Row],[CPHH-06]]</f>
        <v>690855000</v>
      </c>
      <c r="DG45" s="47">
        <f ca="1">KH_26_OPT4_KTQT_v4[[#This Row],[DT-EXW-07]]+KH_26_OPT4_KTQT_v4[[#This Row],[CPVC-07]]+KH_26_OPT4_KTQT_v4[[#This Row],[CPHH-07]]</f>
        <v>1359556000</v>
      </c>
      <c r="DH45" s="47">
        <f ca="1">KH_26_OPT4_KTQT_v4[[#This Row],[DT-EXW-08]]+KH_26_OPT4_KTQT_v4[[#This Row],[CPVC-08]]+KH_26_OPT4_KTQT_v4[[#This Row],[CPHH-08]]</f>
        <v>1337402000</v>
      </c>
      <c r="DI45" s="47">
        <f ca="1">KH_26_OPT4_KTQT_v4[[#This Row],[DT-EXW-09]]+KH_26_OPT4_KTQT_v4[[#This Row],[CPVC-09]]+KH_26_OPT4_KTQT_v4[[#This Row],[CPHH-09]]</f>
        <v>1315248000</v>
      </c>
      <c r="DJ45" s="47">
        <f ca="1">KH_26_OPT4_KTQT_v4[[#This Row],[DT-EXW-10]]+KH_26_OPT4_KTQT_v4[[#This Row],[CPVC-10]]+KH_26_OPT4_KTQT_v4[[#This Row],[CPHH-10]]</f>
        <v>1293094000</v>
      </c>
      <c r="DK45" s="47">
        <f ca="1">KH_26_OPT4_KTQT_v4[[#This Row],[DT-EXW-11]]+KH_26_OPT4_KTQT_v4[[#This Row],[CPVC-11]]+KH_26_OPT4_KTQT_v4[[#This Row],[CPHH-11]]</f>
        <v>1270940000</v>
      </c>
      <c r="DL45" s="47">
        <f ca="1">KH_26_OPT4_KTQT_v4[[#This Row],[DT-EXW-12]]+KH_26_OPT4_KTQT_v4[[#This Row],[CPVC-12]]+KH_26_OPT4_KTQT_v4[[#This Row],[CPHH-12]]</f>
        <v>1248786000</v>
      </c>
      <c r="DM45" s="47">
        <f ca="1">SUM(KH_26_OPT4_KTQT_v4[[#This Row],[DT-01]:[DT-12]])</f>
        <v>11390071000</v>
      </c>
      <c r="DN45" s="7"/>
      <c r="DO45" s="7"/>
      <c r="DP45" s="125"/>
      <c r="DQ45" s="136"/>
      <c r="DR45" s="132">
        <f>IFERROR(KH_26_OPT4_KTQT_v4[[#This Row],[DT-EXW-01]]*KH_26_OPT4_KTQT_v4[[#This Row],[%CPDP]],0)</f>
        <v>0</v>
      </c>
      <c r="DS45" s="132">
        <f>IFERROR(KH_26_OPT4_KTQT_v4[[#This Row],[DT-EXW-02]]*KH_26_OPT4_KTQT_v4[[#This Row],[%CPDP]],0)</f>
        <v>0</v>
      </c>
      <c r="DT45" s="132">
        <f>IFERROR(KH_26_OPT4_KTQT_v4[[#This Row],[DT-EXW-03]]*KH_26_OPT4_KTQT_v4[[#This Row],[%CPDP]],0)</f>
        <v>0</v>
      </c>
      <c r="DU45" s="132">
        <f>IFERROR(KH_26_OPT4_KTQT_v4[[#This Row],[DT-EXW-04]]*KH_26_OPT4_KTQT_v4[[#This Row],[%CPDP]],0)</f>
        <v>0</v>
      </c>
      <c r="DV45" s="132">
        <f>IFERROR(KH_26_OPT4_KTQT_v4[[#This Row],[DT-EXW-05]]*KH_26_OPT4_KTQT_v4[[#This Row],[%CPDP]],0)</f>
        <v>0</v>
      </c>
      <c r="DW45" s="132">
        <f>IFERROR(KH_26_OPT4_KTQT_v4[[#This Row],[DT-EXW-06]]*KH_26_OPT4_KTQT_v4[[#This Row],[%CPDP]],0)</f>
        <v>0</v>
      </c>
      <c r="DX45" s="132">
        <f>IFERROR(KH_26_OPT4_KTQT_v4[[#This Row],[DT-EXW-07]]*KH_26_OPT4_KTQT_v4[[#This Row],[%CPDP]],0)</f>
        <v>0</v>
      </c>
      <c r="DY45" s="132">
        <f>IFERROR(KH_26_OPT4_KTQT_v4[[#This Row],[DT-EXW-08]]*KH_26_OPT4_KTQT_v4[[#This Row],[%CPDP]],0)</f>
        <v>0</v>
      </c>
      <c r="DZ45" s="132">
        <f>IFERROR(KH_26_OPT4_KTQT_v4[[#This Row],[DT-EXW-09]]*KH_26_OPT4_KTQT_v4[[#This Row],[%CPDP]],0)</f>
        <v>0</v>
      </c>
      <c r="EA45" s="132">
        <f>IFERROR(KH_26_OPT4_KTQT_v4[[#This Row],[DT-EXW-10]]*KH_26_OPT4_KTQT_v4[[#This Row],[%CPDP]],0)</f>
        <v>0</v>
      </c>
      <c r="EB45" s="132">
        <f>IFERROR(KH_26_OPT4_KTQT_v4[[#This Row],[DT-EXW-11]]*KH_26_OPT4_KTQT_v4[[#This Row],[%CPDP]],0)</f>
        <v>0</v>
      </c>
      <c r="EC45" s="132">
        <f>IFERROR(KH_26_OPT4_KTQT_v4[[#This Row],[DT-EXW-12]]*KH_26_OPT4_KTQT_v4[[#This Row],[%CPDP]],0)</f>
        <v>0</v>
      </c>
      <c r="ED45" s="131">
        <f ca="1">SUM(KH_26_OPT4_KTQT_v4[[#This Row],[CPDP-01]:[CPDP-12]])</f>
        <v>0</v>
      </c>
    </row>
    <row r="46" spans="1:134" ht="14.65" hidden="1" customHeight="1" x14ac:dyDescent="0.35">
      <c r="A46" s="18">
        <v>41</v>
      </c>
      <c r="B46" s="71" t="s">
        <v>95</v>
      </c>
      <c r="C46" s="18" t="str">
        <f>IFERROR(_xlfn.XLOOKUP(KH_26_OPT4_KTQT_v4[[#This Row],[Salesman]],MD_Salesman[Salesman],MD_Salesman[SalesManager]),"")</f>
        <v>Cường</v>
      </c>
      <c r="D46" s="72" t="str">
        <f>IFERROR(INDEX(MD_Customer[Mã khách],MATCH(KH_26_OPT4_KTQT_v4[[#This Row],[Tên khách]],MD_Customer[Tên khách-rút gọn],0)),"")</f>
        <v>105223</v>
      </c>
      <c r="E46" s="7" t="str">
        <f>IFERROR(INDEX(MD_Customer[Parent Account],MATCH(KH_26_OPT4_KTQT_v4[[#This Row],[Tên khách]],MD_Customer[Tên khách-rút gọn],0)),"")</f>
        <v>Unilever</v>
      </c>
      <c r="F46" s="35" t="s">
        <v>479</v>
      </c>
      <c r="G46" s="7" t="str">
        <f>IFERROR(INDEX(MD_Customer[Phân loại],MATCH(KH_26_OPT4_KTQT_v4[[#This Row],[Tên khách]],MD_Customer[Tên khách-rút gọn],0)),"")</f>
        <v>Hiện hữu</v>
      </c>
      <c r="H46" s="7" t="str">
        <f>IFERROR(INDEX(MD_Customer[Kênh bán hàng],MATCH(KH_26_OPT4_KTQT_v4[[#This Row],[Tên khách]],MD_Customer[Tên khách-rút gọn],0)),"")</f>
        <v>Nội địa</v>
      </c>
      <c r="I46" s="35" t="s">
        <v>535</v>
      </c>
      <c r="J46" s="7" t="str">
        <f>IFERROR(INDEX(MD_Destination[Nước],MATCH(KH_26_OPT4_KTQT_v4[[#This Row],[Địa điểm đến]],MD_Destination[Địa điểm đến],0)),"")</f>
        <v>Việt Nam</v>
      </c>
      <c r="K46" s="7" t="str">
        <f>IFERROR(INDEX(MD_Destination[Khu vực],MATCH(KH_26_OPT4_KTQT_v4[[#This Row],[Địa điểm đến]],MD_Destination[Địa điểm đến],0)),"")</f>
        <v>Châu Á</v>
      </c>
      <c r="L46" s="35" t="s">
        <v>262</v>
      </c>
      <c r="M46" s="7" t="str">
        <f>IFERROR(INDEX(MD_SKU[Mã SKU],MATCH(KH_26_OPT4_KTQT_v4[[#This Row],[Tên sản phẩm]],MD_SKU[Tên SKU-rút gọn],0)),"")</f>
        <v>110000339</v>
      </c>
      <c r="N46" s="35" t="s">
        <v>465</v>
      </c>
      <c r="O46" s="7" t="str">
        <f>IFERROR(INDEX(MD_SKU[Ngành hàng],MATCH(KH_26_OPT4_KTQT_v4[[#This Row],[Tên sản phẩm]],MD_SKU[Tên SKU-rút gọn],0)),"")</f>
        <v>rHDPE thổi</v>
      </c>
      <c r="P46" s="7" t="str">
        <f>IFERROR(INDEX(MD_SKU[Nhóm ngành],MATCH(KH_26_OPT4_KTQT_v4[[#This Row],[Tên sản phẩm]],MD_SKU[Tên SKU-rút gọn],0)),"")</f>
        <v>Hạt HD thổi</v>
      </c>
      <c r="Q46" s="7" t="str">
        <f>IFERROR(
   IF(INDEX(MD_SKU[IV/IM],MATCH(KH_26_OPT4_KTQT_v4[[#This Row],[Tên sản phẩm]],MD_SKU[Tên SKU-rút gọn],0))=0,
      "",
      INDEX(MD_SKU[IV/IM],MATCH(KH_26_OPT4_KTQT_v4[[#This Row],[Tên sản phẩm]],MD_SKU[Tên SKU-rút gọn],0))
   ),
"")</f>
        <v/>
      </c>
      <c r="R46" s="44" t="str">
        <f>IFERROR(INDEX(MD_SKU[Application],MATCH(KH_26_OPT4_KTQT_v4[[#This Row],[Tên sản phẩm]],MD_SKU[Tên SKU-rút gọn],0)),"")</f>
        <v>THỔI CHAI</v>
      </c>
      <c r="S46" s="7" t="str">
        <f>IFERROR(INDEX(MD_SKU[Phân loại],MATCH(KH_26_OPT4_KTQT_v4[[#This Row],[Tên sản phẩm]],MD_SKU[Tên SKU-rút gọn],0)),"")</f>
        <v>Cũ</v>
      </c>
      <c r="T46" s="7" t="s">
        <v>5</v>
      </c>
      <c r="U46" s="7" t="s">
        <v>1508</v>
      </c>
      <c r="V46" s="70">
        <v>0.8</v>
      </c>
      <c r="W46" s="33">
        <v>30</v>
      </c>
      <c r="X46" s="33">
        <v>30</v>
      </c>
      <c r="Y46" s="33">
        <v>30</v>
      </c>
      <c r="Z46" s="33">
        <v>30</v>
      </c>
      <c r="AA46" s="33">
        <v>30</v>
      </c>
      <c r="AB46" s="33">
        <v>30</v>
      </c>
      <c r="AC46" s="33">
        <v>30</v>
      </c>
      <c r="AD46" s="33">
        <v>30</v>
      </c>
      <c r="AE46" s="33">
        <v>30</v>
      </c>
      <c r="AF46" s="33">
        <v>30</v>
      </c>
      <c r="AG46" s="33">
        <v>30</v>
      </c>
      <c r="AH46" s="33">
        <v>30</v>
      </c>
      <c r="AI46" s="47">
        <f ca="1">SUM(KH_26_OPT4_KTQT_v4[[#This Row],[SL-01]:[SL-12]])</f>
        <v>360</v>
      </c>
      <c r="AJ46" s="47">
        <f ca="1">SUMIFS(DB_25[SL-DB25],DB_25[Mã khách],KH_26_OPT4_KTQT_v4[[#This Row],[Mã khách]],DB_25[Mã sản phẩm],KH_26_OPT4_KTQT_v4[[#This Row],[Mã sản phẩm]])</f>
        <v>400.47500000000002</v>
      </c>
      <c r="AK46" s="20">
        <f ca="1">KH_26_OPT4_KTQT_v4[[#This Row],[SL-KH26]]-KH_26_OPT4_KTQT_v4[[#This Row],[SL-DB25]]</f>
        <v>-40.475000000000023</v>
      </c>
      <c r="AL46" s="21">
        <f ca="1">IFERROR(KH_26_OPT4_KTQT_v4[[#This Row],[SL-+/-]]/KH_26_OPT4_KTQT_v4[[#This Row],[SL-DB25]],0)</f>
        <v>-0.10106748236469199</v>
      </c>
      <c r="AM46" s="51">
        <f t="shared" ref="AM46:AX46" si="4">1194+106</f>
        <v>1300</v>
      </c>
      <c r="AN46" s="51">
        <f t="shared" si="4"/>
        <v>1300</v>
      </c>
      <c r="AO46" s="51">
        <f t="shared" si="4"/>
        <v>1300</v>
      </c>
      <c r="AP46" s="51">
        <f t="shared" si="4"/>
        <v>1300</v>
      </c>
      <c r="AQ46" s="51">
        <f t="shared" si="4"/>
        <v>1300</v>
      </c>
      <c r="AR46" s="51">
        <f t="shared" si="4"/>
        <v>1300</v>
      </c>
      <c r="AS46" s="51">
        <f t="shared" si="4"/>
        <v>1300</v>
      </c>
      <c r="AT46" s="51">
        <f t="shared" si="4"/>
        <v>1300</v>
      </c>
      <c r="AU46" s="51">
        <f t="shared" si="4"/>
        <v>1300</v>
      </c>
      <c r="AV46" s="51">
        <f t="shared" si="4"/>
        <v>1300</v>
      </c>
      <c r="AW46" s="51">
        <f t="shared" si="4"/>
        <v>1300</v>
      </c>
      <c r="AX46" s="51">
        <f t="shared" si="4"/>
        <v>1300</v>
      </c>
      <c r="AY46" s="23">
        <v>1286</v>
      </c>
      <c r="AZ46" s="7"/>
      <c r="BA46" s="24">
        <f>KH_26_OPT4_KTQT_v4[[#This Row],[GB-DB25]]-KH_26_OPT4_KTQT_v4[[#This Row],[GB-KH25]]</f>
        <v>1286</v>
      </c>
      <c r="BB46" s="21">
        <f>IFERROR(KH_26_OPT4_KTQT_v4[[#This Row],[GB-+/-]]/KH_26_OPT4_KTQT_v4[[#This Row],[GB-KH25]],0)</f>
        <v>0</v>
      </c>
      <c r="BC46" s="21"/>
      <c r="BD46" s="47">
        <f>KH_26_OPT4_KTQT_v4[[#This Row],[SL-01]]*KH_26_OPT4_KTQT_v4[[#This Row],[GB-01]]*EXR</f>
        <v>1033500000</v>
      </c>
      <c r="BE46" s="47">
        <f>KH_26_OPT4_KTQT_v4[[#This Row],[SL-02]]*KH_26_OPT4_KTQT_v4[[#This Row],[GB-02]]*EXR</f>
        <v>1033500000</v>
      </c>
      <c r="BF46" s="47">
        <f>KH_26_OPT4_KTQT_v4[[#This Row],[SL-03]]*KH_26_OPT4_KTQT_v4[[#This Row],[GB-03]]*EXR</f>
        <v>1033500000</v>
      </c>
      <c r="BG46" s="47">
        <f>KH_26_OPT4_KTQT_v4[[#This Row],[SL-04]]*KH_26_OPT4_KTQT_v4[[#This Row],[GB-04]]*EXR</f>
        <v>1033500000</v>
      </c>
      <c r="BH46" s="47">
        <f>KH_26_OPT4_KTQT_v4[[#This Row],[SL-05]]*KH_26_OPT4_KTQT_v4[[#This Row],[GB-05]]*EXR</f>
        <v>1033500000</v>
      </c>
      <c r="BI46" s="47">
        <f>KH_26_OPT4_KTQT_v4[[#This Row],[SL-06]]*KH_26_OPT4_KTQT_v4[[#This Row],[GB-06]]*EXR</f>
        <v>1033500000</v>
      </c>
      <c r="BJ46" s="47">
        <f>KH_26_OPT4_KTQT_v4[[#This Row],[SL-07]]*KH_26_OPT4_KTQT_v4[[#This Row],[GB-07]]*EXR</f>
        <v>1033500000</v>
      </c>
      <c r="BK46" s="47">
        <f>KH_26_OPT4_KTQT_v4[[#This Row],[SL-08]]*KH_26_OPT4_KTQT_v4[[#This Row],[GB-08]]*EXR</f>
        <v>1033500000</v>
      </c>
      <c r="BL46" s="47">
        <f>KH_26_OPT4_KTQT_v4[[#This Row],[SL-09]]*KH_26_OPT4_KTQT_v4[[#This Row],[GB-09]]*EXR</f>
        <v>1033500000</v>
      </c>
      <c r="BM46" s="47">
        <f>KH_26_OPT4_KTQT_v4[[#This Row],[SL-10]]*KH_26_OPT4_KTQT_v4[[#This Row],[GB-10]]*EXR</f>
        <v>1033500000</v>
      </c>
      <c r="BN46" s="47">
        <f>KH_26_OPT4_KTQT_v4[[#This Row],[SL-11]]*KH_26_OPT4_KTQT_v4[[#This Row],[GB-11]]*EXR</f>
        <v>1033500000</v>
      </c>
      <c r="BO46" s="47">
        <f>KH_26_OPT4_KTQT_v4[[#This Row],[SL-12]]*KH_26_OPT4_KTQT_v4[[#This Row],[GB-12]]*EXR</f>
        <v>1033500000</v>
      </c>
      <c r="BP46" s="47">
        <f ca="1">SUM(KH_26_OPT4_KTQT_v4[[#This Row],[DT-EXW-01]:[DT-EXW-12]])</f>
        <v>12402000000</v>
      </c>
      <c r="BQ46" s="47">
        <f ca="1">SUMIFS(DB_25[DT-DB25],DB_25[Mã khách],KH_26_OPT4_KTQT_v4[[#This Row],[Mã khách]],DB_25[Mã sản phẩm],KH_26_OPT4_KTQT_v4[[#This Row],[Mã sản phẩm]])</f>
        <v>9957996475.661644</v>
      </c>
      <c r="BR46" s="47">
        <f ca="1">KH_26_OPT4_KTQT_v4[[#This Row],[DT-EXW-KH26]]-KH_26_OPT4_KTQT_v4[[#This Row],[DT-EXW-DB25]]</f>
        <v>2444003524.338356</v>
      </c>
      <c r="BS46" s="21">
        <f ca="1">IFERROR(KH_26_OPT4_KTQT_v4[[#This Row],[DT-EXW-+/-]]/KH_26_OPT4_KTQT_v4[[#This Row],[DT-EXW-DB25]],0)</f>
        <v>0.24543125018288059</v>
      </c>
      <c r="BT46" s="139"/>
      <c r="BU46" s="57"/>
      <c r="BV46" s="51"/>
      <c r="BW46" s="47">
        <f>IF(KH_26_OPT4_KTQT_v4[[#This Row],[CPHH-%-SL]]="Dthu",KH_26_OPT4_KTQT_v4[[#This Row],[%HH]]*KH_26_OPT4_KTQT_v4[[#This Row],[DT-EXW-01]],KH_26_OPT4_KTQT_v4[[#This Row],[HH-SL]]*KH_26_OPT4_KTQT_v4[[#This Row],[SL-01]])</f>
        <v>0</v>
      </c>
      <c r="BX46" s="47">
        <f>IF(KH_26_OPT4_KTQT_v4[[#This Row],[CPHH-%-SL]]="Dthu",KH_26_OPT4_KTQT_v4[[#This Row],[%HH]]*KH_26_OPT4_KTQT_v4[[#This Row],[DT-EXW-02]],KH_26_OPT4_KTQT_v4[[#This Row],[HH-SL]]*KH_26_OPT4_KTQT_v4[[#This Row],[SL-02]])</f>
        <v>0</v>
      </c>
      <c r="BY46" s="47">
        <f>IF(KH_26_OPT4_KTQT_v4[[#This Row],[CPHH-%-SL]]="Dthu",KH_26_OPT4_KTQT_v4[[#This Row],[%HH]]*KH_26_OPT4_KTQT_v4[[#This Row],[DT-EXW-03]],KH_26_OPT4_KTQT_v4[[#This Row],[HH-SL]]*KH_26_OPT4_KTQT_v4[[#This Row],[SL-03]])</f>
        <v>0</v>
      </c>
      <c r="BZ46" s="47">
        <f>IF(KH_26_OPT4_KTQT_v4[[#This Row],[CPHH-%-SL]]="Dthu",KH_26_OPT4_KTQT_v4[[#This Row],[%HH]]*KH_26_OPT4_KTQT_v4[[#This Row],[DT-EXW-04]],KH_26_OPT4_KTQT_v4[[#This Row],[HH-SL]]*KH_26_OPT4_KTQT_v4[[#This Row],[SL-04]])</f>
        <v>0</v>
      </c>
      <c r="CA46" s="47">
        <f>IF(KH_26_OPT4_KTQT_v4[[#This Row],[CPHH-%-SL]]="Dthu",KH_26_OPT4_KTQT_v4[[#This Row],[%HH]]*KH_26_OPT4_KTQT_v4[[#This Row],[DT-EXW-05]],KH_26_OPT4_KTQT_v4[[#This Row],[HH-SL]]*KH_26_OPT4_KTQT_v4[[#This Row],[SL-05]])</f>
        <v>0</v>
      </c>
      <c r="CB46" s="47">
        <f>IF(KH_26_OPT4_KTQT_v4[[#This Row],[CPHH-%-SL]]="Dthu",KH_26_OPT4_KTQT_v4[[#This Row],[%HH]]*KH_26_OPT4_KTQT_v4[[#This Row],[DT-EXW-06]],KH_26_OPT4_KTQT_v4[[#This Row],[HH-SL]]*KH_26_OPT4_KTQT_v4[[#This Row],[SL-06]])</f>
        <v>0</v>
      </c>
      <c r="CC46" s="47">
        <f>IF(KH_26_OPT4_KTQT_v4[[#This Row],[CPHH-%-SL]]="Dthu",KH_26_OPT4_KTQT_v4[[#This Row],[%HH]]*KH_26_OPT4_KTQT_v4[[#This Row],[DT-EXW-07]],KH_26_OPT4_KTQT_v4[[#This Row],[HH-SL]]*KH_26_OPT4_KTQT_v4[[#This Row],[SL-07]])</f>
        <v>0</v>
      </c>
      <c r="CD46" s="47">
        <f>IF(KH_26_OPT4_KTQT_v4[[#This Row],[CPHH-%-SL]]="Dthu",KH_26_OPT4_KTQT_v4[[#This Row],[%HH]]*KH_26_OPT4_KTQT_v4[[#This Row],[DT-EXW-08]],KH_26_OPT4_KTQT_v4[[#This Row],[HH-SL]]*KH_26_OPT4_KTQT_v4[[#This Row],[SL-08]])</f>
        <v>0</v>
      </c>
      <c r="CE46" s="47">
        <f>IF(KH_26_OPT4_KTQT_v4[[#This Row],[CPHH-%-SL]]="Dthu",KH_26_OPT4_KTQT_v4[[#This Row],[%HH]]*KH_26_OPT4_KTQT_v4[[#This Row],[DT-EXW-09]],KH_26_OPT4_KTQT_v4[[#This Row],[HH-SL]]*KH_26_OPT4_KTQT_v4[[#This Row],[SL-09]])</f>
        <v>0</v>
      </c>
      <c r="CF46" s="47">
        <f>IF(KH_26_OPT4_KTQT_v4[[#This Row],[CPHH-%-SL]]="Dthu",KH_26_OPT4_KTQT_v4[[#This Row],[%HH]]*KH_26_OPT4_KTQT_v4[[#This Row],[DT-EXW-10]],KH_26_OPT4_KTQT_v4[[#This Row],[HH-SL]]*KH_26_OPT4_KTQT_v4[[#This Row],[SL-10]])</f>
        <v>0</v>
      </c>
      <c r="CG46" s="47">
        <f>IF(KH_26_OPT4_KTQT_v4[[#This Row],[CPHH-%-SL]]="Dthu",KH_26_OPT4_KTQT_v4[[#This Row],[%HH]]*KH_26_OPT4_KTQT_v4[[#This Row],[DT-EXW-11]],KH_26_OPT4_KTQT_v4[[#This Row],[HH-SL]]*KH_26_OPT4_KTQT_v4[[#This Row],[SL-11]])</f>
        <v>0</v>
      </c>
      <c r="CH46" s="47">
        <f>IF(KH_26_OPT4_KTQT_v4[[#This Row],[CPHH-%-SL]]="Dthu",KH_26_OPT4_KTQT_v4[[#This Row],[%HH]]*KH_26_OPT4_KTQT_v4[[#This Row],[DT-EXW-12]],KH_26_OPT4_KTQT_v4[[#This Row],[HH-SL]]*KH_26_OPT4_KTQT_v4[[#This Row],[SL-12]])</f>
        <v>0</v>
      </c>
      <c r="CI46" s="47">
        <f ca="1">SUM(KH_26_OPT4_KTQT_v4[[#This Row],[CPHH-01]:[CPHH-12]])</f>
        <v>0</v>
      </c>
      <c r="CJ46" s="47" cm="1">
        <f t="array" ref="CJ46">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744481.8585858586</v>
      </c>
      <c r="CK46" s="19">
        <f ca="1">SUM(KH_26_OPT4_KTQT_v4[[#This Row],[ĐGVCNĐ-KXK]:[ĐGVCCT-KXK]])</f>
        <v>0</v>
      </c>
      <c r="CL46" s="47" cm="1">
        <f t="array" ref="CL46">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46" s="47" cm="1">
        <f t="array" ref="CM46">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46" s="47">
        <f ca="1">(KH_26_OPT4_KTQT_v4[[#This Row],[ĐGVC-KNĐ]]+KH_26_OPT4_KTQT_v4[[#This Row],[ĐGVC-KXK]])*KH_26_OPT4_KTQT_v4[[#This Row],[SL-01]]</f>
        <v>22334455.757575758</v>
      </c>
      <c r="CO46" s="47">
        <f ca="1">(KH_26_OPT4_KTQT_v4[[#This Row],[ĐGVC-KNĐ]]+KH_26_OPT4_KTQT_v4[[#This Row],[ĐGVC-KXK]])*KH_26_OPT4_KTQT_v4[[#This Row],[SL-02]]</f>
        <v>22334455.757575758</v>
      </c>
      <c r="CP46" s="47">
        <f ca="1">(KH_26_OPT4_KTQT_v4[[#This Row],[ĐGVC-KNĐ]]+KH_26_OPT4_KTQT_v4[[#This Row],[ĐGVC-KXK]])*KH_26_OPT4_KTQT_v4[[#This Row],[SL-03]]</f>
        <v>22334455.757575758</v>
      </c>
      <c r="CQ46" s="47">
        <f ca="1">(KH_26_OPT4_KTQT_v4[[#This Row],[ĐGVC-KNĐ]]+KH_26_OPT4_KTQT_v4[[#This Row],[ĐGVC-KXK]])*KH_26_OPT4_KTQT_v4[[#This Row],[SL-04]]</f>
        <v>22334455.757575758</v>
      </c>
      <c r="CR46" s="47">
        <f ca="1">(KH_26_OPT4_KTQT_v4[[#This Row],[ĐGVC-KNĐ]]+KH_26_OPT4_KTQT_v4[[#This Row],[ĐGVC-KXK]])*KH_26_OPT4_KTQT_v4[[#This Row],[SL-05]]</f>
        <v>22334455.757575758</v>
      </c>
      <c r="CS46" s="47">
        <f ca="1">(KH_26_OPT4_KTQT_v4[[#This Row],[ĐGVC-KNĐ]]+KH_26_OPT4_KTQT_v4[[#This Row],[ĐGVC-KXK]])*KH_26_OPT4_KTQT_v4[[#This Row],[SL-06]]</f>
        <v>22334455.757575758</v>
      </c>
      <c r="CT46" s="47">
        <f ca="1">(KH_26_OPT4_KTQT_v4[[#This Row],[ĐGVC-KNĐ]]+KH_26_OPT4_KTQT_v4[[#This Row],[ĐGVC-KXK]])*KH_26_OPT4_KTQT_v4[[#This Row],[SL-07]]</f>
        <v>22334455.757575758</v>
      </c>
      <c r="CU46" s="47">
        <f ca="1">(KH_26_OPT4_KTQT_v4[[#This Row],[ĐGVC-KNĐ]]+KH_26_OPT4_KTQT_v4[[#This Row],[ĐGVC-KXK]])*KH_26_OPT4_KTQT_v4[[#This Row],[SL-08]]</f>
        <v>22334455.757575758</v>
      </c>
      <c r="CV46" s="47">
        <f ca="1">(KH_26_OPT4_KTQT_v4[[#This Row],[ĐGVC-KNĐ]]+KH_26_OPT4_KTQT_v4[[#This Row],[ĐGVC-KXK]])*KH_26_OPT4_KTQT_v4[[#This Row],[SL-09]]</f>
        <v>22334455.757575758</v>
      </c>
      <c r="CW46" s="47">
        <f ca="1">(KH_26_OPT4_KTQT_v4[[#This Row],[ĐGVC-KNĐ]]+KH_26_OPT4_KTQT_v4[[#This Row],[ĐGVC-KXK]])*KH_26_OPT4_KTQT_v4[[#This Row],[SL-10]]</f>
        <v>22334455.757575758</v>
      </c>
      <c r="CX46" s="47">
        <f ca="1">(KH_26_OPT4_KTQT_v4[[#This Row],[ĐGVC-KNĐ]]+KH_26_OPT4_KTQT_v4[[#This Row],[ĐGVC-KXK]])*KH_26_OPT4_KTQT_v4[[#This Row],[SL-11]]</f>
        <v>22334455.757575758</v>
      </c>
      <c r="CY46" s="47">
        <f ca="1">(KH_26_OPT4_KTQT_v4[[#This Row],[ĐGVC-KNĐ]]+KH_26_OPT4_KTQT_v4[[#This Row],[ĐGVC-KXK]])*KH_26_OPT4_KTQT_v4[[#This Row],[SL-12]]</f>
        <v>22334455.757575758</v>
      </c>
      <c r="CZ46" s="47">
        <f ca="1">SUM(KH_26_OPT4_KTQT_v4[[#This Row],[CPVC-01]:[CPVC-12]])</f>
        <v>268013469.09090903</v>
      </c>
      <c r="DA46" s="124">
        <f ca="1">KH_26_OPT4_KTQT_v4[[#This Row],[DT-EXW-01]]+KH_26_OPT4_KTQT_v4[[#This Row],[CPVC-01]]+KH_26_OPT4_KTQT_v4[[#This Row],[CPHH-01]]</f>
        <v>1055834455.7575758</v>
      </c>
      <c r="DB46" s="47">
        <f ca="1">KH_26_OPT4_KTQT_v4[[#This Row],[DT-EXW-02]]+KH_26_OPT4_KTQT_v4[[#This Row],[CPVC-02]]+KH_26_OPT4_KTQT_v4[[#This Row],[CPHH-02]]</f>
        <v>1055834455.7575758</v>
      </c>
      <c r="DC46" s="47">
        <f ca="1">KH_26_OPT4_KTQT_v4[[#This Row],[DT-EXW-03]]+KH_26_OPT4_KTQT_v4[[#This Row],[CPVC-03]]+KH_26_OPT4_KTQT_v4[[#This Row],[CPHH-03]]</f>
        <v>1055834455.7575758</v>
      </c>
      <c r="DD46" s="47">
        <f ca="1">KH_26_OPT4_KTQT_v4[[#This Row],[DT-EXW-04]]+KH_26_OPT4_KTQT_v4[[#This Row],[CPVC-04]]+KH_26_OPT4_KTQT_v4[[#This Row],[CPHH-04]]</f>
        <v>1055834455.7575758</v>
      </c>
      <c r="DE46" s="47">
        <f ca="1">KH_26_OPT4_KTQT_v4[[#This Row],[DT-EXW-05]]+KH_26_OPT4_KTQT_v4[[#This Row],[CPVC-05]]+KH_26_OPT4_KTQT_v4[[#This Row],[CPHH-05]]</f>
        <v>1055834455.7575758</v>
      </c>
      <c r="DF46" s="47">
        <f ca="1">KH_26_OPT4_KTQT_v4[[#This Row],[DT-EXW-06]]+KH_26_OPT4_KTQT_v4[[#This Row],[CPVC-06]]+KH_26_OPT4_KTQT_v4[[#This Row],[CPHH-06]]</f>
        <v>1055834455.7575758</v>
      </c>
      <c r="DG46" s="47">
        <f ca="1">KH_26_OPT4_KTQT_v4[[#This Row],[DT-EXW-07]]+KH_26_OPT4_KTQT_v4[[#This Row],[CPVC-07]]+KH_26_OPT4_KTQT_v4[[#This Row],[CPHH-07]]</f>
        <v>1055834455.7575758</v>
      </c>
      <c r="DH46" s="47">
        <f ca="1">KH_26_OPT4_KTQT_v4[[#This Row],[DT-EXW-08]]+KH_26_OPT4_KTQT_v4[[#This Row],[CPVC-08]]+KH_26_OPT4_KTQT_v4[[#This Row],[CPHH-08]]</f>
        <v>1055834455.7575758</v>
      </c>
      <c r="DI46" s="47">
        <f ca="1">KH_26_OPT4_KTQT_v4[[#This Row],[DT-EXW-09]]+KH_26_OPT4_KTQT_v4[[#This Row],[CPVC-09]]+KH_26_OPT4_KTQT_v4[[#This Row],[CPHH-09]]</f>
        <v>1055834455.7575758</v>
      </c>
      <c r="DJ46" s="47">
        <f ca="1">KH_26_OPT4_KTQT_v4[[#This Row],[DT-EXW-10]]+KH_26_OPT4_KTQT_v4[[#This Row],[CPVC-10]]+KH_26_OPT4_KTQT_v4[[#This Row],[CPHH-10]]</f>
        <v>1055834455.7575758</v>
      </c>
      <c r="DK46" s="47">
        <f ca="1">KH_26_OPT4_KTQT_v4[[#This Row],[DT-EXW-11]]+KH_26_OPT4_KTQT_v4[[#This Row],[CPVC-11]]+KH_26_OPT4_KTQT_v4[[#This Row],[CPHH-11]]</f>
        <v>1055834455.7575758</v>
      </c>
      <c r="DL46" s="47">
        <f ca="1">KH_26_OPT4_KTQT_v4[[#This Row],[DT-EXW-12]]+KH_26_OPT4_KTQT_v4[[#This Row],[CPVC-12]]+KH_26_OPT4_KTQT_v4[[#This Row],[CPHH-12]]</f>
        <v>1055834455.7575758</v>
      </c>
      <c r="DM46" s="47">
        <f ca="1">SUM(KH_26_OPT4_KTQT_v4[[#This Row],[DT-01]:[DT-12]])</f>
        <v>12670013469.09091</v>
      </c>
      <c r="DN46" s="7"/>
      <c r="DO46" s="7"/>
      <c r="DP46" s="125"/>
      <c r="DQ46" s="136"/>
      <c r="DR46" s="132">
        <f>IFERROR(KH_26_OPT4_KTQT_v4[[#This Row],[DT-EXW-01]]*KH_26_OPT4_KTQT_v4[[#This Row],[%CPDP]],0)</f>
        <v>0</v>
      </c>
      <c r="DS46" s="132">
        <f>IFERROR(KH_26_OPT4_KTQT_v4[[#This Row],[DT-EXW-02]]*KH_26_OPT4_KTQT_v4[[#This Row],[%CPDP]],0)</f>
        <v>0</v>
      </c>
      <c r="DT46" s="132">
        <f>IFERROR(KH_26_OPT4_KTQT_v4[[#This Row],[DT-EXW-03]]*KH_26_OPT4_KTQT_v4[[#This Row],[%CPDP]],0)</f>
        <v>0</v>
      </c>
      <c r="DU46" s="132">
        <f>IFERROR(KH_26_OPT4_KTQT_v4[[#This Row],[DT-EXW-04]]*KH_26_OPT4_KTQT_v4[[#This Row],[%CPDP]],0)</f>
        <v>0</v>
      </c>
      <c r="DV46" s="132">
        <f>IFERROR(KH_26_OPT4_KTQT_v4[[#This Row],[DT-EXW-05]]*KH_26_OPT4_KTQT_v4[[#This Row],[%CPDP]],0)</f>
        <v>0</v>
      </c>
      <c r="DW46" s="132">
        <f>IFERROR(KH_26_OPT4_KTQT_v4[[#This Row],[DT-EXW-06]]*KH_26_OPT4_KTQT_v4[[#This Row],[%CPDP]],0)</f>
        <v>0</v>
      </c>
      <c r="DX46" s="132">
        <f>IFERROR(KH_26_OPT4_KTQT_v4[[#This Row],[DT-EXW-07]]*KH_26_OPT4_KTQT_v4[[#This Row],[%CPDP]],0)</f>
        <v>0</v>
      </c>
      <c r="DY46" s="132">
        <f>IFERROR(KH_26_OPT4_KTQT_v4[[#This Row],[DT-EXW-08]]*KH_26_OPT4_KTQT_v4[[#This Row],[%CPDP]],0)</f>
        <v>0</v>
      </c>
      <c r="DZ46" s="132">
        <f>IFERROR(KH_26_OPT4_KTQT_v4[[#This Row],[DT-EXW-09]]*KH_26_OPT4_KTQT_v4[[#This Row],[%CPDP]],0)</f>
        <v>0</v>
      </c>
      <c r="EA46" s="132">
        <f>IFERROR(KH_26_OPT4_KTQT_v4[[#This Row],[DT-EXW-10]]*KH_26_OPT4_KTQT_v4[[#This Row],[%CPDP]],0)</f>
        <v>0</v>
      </c>
      <c r="EB46" s="132">
        <f>IFERROR(KH_26_OPT4_KTQT_v4[[#This Row],[DT-EXW-11]]*KH_26_OPT4_KTQT_v4[[#This Row],[%CPDP]],0)</f>
        <v>0</v>
      </c>
      <c r="EC46" s="132">
        <f>IFERROR(KH_26_OPT4_KTQT_v4[[#This Row],[DT-EXW-12]]*KH_26_OPT4_KTQT_v4[[#This Row],[%CPDP]],0)</f>
        <v>0</v>
      </c>
      <c r="ED46" s="131">
        <f ca="1">SUM(KH_26_OPT4_KTQT_v4[[#This Row],[CPDP-01]:[CPDP-12]])</f>
        <v>0</v>
      </c>
    </row>
    <row r="47" spans="1:134" ht="14.65" hidden="1" customHeight="1" x14ac:dyDescent="0.35">
      <c r="A47" s="18">
        <v>42</v>
      </c>
      <c r="B47" s="71" t="s">
        <v>104</v>
      </c>
      <c r="C47" s="18" t="str">
        <f>IFERROR(_xlfn.XLOOKUP(KH_26_OPT4_KTQT_v4[[#This Row],[Salesman]],MD_Salesman[Salesman],MD_Salesman[SalesManager]),"")</f>
        <v>Quốc Anh</v>
      </c>
      <c r="D47" s="72" t="str">
        <f>IFERROR(INDEX(MD_Customer[Mã khách],MATCH(KH_26_OPT4_KTQT_v4[[#This Row],[Tên khách]],MD_Customer[Tên khách-rút gọn],0)),"")</f>
        <v>200329</v>
      </c>
      <c r="E47" s="7" t="str">
        <f>IFERROR(INDEX(MD_Customer[Parent Account],MATCH(KH_26_OPT4_KTQT_v4[[#This Row],[Tên khách]],MD_Customer[Tên khách-rút gọn],0)),"")</f>
        <v>Pentaplast SRL</v>
      </c>
      <c r="F47" s="35" t="s">
        <v>1105</v>
      </c>
      <c r="G47" s="7" t="str">
        <f>IFERROR(INDEX(MD_Customer[Phân loại],MATCH(KH_26_OPT4_KTQT_v4[[#This Row],[Tên khách]],MD_Customer[Tên khách-rút gọn],0)),"")</f>
        <v>Hiện hữu</v>
      </c>
      <c r="H47" s="7" t="str">
        <f>IFERROR(INDEX(MD_Customer[Kênh bán hàng],MATCH(KH_26_OPT4_KTQT_v4[[#This Row],[Tên khách]],MD_Customer[Tên khách-rút gọn],0)),"")</f>
        <v>Xuất Khẩu</v>
      </c>
      <c r="I47" s="35" t="s">
        <v>290</v>
      </c>
      <c r="J47" s="7" t="str">
        <f>IFERROR(INDEX(MD_Destination[Nước],MATCH(KH_26_OPT4_KTQT_v4[[#This Row],[Địa điểm đến]],MD_Destination[Địa điểm đến],0)),"")</f>
        <v>Ý</v>
      </c>
      <c r="K47" s="7" t="str">
        <f>IFERROR(INDEX(MD_Destination[Khu vực],MATCH(KH_26_OPT4_KTQT_v4[[#This Row],[Địa điểm đến]],MD_Destination[Địa điểm đến],0)),"")</f>
        <v>Châu Âu</v>
      </c>
      <c r="L47" s="35" t="s">
        <v>278</v>
      </c>
      <c r="M47" s="7" t="str">
        <f>IFERROR(INDEX(MD_SKU[Mã SKU],MATCH(KH_26_OPT4_KTQT_v4[[#This Row],[Tên sản phẩm]],MD_SKU[Tên SKU-rút gọn],0)),"")</f>
        <v>110000392</v>
      </c>
      <c r="N47" s="35" t="s">
        <v>485</v>
      </c>
      <c r="O47" s="7" t="str">
        <f>IFERROR(INDEX(MD_SKU[Ngành hàng],MATCH(KH_26_OPT4_KTQT_v4[[#This Row],[Tên sản phẩm]],MD_SKU[Tên SKU-rút gọn],0)),"")</f>
        <v>rPP</v>
      </c>
      <c r="P47" s="7" t="str">
        <f>IFERROR(INDEX(MD_SKU[Nhóm ngành],MATCH(KH_26_OPT4_KTQT_v4[[#This Row],[Tên sản phẩm]],MD_SKU[Tên SKU-rút gọn],0)),"")</f>
        <v>Hạt PP</v>
      </c>
      <c r="Q47" s="7" t="str">
        <f>IFERROR(
   IF(INDEX(MD_SKU[IV/IM],MATCH(KH_26_OPT4_KTQT_v4[[#This Row],[Tên sản phẩm]],MD_SKU[Tên SKU-rút gọn],0))=0,
      "",
      INDEX(MD_SKU[IV/IM],MATCH(KH_26_OPT4_KTQT_v4[[#This Row],[Tên sản phẩm]],MD_SKU[Tên SKU-rút gọn],0))
   ),
"")</f>
        <v/>
      </c>
      <c r="R47" s="44">
        <f>IFERROR(INDEX(MD_SKU[Application],MATCH(KH_26_OPT4_KTQT_v4[[#This Row],[Tên sản phẩm]],MD_SKU[Tên SKU-rút gọn],0)),"")</f>
        <v>0</v>
      </c>
      <c r="S47" s="7" t="str">
        <f>IFERROR(INDEX(MD_SKU[Phân loại],MATCH(KH_26_OPT4_KTQT_v4[[#This Row],[Tên sản phẩm]],MD_SKU[Tên SKU-rút gọn],0)),"")</f>
        <v>Cũ</v>
      </c>
      <c r="T47" s="7" t="s">
        <v>60</v>
      </c>
      <c r="U47" s="7" t="s">
        <v>1508</v>
      </c>
      <c r="V47" s="70">
        <v>0.8</v>
      </c>
      <c r="W47" s="33">
        <v>25</v>
      </c>
      <c r="X47" s="33">
        <v>25</v>
      </c>
      <c r="Y47" s="33">
        <v>25</v>
      </c>
      <c r="Z47" s="33">
        <v>25</v>
      </c>
      <c r="AA47" s="33">
        <v>25</v>
      </c>
      <c r="AB47" s="33">
        <v>25</v>
      </c>
      <c r="AC47" s="33">
        <v>25</v>
      </c>
      <c r="AD47" s="33">
        <v>25</v>
      </c>
      <c r="AE47" s="33">
        <v>25</v>
      </c>
      <c r="AF47" s="33">
        <v>25</v>
      </c>
      <c r="AG47" s="33">
        <v>25</v>
      </c>
      <c r="AH47" s="33">
        <v>25</v>
      </c>
      <c r="AI47" s="47">
        <f ca="1">SUM(KH_26_OPT4_KTQT_v4[[#This Row],[SL-01]:[SL-12]])</f>
        <v>300</v>
      </c>
      <c r="AJ47" s="47">
        <f ca="1">SUMIFS(DB_25[SL-DB25],DB_25[Mã khách],KH_26_OPT4_KTQT_v4[[#This Row],[Mã khách]],DB_25[Mã sản phẩm],KH_26_OPT4_KTQT_v4[[#This Row],[Mã sản phẩm]])</f>
        <v>0</v>
      </c>
      <c r="AK47" s="20">
        <f ca="1">KH_26_OPT4_KTQT_v4[[#This Row],[SL-KH26]]-KH_26_OPT4_KTQT_v4[[#This Row],[SL-DB25]]</f>
        <v>300</v>
      </c>
      <c r="AL47" s="21">
        <f ca="1">IFERROR(KH_26_OPT4_KTQT_v4[[#This Row],[SL-+/-]]/KH_26_OPT4_KTQT_v4[[#This Row],[SL-DB25]],0)</f>
        <v>0</v>
      </c>
      <c r="AM47" s="51">
        <v>700</v>
      </c>
      <c r="AN47" s="51">
        <v>700</v>
      </c>
      <c r="AO47" s="51">
        <v>700</v>
      </c>
      <c r="AP47" s="51">
        <v>700</v>
      </c>
      <c r="AQ47" s="51">
        <v>700</v>
      </c>
      <c r="AR47" s="51">
        <v>700</v>
      </c>
      <c r="AS47" s="51">
        <v>700</v>
      </c>
      <c r="AT47" s="51">
        <v>700</v>
      </c>
      <c r="AU47" s="51">
        <v>700</v>
      </c>
      <c r="AV47" s="51">
        <v>700</v>
      </c>
      <c r="AW47" s="51">
        <v>700</v>
      </c>
      <c r="AX47" s="51">
        <v>700</v>
      </c>
      <c r="AY47" s="23">
        <v>700</v>
      </c>
      <c r="AZ47" s="7"/>
      <c r="BA47" s="24">
        <f>KH_26_OPT4_KTQT_v4[[#This Row],[GB-DB25]]-KH_26_OPT4_KTQT_v4[[#This Row],[GB-KH25]]</f>
        <v>700</v>
      </c>
      <c r="BB47" s="21">
        <f>IFERROR(KH_26_OPT4_KTQT_v4[[#This Row],[GB-+/-]]/KH_26_OPT4_KTQT_v4[[#This Row],[GB-KH25]],0)</f>
        <v>0</v>
      </c>
      <c r="BC47" s="21"/>
      <c r="BD47" s="47">
        <f>KH_26_OPT4_KTQT_v4[[#This Row],[SL-01]]*KH_26_OPT4_KTQT_v4[[#This Row],[GB-01]]*EXR</f>
        <v>463750000</v>
      </c>
      <c r="BE47" s="47">
        <f>KH_26_OPT4_KTQT_v4[[#This Row],[SL-02]]*KH_26_OPT4_KTQT_v4[[#This Row],[GB-02]]*EXR</f>
        <v>463750000</v>
      </c>
      <c r="BF47" s="47">
        <f>KH_26_OPT4_KTQT_v4[[#This Row],[SL-03]]*KH_26_OPT4_KTQT_v4[[#This Row],[GB-03]]*EXR</f>
        <v>463750000</v>
      </c>
      <c r="BG47" s="47">
        <f>KH_26_OPT4_KTQT_v4[[#This Row],[SL-04]]*KH_26_OPT4_KTQT_v4[[#This Row],[GB-04]]*EXR</f>
        <v>463750000</v>
      </c>
      <c r="BH47" s="47">
        <f>KH_26_OPT4_KTQT_v4[[#This Row],[SL-05]]*KH_26_OPT4_KTQT_v4[[#This Row],[GB-05]]*EXR</f>
        <v>463750000</v>
      </c>
      <c r="BI47" s="47">
        <f>KH_26_OPT4_KTQT_v4[[#This Row],[SL-06]]*KH_26_OPT4_KTQT_v4[[#This Row],[GB-06]]*EXR</f>
        <v>463750000</v>
      </c>
      <c r="BJ47" s="47">
        <f>KH_26_OPT4_KTQT_v4[[#This Row],[SL-07]]*KH_26_OPT4_KTQT_v4[[#This Row],[GB-07]]*EXR</f>
        <v>463750000</v>
      </c>
      <c r="BK47" s="47">
        <f>KH_26_OPT4_KTQT_v4[[#This Row],[SL-08]]*KH_26_OPT4_KTQT_v4[[#This Row],[GB-08]]*EXR</f>
        <v>463750000</v>
      </c>
      <c r="BL47" s="47">
        <f>KH_26_OPT4_KTQT_v4[[#This Row],[SL-09]]*KH_26_OPT4_KTQT_v4[[#This Row],[GB-09]]*EXR</f>
        <v>463750000</v>
      </c>
      <c r="BM47" s="47">
        <f>KH_26_OPT4_KTQT_v4[[#This Row],[SL-10]]*KH_26_OPT4_KTQT_v4[[#This Row],[GB-10]]*EXR</f>
        <v>463750000</v>
      </c>
      <c r="BN47" s="47">
        <f>KH_26_OPT4_KTQT_v4[[#This Row],[SL-11]]*KH_26_OPT4_KTQT_v4[[#This Row],[GB-11]]*EXR</f>
        <v>463750000</v>
      </c>
      <c r="BO47" s="47">
        <f>KH_26_OPT4_KTQT_v4[[#This Row],[SL-12]]*KH_26_OPT4_KTQT_v4[[#This Row],[GB-12]]*EXR</f>
        <v>463750000</v>
      </c>
      <c r="BP47" s="47">
        <f ca="1">SUM(KH_26_OPT4_KTQT_v4[[#This Row],[DT-EXW-01]:[DT-EXW-12]])</f>
        <v>5565000000</v>
      </c>
      <c r="BQ47" s="47">
        <f ca="1">SUMIFS(DB_25[DT-DB25],DB_25[Mã khách],KH_26_OPT4_KTQT_v4[[#This Row],[Mã khách]],DB_25[Mã sản phẩm],KH_26_OPT4_KTQT_v4[[#This Row],[Mã sản phẩm]])</f>
        <v>0</v>
      </c>
      <c r="BR47" s="47">
        <f ca="1">KH_26_OPT4_KTQT_v4[[#This Row],[DT-EXW-KH26]]-KH_26_OPT4_KTQT_v4[[#This Row],[DT-EXW-DB25]]</f>
        <v>5565000000</v>
      </c>
      <c r="BS47" s="21">
        <f ca="1">IFERROR(KH_26_OPT4_KTQT_v4[[#This Row],[DT-EXW-+/-]]/KH_26_OPT4_KTQT_v4[[#This Row],[DT-EXW-DB25]],0)</f>
        <v>0</v>
      </c>
      <c r="BT47" s="139"/>
      <c r="BU47" s="57"/>
      <c r="BV47" s="51"/>
      <c r="BW47" s="47">
        <f>IF(KH_26_OPT4_KTQT_v4[[#This Row],[CPHH-%-SL]]="Dthu",KH_26_OPT4_KTQT_v4[[#This Row],[%HH]]*KH_26_OPT4_KTQT_v4[[#This Row],[DT-EXW-01]],KH_26_OPT4_KTQT_v4[[#This Row],[HH-SL]]*KH_26_OPT4_KTQT_v4[[#This Row],[SL-01]])</f>
        <v>0</v>
      </c>
      <c r="BX47" s="47">
        <f>IF(KH_26_OPT4_KTQT_v4[[#This Row],[CPHH-%-SL]]="Dthu",KH_26_OPT4_KTQT_v4[[#This Row],[%HH]]*KH_26_OPT4_KTQT_v4[[#This Row],[DT-EXW-02]],KH_26_OPT4_KTQT_v4[[#This Row],[HH-SL]]*KH_26_OPT4_KTQT_v4[[#This Row],[SL-02]])</f>
        <v>0</v>
      </c>
      <c r="BY47" s="47">
        <f>IF(KH_26_OPT4_KTQT_v4[[#This Row],[CPHH-%-SL]]="Dthu",KH_26_OPT4_KTQT_v4[[#This Row],[%HH]]*KH_26_OPT4_KTQT_v4[[#This Row],[DT-EXW-03]],KH_26_OPT4_KTQT_v4[[#This Row],[HH-SL]]*KH_26_OPT4_KTQT_v4[[#This Row],[SL-03]])</f>
        <v>0</v>
      </c>
      <c r="BZ47" s="47">
        <f>IF(KH_26_OPT4_KTQT_v4[[#This Row],[CPHH-%-SL]]="Dthu",KH_26_OPT4_KTQT_v4[[#This Row],[%HH]]*KH_26_OPT4_KTQT_v4[[#This Row],[DT-EXW-04]],KH_26_OPT4_KTQT_v4[[#This Row],[HH-SL]]*KH_26_OPT4_KTQT_v4[[#This Row],[SL-04]])</f>
        <v>0</v>
      </c>
      <c r="CA47" s="47">
        <f>IF(KH_26_OPT4_KTQT_v4[[#This Row],[CPHH-%-SL]]="Dthu",KH_26_OPT4_KTQT_v4[[#This Row],[%HH]]*KH_26_OPT4_KTQT_v4[[#This Row],[DT-EXW-05]],KH_26_OPT4_KTQT_v4[[#This Row],[HH-SL]]*KH_26_OPT4_KTQT_v4[[#This Row],[SL-05]])</f>
        <v>0</v>
      </c>
      <c r="CB47" s="47">
        <f>IF(KH_26_OPT4_KTQT_v4[[#This Row],[CPHH-%-SL]]="Dthu",KH_26_OPT4_KTQT_v4[[#This Row],[%HH]]*KH_26_OPT4_KTQT_v4[[#This Row],[DT-EXW-06]],KH_26_OPT4_KTQT_v4[[#This Row],[HH-SL]]*KH_26_OPT4_KTQT_v4[[#This Row],[SL-06]])</f>
        <v>0</v>
      </c>
      <c r="CC47" s="47">
        <f>IF(KH_26_OPT4_KTQT_v4[[#This Row],[CPHH-%-SL]]="Dthu",KH_26_OPT4_KTQT_v4[[#This Row],[%HH]]*KH_26_OPT4_KTQT_v4[[#This Row],[DT-EXW-07]],KH_26_OPT4_KTQT_v4[[#This Row],[HH-SL]]*KH_26_OPT4_KTQT_v4[[#This Row],[SL-07]])</f>
        <v>0</v>
      </c>
      <c r="CD47" s="47">
        <f>IF(KH_26_OPT4_KTQT_v4[[#This Row],[CPHH-%-SL]]="Dthu",KH_26_OPT4_KTQT_v4[[#This Row],[%HH]]*KH_26_OPT4_KTQT_v4[[#This Row],[DT-EXW-08]],KH_26_OPT4_KTQT_v4[[#This Row],[HH-SL]]*KH_26_OPT4_KTQT_v4[[#This Row],[SL-08]])</f>
        <v>0</v>
      </c>
      <c r="CE47" s="47">
        <f>IF(KH_26_OPT4_KTQT_v4[[#This Row],[CPHH-%-SL]]="Dthu",KH_26_OPT4_KTQT_v4[[#This Row],[%HH]]*KH_26_OPT4_KTQT_v4[[#This Row],[DT-EXW-09]],KH_26_OPT4_KTQT_v4[[#This Row],[HH-SL]]*KH_26_OPT4_KTQT_v4[[#This Row],[SL-09]])</f>
        <v>0</v>
      </c>
      <c r="CF47" s="47">
        <f>IF(KH_26_OPT4_KTQT_v4[[#This Row],[CPHH-%-SL]]="Dthu",KH_26_OPT4_KTQT_v4[[#This Row],[%HH]]*KH_26_OPT4_KTQT_v4[[#This Row],[DT-EXW-10]],KH_26_OPT4_KTQT_v4[[#This Row],[HH-SL]]*KH_26_OPT4_KTQT_v4[[#This Row],[SL-10]])</f>
        <v>0</v>
      </c>
      <c r="CG47" s="47">
        <f>IF(KH_26_OPT4_KTQT_v4[[#This Row],[CPHH-%-SL]]="Dthu",KH_26_OPT4_KTQT_v4[[#This Row],[%HH]]*KH_26_OPT4_KTQT_v4[[#This Row],[DT-EXW-11]],KH_26_OPT4_KTQT_v4[[#This Row],[HH-SL]]*KH_26_OPT4_KTQT_v4[[#This Row],[SL-11]])</f>
        <v>0</v>
      </c>
      <c r="CH47" s="47">
        <f>IF(KH_26_OPT4_KTQT_v4[[#This Row],[CPHH-%-SL]]="Dthu",KH_26_OPT4_KTQT_v4[[#This Row],[%HH]]*KH_26_OPT4_KTQT_v4[[#This Row],[DT-EXW-12]],KH_26_OPT4_KTQT_v4[[#This Row],[HH-SL]]*KH_26_OPT4_KTQT_v4[[#This Row],[SL-12]])</f>
        <v>0</v>
      </c>
      <c r="CI47" s="47">
        <f ca="1">SUM(KH_26_OPT4_KTQT_v4[[#This Row],[CPHH-01]:[CPHH-12]])</f>
        <v>0</v>
      </c>
      <c r="CJ47" s="47" cm="1">
        <f t="array" ref="CJ47">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47" s="19">
        <f ca="1">SUM(KH_26_OPT4_KTQT_v4[[#This Row],[ĐGVCNĐ-KXK]:[ĐGVCCT-KXK]])</f>
        <v>530000</v>
      </c>
      <c r="CL47" s="47" cm="1">
        <f t="array" ref="CL47">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530000</v>
      </c>
      <c r="CM47" s="47" cm="1">
        <f t="array" ref="CM47">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47" s="47">
        <f ca="1">(KH_26_OPT4_KTQT_v4[[#This Row],[ĐGVC-KNĐ]]+KH_26_OPT4_KTQT_v4[[#This Row],[ĐGVC-KXK]])*KH_26_OPT4_KTQT_v4[[#This Row],[SL-01]]</f>
        <v>13250000</v>
      </c>
      <c r="CO47" s="47">
        <f ca="1">(KH_26_OPT4_KTQT_v4[[#This Row],[ĐGVC-KNĐ]]+KH_26_OPT4_KTQT_v4[[#This Row],[ĐGVC-KXK]])*KH_26_OPT4_KTQT_v4[[#This Row],[SL-02]]</f>
        <v>13250000</v>
      </c>
      <c r="CP47" s="47">
        <f ca="1">(KH_26_OPT4_KTQT_v4[[#This Row],[ĐGVC-KNĐ]]+KH_26_OPT4_KTQT_v4[[#This Row],[ĐGVC-KXK]])*KH_26_OPT4_KTQT_v4[[#This Row],[SL-03]]</f>
        <v>13250000</v>
      </c>
      <c r="CQ47" s="47">
        <f ca="1">(KH_26_OPT4_KTQT_v4[[#This Row],[ĐGVC-KNĐ]]+KH_26_OPT4_KTQT_v4[[#This Row],[ĐGVC-KXK]])*KH_26_OPT4_KTQT_v4[[#This Row],[SL-04]]</f>
        <v>13250000</v>
      </c>
      <c r="CR47" s="47">
        <f ca="1">(KH_26_OPT4_KTQT_v4[[#This Row],[ĐGVC-KNĐ]]+KH_26_OPT4_KTQT_v4[[#This Row],[ĐGVC-KXK]])*KH_26_OPT4_KTQT_v4[[#This Row],[SL-05]]</f>
        <v>13250000</v>
      </c>
      <c r="CS47" s="47">
        <f ca="1">(KH_26_OPT4_KTQT_v4[[#This Row],[ĐGVC-KNĐ]]+KH_26_OPT4_KTQT_v4[[#This Row],[ĐGVC-KXK]])*KH_26_OPT4_KTQT_v4[[#This Row],[SL-06]]</f>
        <v>13250000</v>
      </c>
      <c r="CT47" s="47">
        <f ca="1">(KH_26_OPT4_KTQT_v4[[#This Row],[ĐGVC-KNĐ]]+KH_26_OPT4_KTQT_v4[[#This Row],[ĐGVC-KXK]])*KH_26_OPT4_KTQT_v4[[#This Row],[SL-07]]</f>
        <v>13250000</v>
      </c>
      <c r="CU47" s="47">
        <f ca="1">(KH_26_OPT4_KTQT_v4[[#This Row],[ĐGVC-KNĐ]]+KH_26_OPT4_KTQT_v4[[#This Row],[ĐGVC-KXK]])*KH_26_OPT4_KTQT_v4[[#This Row],[SL-08]]</f>
        <v>13250000</v>
      </c>
      <c r="CV47" s="47">
        <f ca="1">(KH_26_OPT4_KTQT_v4[[#This Row],[ĐGVC-KNĐ]]+KH_26_OPT4_KTQT_v4[[#This Row],[ĐGVC-KXK]])*KH_26_OPT4_KTQT_v4[[#This Row],[SL-09]]</f>
        <v>13250000</v>
      </c>
      <c r="CW47" s="47">
        <f ca="1">(KH_26_OPT4_KTQT_v4[[#This Row],[ĐGVC-KNĐ]]+KH_26_OPT4_KTQT_v4[[#This Row],[ĐGVC-KXK]])*KH_26_OPT4_KTQT_v4[[#This Row],[SL-10]]</f>
        <v>13250000</v>
      </c>
      <c r="CX47" s="47">
        <f ca="1">(KH_26_OPT4_KTQT_v4[[#This Row],[ĐGVC-KNĐ]]+KH_26_OPT4_KTQT_v4[[#This Row],[ĐGVC-KXK]])*KH_26_OPT4_KTQT_v4[[#This Row],[SL-11]]</f>
        <v>13250000</v>
      </c>
      <c r="CY47" s="47">
        <f ca="1">(KH_26_OPT4_KTQT_v4[[#This Row],[ĐGVC-KNĐ]]+KH_26_OPT4_KTQT_v4[[#This Row],[ĐGVC-KXK]])*KH_26_OPT4_KTQT_v4[[#This Row],[SL-12]]</f>
        <v>13250000</v>
      </c>
      <c r="CZ47" s="47">
        <f ca="1">SUM(KH_26_OPT4_KTQT_v4[[#This Row],[CPVC-01]:[CPVC-12]])</f>
        <v>159000000</v>
      </c>
      <c r="DA47" s="124">
        <f ca="1">KH_26_OPT4_KTQT_v4[[#This Row],[DT-EXW-01]]+KH_26_OPT4_KTQT_v4[[#This Row],[CPVC-01]]+KH_26_OPT4_KTQT_v4[[#This Row],[CPHH-01]]</f>
        <v>477000000</v>
      </c>
      <c r="DB47" s="47">
        <f ca="1">KH_26_OPT4_KTQT_v4[[#This Row],[DT-EXW-02]]+KH_26_OPT4_KTQT_v4[[#This Row],[CPVC-02]]+KH_26_OPT4_KTQT_v4[[#This Row],[CPHH-02]]</f>
        <v>477000000</v>
      </c>
      <c r="DC47" s="47">
        <f ca="1">KH_26_OPT4_KTQT_v4[[#This Row],[DT-EXW-03]]+KH_26_OPT4_KTQT_v4[[#This Row],[CPVC-03]]+KH_26_OPT4_KTQT_v4[[#This Row],[CPHH-03]]</f>
        <v>477000000</v>
      </c>
      <c r="DD47" s="47">
        <f ca="1">KH_26_OPT4_KTQT_v4[[#This Row],[DT-EXW-04]]+KH_26_OPT4_KTQT_v4[[#This Row],[CPVC-04]]+KH_26_OPT4_KTQT_v4[[#This Row],[CPHH-04]]</f>
        <v>477000000</v>
      </c>
      <c r="DE47" s="47">
        <f ca="1">KH_26_OPT4_KTQT_v4[[#This Row],[DT-EXW-05]]+KH_26_OPT4_KTQT_v4[[#This Row],[CPVC-05]]+KH_26_OPT4_KTQT_v4[[#This Row],[CPHH-05]]</f>
        <v>477000000</v>
      </c>
      <c r="DF47" s="47">
        <f ca="1">KH_26_OPT4_KTQT_v4[[#This Row],[DT-EXW-06]]+KH_26_OPT4_KTQT_v4[[#This Row],[CPVC-06]]+KH_26_OPT4_KTQT_v4[[#This Row],[CPHH-06]]</f>
        <v>477000000</v>
      </c>
      <c r="DG47" s="47">
        <f ca="1">KH_26_OPT4_KTQT_v4[[#This Row],[DT-EXW-07]]+KH_26_OPT4_KTQT_v4[[#This Row],[CPVC-07]]+KH_26_OPT4_KTQT_v4[[#This Row],[CPHH-07]]</f>
        <v>477000000</v>
      </c>
      <c r="DH47" s="47">
        <f ca="1">KH_26_OPT4_KTQT_v4[[#This Row],[DT-EXW-08]]+KH_26_OPT4_KTQT_v4[[#This Row],[CPVC-08]]+KH_26_OPT4_KTQT_v4[[#This Row],[CPHH-08]]</f>
        <v>477000000</v>
      </c>
      <c r="DI47" s="47">
        <f ca="1">KH_26_OPT4_KTQT_v4[[#This Row],[DT-EXW-09]]+KH_26_OPT4_KTQT_v4[[#This Row],[CPVC-09]]+KH_26_OPT4_KTQT_v4[[#This Row],[CPHH-09]]</f>
        <v>477000000</v>
      </c>
      <c r="DJ47" s="47">
        <f ca="1">KH_26_OPT4_KTQT_v4[[#This Row],[DT-EXW-10]]+KH_26_OPT4_KTQT_v4[[#This Row],[CPVC-10]]+KH_26_OPT4_KTQT_v4[[#This Row],[CPHH-10]]</f>
        <v>477000000</v>
      </c>
      <c r="DK47" s="47">
        <f ca="1">KH_26_OPT4_KTQT_v4[[#This Row],[DT-EXW-11]]+KH_26_OPT4_KTQT_v4[[#This Row],[CPVC-11]]+KH_26_OPT4_KTQT_v4[[#This Row],[CPHH-11]]</f>
        <v>477000000</v>
      </c>
      <c r="DL47" s="47">
        <f ca="1">KH_26_OPT4_KTQT_v4[[#This Row],[DT-EXW-12]]+KH_26_OPT4_KTQT_v4[[#This Row],[CPVC-12]]+KH_26_OPT4_KTQT_v4[[#This Row],[CPHH-12]]</f>
        <v>477000000</v>
      </c>
      <c r="DM47" s="47">
        <f ca="1">SUM(KH_26_OPT4_KTQT_v4[[#This Row],[DT-01]:[DT-12]])</f>
        <v>5724000000</v>
      </c>
      <c r="DN47" s="7"/>
      <c r="DO47" s="7"/>
      <c r="DP47" s="125"/>
      <c r="DQ47" s="136"/>
      <c r="DR47" s="132">
        <f>IFERROR(KH_26_OPT4_KTQT_v4[[#This Row],[DT-EXW-01]]*KH_26_OPT4_KTQT_v4[[#This Row],[%CPDP]],0)</f>
        <v>0</v>
      </c>
      <c r="DS47" s="132">
        <f>IFERROR(KH_26_OPT4_KTQT_v4[[#This Row],[DT-EXW-02]]*KH_26_OPT4_KTQT_v4[[#This Row],[%CPDP]],0)</f>
        <v>0</v>
      </c>
      <c r="DT47" s="132">
        <f>IFERROR(KH_26_OPT4_KTQT_v4[[#This Row],[DT-EXW-03]]*KH_26_OPT4_KTQT_v4[[#This Row],[%CPDP]],0)</f>
        <v>0</v>
      </c>
      <c r="DU47" s="132">
        <f>IFERROR(KH_26_OPT4_KTQT_v4[[#This Row],[DT-EXW-04]]*KH_26_OPT4_KTQT_v4[[#This Row],[%CPDP]],0)</f>
        <v>0</v>
      </c>
      <c r="DV47" s="132">
        <f>IFERROR(KH_26_OPT4_KTQT_v4[[#This Row],[DT-EXW-05]]*KH_26_OPT4_KTQT_v4[[#This Row],[%CPDP]],0)</f>
        <v>0</v>
      </c>
      <c r="DW47" s="132">
        <f>IFERROR(KH_26_OPT4_KTQT_v4[[#This Row],[DT-EXW-06]]*KH_26_OPT4_KTQT_v4[[#This Row],[%CPDP]],0)</f>
        <v>0</v>
      </c>
      <c r="DX47" s="132">
        <f>IFERROR(KH_26_OPT4_KTQT_v4[[#This Row],[DT-EXW-07]]*KH_26_OPT4_KTQT_v4[[#This Row],[%CPDP]],0)</f>
        <v>0</v>
      </c>
      <c r="DY47" s="132">
        <f>IFERROR(KH_26_OPT4_KTQT_v4[[#This Row],[DT-EXW-08]]*KH_26_OPT4_KTQT_v4[[#This Row],[%CPDP]],0)</f>
        <v>0</v>
      </c>
      <c r="DZ47" s="132">
        <f>IFERROR(KH_26_OPT4_KTQT_v4[[#This Row],[DT-EXW-09]]*KH_26_OPT4_KTQT_v4[[#This Row],[%CPDP]],0)</f>
        <v>0</v>
      </c>
      <c r="EA47" s="132">
        <f>IFERROR(KH_26_OPT4_KTQT_v4[[#This Row],[DT-EXW-10]]*KH_26_OPT4_KTQT_v4[[#This Row],[%CPDP]],0)</f>
        <v>0</v>
      </c>
      <c r="EB47" s="132">
        <f>IFERROR(KH_26_OPT4_KTQT_v4[[#This Row],[DT-EXW-11]]*KH_26_OPT4_KTQT_v4[[#This Row],[%CPDP]],0)</f>
        <v>0</v>
      </c>
      <c r="EC47" s="132">
        <f>IFERROR(KH_26_OPT4_KTQT_v4[[#This Row],[DT-EXW-12]]*KH_26_OPT4_KTQT_v4[[#This Row],[%CPDP]],0)</f>
        <v>0</v>
      </c>
      <c r="ED47" s="131">
        <f ca="1">SUM(KH_26_OPT4_KTQT_v4[[#This Row],[CPDP-01]:[CPDP-12]])</f>
        <v>0</v>
      </c>
    </row>
    <row r="48" spans="1:134" ht="14.65" hidden="1" customHeight="1" x14ac:dyDescent="0.35">
      <c r="A48" s="18">
        <v>43</v>
      </c>
      <c r="B48" s="71" t="s">
        <v>101</v>
      </c>
      <c r="C48" s="18" t="str">
        <f>IFERROR(_xlfn.XLOOKUP(KH_26_OPT4_KTQT_v4[[#This Row],[Salesman]],MD_Salesman[Salesman],MD_Salesman[SalesManager]),"")</f>
        <v>Cường</v>
      </c>
      <c r="D48" s="72" t="str">
        <f>IFERROR(INDEX(MD_Customer[Mã khách],MATCH(KH_26_OPT4_KTQT_v4[[#This Row],[Tên khách]],MD_Customer[Tên khách-rút gọn],0)),"")</f>
        <v>NS26-NEWCUS-016</v>
      </c>
      <c r="E48" s="7" t="str">
        <f>IFERROR(INDEX(MD_Customer[Parent Account],MATCH(KH_26_OPT4_KTQT_v4[[#This Row],[Tên khách]],MD_Customer[Tên khách-rút gọn],0)),"")</f>
        <v>New Developments - Xơ sợi - XK</v>
      </c>
      <c r="F48" s="35" t="s">
        <v>24</v>
      </c>
      <c r="G48" s="7" t="str">
        <f>IFERROR(INDEX(MD_Customer[Phân loại],MATCH(KH_26_OPT4_KTQT_v4[[#This Row],[Tên khách]],MD_Customer[Tên khách-rút gọn],0)),"")</f>
        <v>Mới</v>
      </c>
      <c r="H48" s="7" t="str">
        <f>IFERROR(INDEX(MD_Customer[Kênh bán hàng],MATCH(KH_26_OPT4_KTQT_v4[[#This Row],[Tên khách]],MD_Customer[Tên khách-rút gọn],0)),"")</f>
        <v>Xuất Khẩu</v>
      </c>
      <c r="I48" s="35" t="s">
        <v>329</v>
      </c>
      <c r="J48" s="7" t="str">
        <f>IFERROR(INDEX(MD_Destination[Nước],MATCH(KH_26_OPT4_KTQT_v4[[#This Row],[Địa điểm đến]],MD_Destination[Địa điểm đến],0)),"")</f>
        <v>Unknown</v>
      </c>
      <c r="K48" s="7" t="str">
        <f>IFERROR(INDEX(MD_Destination[Khu vực],MATCH(KH_26_OPT4_KTQT_v4[[#This Row],[Địa điểm đến]],MD_Destination[Địa điểm đến],0)),"")</f>
        <v>Unknown</v>
      </c>
      <c r="L48" s="35" t="s">
        <v>278</v>
      </c>
      <c r="M48" s="7" t="str">
        <f>IFERROR(INDEX(MD_SKU[Mã SKU],MATCH(KH_26_OPT4_KTQT_v4[[#This Row],[Tên sản phẩm]],MD_SKU[Tên SKU-rút gọn],0)),"")</f>
        <v>110000466</v>
      </c>
      <c r="N48" s="35" t="s">
        <v>483</v>
      </c>
      <c r="O48" s="7" t="str">
        <f>IFERROR(INDEX(MD_SKU[Ngành hàng],MATCH(KH_26_OPT4_KTQT_v4[[#This Row],[Tên sản phẩm]],MD_SKU[Tên SKU-rút gọn],0)),"")</f>
        <v>Xơ sợi</v>
      </c>
      <c r="P48" s="7" t="str">
        <f>IFERROR(INDEX(MD_SKU[Nhóm ngành],MATCH(KH_26_OPT4_KTQT_v4[[#This Row],[Tên sản phẩm]],MD_SKU[Tên SKU-rút gọn],0)),"")</f>
        <v>Hạt Xơ sợi</v>
      </c>
      <c r="Q48" s="7" t="str">
        <f>IFERROR(
   IF(INDEX(MD_SKU[IV/IM],MATCH(KH_26_OPT4_KTQT_v4[[#This Row],[Tên sản phẩm]],MD_SKU[Tên SKU-rút gọn],0))=0,
      "",
      INDEX(MD_SKU[IV/IM],MATCH(KH_26_OPT4_KTQT_v4[[#This Row],[Tên sản phẩm]],MD_SKU[Tên SKU-rút gọn],0))
   ),
"")</f>
        <v>0.55 ± 0.05</v>
      </c>
      <c r="R48" s="44">
        <f>IFERROR(INDEX(MD_SKU[Application],MATCH(KH_26_OPT4_KTQT_v4[[#This Row],[Tên sản phẩm]],MD_SKU[Tên SKU-rút gọn],0)),"")</f>
        <v>0</v>
      </c>
      <c r="S48" s="7" t="str">
        <f>IFERROR(INDEX(MD_SKU[Phân loại],MATCH(KH_26_OPT4_KTQT_v4[[#This Row],[Tên sản phẩm]],MD_SKU[Tên SKU-rút gọn],0)),"")</f>
        <v>Cũ</v>
      </c>
      <c r="T48" s="7" t="s">
        <v>541</v>
      </c>
      <c r="U48" s="157" t="s">
        <v>1508</v>
      </c>
      <c r="V48" s="70">
        <v>0.8</v>
      </c>
      <c r="W48" s="33"/>
      <c r="X48" s="33"/>
      <c r="Y48" s="33"/>
      <c r="Z48" s="33"/>
      <c r="AA48" s="33"/>
      <c r="AB48" s="33"/>
      <c r="AC48" s="33"/>
      <c r="AD48" s="33"/>
      <c r="AE48" s="33"/>
      <c r="AF48" s="33"/>
      <c r="AG48" s="33"/>
      <c r="AH48" s="33"/>
      <c r="AI48" s="47">
        <f ca="1">SUM(KH_26_OPT4_KTQT_v4[[#This Row],[SL-01]:[SL-12]])</f>
        <v>0</v>
      </c>
      <c r="AJ48" s="47">
        <f ca="1">SUMIFS(DB_25[SL-DB25],DB_25[Mã khách],KH_26_OPT4_KTQT_v4[[#This Row],[Mã khách]],DB_25[Mã sản phẩm],KH_26_OPT4_KTQT_v4[[#This Row],[Mã sản phẩm]])</f>
        <v>0</v>
      </c>
      <c r="AK48" s="20">
        <f ca="1">KH_26_OPT4_KTQT_v4[[#This Row],[SL-KH26]]-KH_26_OPT4_KTQT_v4[[#This Row],[SL-DB25]]</f>
        <v>0</v>
      </c>
      <c r="AL48" s="21">
        <f ca="1">IFERROR(KH_26_OPT4_KTQT_v4[[#This Row],[SL-+/-]]/KH_26_OPT4_KTQT_v4[[#This Row],[SL-DB25]],0)</f>
        <v>0</v>
      </c>
      <c r="AM48" s="51">
        <v>640</v>
      </c>
      <c r="AN48" s="51">
        <v>632</v>
      </c>
      <c r="AO48" s="51">
        <v>624</v>
      </c>
      <c r="AP48" s="51">
        <v>616</v>
      </c>
      <c r="AQ48" s="51">
        <v>608</v>
      </c>
      <c r="AR48" s="51">
        <v>600</v>
      </c>
      <c r="AS48" s="51">
        <v>592</v>
      </c>
      <c r="AT48" s="51">
        <v>584</v>
      </c>
      <c r="AU48" s="51">
        <v>576</v>
      </c>
      <c r="AV48" s="51">
        <v>568</v>
      </c>
      <c r="AW48" s="51">
        <v>560</v>
      </c>
      <c r="AX48" s="51">
        <v>552</v>
      </c>
      <c r="AY48" s="23">
        <v>596</v>
      </c>
      <c r="AZ48" s="7"/>
      <c r="BA48" s="24">
        <f>KH_26_OPT4_KTQT_v4[[#This Row],[GB-DB25]]-KH_26_OPT4_KTQT_v4[[#This Row],[GB-KH25]]</f>
        <v>596</v>
      </c>
      <c r="BB48" s="21">
        <f>IFERROR(KH_26_OPT4_KTQT_v4[[#This Row],[GB-+/-]]/KH_26_OPT4_KTQT_v4[[#This Row],[GB-KH25]],0)</f>
        <v>0</v>
      </c>
      <c r="BC48" s="21"/>
      <c r="BD48" s="47">
        <f>KH_26_OPT4_KTQT_v4[[#This Row],[SL-01]]*KH_26_OPT4_KTQT_v4[[#This Row],[GB-01]]*EXR</f>
        <v>0</v>
      </c>
      <c r="BE48" s="47">
        <f>KH_26_OPT4_KTQT_v4[[#This Row],[SL-02]]*KH_26_OPT4_KTQT_v4[[#This Row],[GB-02]]*EXR</f>
        <v>0</v>
      </c>
      <c r="BF48" s="47">
        <f>KH_26_OPT4_KTQT_v4[[#This Row],[SL-03]]*KH_26_OPT4_KTQT_v4[[#This Row],[GB-03]]*EXR</f>
        <v>0</v>
      </c>
      <c r="BG48" s="47">
        <f>KH_26_OPT4_KTQT_v4[[#This Row],[SL-04]]*KH_26_OPT4_KTQT_v4[[#This Row],[GB-04]]*EXR</f>
        <v>0</v>
      </c>
      <c r="BH48" s="47">
        <f>KH_26_OPT4_KTQT_v4[[#This Row],[SL-05]]*KH_26_OPT4_KTQT_v4[[#This Row],[GB-05]]*EXR</f>
        <v>0</v>
      </c>
      <c r="BI48" s="47">
        <f>KH_26_OPT4_KTQT_v4[[#This Row],[SL-06]]*KH_26_OPT4_KTQT_v4[[#This Row],[GB-06]]*EXR</f>
        <v>0</v>
      </c>
      <c r="BJ48" s="47">
        <f>KH_26_OPT4_KTQT_v4[[#This Row],[SL-07]]*KH_26_OPT4_KTQT_v4[[#This Row],[GB-07]]*EXR</f>
        <v>0</v>
      </c>
      <c r="BK48" s="47">
        <f>KH_26_OPT4_KTQT_v4[[#This Row],[SL-08]]*KH_26_OPT4_KTQT_v4[[#This Row],[GB-08]]*EXR</f>
        <v>0</v>
      </c>
      <c r="BL48" s="47">
        <f>KH_26_OPT4_KTQT_v4[[#This Row],[SL-09]]*KH_26_OPT4_KTQT_v4[[#This Row],[GB-09]]*EXR</f>
        <v>0</v>
      </c>
      <c r="BM48" s="47">
        <f>KH_26_OPT4_KTQT_v4[[#This Row],[SL-10]]*KH_26_OPT4_KTQT_v4[[#This Row],[GB-10]]*EXR</f>
        <v>0</v>
      </c>
      <c r="BN48" s="47">
        <f>KH_26_OPT4_KTQT_v4[[#This Row],[SL-11]]*KH_26_OPT4_KTQT_v4[[#This Row],[GB-11]]*EXR</f>
        <v>0</v>
      </c>
      <c r="BO48" s="47">
        <f>KH_26_OPT4_KTQT_v4[[#This Row],[SL-12]]*KH_26_OPT4_KTQT_v4[[#This Row],[GB-12]]*EXR</f>
        <v>0</v>
      </c>
      <c r="BP48" s="47">
        <f ca="1">SUM(KH_26_OPT4_KTQT_v4[[#This Row],[DT-EXW-01]:[DT-EXW-12]])</f>
        <v>0</v>
      </c>
      <c r="BQ48" s="47">
        <f ca="1">SUMIFS(DB_25[DT-DB25],DB_25[Mã khách],KH_26_OPT4_KTQT_v4[[#This Row],[Mã khách]],DB_25[Mã sản phẩm],KH_26_OPT4_KTQT_v4[[#This Row],[Mã sản phẩm]])</f>
        <v>0</v>
      </c>
      <c r="BR48" s="19">
        <f ca="1">KH_26_OPT4_KTQT_v4[[#This Row],[DT-EXW-KH26]]-KH_26_OPT4_KTQT_v4[[#This Row],[DT-EXW-DB25]]</f>
        <v>0</v>
      </c>
      <c r="BS48" s="21">
        <f ca="1">IFERROR(KH_26_OPT4_KTQT_v4[[#This Row],[DT-EXW-+/-]]/KH_26_OPT4_KTQT_v4[[#This Row],[DT-EXW-DB25]],0)</f>
        <v>0</v>
      </c>
      <c r="BT48" s="139"/>
      <c r="BU48" s="57"/>
      <c r="BV48" s="51"/>
      <c r="BW48" s="47">
        <f>IF(KH_26_OPT4_KTQT_v4[[#This Row],[CPHH-%-SL]]="Dthu",KH_26_OPT4_KTQT_v4[[#This Row],[%HH]]*KH_26_OPT4_KTQT_v4[[#This Row],[DT-EXW-01]],KH_26_OPT4_KTQT_v4[[#This Row],[HH-SL]]*KH_26_OPT4_KTQT_v4[[#This Row],[SL-01]])</f>
        <v>0</v>
      </c>
      <c r="BX48" s="47">
        <f>IF(KH_26_OPT4_KTQT_v4[[#This Row],[CPHH-%-SL]]="Dthu",KH_26_OPT4_KTQT_v4[[#This Row],[%HH]]*KH_26_OPT4_KTQT_v4[[#This Row],[DT-EXW-02]],KH_26_OPT4_KTQT_v4[[#This Row],[HH-SL]]*KH_26_OPT4_KTQT_v4[[#This Row],[SL-02]])</f>
        <v>0</v>
      </c>
      <c r="BY48" s="47">
        <f>IF(KH_26_OPT4_KTQT_v4[[#This Row],[CPHH-%-SL]]="Dthu",KH_26_OPT4_KTQT_v4[[#This Row],[%HH]]*KH_26_OPT4_KTQT_v4[[#This Row],[DT-EXW-03]],KH_26_OPT4_KTQT_v4[[#This Row],[HH-SL]]*KH_26_OPT4_KTQT_v4[[#This Row],[SL-03]])</f>
        <v>0</v>
      </c>
      <c r="BZ48" s="47">
        <f>IF(KH_26_OPT4_KTQT_v4[[#This Row],[CPHH-%-SL]]="Dthu",KH_26_OPT4_KTQT_v4[[#This Row],[%HH]]*KH_26_OPT4_KTQT_v4[[#This Row],[DT-EXW-04]],KH_26_OPT4_KTQT_v4[[#This Row],[HH-SL]]*KH_26_OPT4_KTQT_v4[[#This Row],[SL-04]])</f>
        <v>0</v>
      </c>
      <c r="CA48" s="47">
        <f>IF(KH_26_OPT4_KTQT_v4[[#This Row],[CPHH-%-SL]]="Dthu",KH_26_OPT4_KTQT_v4[[#This Row],[%HH]]*KH_26_OPT4_KTQT_v4[[#This Row],[DT-EXW-05]],KH_26_OPT4_KTQT_v4[[#This Row],[HH-SL]]*KH_26_OPT4_KTQT_v4[[#This Row],[SL-05]])</f>
        <v>0</v>
      </c>
      <c r="CB48" s="47">
        <f>IF(KH_26_OPT4_KTQT_v4[[#This Row],[CPHH-%-SL]]="Dthu",KH_26_OPT4_KTQT_v4[[#This Row],[%HH]]*KH_26_OPT4_KTQT_v4[[#This Row],[DT-EXW-06]],KH_26_OPT4_KTQT_v4[[#This Row],[HH-SL]]*KH_26_OPT4_KTQT_v4[[#This Row],[SL-06]])</f>
        <v>0</v>
      </c>
      <c r="CC48" s="47">
        <f>IF(KH_26_OPT4_KTQT_v4[[#This Row],[CPHH-%-SL]]="Dthu",KH_26_OPT4_KTQT_v4[[#This Row],[%HH]]*KH_26_OPT4_KTQT_v4[[#This Row],[DT-EXW-07]],KH_26_OPT4_KTQT_v4[[#This Row],[HH-SL]]*KH_26_OPT4_KTQT_v4[[#This Row],[SL-07]])</f>
        <v>0</v>
      </c>
      <c r="CD48" s="47">
        <f>IF(KH_26_OPT4_KTQT_v4[[#This Row],[CPHH-%-SL]]="Dthu",KH_26_OPT4_KTQT_v4[[#This Row],[%HH]]*KH_26_OPT4_KTQT_v4[[#This Row],[DT-EXW-08]],KH_26_OPT4_KTQT_v4[[#This Row],[HH-SL]]*KH_26_OPT4_KTQT_v4[[#This Row],[SL-08]])</f>
        <v>0</v>
      </c>
      <c r="CE48" s="47">
        <f>IF(KH_26_OPT4_KTQT_v4[[#This Row],[CPHH-%-SL]]="Dthu",KH_26_OPT4_KTQT_v4[[#This Row],[%HH]]*KH_26_OPT4_KTQT_v4[[#This Row],[DT-EXW-09]],KH_26_OPT4_KTQT_v4[[#This Row],[HH-SL]]*KH_26_OPT4_KTQT_v4[[#This Row],[SL-09]])</f>
        <v>0</v>
      </c>
      <c r="CF48" s="47">
        <f>IF(KH_26_OPT4_KTQT_v4[[#This Row],[CPHH-%-SL]]="Dthu",KH_26_OPT4_KTQT_v4[[#This Row],[%HH]]*KH_26_OPT4_KTQT_v4[[#This Row],[DT-EXW-10]],KH_26_OPT4_KTQT_v4[[#This Row],[HH-SL]]*KH_26_OPT4_KTQT_v4[[#This Row],[SL-10]])</f>
        <v>0</v>
      </c>
      <c r="CG48" s="47">
        <f>IF(KH_26_OPT4_KTQT_v4[[#This Row],[CPHH-%-SL]]="Dthu",KH_26_OPT4_KTQT_v4[[#This Row],[%HH]]*KH_26_OPT4_KTQT_v4[[#This Row],[DT-EXW-11]],KH_26_OPT4_KTQT_v4[[#This Row],[HH-SL]]*KH_26_OPT4_KTQT_v4[[#This Row],[SL-11]])</f>
        <v>0</v>
      </c>
      <c r="CH48" s="47">
        <f>IF(KH_26_OPT4_KTQT_v4[[#This Row],[CPHH-%-SL]]="Dthu",KH_26_OPT4_KTQT_v4[[#This Row],[%HH]]*KH_26_OPT4_KTQT_v4[[#This Row],[DT-EXW-12]],KH_26_OPT4_KTQT_v4[[#This Row],[HH-SL]]*KH_26_OPT4_KTQT_v4[[#This Row],[SL-12]])</f>
        <v>0</v>
      </c>
      <c r="CI48" s="47">
        <f ca="1">SUM(KH_26_OPT4_KTQT_v4[[#This Row],[CPHH-01]:[CPHH-12]])</f>
        <v>0</v>
      </c>
      <c r="CJ48" s="47" cm="1">
        <f t="array" ref="CJ48">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48" s="19">
        <f ca="1">SUM(KH_26_OPT4_KTQT_v4[[#This Row],[ĐGVCNĐ-KXK]:[ĐGVCCT-KXK]])</f>
        <v>530000</v>
      </c>
      <c r="CL48" s="47" cm="1">
        <f t="array" ref="CL48">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530000</v>
      </c>
      <c r="CM48" s="47" cm="1">
        <f t="array" ref="CM48">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48" s="47">
        <f ca="1">(KH_26_OPT4_KTQT_v4[[#This Row],[ĐGVC-KNĐ]]+KH_26_OPT4_KTQT_v4[[#This Row],[ĐGVC-KXK]])*KH_26_OPT4_KTQT_v4[[#This Row],[SL-01]]</f>
        <v>0</v>
      </c>
      <c r="CO48" s="47">
        <f ca="1">(KH_26_OPT4_KTQT_v4[[#This Row],[ĐGVC-KNĐ]]+KH_26_OPT4_KTQT_v4[[#This Row],[ĐGVC-KXK]])*KH_26_OPT4_KTQT_v4[[#This Row],[SL-02]]</f>
        <v>0</v>
      </c>
      <c r="CP48" s="47">
        <f ca="1">(KH_26_OPT4_KTQT_v4[[#This Row],[ĐGVC-KNĐ]]+KH_26_OPT4_KTQT_v4[[#This Row],[ĐGVC-KXK]])*KH_26_OPT4_KTQT_v4[[#This Row],[SL-03]]</f>
        <v>0</v>
      </c>
      <c r="CQ48" s="47">
        <f ca="1">(KH_26_OPT4_KTQT_v4[[#This Row],[ĐGVC-KNĐ]]+KH_26_OPT4_KTQT_v4[[#This Row],[ĐGVC-KXK]])*KH_26_OPT4_KTQT_v4[[#This Row],[SL-04]]</f>
        <v>0</v>
      </c>
      <c r="CR48" s="47">
        <f ca="1">(KH_26_OPT4_KTQT_v4[[#This Row],[ĐGVC-KNĐ]]+KH_26_OPT4_KTQT_v4[[#This Row],[ĐGVC-KXK]])*KH_26_OPT4_KTQT_v4[[#This Row],[SL-05]]</f>
        <v>0</v>
      </c>
      <c r="CS48" s="47">
        <f ca="1">(KH_26_OPT4_KTQT_v4[[#This Row],[ĐGVC-KNĐ]]+KH_26_OPT4_KTQT_v4[[#This Row],[ĐGVC-KXK]])*KH_26_OPT4_KTQT_v4[[#This Row],[SL-06]]</f>
        <v>0</v>
      </c>
      <c r="CT48" s="47">
        <f ca="1">(KH_26_OPT4_KTQT_v4[[#This Row],[ĐGVC-KNĐ]]+KH_26_OPT4_KTQT_v4[[#This Row],[ĐGVC-KXK]])*KH_26_OPT4_KTQT_v4[[#This Row],[SL-07]]</f>
        <v>0</v>
      </c>
      <c r="CU48" s="47">
        <f ca="1">(KH_26_OPT4_KTQT_v4[[#This Row],[ĐGVC-KNĐ]]+KH_26_OPT4_KTQT_v4[[#This Row],[ĐGVC-KXK]])*KH_26_OPT4_KTQT_v4[[#This Row],[SL-08]]</f>
        <v>0</v>
      </c>
      <c r="CV48" s="47">
        <f ca="1">(KH_26_OPT4_KTQT_v4[[#This Row],[ĐGVC-KNĐ]]+KH_26_OPT4_KTQT_v4[[#This Row],[ĐGVC-KXK]])*KH_26_OPT4_KTQT_v4[[#This Row],[SL-09]]</f>
        <v>0</v>
      </c>
      <c r="CW48" s="47">
        <f ca="1">(KH_26_OPT4_KTQT_v4[[#This Row],[ĐGVC-KNĐ]]+KH_26_OPT4_KTQT_v4[[#This Row],[ĐGVC-KXK]])*KH_26_OPT4_KTQT_v4[[#This Row],[SL-10]]</f>
        <v>0</v>
      </c>
      <c r="CX48" s="47">
        <f ca="1">(KH_26_OPT4_KTQT_v4[[#This Row],[ĐGVC-KNĐ]]+KH_26_OPT4_KTQT_v4[[#This Row],[ĐGVC-KXK]])*KH_26_OPT4_KTQT_v4[[#This Row],[SL-11]]</f>
        <v>0</v>
      </c>
      <c r="CY48" s="47">
        <f ca="1">(KH_26_OPT4_KTQT_v4[[#This Row],[ĐGVC-KNĐ]]+KH_26_OPT4_KTQT_v4[[#This Row],[ĐGVC-KXK]])*KH_26_OPT4_KTQT_v4[[#This Row],[SL-12]]</f>
        <v>0</v>
      </c>
      <c r="CZ48" s="47">
        <f ca="1">SUM(KH_26_OPT4_KTQT_v4[[#This Row],[CPVC-01]:[CPVC-12]])</f>
        <v>0</v>
      </c>
      <c r="DA48" s="124">
        <f ca="1">KH_26_OPT4_KTQT_v4[[#This Row],[DT-EXW-01]]+KH_26_OPT4_KTQT_v4[[#This Row],[CPVC-01]]+KH_26_OPT4_KTQT_v4[[#This Row],[CPHH-01]]</f>
        <v>0</v>
      </c>
      <c r="DB48" s="47">
        <f ca="1">KH_26_OPT4_KTQT_v4[[#This Row],[DT-EXW-02]]+KH_26_OPT4_KTQT_v4[[#This Row],[CPVC-02]]+KH_26_OPT4_KTQT_v4[[#This Row],[CPHH-02]]</f>
        <v>0</v>
      </c>
      <c r="DC48" s="47">
        <f ca="1">KH_26_OPT4_KTQT_v4[[#This Row],[DT-EXW-03]]+KH_26_OPT4_KTQT_v4[[#This Row],[CPVC-03]]+KH_26_OPT4_KTQT_v4[[#This Row],[CPHH-03]]</f>
        <v>0</v>
      </c>
      <c r="DD48" s="47">
        <f ca="1">KH_26_OPT4_KTQT_v4[[#This Row],[DT-EXW-04]]+KH_26_OPT4_KTQT_v4[[#This Row],[CPVC-04]]+KH_26_OPT4_KTQT_v4[[#This Row],[CPHH-04]]</f>
        <v>0</v>
      </c>
      <c r="DE48" s="47">
        <f ca="1">KH_26_OPT4_KTQT_v4[[#This Row],[DT-EXW-05]]+KH_26_OPT4_KTQT_v4[[#This Row],[CPVC-05]]+KH_26_OPT4_KTQT_v4[[#This Row],[CPHH-05]]</f>
        <v>0</v>
      </c>
      <c r="DF48" s="47">
        <f ca="1">KH_26_OPT4_KTQT_v4[[#This Row],[DT-EXW-06]]+KH_26_OPT4_KTQT_v4[[#This Row],[CPVC-06]]+KH_26_OPT4_KTQT_v4[[#This Row],[CPHH-06]]</f>
        <v>0</v>
      </c>
      <c r="DG48" s="47">
        <f ca="1">KH_26_OPT4_KTQT_v4[[#This Row],[DT-EXW-07]]+KH_26_OPT4_KTQT_v4[[#This Row],[CPVC-07]]+KH_26_OPT4_KTQT_v4[[#This Row],[CPHH-07]]</f>
        <v>0</v>
      </c>
      <c r="DH48" s="47">
        <f ca="1">KH_26_OPT4_KTQT_v4[[#This Row],[DT-EXW-08]]+KH_26_OPT4_KTQT_v4[[#This Row],[CPVC-08]]+KH_26_OPT4_KTQT_v4[[#This Row],[CPHH-08]]</f>
        <v>0</v>
      </c>
      <c r="DI48" s="47">
        <f ca="1">KH_26_OPT4_KTQT_v4[[#This Row],[DT-EXW-09]]+KH_26_OPT4_KTQT_v4[[#This Row],[CPVC-09]]+KH_26_OPT4_KTQT_v4[[#This Row],[CPHH-09]]</f>
        <v>0</v>
      </c>
      <c r="DJ48" s="47">
        <f ca="1">KH_26_OPT4_KTQT_v4[[#This Row],[DT-EXW-10]]+KH_26_OPT4_KTQT_v4[[#This Row],[CPVC-10]]+KH_26_OPT4_KTQT_v4[[#This Row],[CPHH-10]]</f>
        <v>0</v>
      </c>
      <c r="DK48" s="47">
        <f ca="1">KH_26_OPT4_KTQT_v4[[#This Row],[DT-EXW-11]]+KH_26_OPT4_KTQT_v4[[#This Row],[CPVC-11]]+KH_26_OPT4_KTQT_v4[[#This Row],[CPHH-11]]</f>
        <v>0</v>
      </c>
      <c r="DL48" s="47">
        <f ca="1">KH_26_OPT4_KTQT_v4[[#This Row],[DT-EXW-12]]+KH_26_OPT4_KTQT_v4[[#This Row],[CPVC-12]]+KH_26_OPT4_KTQT_v4[[#This Row],[CPHH-12]]</f>
        <v>0</v>
      </c>
      <c r="DM48" s="47">
        <f ca="1">SUM(KH_26_OPT4_KTQT_v4[[#This Row],[DT-01]:[DT-12]])</f>
        <v>0</v>
      </c>
      <c r="DN48" s="7"/>
      <c r="DO48" s="7"/>
      <c r="DP48" s="125"/>
      <c r="DQ48" s="136"/>
      <c r="DR48" s="132">
        <f>IFERROR(KH_26_OPT4_KTQT_v4[[#This Row],[DT-EXW-01]]*KH_26_OPT4_KTQT_v4[[#This Row],[%CPDP]],0)</f>
        <v>0</v>
      </c>
      <c r="DS48" s="132">
        <f>IFERROR(KH_26_OPT4_KTQT_v4[[#This Row],[DT-EXW-02]]*KH_26_OPT4_KTQT_v4[[#This Row],[%CPDP]],0)</f>
        <v>0</v>
      </c>
      <c r="DT48" s="132">
        <f>IFERROR(KH_26_OPT4_KTQT_v4[[#This Row],[DT-EXW-03]]*KH_26_OPT4_KTQT_v4[[#This Row],[%CPDP]],0)</f>
        <v>0</v>
      </c>
      <c r="DU48" s="132">
        <f>IFERROR(KH_26_OPT4_KTQT_v4[[#This Row],[DT-EXW-04]]*KH_26_OPT4_KTQT_v4[[#This Row],[%CPDP]],0)</f>
        <v>0</v>
      </c>
      <c r="DV48" s="132">
        <f>IFERROR(KH_26_OPT4_KTQT_v4[[#This Row],[DT-EXW-05]]*KH_26_OPT4_KTQT_v4[[#This Row],[%CPDP]],0)</f>
        <v>0</v>
      </c>
      <c r="DW48" s="132">
        <f>IFERROR(KH_26_OPT4_KTQT_v4[[#This Row],[DT-EXW-06]]*KH_26_OPT4_KTQT_v4[[#This Row],[%CPDP]],0)</f>
        <v>0</v>
      </c>
      <c r="DX48" s="132">
        <f>IFERROR(KH_26_OPT4_KTQT_v4[[#This Row],[DT-EXW-07]]*KH_26_OPT4_KTQT_v4[[#This Row],[%CPDP]],0)</f>
        <v>0</v>
      </c>
      <c r="DY48" s="132">
        <f>IFERROR(KH_26_OPT4_KTQT_v4[[#This Row],[DT-EXW-08]]*KH_26_OPT4_KTQT_v4[[#This Row],[%CPDP]],0)</f>
        <v>0</v>
      </c>
      <c r="DZ48" s="132">
        <f>IFERROR(KH_26_OPT4_KTQT_v4[[#This Row],[DT-EXW-09]]*KH_26_OPT4_KTQT_v4[[#This Row],[%CPDP]],0)</f>
        <v>0</v>
      </c>
      <c r="EA48" s="132">
        <f>IFERROR(KH_26_OPT4_KTQT_v4[[#This Row],[DT-EXW-10]]*KH_26_OPT4_KTQT_v4[[#This Row],[%CPDP]],0)</f>
        <v>0</v>
      </c>
      <c r="EB48" s="132">
        <f>IFERROR(KH_26_OPT4_KTQT_v4[[#This Row],[DT-EXW-11]]*KH_26_OPT4_KTQT_v4[[#This Row],[%CPDP]],0)</f>
        <v>0</v>
      </c>
      <c r="EC48" s="132">
        <f>IFERROR(KH_26_OPT4_KTQT_v4[[#This Row],[DT-EXW-12]]*KH_26_OPT4_KTQT_v4[[#This Row],[%CPDP]],0)</f>
        <v>0</v>
      </c>
      <c r="ED48" s="131">
        <f ca="1">SUM(KH_26_OPT4_KTQT_v4[[#This Row],[CPDP-01]:[CPDP-12]])</f>
        <v>0</v>
      </c>
    </row>
    <row r="49" spans="1:134" ht="14.65" hidden="1" customHeight="1" x14ac:dyDescent="0.35">
      <c r="A49" s="18">
        <v>44</v>
      </c>
      <c r="B49" s="71" t="s">
        <v>95</v>
      </c>
      <c r="C49" s="18" t="str">
        <f>IFERROR(_xlfn.XLOOKUP(KH_26_OPT4_KTQT_v4[[#This Row],[Salesman]],MD_Salesman[Salesman],MD_Salesman[SalesManager]),"")</f>
        <v>Cường</v>
      </c>
      <c r="D49" s="72" t="str">
        <f>IFERROR(INDEX(MD_Customer[Mã khách],MATCH(KH_26_OPT4_KTQT_v4[[#This Row],[Tên khách]],MD_Customer[Tên khách-rút gọn],0)),"")</f>
        <v>NS26-NEWCUS-016</v>
      </c>
      <c r="E49" s="7" t="str">
        <f>IFERROR(INDEX(MD_Customer[Parent Account],MATCH(KH_26_OPT4_KTQT_v4[[#This Row],[Tên khách]],MD_Customer[Tên khách-rút gọn],0)),"")</f>
        <v>New Developments - Xơ sợi - XK</v>
      </c>
      <c r="F49" s="35" t="s">
        <v>24</v>
      </c>
      <c r="G49" s="7" t="str">
        <f>IFERROR(INDEX(MD_Customer[Phân loại],MATCH(KH_26_OPT4_KTQT_v4[[#This Row],[Tên khách]],MD_Customer[Tên khách-rút gọn],0)),"")</f>
        <v>Mới</v>
      </c>
      <c r="H49" s="7" t="str">
        <f>IFERROR(INDEX(MD_Customer[Kênh bán hàng],MATCH(KH_26_OPT4_KTQT_v4[[#This Row],[Tên khách]],MD_Customer[Tên khách-rút gọn],0)),"")</f>
        <v>Xuất Khẩu</v>
      </c>
      <c r="I49" s="35" t="s">
        <v>329</v>
      </c>
      <c r="J49" s="7" t="str">
        <f>IFERROR(INDEX(MD_Destination[Nước],MATCH(KH_26_OPT4_KTQT_v4[[#This Row],[Địa điểm đến]],MD_Destination[Địa điểm đến],0)),"")</f>
        <v>Unknown</v>
      </c>
      <c r="K49" s="7" t="str">
        <f>IFERROR(INDEX(MD_Destination[Khu vực],MATCH(KH_26_OPT4_KTQT_v4[[#This Row],[Địa điểm đến]],MD_Destination[Địa điểm đến],0)),"")</f>
        <v>Unknown</v>
      </c>
      <c r="L49" s="35" t="s">
        <v>278</v>
      </c>
      <c r="M49" s="7" t="str">
        <f>IFERROR(INDEX(MD_SKU[Mã SKU],MATCH(KH_26_OPT4_KTQT_v4[[#This Row],[Tên sản phẩm]],MD_SKU[Tên SKU-rút gọn],0)),"")</f>
        <v>110000466</v>
      </c>
      <c r="N49" s="35" t="s">
        <v>483</v>
      </c>
      <c r="O49" s="7" t="str">
        <f>IFERROR(INDEX(MD_SKU[Ngành hàng],MATCH(KH_26_OPT4_KTQT_v4[[#This Row],[Tên sản phẩm]],MD_SKU[Tên SKU-rút gọn],0)),"")</f>
        <v>Xơ sợi</v>
      </c>
      <c r="P49" s="7" t="str">
        <f>IFERROR(INDEX(MD_SKU[Nhóm ngành],MATCH(KH_26_OPT4_KTQT_v4[[#This Row],[Tên sản phẩm]],MD_SKU[Tên SKU-rút gọn],0)),"")</f>
        <v>Hạt Xơ sợi</v>
      </c>
      <c r="Q49" s="7" t="str">
        <f>IFERROR(
   IF(INDEX(MD_SKU[IV/IM],MATCH(KH_26_OPT4_KTQT_v4[[#This Row],[Tên sản phẩm]],MD_SKU[Tên SKU-rút gọn],0))=0,
      "",
      INDEX(MD_SKU[IV/IM],MATCH(KH_26_OPT4_KTQT_v4[[#This Row],[Tên sản phẩm]],MD_SKU[Tên SKU-rút gọn],0))
   ),
"")</f>
        <v>0.55 ± 0.05</v>
      </c>
      <c r="R49" s="44">
        <f>IFERROR(INDEX(MD_SKU[Application],MATCH(KH_26_OPT4_KTQT_v4[[#This Row],[Tên sản phẩm]],MD_SKU[Tên SKU-rút gọn],0)),"")</f>
        <v>0</v>
      </c>
      <c r="S49" s="7" t="str">
        <f>IFERROR(INDEX(MD_SKU[Phân loại],MATCH(KH_26_OPT4_KTQT_v4[[#This Row],[Tên sản phẩm]],MD_SKU[Tên SKU-rút gọn],0)),"")</f>
        <v>Cũ</v>
      </c>
      <c r="T49" s="7" t="s">
        <v>541</v>
      </c>
      <c r="U49" s="157" t="s">
        <v>1508</v>
      </c>
      <c r="V49" s="70">
        <v>0.8</v>
      </c>
      <c r="W49" s="33"/>
      <c r="X49" s="33"/>
      <c r="Y49" s="33"/>
      <c r="Z49" s="33"/>
      <c r="AA49" s="33"/>
      <c r="AB49" s="33"/>
      <c r="AC49" s="33"/>
      <c r="AD49" s="33"/>
      <c r="AE49" s="33"/>
      <c r="AF49" s="33"/>
      <c r="AG49" s="33"/>
      <c r="AH49" s="33"/>
      <c r="AI49" s="47">
        <f ca="1">SUM(KH_26_OPT4_KTQT_v4[[#This Row],[SL-01]:[SL-12]])</f>
        <v>0</v>
      </c>
      <c r="AJ49" s="47">
        <f ca="1">SUMIFS(DB_25[SL-DB25],DB_25[Mã khách],KH_26_OPT4_KTQT_v4[[#This Row],[Mã khách]],DB_25[Mã sản phẩm],KH_26_OPT4_KTQT_v4[[#This Row],[Mã sản phẩm]])</f>
        <v>0</v>
      </c>
      <c r="AK49" s="20">
        <f ca="1">KH_26_OPT4_KTQT_v4[[#This Row],[SL-KH26]]-KH_26_OPT4_KTQT_v4[[#This Row],[SL-DB25]]</f>
        <v>0</v>
      </c>
      <c r="AL49" s="21">
        <f ca="1">IFERROR(KH_26_OPT4_KTQT_v4[[#This Row],[SL-+/-]]/KH_26_OPT4_KTQT_v4[[#This Row],[SL-DB25]],0)</f>
        <v>0</v>
      </c>
      <c r="AM49" s="51">
        <v>640</v>
      </c>
      <c r="AN49" s="51">
        <v>632</v>
      </c>
      <c r="AO49" s="51">
        <v>624</v>
      </c>
      <c r="AP49" s="51">
        <v>616</v>
      </c>
      <c r="AQ49" s="51">
        <v>608</v>
      </c>
      <c r="AR49" s="51">
        <v>600</v>
      </c>
      <c r="AS49" s="51">
        <v>592</v>
      </c>
      <c r="AT49" s="51">
        <v>584</v>
      </c>
      <c r="AU49" s="51">
        <v>576</v>
      </c>
      <c r="AV49" s="51">
        <v>568</v>
      </c>
      <c r="AW49" s="51">
        <v>560</v>
      </c>
      <c r="AX49" s="51">
        <v>552</v>
      </c>
      <c r="AY49" s="23">
        <v>596</v>
      </c>
      <c r="AZ49" s="7"/>
      <c r="BA49" s="24">
        <f>KH_26_OPT4_KTQT_v4[[#This Row],[GB-DB25]]-KH_26_OPT4_KTQT_v4[[#This Row],[GB-KH25]]</f>
        <v>596</v>
      </c>
      <c r="BB49" s="21">
        <f>IFERROR(KH_26_OPT4_KTQT_v4[[#This Row],[GB-+/-]]/KH_26_OPT4_KTQT_v4[[#This Row],[GB-KH25]],0)</f>
        <v>0</v>
      </c>
      <c r="BC49" s="21"/>
      <c r="BD49" s="47">
        <f>KH_26_OPT4_KTQT_v4[[#This Row],[SL-01]]*KH_26_OPT4_KTQT_v4[[#This Row],[GB-01]]*EXR</f>
        <v>0</v>
      </c>
      <c r="BE49" s="47">
        <f>KH_26_OPT4_KTQT_v4[[#This Row],[SL-02]]*KH_26_OPT4_KTQT_v4[[#This Row],[GB-02]]*EXR</f>
        <v>0</v>
      </c>
      <c r="BF49" s="47">
        <f>KH_26_OPT4_KTQT_v4[[#This Row],[SL-03]]*KH_26_OPT4_KTQT_v4[[#This Row],[GB-03]]*EXR</f>
        <v>0</v>
      </c>
      <c r="BG49" s="47">
        <f>KH_26_OPT4_KTQT_v4[[#This Row],[SL-04]]*KH_26_OPT4_KTQT_v4[[#This Row],[GB-04]]*EXR</f>
        <v>0</v>
      </c>
      <c r="BH49" s="47">
        <f>KH_26_OPT4_KTQT_v4[[#This Row],[SL-05]]*KH_26_OPT4_KTQT_v4[[#This Row],[GB-05]]*EXR</f>
        <v>0</v>
      </c>
      <c r="BI49" s="47">
        <f>KH_26_OPT4_KTQT_v4[[#This Row],[SL-06]]*KH_26_OPT4_KTQT_v4[[#This Row],[GB-06]]*EXR</f>
        <v>0</v>
      </c>
      <c r="BJ49" s="47">
        <f>KH_26_OPT4_KTQT_v4[[#This Row],[SL-07]]*KH_26_OPT4_KTQT_v4[[#This Row],[GB-07]]*EXR</f>
        <v>0</v>
      </c>
      <c r="BK49" s="47">
        <f>KH_26_OPT4_KTQT_v4[[#This Row],[SL-08]]*KH_26_OPT4_KTQT_v4[[#This Row],[GB-08]]*EXR</f>
        <v>0</v>
      </c>
      <c r="BL49" s="47">
        <f>KH_26_OPT4_KTQT_v4[[#This Row],[SL-09]]*KH_26_OPT4_KTQT_v4[[#This Row],[GB-09]]*EXR</f>
        <v>0</v>
      </c>
      <c r="BM49" s="47">
        <f>KH_26_OPT4_KTQT_v4[[#This Row],[SL-10]]*KH_26_OPT4_KTQT_v4[[#This Row],[GB-10]]*EXR</f>
        <v>0</v>
      </c>
      <c r="BN49" s="47">
        <f>KH_26_OPT4_KTQT_v4[[#This Row],[SL-11]]*KH_26_OPT4_KTQT_v4[[#This Row],[GB-11]]*EXR</f>
        <v>0</v>
      </c>
      <c r="BO49" s="47">
        <f>KH_26_OPT4_KTQT_v4[[#This Row],[SL-12]]*KH_26_OPT4_KTQT_v4[[#This Row],[GB-12]]*EXR</f>
        <v>0</v>
      </c>
      <c r="BP49" s="47">
        <f ca="1">SUM(KH_26_OPT4_KTQT_v4[[#This Row],[DT-EXW-01]:[DT-EXW-12]])</f>
        <v>0</v>
      </c>
      <c r="BQ49" s="47">
        <f ca="1">SUMIFS(DB_25[DT-DB25],DB_25[Mã khách],KH_26_OPT4_KTQT_v4[[#This Row],[Mã khách]],DB_25[Mã sản phẩm],KH_26_OPT4_KTQT_v4[[#This Row],[Mã sản phẩm]])</f>
        <v>0</v>
      </c>
      <c r="BR49" s="19">
        <f ca="1">KH_26_OPT4_KTQT_v4[[#This Row],[DT-EXW-KH26]]-KH_26_OPT4_KTQT_v4[[#This Row],[DT-EXW-DB25]]</f>
        <v>0</v>
      </c>
      <c r="BS49" s="21">
        <f ca="1">IFERROR(KH_26_OPT4_KTQT_v4[[#This Row],[DT-EXW-+/-]]/KH_26_OPT4_KTQT_v4[[#This Row],[DT-EXW-DB25]],0)</f>
        <v>0</v>
      </c>
      <c r="BT49" s="139"/>
      <c r="BU49" s="57"/>
      <c r="BV49" s="51"/>
      <c r="BW49" s="47">
        <f>IF(KH_26_OPT4_KTQT_v4[[#This Row],[CPHH-%-SL]]="Dthu",KH_26_OPT4_KTQT_v4[[#This Row],[%HH]]*KH_26_OPT4_KTQT_v4[[#This Row],[DT-EXW-01]],KH_26_OPT4_KTQT_v4[[#This Row],[HH-SL]]*KH_26_OPT4_KTQT_v4[[#This Row],[SL-01]])</f>
        <v>0</v>
      </c>
      <c r="BX49" s="47">
        <f>IF(KH_26_OPT4_KTQT_v4[[#This Row],[CPHH-%-SL]]="Dthu",KH_26_OPT4_KTQT_v4[[#This Row],[%HH]]*KH_26_OPT4_KTQT_v4[[#This Row],[DT-EXW-02]],KH_26_OPT4_KTQT_v4[[#This Row],[HH-SL]]*KH_26_OPT4_KTQT_v4[[#This Row],[SL-02]])</f>
        <v>0</v>
      </c>
      <c r="BY49" s="47">
        <f>IF(KH_26_OPT4_KTQT_v4[[#This Row],[CPHH-%-SL]]="Dthu",KH_26_OPT4_KTQT_v4[[#This Row],[%HH]]*KH_26_OPT4_KTQT_v4[[#This Row],[DT-EXW-03]],KH_26_OPT4_KTQT_v4[[#This Row],[HH-SL]]*KH_26_OPT4_KTQT_v4[[#This Row],[SL-03]])</f>
        <v>0</v>
      </c>
      <c r="BZ49" s="47">
        <f>IF(KH_26_OPT4_KTQT_v4[[#This Row],[CPHH-%-SL]]="Dthu",KH_26_OPT4_KTQT_v4[[#This Row],[%HH]]*KH_26_OPT4_KTQT_v4[[#This Row],[DT-EXW-04]],KH_26_OPT4_KTQT_v4[[#This Row],[HH-SL]]*KH_26_OPT4_KTQT_v4[[#This Row],[SL-04]])</f>
        <v>0</v>
      </c>
      <c r="CA49" s="47">
        <f>IF(KH_26_OPT4_KTQT_v4[[#This Row],[CPHH-%-SL]]="Dthu",KH_26_OPT4_KTQT_v4[[#This Row],[%HH]]*KH_26_OPT4_KTQT_v4[[#This Row],[DT-EXW-05]],KH_26_OPT4_KTQT_v4[[#This Row],[HH-SL]]*KH_26_OPT4_KTQT_v4[[#This Row],[SL-05]])</f>
        <v>0</v>
      </c>
      <c r="CB49" s="47">
        <f>IF(KH_26_OPT4_KTQT_v4[[#This Row],[CPHH-%-SL]]="Dthu",KH_26_OPT4_KTQT_v4[[#This Row],[%HH]]*KH_26_OPT4_KTQT_v4[[#This Row],[DT-EXW-06]],KH_26_OPT4_KTQT_v4[[#This Row],[HH-SL]]*KH_26_OPT4_KTQT_v4[[#This Row],[SL-06]])</f>
        <v>0</v>
      </c>
      <c r="CC49" s="47">
        <f>IF(KH_26_OPT4_KTQT_v4[[#This Row],[CPHH-%-SL]]="Dthu",KH_26_OPT4_KTQT_v4[[#This Row],[%HH]]*KH_26_OPT4_KTQT_v4[[#This Row],[DT-EXW-07]],KH_26_OPT4_KTQT_v4[[#This Row],[HH-SL]]*KH_26_OPT4_KTQT_v4[[#This Row],[SL-07]])</f>
        <v>0</v>
      </c>
      <c r="CD49" s="47">
        <f>IF(KH_26_OPT4_KTQT_v4[[#This Row],[CPHH-%-SL]]="Dthu",KH_26_OPT4_KTQT_v4[[#This Row],[%HH]]*KH_26_OPT4_KTQT_v4[[#This Row],[DT-EXW-08]],KH_26_OPT4_KTQT_v4[[#This Row],[HH-SL]]*KH_26_OPT4_KTQT_v4[[#This Row],[SL-08]])</f>
        <v>0</v>
      </c>
      <c r="CE49" s="47">
        <f>IF(KH_26_OPT4_KTQT_v4[[#This Row],[CPHH-%-SL]]="Dthu",KH_26_OPT4_KTQT_v4[[#This Row],[%HH]]*KH_26_OPT4_KTQT_v4[[#This Row],[DT-EXW-09]],KH_26_OPT4_KTQT_v4[[#This Row],[HH-SL]]*KH_26_OPT4_KTQT_v4[[#This Row],[SL-09]])</f>
        <v>0</v>
      </c>
      <c r="CF49" s="47">
        <f>IF(KH_26_OPT4_KTQT_v4[[#This Row],[CPHH-%-SL]]="Dthu",KH_26_OPT4_KTQT_v4[[#This Row],[%HH]]*KH_26_OPT4_KTQT_v4[[#This Row],[DT-EXW-10]],KH_26_OPT4_KTQT_v4[[#This Row],[HH-SL]]*KH_26_OPT4_KTQT_v4[[#This Row],[SL-10]])</f>
        <v>0</v>
      </c>
      <c r="CG49" s="47">
        <f>IF(KH_26_OPT4_KTQT_v4[[#This Row],[CPHH-%-SL]]="Dthu",KH_26_OPT4_KTQT_v4[[#This Row],[%HH]]*KH_26_OPT4_KTQT_v4[[#This Row],[DT-EXW-11]],KH_26_OPT4_KTQT_v4[[#This Row],[HH-SL]]*KH_26_OPT4_KTQT_v4[[#This Row],[SL-11]])</f>
        <v>0</v>
      </c>
      <c r="CH49" s="47">
        <f>IF(KH_26_OPT4_KTQT_v4[[#This Row],[CPHH-%-SL]]="Dthu",KH_26_OPT4_KTQT_v4[[#This Row],[%HH]]*KH_26_OPT4_KTQT_v4[[#This Row],[DT-EXW-12]],KH_26_OPT4_KTQT_v4[[#This Row],[HH-SL]]*KH_26_OPT4_KTQT_v4[[#This Row],[SL-12]])</f>
        <v>0</v>
      </c>
      <c r="CI49" s="47">
        <f ca="1">SUM(KH_26_OPT4_KTQT_v4[[#This Row],[CPHH-01]:[CPHH-12]])</f>
        <v>0</v>
      </c>
      <c r="CJ49" s="47" cm="1">
        <f t="array" ref="CJ49">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49" s="19">
        <f ca="1">SUM(KH_26_OPT4_KTQT_v4[[#This Row],[ĐGVCNĐ-KXK]:[ĐGVCCT-KXK]])</f>
        <v>530000</v>
      </c>
      <c r="CL49" s="47" cm="1">
        <f t="array" ref="CL49">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530000</v>
      </c>
      <c r="CM49" s="47" cm="1">
        <f t="array" ref="CM49">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49" s="47">
        <f ca="1">(KH_26_OPT4_KTQT_v4[[#This Row],[ĐGVC-KNĐ]]+KH_26_OPT4_KTQT_v4[[#This Row],[ĐGVC-KXK]])*KH_26_OPT4_KTQT_v4[[#This Row],[SL-01]]</f>
        <v>0</v>
      </c>
      <c r="CO49" s="47">
        <f ca="1">(KH_26_OPT4_KTQT_v4[[#This Row],[ĐGVC-KNĐ]]+KH_26_OPT4_KTQT_v4[[#This Row],[ĐGVC-KXK]])*KH_26_OPT4_KTQT_v4[[#This Row],[SL-02]]</f>
        <v>0</v>
      </c>
      <c r="CP49" s="47">
        <f ca="1">(KH_26_OPT4_KTQT_v4[[#This Row],[ĐGVC-KNĐ]]+KH_26_OPT4_KTQT_v4[[#This Row],[ĐGVC-KXK]])*KH_26_OPT4_KTQT_v4[[#This Row],[SL-03]]</f>
        <v>0</v>
      </c>
      <c r="CQ49" s="47">
        <f ca="1">(KH_26_OPT4_KTQT_v4[[#This Row],[ĐGVC-KNĐ]]+KH_26_OPT4_KTQT_v4[[#This Row],[ĐGVC-KXK]])*KH_26_OPT4_KTQT_v4[[#This Row],[SL-04]]</f>
        <v>0</v>
      </c>
      <c r="CR49" s="47">
        <f ca="1">(KH_26_OPT4_KTQT_v4[[#This Row],[ĐGVC-KNĐ]]+KH_26_OPT4_KTQT_v4[[#This Row],[ĐGVC-KXK]])*KH_26_OPT4_KTQT_v4[[#This Row],[SL-05]]</f>
        <v>0</v>
      </c>
      <c r="CS49" s="47">
        <f ca="1">(KH_26_OPT4_KTQT_v4[[#This Row],[ĐGVC-KNĐ]]+KH_26_OPT4_KTQT_v4[[#This Row],[ĐGVC-KXK]])*KH_26_OPT4_KTQT_v4[[#This Row],[SL-06]]</f>
        <v>0</v>
      </c>
      <c r="CT49" s="47">
        <f ca="1">(KH_26_OPT4_KTQT_v4[[#This Row],[ĐGVC-KNĐ]]+KH_26_OPT4_KTQT_v4[[#This Row],[ĐGVC-KXK]])*KH_26_OPT4_KTQT_v4[[#This Row],[SL-07]]</f>
        <v>0</v>
      </c>
      <c r="CU49" s="47">
        <f ca="1">(KH_26_OPT4_KTQT_v4[[#This Row],[ĐGVC-KNĐ]]+KH_26_OPT4_KTQT_v4[[#This Row],[ĐGVC-KXK]])*KH_26_OPT4_KTQT_v4[[#This Row],[SL-08]]</f>
        <v>0</v>
      </c>
      <c r="CV49" s="47">
        <f ca="1">(KH_26_OPT4_KTQT_v4[[#This Row],[ĐGVC-KNĐ]]+KH_26_OPT4_KTQT_v4[[#This Row],[ĐGVC-KXK]])*KH_26_OPT4_KTQT_v4[[#This Row],[SL-09]]</f>
        <v>0</v>
      </c>
      <c r="CW49" s="47">
        <f ca="1">(KH_26_OPT4_KTQT_v4[[#This Row],[ĐGVC-KNĐ]]+KH_26_OPT4_KTQT_v4[[#This Row],[ĐGVC-KXK]])*KH_26_OPT4_KTQT_v4[[#This Row],[SL-10]]</f>
        <v>0</v>
      </c>
      <c r="CX49" s="47">
        <f ca="1">(KH_26_OPT4_KTQT_v4[[#This Row],[ĐGVC-KNĐ]]+KH_26_OPT4_KTQT_v4[[#This Row],[ĐGVC-KXK]])*KH_26_OPT4_KTQT_v4[[#This Row],[SL-11]]</f>
        <v>0</v>
      </c>
      <c r="CY49" s="47">
        <f ca="1">(KH_26_OPT4_KTQT_v4[[#This Row],[ĐGVC-KNĐ]]+KH_26_OPT4_KTQT_v4[[#This Row],[ĐGVC-KXK]])*KH_26_OPT4_KTQT_v4[[#This Row],[SL-12]]</f>
        <v>0</v>
      </c>
      <c r="CZ49" s="47">
        <f ca="1">SUM(KH_26_OPT4_KTQT_v4[[#This Row],[CPVC-01]:[CPVC-12]])</f>
        <v>0</v>
      </c>
      <c r="DA49" s="124">
        <f ca="1">KH_26_OPT4_KTQT_v4[[#This Row],[DT-EXW-01]]+KH_26_OPT4_KTQT_v4[[#This Row],[CPVC-01]]+KH_26_OPT4_KTQT_v4[[#This Row],[CPHH-01]]</f>
        <v>0</v>
      </c>
      <c r="DB49" s="47">
        <f ca="1">KH_26_OPT4_KTQT_v4[[#This Row],[DT-EXW-02]]+KH_26_OPT4_KTQT_v4[[#This Row],[CPVC-02]]+KH_26_OPT4_KTQT_v4[[#This Row],[CPHH-02]]</f>
        <v>0</v>
      </c>
      <c r="DC49" s="47">
        <f ca="1">KH_26_OPT4_KTQT_v4[[#This Row],[DT-EXW-03]]+KH_26_OPT4_KTQT_v4[[#This Row],[CPVC-03]]+KH_26_OPT4_KTQT_v4[[#This Row],[CPHH-03]]</f>
        <v>0</v>
      </c>
      <c r="DD49" s="47">
        <f ca="1">KH_26_OPT4_KTQT_v4[[#This Row],[DT-EXW-04]]+KH_26_OPT4_KTQT_v4[[#This Row],[CPVC-04]]+KH_26_OPT4_KTQT_v4[[#This Row],[CPHH-04]]</f>
        <v>0</v>
      </c>
      <c r="DE49" s="47">
        <f ca="1">KH_26_OPT4_KTQT_v4[[#This Row],[DT-EXW-05]]+KH_26_OPT4_KTQT_v4[[#This Row],[CPVC-05]]+KH_26_OPT4_KTQT_v4[[#This Row],[CPHH-05]]</f>
        <v>0</v>
      </c>
      <c r="DF49" s="47">
        <f ca="1">KH_26_OPT4_KTQT_v4[[#This Row],[DT-EXW-06]]+KH_26_OPT4_KTQT_v4[[#This Row],[CPVC-06]]+KH_26_OPT4_KTQT_v4[[#This Row],[CPHH-06]]</f>
        <v>0</v>
      </c>
      <c r="DG49" s="47">
        <f ca="1">KH_26_OPT4_KTQT_v4[[#This Row],[DT-EXW-07]]+KH_26_OPT4_KTQT_v4[[#This Row],[CPVC-07]]+KH_26_OPT4_KTQT_v4[[#This Row],[CPHH-07]]</f>
        <v>0</v>
      </c>
      <c r="DH49" s="47">
        <f ca="1">KH_26_OPT4_KTQT_v4[[#This Row],[DT-EXW-08]]+KH_26_OPT4_KTQT_v4[[#This Row],[CPVC-08]]+KH_26_OPT4_KTQT_v4[[#This Row],[CPHH-08]]</f>
        <v>0</v>
      </c>
      <c r="DI49" s="47">
        <f ca="1">KH_26_OPT4_KTQT_v4[[#This Row],[DT-EXW-09]]+KH_26_OPT4_KTQT_v4[[#This Row],[CPVC-09]]+KH_26_OPT4_KTQT_v4[[#This Row],[CPHH-09]]</f>
        <v>0</v>
      </c>
      <c r="DJ49" s="47">
        <f ca="1">KH_26_OPT4_KTQT_v4[[#This Row],[DT-EXW-10]]+KH_26_OPT4_KTQT_v4[[#This Row],[CPVC-10]]+KH_26_OPT4_KTQT_v4[[#This Row],[CPHH-10]]</f>
        <v>0</v>
      </c>
      <c r="DK49" s="47">
        <f ca="1">KH_26_OPT4_KTQT_v4[[#This Row],[DT-EXW-11]]+KH_26_OPT4_KTQT_v4[[#This Row],[CPVC-11]]+KH_26_OPT4_KTQT_v4[[#This Row],[CPHH-11]]</f>
        <v>0</v>
      </c>
      <c r="DL49" s="47">
        <f ca="1">KH_26_OPT4_KTQT_v4[[#This Row],[DT-EXW-12]]+KH_26_OPT4_KTQT_v4[[#This Row],[CPVC-12]]+KH_26_OPT4_KTQT_v4[[#This Row],[CPHH-12]]</f>
        <v>0</v>
      </c>
      <c r="DM49" s="47">
        <f ca="1">SUM(KH_26_OPT4_KTQT_v4[[#This Row],[DT-01]:[DT-12]])</f>
        <v>0</v>
      </c>
      <c r="DN49" s="7"/>
      <c r="DO49" s="7"/>
      <c r="DP49" s="125"/>
      <c r="DQ49" s="136"/>
      <c r="DR49" s="132">
        <f>IFERROR(KH_26_OPT4_KTQT_v4[[#This Row],[DT-EXW-01]]*KH_26_OPT4_KTQT_v4[[#This Row],[%CPDP]],0)</f>
        <v>0</v>
      </c>
      <c r="DS49" s="132">
        <f>IFERROR(KH_26_OPT4_KTQT_v4[[#This Row],[DT-EXW-02]]*KH_26_OPT4_KTQT_v4[[#This Row],[%CPDP]],0)</f>
        <v>0</v>
      </c>
      <c r="DT49" s="132">
        <f>IFERROR(KH_26_OPT4_KTQT_v4[[#This Row],[DT-EXW-03]]*KH_26_OPT4_KTQT_v4[[#This Row],[%CPDP]],0)</f>
        <v>0</v>
      </c>
      <c r="DU49" s="132">
        <f>IFERROR(KH_26_OPT4_KTQT_v4[[#This Row],[DT-EXW-04]]*KH_26_OPT4_KTQT_v4[[#This Row],[%CPDP]],0)</f>
        <v>0</v>
      </c>
      <c r="DV49" s="132">
        <f>IFERROR(KH_26_OPT4_KTQT_v4[[#This Row],[DT-EXW-05]]*KH_26_OPT4_KTQT_v4[[#This Row],[%CPDP]],0)</f>
        <v>0</v>
      </c>
      <c r="DW49" s="132">
        <f>IFERROR(KH_26_OPT4_KTQT_v4[[#This Row],[DT-EXW-06]]*KH_26_OPT4_KTQT_v4[[#This Row],[%CPDP]],0)</f>
        <v>0</v>
      </c>
      <c r="DX49" s="132">
        <f>IFERROR(KH_26_OPT4_KTQT_v4[[#This Row],[DT-EXW-07]]*KH_26_OPT4_KTQT_v4[[#This Row],[%CPDP]],0)</f>
        <v>0</v>
      </c>
      <c r="DY49" s="132">
        <f>IFERROR(KH_26_OPT4_KTQT_v4[[#This Row],[DT-EXW-08]]*KH_26_OPT4_KTQT_v4[[#This Row],[%CPDP]],0)</f>
        <v>0</v>
      </c>
      <c r="DZ49" s="132">
        <f>IFERROR(KH_26_OPT4_KTQT_v4[[#This Row],[DT-EXW-09]]*KH_26_OPT4_KTQT_v4[[#This Row],[%CPDP]],0)</f>
        <v>0</v>
      </c>
      <c r="EA49" s="132">
        <f>IFERROR(KH_26_OPT4_KTQT_v4[[#This Row],[DT-EXW-10]]*KH_26_OPT4_KTQT_v4[[#This Row],[%CPDP]],0)</f>
        <v>0</v>
      </c>
      <c r="EB49" s="132">
        <f>IFERROR(KH_26_OPT4_KTQT_v4[[#This Row],[DT-EXW-11]]*KH_26_OPT4_KTQT_v4[[#This Row],[%CPDP]],0)</f>
        <v>0</v>
      </c>
      <c r="EC49" s="132">
        <f>IFERROR(KH_26_OPT4_KTQT_v4[[#This Row],[DT-EXW-12]]*KH_26_OPT4_KTQT_v4[[#This Row],[%CPDP]],0)</f>
        <v>0</v>
      </c>
      <c r="ED49" s="131">
        <f ca="1">SUM(KH_26_OPT4_KTQT_v4[[#This Row],[CPDP-01]:[CPDP-12]])</f>
        <v>0</v>
      </c>
    </row>
    <row r="50" spans="1:134" ht="14.65" hidden="1" customHeight="1" x14ac:dyDescent="0.35">
      <c r="A50" s="18">
        <v>45</v>
      </c>
      <c r="B50" s="71" t="s">
        <v>120</v>
      </c>
      <c r="C50" s="18" t="str">
        <f>IFERROR(_xlfn.XLOOKUP(KH_26_OPT4_KTQT_v4[[#This Row],[Salesman]],MD_Salesman[Salesman],MD_Salesman[SalesManager]),"")</f>
        <v>Cường</v>
      </c>
      <c r="D50" s="72" t="str">
        <f>IFERROR(INDEX(MD_Customer[Mã khách],MATCH(KH_26_OPT4_KTQT_v4[[#This Row],[Tên khách]],MD_Customer[Tên khách-rút gọn],0)),"")</f>
        <v>NS26-NEWCUS-016</v>
      </c>
      <c r="E50" s="7" t="str">
        <f>IFERROR(INDEX(MD_Customer[Parent Account],MATCH(KH_26_OPT4_KTQT_v4[[#This Row],[Tên khách]],MD_Customer[Tên khách-rút gọn],0)),"")</f>
        <v>New Developments - Xơ sợi - XK</v>
      </c>
      <c r="F50" s="35" t="s">
        <v>24</v>
      </c>
      <c r="G50" s="7" t="str">
        <f>IFERROR(INDEX(MD_Customer[Phân loại],MATCH(KH_26_OPT4_KTQT_v4[[#This Row],[Tên khách]],MD_Customer[Tên khách-rút gọn],0)),"")</f>
        <v>Mới</v>
      </c>
      <c r="H50" s="7" t="str">
        <f>IFERROR(INDEX(MD_Customer[Kênh bán hàng],MATCH(KH_26_OPT4_KTQT_v4[[#This Row],[Tên khách]],MD_Customer[Tên khách-rút gọn],0)),"")</f>
        <v>Xuất Khẩu</v>
      </c>
      <c r="I50" s="35" t="s">
        <v>329</v>
      </c>
      <c r="J50" s="7" t="str">
        <f>IFERROR(INDEX(MD_Destination[Nước],MATCH(KH_26_OPT4_KTQT_v4[[#This Row],[Địa điểm đến]],MD_Destination[Địa điểm đến],0)),"")</f>
        <v>Unknown</v>
      </c>
      <c r="K50" s="7" t="str">
        <f>IFERROR(INDEX(MD_Destination[Khu vực],MATCH(KH_26_OPT4_KTQT_v4[[#This Row],[Địa điểm đến]],MD_Destination[Địa điểm đến],0)),"")</f>
        <v>Unknown</v>
      </c>
      <c r="L50" s="35" t="s">
        <v>278</v>
      </c>
      <c r="M50" s="7" t="str">
        <f>IFERROR(INDEX(MD_SKU[Mã SKU],MATCH(KH_26_OPT4_KTQT_v4[[#This Row],[Tên sản phẩm]],MD_SKU[Tên SKU-rút gọn],0)),"")</f>
        <v>110000466</v>
      </c>
      <c r="N50" s="35" t="s">
        <v>483</v>
      </c>
      <c r="O50" s="7" t="str">
        <f>IFERROR(INDEX(MD_SKU[Ngành hàng],MATCH(KH_26_OPT4_KTQT_v4[[#This Row],[Tên sản phẩm]],MD_SKU[Tên SKU-rút gọn],0)),"")</f>
        <v>Xơ sợi</v>
      </c>
      <c r="P50" s="7" t="str">
        <f>IFERROR(INDEX(MD_SKU[Nhóm ngành],MATCH(KH_26_OPT4_KTQT_v4[[#This Row],[Tên sản phẩm]],MD_SKU[Tên SKU-rút gọn],0)),"")</f>
        <v>Hạt Xơ sợi</v>
      </c>
      <c r="Q50" s="7" t="str">
        <f>IFERROR(
   IF(INDEX(MD_SKU[IV/IM],MATCH(KH_26_OPT4_KTQT_v4[[#This Row],[Tên sản phẩm]],MD_SKU[Tên SKU-rút gọn],0))=0,
      "",
      INDEX(MD_SKU[IV/IM],MATCH(KH_26_OPT4_KTQT_v4[[#This Row],[Tên sản phẩm]],MD_SKU[Tên SKU-rút gọn],0))
   ),
"")</f>
        <v>0.55 ± 0.05</v>
      </c>
      <c r="R50" s="44">
        <f>IFERROR(INDEX(MD_SKU[Application],MATCH(KH_26_OPT4_KTQT_v4[[#This Row],[Tên sản phẩm]],MD_SKU[Tên SKU-rút gọn],0)),"")</f>
        <v>0</v>
      </c>
      <c r="S50" s="7" t="str">
        <f>IFERROR(INDEX(MD_SKU[Phân loại],MATCH(KH_26_OPT4_KTQT_v4[[#This Row],[Tên sản phẩm]],MD_SKU[Tên SKU-rút gọn],0)),"")</f>
        <v>Cũ</v>
      </c>
      <c r="T50" s="7" t="s">
        <v>541</v>
      </c>
      <c r="U50" s="157" t="s">
        <v>1508</v>
      </c>
      <c r="V50" s="70">
        <v>0.8</v>
      </c>
      <c r="W50" s="33"/>
      <c r="X50" s="33"/>
      <c r="Y50" s="33"/>
      <c r="Z50" s="33"/>
      <c r="AA50" s="33"/>
      <c r="AB50" s="33"/>
      <c r="AC50" s="33"/>
      <c r="AD50" s="33"/>
      <c r="AE50" s="33"/>
      <c r="AF50" s="33"/>
      <c r="AG50" s="33"/>
      <c r="AH50" s="33"/>
      <c r="AI50" s="47">
        <f ca="1">SUM(KH_26_OPT4_KTQT_v4[[#This Row],[SL-01]:[SL-12]])</f>
        <v>0</v>
      </c>
      <c r="AJ50" s="47">
        <f ca="1">SUMIFS(DB_25[SL-DB25],DB_25[Mã khách],KH_26_OPT4_KTQT_v4[[#This Row],[Mã khách]],DB_25[Mã sản phẩm],KH_26_OPT4_KTQT_v4[[#This Row],[Mã sản phẩm]])</f>
        <v>0</v>
      </c>
      <c r="AK50" s="20">
        <f ca="1">KH_26_OPT4_KTQT_v4[[#This Row],[SL-KH26]]-KH_26_OPT4_KTQT_v4[[#This Row],[SL-DB25]]</f>
        <v>0</v>
      </c>
      <c r="AL50" s="21">
        <f ca="1">IFERROR(KH_26_OPT4_KTQT_v4[[#This Row],[SL-+/-]]/KH_26_OPT4_KTQT_v4[[#This Row],[SL-DB25]],0)</f>
        <v>0</v>
      </c>
      <c r="AM50" s="51">
        <v>640</v>
      </c>
      <c r="AN50" s="51">
        <v>632</v>
      </c>
      <c r="AO50" s="51">
        <v>624</v>
      </c>
      <c r="AP50" s="51">
        <v>616</v>
      </c>
      <c r="AQ50" s="51">
        <v>608</v>
      </c>
      <c r="AR50" s="51">
        <v>600</v>
      </c>
      <c r="AS50" s="51">
        <v>592</v>
      </c>
      <c r="AT50" s="51">
        <v>584</v>
      </c>
      <c r="AU50" s="51">
        <v>576</v>
      </c>
      <c r="AV50" s="51">
        <v>568</v>
      </c>
      <c r="AW50" s="51">
        <v>560</v>
      </c>
      <c r="AX50" s="51">
        <v>552</v>
      </c>
      <c r="AY50" s="23">
        <v>596</v>
      </c>
      <c r="AZ50" s="7"/>
      <c r="BA50" s="24">
        <f>KH_26_OPT4_KTQT_v4[[#This Row],[GB-DB25]]-KH_26_OPT4_KTQT_v4[[#This Row],[GB-KH25]]</f>
        <v>596</v>
      </c>
      <c r="BB50" s="21">
        <f>IFERROR(KH_26_OPT4_KTQT_v4[[#This Row],[GB-+/-]]/KH_26_OPT4_KTQT_v4[[#This Row],[GB-KH25]],0)</f>
        <v>0</v>
      </c>
      <c r="BC50" s="21"/>
      <c r="BD50" s="47">
        <f>KH_26_OPT4_KTQT_v4[[#This Row],[SL-01]]*KH_26_OPT4_KTQT_v4[[#This Row],[GB-01]]*EXR</f>
        <v>0</v>
      </c>
      <c r="BE50" s="47">
        <f>KH_26_OPT4_KTQT_v4[[#This Row],[SL-02]]*KH_26_OPT4_KTQT_v4[[#This Row],[GB-02]]*EXR</f>
        <v>0</v>
      </c>
      <c r="BF50" s="47">
        <f>KH_26_OPT4_KTQT_v4[[#This Row],[SL-03]]*KH_26_OPT4_KTQT_v4[[#This Row],[GB-03]]*EXR</f>
        <v>0</v>
      </c>
      <c r="BG50" s="47">
        <f>KH_26_OPT4_KTQT_v4[[#This Row],[SL-04]]*KH_26_OPT4_KTQT_v4[[#This Row],[GB-04]]*EXR</f>
        <v>0</v>
      </c>
      <c r="BH50" s="47">
        <f>KH_26_OPT4_KTQT_v4[[#This Row],[SL-05]]*KH_26_OPT4_KTQT_v4[[#This Row],[GB-05]]*EXR</f>
        <v>0</v>
      </c>
      <c r="BI50" s="47">
        <f>KH_26_OPT4_KTQT_v4[[#This Row],[SL-06]]*KH_26_OPT4_KTQT_v4[[#This Row],[GB-06]]*EXR</f>
        <v>0</v>
      </c>
      <c r="BJ50" s="47">
        <f>KH_26_OPT4_KTQT_v4[[#This Row],[SL-07]]*KH_26_OPT4_KTQT_v4[[#This Row],[GB-07]]*EXR</f>
        <v>0</v>
      </c>
      <c r="BK50" s="47">
        <f>KH_26_OPT4_KTQT_v4[[#This Row],[SL-08]]*KH_26_OPT4_KTQT_v4[[#This Row],[GB-08]]*EXR</f>
        <v>0</v>
      </c>
      <c r="BL50" s="47">
        <f>KH_26_OPT4_KTQT_v4[[#This Row],[SL-09]]*KH_26_OPT4_KTQT_v4[[#This Row],[GB-09]]*EXR</f>
        <v>0</v>
      </c>
      <c r="BM50" s="47">
        <f>KH_26_OPT4_KTQT_v4[[#This Row],[SL-10]]*KH_26_OPT4_KTQT_v4[[#This Row],[GB-10]]*EXR</f>
        <v>0</v>
      </c>
      <c r="BN50" s="47">
        <f>KH_26_OPT4_KTQT_v4[[#This Row],[SL-11]]*KH_26_OPT4_KTQT_v4[[#This Row],[GB-11]]*EXR</f>
        <v>0</v>
      </c>
      <c r="BO50" s="47">
        <f>KH_26_OPT4_KTQT_v4[[#This Row],[SL-12]]*KH_26_OPT4_KTQT_v4[[#This Row],[GB-12]]*EXR</f>
        <v>0</v>
      </c>
      <c r="BP50" s="47">
        <f ca="1">SUM(KH_26_OPT4_KTQT_v4[[#This Row],[DT-EXW-01]:[DT-EXW-12]])</f>
        <v>0</v>
      </c>
      <c r="BQ50" s="47">
        <f ca="1">SUMIFS(DB_25[DT-DB25],DB_25[Mã khách],KH_26_OPT4_KTQT_v4[[#This Row],[Mã khách]],DB_25[Mã sản phẩm],KH_26_OPT4_KTQT_v4[[#This Row],[Mã sản phẩm]])</f>
        <v>0</v>
      </c>
      <c r="BR50" s="19">
        <f ca="1">KH_26_OPT4_KTQT_v4[[#This Row],[DT-EXW-KH26]]-KH_26_OPT4_KTQT_v4[[#This Row],[DT-EXW-DB25]]</f>
        <v>0</v>
      </c>
      <c r="BS50" s="21">
        <f ca="1">IFERROR(KH_26_OPT4_KTQT_v4[[#This Row],[DT-EXW-+/-]]/KH_26_OPT4_KTQT_v4[[#This Row],[DT-EXW-DB25]],0)</f>
        <v>0</v>
      </c>
      <c r="BT50" s="139"/>
      <c r="BU50" s="57"/>
      <c r="BV50" s="51"/>
      <c r="BW50" s="47">
        <f>IF(KH_26_OPT4_KTQT_v4[[#This Row],[CPHH-%-SL]]="Dthu",KH_26_OPT4_KTQT_v4[[#This Row],[%HH]]*KH_26_OPT4_KTQT_v4[[#This Row],[DT-EXW-01]],KH_26_OPT4_KTQT_v4[[#This Row],[HH-SL]]*KH_26_OPT4_KTQT_v4[[#This Row],[SL-01]])</f>
        <v>0</v>
      </c>
      <c r="BX50" s="47">
        <f>IF(KH_26_OPT4_KTQT_v4[[#This Row],[CPHH-%-SL]]="Dthu",KH_26_OPT4_KTQT_v4[[#This Row],[%HH]]*KH_26_OPT4_KTQT_v4[[#This Row],[DT-EXW-02]],KH_26_OPT4_KTQT_v4[[#This Row],[HH-SL]]*KH_26_OPT4_KTQT_v4[[#This Row],[SL-02]])</f>
        <v>0</v>
      </c>
      <c r="BY50" s="47">
        <f>IF(KH_26_OPT4_KTQT_v4[[#This Row],[CPHH-%-SL]]="Dthu",KH_26_OPT4_KTQT_v4[[#This Row],[%HH]]*KH_26_OPT4_KTQT_v4[[#This Row],[DT-EXW-03]],KH_26_OPT4_KTQT_v4[[#This Row],[HH-SL]]*KH_26_OPT4_KTQT_v4[[#This Row],[SL-03]])</f>
        <v>0</v>
      </c>
      <c r="BZ50" s="47">
        <f>IF(KH_26_OPT4_KTQT_v4[[#This Row],[CPHH-%-SL]]="Dthu",KH_26_OPT4_KTQT_v4[[#This Row],[%HH]]*KH_26_OPT4_KTQT_v4[[#This Row],[DT-EXW-04]],KH_26_OPT4_KTQT_v4[[#This Row],[HH-SL]]*KH_26_OPT4_KTQT_v4[[#This Row],[SL-04]])</f>
        <v>0</v>
      </c>
      <c r="CA50" s="47">
        <f>IF(KH_26_OPT4_KTQT_v4[[#This Row],[CPHH-%-SL]]="Dthu",KH_26_OPT4_KTQT_v4[[#This Row],[%HH]]*KH_26_OPT4_KTQT_v4[[#This Row],[DT-EXW-05]],KH_26_OPT4_KTQT_v4[[#This Row],[HH-SL]]*KH_26_OPT4_KTQT_v4[[#This Row],[SL-05]])</f>
        <v>0</v>
      </c>
      <c r="CB50" s="47">
        <f>IF(KH_26_OPT4_KTQT_v4[[#This Row],[CPHH-%-SL]]="Dthu",KH_26_OPT4_KTQT_v4[[#This Row],[%HH]]*KH_26_OPT4_KTQT_v4[[#This Row],[DT-EXW-06]],KH_26_OPT4_KTQT_v4[[#This Row],[HH-SL]]*KH_26_OPT4_KTQT_v4[[#This Row],[SL-06]])</f>
        <v>0</v>
      </c>
      <c r="CC50" s="47">
        <f>IF(KH_26_OPT4_KTQT_v4[[#This Row],[CPHH-%-SL]]="Dthu",KH_26_OPT4_KTQT_v4[[#This Row],[%HH]]*KH_26_OPT4_KTQT_v4[[#This Row],[DT-EXW-07]],KH_26_OPT4_KTQT_v4[[#This Row],[HH-SL]]*KH_26_OPT4_KTQT_v4[[#This Row],[SL-07]])</f>
        <v>0</v>
      </c>
      <c r="CD50" s="47">
        <f>IF(KH_26_OPT4_KTQT_v4[[#This Row],[CPHH-%-SL]]="Dthu",KH_26_OPT4_KTQT_v4[[#This Row],[%HH]]*KH_26_OPT4_KTQT_v4[[#This Row],[DT-EXW-08]],KH_26_OPT4_KTQT_v4[[#This Row],[HH-SL]]*KH_26_OPT4_KTQT_v4[[#This Row],[SL-08]])</f>
        <v>0</v>
      </c>
      <c r="CE50" s="47">
        <f>IF(KH_26_OPT4_KTQT_v4[[#This Row],[CPHH-%-SL]]="Dthu",KH_26_OPT4_KTQT_v4[[#This Row],[%HH]]*KH_26_OPT4_KTQT_v4[[#This Row],[DT-EXW-09]],KH_26_OPT4_KTQT_v4[[#This Row],[HH-SL]]*KH_26_OPT4_KTQT_v4[[#This Row],[SL-09]])</f>
        <v>0</v>
      </c>
      <c r="CF50" s="47">
        <f>IF(KH_26_OPT4_KTQT_v4[[#This Row],[CPHH-%-SL]]="Dthu",KH_26_OPT4_KTQT_v4[[#This Row],[%HH]]*KH_26_OPT4_KTQT_v4[[#This Row],[DT-EXW-10]],KH_26_OPT4_KTQT_v4[[#This Row],[HH-SL]]*KH_26_OPT4_KTQT_v4[[#This Row],[SL-10]])</f>
        <v>0</v>
      </c>
      <c r="CG50" s="47">
        <f>IF(KH_26_OPT4_KTQT_v4[[#This Row],[CPHH-%-SL]]="Dthu",KH_26_OPT4_KTQT_v4[[#This Row],[%HH]]*KH_26_OPT4_KTQT_v4[[#This Row],[DT-EXW-11]],KH_26_OPT4_KTQT_v4[[#This Row],[HH-SL]]*KH_26_OPT4_KTQT_v4[[#This Row],[SL-11]])</f>
        <v>0</v>
      </c>
      <c r="CH50" s="47">
        <f>IF(KH_26_OPT4_KTQT_v4[[#This Row],[CPHH-%-SL]]="Dthu",KH_26_OPT4_KTQT_v4[[#This Row],[%HH]]*KH_26_OPT4_KTQT_v4[[#This Row],[DT-EXW-12]],KH_26_OPT4_KTQT_v4[[#This Row],[HH-SL]]*KH_26_OPT4_KTQT_v4[[#This Row],[SL-12]])</f>
        <v>0</v>
      </c>
      <c r="CI50" s="47">
        <f ca="1">SUM(KH_26_OPT4_KTQT_v4[[#This Row],[CPHH-01]:[CPHH-12]])</f>
        <v>0</v>
      </c>
      <c r="CJ50" s="47" cm="1">
        <f t="array" ref="CJ50">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50" s="19">
        <f ca="1">SUM(KH_26_OPT4_KTQT_v4[[#This Row],[ĐGVCNĐ-KXK]:[ĐGVCCT-KXK]])</f>
        <v>530000</v>
      </c>
      <c r="CL50" s="47" cm="1">
        <f t="array" ref="CL50">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530000</v>
      </c>
      <c r="CM50" s="47" cm="1">
        <f t="array" ref="CM50">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50" s="47">
        <f ca="1">(KH_26_OPT4_KTQT_v4[[#This Row],[ĐGVC-KNĐ]]+KH_26_OPT4_KTQT_v4[[#This Row],[ĐGVC-KXK]])*KH_26_OPT4_KTQT_v4[[#This Row],[SL-01]]</f>
        <v>0</v>
      </c>
      <c r="CO50" s="47">
        <f ca="1">(KH_26_OPT4_KTQT_v4[[#This Row],[ĐGVC-KNĐ]]+KH_26_OPT4_KTQT_v4[[#This Row],[ĐGVC-KXK]])*KH_26_OPT4_KTQT_v4[[#This Row],[SL-02]]</f>
        <v>0</v>
      </c>
      <c r="CP50" s="47">
        <f ca="1">(KH_26_OPT4_KTQT_v4[[#This Row],[ĐGVC-KNĐ]]+KH_26_OPT4_KTQT_v4[[#This Row],[ĐGVC-KXK]])*KH_26_OPT4_KTQT_v4[[#This Row],[SL-03]]</f>
        <v>0</v>
      </c>
      <c r="CQ50" s="47">
        <f ca="1">(KH_26_OPT4_KTQT_v4[[#This Row],[ĐGVC-KNĐ]]+KH_26_OPT4_KTQT_v4[[#This Row],[ĐGVC-KXK]])*KH_26_OPT4_KTQT_v4[[#This Row],[SL-04]]</f>
        <v>0</v>
      </c>
      <c r="CR50" s="47">
        <f ca="1">(KH_26_OPT4_KTQT_v4[[#This Row],[ĐGVC-KNĐ]]+KH_26_OPT4_KTQT_v4[[#This Row],[ĐGVC-KXK]])*KH_26_OPT4_KTQT_v4[[#This Row],[SL-05]]</f>
        <v>0</v>
      </c>
      <c r="CS50" s="47">
        <f ca="1">(KH_26_OPT4_KTQT_v4[[#This Row],[ĐGVC-KNĐ]]+KH_26_OPT4_KTQT_v4[[#This Row],[ĐGVC-KXK]])*KH_26_OPT4_KTQT_v4[[#This Row],[SL-06]]</f>
        <v>0</v>
      </c>
      <c r="CT50" s="47">
        <f ca="1">(KH_26_OPT4_KTQT_v4[[#This Row],[ĐGVC-KNĐ]]+KH_26_OPT4_KTQT_v4[[#This Row],[ĐGVC-KXK]])*KH_26_OPT4_KTQT_v4[[#This Row],[SL-07]]</f>
        <v>0</v>
      </c>
      <c r="CU50" s="47">
        <f ca="1">(KH_26_OPT4_KTQT_v4[[#This Row],[ĐGVC-KNĐ]]+KH_26_OPT4_KTQT_v4[[#This Row],[ĐGVC-KXK]])*KH_26_OPT4_KTQT_v4[[#This Row],[SL-08]]</f>
        <v>0</v>
      </c>
      <c r="CV50" s="47">
        <f ca="1">(KH_26_OPT4_KTQT_v4[[#This Row],[ĐGVC-KNĐ]]+KH_26_OPT4_KTQT_v4[[#This Row],[ĐGVC-KXK]])*KH_26_OPT4_KTQT_v4[[#This Row],[SL-09]]</f>
        <v>0</v>
      </c>
      <c r="CW50" s="47">
        <f ca="1">(KH_26_OPT4_KTQT_v4[[#This Row],[ĐGVC-KNĐ]]+KH_26_OPT4_KTQT_v4[[#This Row],[ĐGVC-KXK]])*KH_26_OPT4_KTQT_v4[[#This Row],[SL-10]]</f>
        <v>0</v>
      </c>
      <c r="CX50" s="47">
        <f ca="1">(KH_26_OPT4_KTQT_v4[[#This Row],[ĐGVC-KNĐ]]+KH_26_OPT4_KTQT_v4[[#This Row],[ĐGVC-KXK]])*KH_26_OPT4_KTQT_v4[[#This Row],[SL-11]]</f>
        <v>0</v>
      </c>
      <c r="CY50" s="47">
        <f ca="1">(KH_26_OPT4_KTQT_v4[[#This Row],[ĐGVC-KNĐ]]+KH_26_OPT4_KTQT_v4[[#This Row],[ĐGVC-KXK]])*KH_26_OPT4_KTQT_v4[[#This Row],[SL-12]]</f>
        <v>0</v>
      </c>
      <c r="CZ50" s="47">
        <f ca="1">SUM(KH_26_OPT4_KTQT_v4[[#This Row],[CPVC-01]:[CPVC-12]])</f>
        <v>0</v>
      </c>
      <c r="DA50" s="124">
        <f ca="1">KH_26_OPT4_KTQT_v4[[#This Row],[DT-EXW-01]]+KH_26_OPT4_KTQT_v4[[#This Row],[CPVC-01]]+KH_26_OPT4_KTQT_v4[[#This Row],[CPHH-01]]</f>
        <v>0</v>
      </c>
      <c r="DB50" s="47">
        <f ca="1">KH_26_OPT4_KTQT_v4[[#This Row],[DT-EXW-02]]+KH_26_OPT4_KTQT_v4[[#This Row],[CPVC-02]]+KH_26_OPT4_KTQT_v4[[#This Row],[CPHH-02]]</f>
        <v>0</v>
      </c>
      <c r="DC50" s="47">
        <f ca="1">KH_26_OPT4_KTQT_v4[[#This Row],[DT-EXW-03]]+KH_26_OPT4_KTQT_v4[[#This Row],[CPVC-03]]+KH_26_OPT4_KTQT_v4[[#This Row],[CPHH-03]]</f>
        <v>0</v>
      </c>
      <c r="DD50" s="47">
        <f ca="1">KH_26_OPT4_KTQT_v4[[#This Row],[DT-EXW-04]]+KH_26_OPT4_KTQT_v4[[#This Row],[CPVC-04]]+KH_26_OPT4_KTQT_v4[[#This Row],[CPHH-04]]</f>
        <v>0</v>
      </c>
      <c r="DE50" s="47">
        <f ca="1">KH_26_OPT4_KTQT_v4[[#This Row],[DT-EXW-05]]+KH_26_OPT4_KTQT_v4[[#This Row],[CPVC-05]]+KH_26_OPT4_KTQT_v4[[#This Row],[CPHH-05]]</f>
        <v>0</v>
      </c>
      <c r="DF50" s="47">
        <f ca="1">KH_26_OPT4_KTQT_v4[[#This Row],[DT-EXW-06]]+KH_26_OPT4_KTQT_v4[[#This Row],[CPVC-06]]+KH_26_OPT4_KTQT_v4[[#This Row],[CPHH-06]]</f>
        <v>0</v>
      </c>
      <c r="DG50" s="47">
        <f ca="1">KH_26_OPT4_KTQT_v4[[#This Row],[DT-EXW-07]]+KH_26_OPT4_KTQT_v4[[#This Row],[CPVC-07]]+KH_26_OPT4_KTQT_v4[[#This Row],[CPHH-07]]</f>
        <v>0</v>
      </c>
      <c r="DH50" s="47">
        <f ca="1">KH_26_OPT4_KTQT_v4[[#This Row],[DT-EXW-08]]+KH_26_OPT4_KTQT_v4[[#This Row],[CPVC-08]]+KH_26_OPT4_KTQT_v4[[#This Row],[CPHH-08]]</f>
        <v>0</v>
      </c>
      <c r="DI50" s="47">
        <f ca="1">KH_26_OPT4_KTQT_v4[[#This Row],[DT-EXW-09]]+KH_26_OPT4_KTQT_v4[[#This Row],[CPVC-09]]+KH_26_OPT4_KTQT_v4[[#This Row],[CPHH-09]]</f>
        <v>0</v>
      </c>
      <c r="DJ50" s="47">
        <f ca="1">KH_26_OPT4_KTQT_v4[[#This Row],[DT-EXW-10]]+KH_26_OPT4_KTQT_v4[[#This Row],[CPVC-10]]+KH_26_OPT4_KTQT_v4[[#This Row],[CPHH-10]]</f>
        <v>0</v>
      </c>
      <c r="DK50" s="47">
        <f ca="1">KH_26_OPT4_KTQT_v4[[#This Row],[DT-EXW-11]]+KH_26_OPT4_KTQT_v4[[#This Row],[CPVC-11]]+KH_26_OPT4_KTQT_v4[[#This Row],[CPHH-11]]</f>
        <v>0</v>
      </c>
      <c r="DL50" s="47">
        <f ca="1">KH_26_OPT4_KTQT_v4[[#This Row],[DT-EXW-12]]+KH_26_OPT4_KTQT_v4[[#This Row],[CPVC-12]]+KH_26_OPT4_KTQT_v4[[#This Row],[CPHH-12]]</f>
        <v>0</v>
      </c>
      <c r="DM50" s="47">
        <f ca="1">SUM(KH_26_OPT4_KTQT_v4[[#This Row],[DT-01]:[DT-12]])</f>
        <v>0</v>
      </c>
      <c r="DN50" s="7"/>
      <c r="DO50" s="7"/>
      <c r="DP50" s="125"/>
      <c r="DQ50" s="136"/>
      <c r="DR50" s="132">
        <f>IFERROR(KH_26_OPT4_KTQT_v4[[#This Row],[DT-EXW-01]]*KH_26_OPT4_KTQT_v4[[#This Row],[%CPDP]],0)</f>
        <v>0</v>
      </c>
      <c r="DS50" s="132">
        <f>IFERROR(KH_26_OPT4_KTQT_v4[[#This Row],[DT-EXW-02]]*KH_26_OPT4_KTQT_v4[[#This Row],[%CPDP]],0)</f>
        <v>0</v>
      </c>
      <c r="DT50" s="132">
        <f>IFERROR(KH_26_OPT4_KTQT_v4[[#This Row],[DT-EXW-03]]*KH_26_OPT4_KTQT_v4[[#This Row],[%CPDP]],0)</f>
        <v>0</v>
      </c>
      <c r="DU50" s="132">
        <f>IFERROR(KH_26_OPT4_KTQT_v4[[#This Row],[DT-EXW-04]]*KH_26_OPT4_KTQT_v4[[#This Row],[%CPDP]],0)</f>
        <v>0</v>
      </c>
      <c r="DV50" s="132">
        <f>IFERROR(KH_26_OPT4_KTQT_v4[[#This Row],[DT-EXW-05]]*KH_26_OPT4_KTQT_v4[[#This Row],[%CPDP]],0)</f>
        <v>0</v>
      </c>
      <c r="DW50" s="132">
        <f>IFERROR(KH_26_OPT4_KTQT_v4[[#This Row],[DT-EXW-06]]*KH_26_OPT4_KTQT_v4[[#This Row],[%CPDP]],0)</f>
        <v>0</v>
      </c>
      <c r="DX50" s="132">
        <f>IFERROR(KH_26_OPT4_KTQT_v4[[#This Row],[DT-EXW-07]]*KH_26_OPT4_KTQT_v4[[#This Row],[%CPDP]],0)</f>
        <v>0</v>
      </c>
      <c r="DY50" s="132">
        <f>IFERROR(KH_26_OPT4_KTQT_v4[[#This Row],[DT-EXW-08]]*KH_26_OPT4_KTQT_v4[[#This Row],[%CPDP]],0)</f>
        <v>0</v>
      </c>
      <c r="DZ50" s="132">
        <f>IFERROR(KH_26_OPT4_KTQT_v4[[#This Row],[DT-EXW-09]]*KH_26_OPT4_KTQT_v4[[#This Row],[%CPDP]],0)</f>
        <v>0</v>
      </c>
      <c r="EA50" s="132">
        <f>IFERROR(KH_26_OPT4_KTQT_v4[[#This Row],[DT-EXW-10]]*KH_26_OPT4_KTQT_v4[[#This Row],[%CPDP]],0)</f>
        <v>0</v>
      </c>
      <c r="EB50" s="132">
        <f>IFERROR(KH_26_OPT4_KTQT_v4[[#This Row],[DT-EXW-11]]*KH_26_OPT4_KTQT_v4[[#This Row],[%CPDP]],0)</f>
        <v>0</v>
      </c>
      <c r="EC50" s="132">
        <f>IFERROR(KH_26_OPT4_KTQT_v4[[#This Row],[DT-EXW-12]]*KH_26_OPT4_KTQT_v4[[#This Row],[%CPDP]],0)</f>
        <v>0</v>
      </c>
      <c r="ED50" s="131">
        <f ca="1">SUM(KH_26_OPT4_KTQT_v4[[#This Row],[CPDP-01]:[CPDP-12]])</f>
        <v>0</v>
      </c>
    </row>
    <row r="51" spans="1:134" ht="14.65" hidden="1" customHeight="1" x14ac:dyDescent="0.35">
      <c r="A51" s="18">
        <v>46</v>
      </c>
      <c r="B51" s="71" t="s">
        <v>509</v>
      </c>
      <c r="C51" s="18" t="str">
        <f>IFERROR(_xlfn.XLOOKUP(KH_26_OPT4_KTQT_v4[[#This Row],[Salesman]],MD_Salesman[Salesman],MD_Salesman[SalesManager]),"")</f>
        <v>Cường</v>
      </c>
      <c r="D51" s="72" t="str">
        <f>IFERROR(INDEX(MD_Customer[Mã khách],MATCH(KH_26_OPT4_KTQT_v4[[#This Row],[Tên khách]],MD_Customer[Tên khách-rút gọn],0)),"")</f>
        <v>NS26-NEWCUS-016</v>
      </c>
      <c r="E51" s="7" t="str">
        <f>IFERROR(INDEX(MD_Customer[Parent Account],MATCH(KH_26_OPT4_KTQT_v4[[#This Row],[Tên khách]],MD_Customer[Tên khách-rút gọn],0)),"")</f>
        <v>New Developments - Xơ sợi - XK</v>
      </c>
      <c r="F51" s="35" t="s">
        <v>24</v>
      </c>
      <c r="G51" s="7" t="str">
        <f>IFERROR(INDEX(MD_Customer[Phân loại],MATCH(KH_26_OPT4_KTQT_v4[[#This Row],[Tên khách]],MD_Customer[Tên khách-rút gọn],0)),"")</f>
        <v>Mới</v>
      </c>
      <c r="H51" s="7" t="str">
        <f>IFERROR(INDEX(MD_Customer[Kênh bán hàng],MATCH(KH_26_OPT4_KTQT_v4[[#This Row],[Tên khách]],MD_Customer[Tên khách-rút gọn],0)),"")</f>
        <v>Xuất Khẩu</v>
      </c>
      <c r="I51" s="35" t="s">
        <v>277</v>
      </c>
      <c r="J51" s="7" t="str">
        <f>IFERROR(INDEX(MD_Destination[Nước],MATCH(KH_26_OPT4_KTQT_v4[[#This Row],[Địa điểm đến]],MD_Destination[Địa điểm đến],0)),"")</f>
        <v>Mỹ</v>
      </c>
      <c r="K51" s="7" t="str">
        <f>IFERROR(INDEX(MD_Destination[Khu vực],MATCH(KH_26_OPT4_KTQT_v4[[#This Row],[Địa điểm đến]],MD_Destination[Địa điểm đến],0)),"")</f>
        <v>Châu Mỹ</v>
      </c>
      <c r="L51" s="35" t="s">
        <v>278</v>
      </c>
      <c r="M51" s="7" t="str">
        <f>IFERROR(INDEX(MD_SKU[Mã SKU],MATCH(KH_26_OPT4_KTQT_v4[[#This Row],[Tên sản phẩm]],MD_SKU[Tên SKU-rút gọn],0)),"")</f>
        <v>110000466</v>
      </c>
      <c r="N51" s="35" t="s">
        <v>483</v>
      </c>
      <c r="O51" s="7" t="str">
        <f>IFERROR(INDEX(MD_SKU[Ngành hàng],MATCH(KH_26_OPT4_KTQT_v4[[#This Row],[Tên sản phẩm]],MD_SKU[Tên SKU-rút gọn],0)),"")</f>
        <v>Xơ sợi</v>
      </c>
      <c r="P51" s="7" t="str">
        <f>IFERROR(INDEX(MD_SKU[Nhóm ngành],MATCH(KH_26_OPT4_KTQT_v4[[#This Row],[Tên sản phẩm]],MD_SKU[Tên SKU-rút gọn],0)),"")</f>
        <v>Hạt Xơ sợi</v>
      </c>
      <c r="Q51" s="7" t="str">
        <f>IFERROR(
   IF(INDEX(MD_SKU[IV/IM],MATCH(KH_26_OPT4_KTQT_v4[[#This Row],[Tên sản phẩm]],MD_SKU[Tên SKU-rút gọn],0))=0,
      "",
      INDEX(MD_SKU[IV/IM],MATCH(KH_26_OPT4_KTQT_v4[[#This Row],[Tên sản phẩm]],MD_SKU[Tên SKU-rút gọn],0))
   ),
"")</f>
        <v>0.55 ± 0.05</v>
      </c>
      <c r="R51" s="44">
        <f>IFERROR(INDEX(MD_SKU[Application],MATCH(KH_26_OPT4_KTQT_v4[[#This Row],[Tên sản phẩm]],MD_SKU[Tên SKU-rút gọn],0)),"")</f>
        <v>0</v>
      </c>
      <c r="S51" s="7" t="str">
        <f>IFERROR(INDEX(MD_SKU[Phân loại],MATCH(KH_26_OPT4_KTQT_v4[[#This Row],[Tên sản phẩm]],MD_SKU[Tên SKU-rút gọn],0)),"")</f>
        <v>Cũ</v>
      </c>
      <c r="T51" s="7" t="s">
        <v>541</v>
      </c>
      <c r="U51" s="157" t="s">
        <v>1508</v>
      </c>
      <c r="V51" s="70">
        <v>0.8</v>
      </c>
      <c r="W51" s="33"/>
      <c r="X51" s="33"/>
      <c r="Y51" s="33"/>
      <c r="Z51" s="33"/>
      <c r="AA51" s="33"/>
      <c r="AB51" s="33"/>
      <c r="AC51" s="33"/>
      <c r="AD51" s="33"/>
      <c r="AE51" s="33"/>
      <c r="AF51" s="33"/>
      <c r="AG51" s="33"/>
      <c r="AH51" s="33"/>
      <c r="AI51" s="47">
        <f ca="1">SUM(KH_26_OPT4_KTQT_v4[[#This Row],[SL-01]:[SL-12]])</f>
        <v>0</v>
      </c>
      <c r="AJ51" s="47">
        <f ca="1">SUMIFS(DB_25[SL-DB25],DB_25[Mã khách],KH_26_OPT4_KTQT_v4[[#This Row],[Mã khách]],DB_25[Mã sản phẩm],KH_26_OPT4_KTQT_v4[[#This Row],[Mã sản phẩm]])</f>
        <v>0</v>
      </c>
      <c r="AK51" s="20">
        <f ca="1">KH_26_OPT4_KTQT_v4[[#This Row],[SL-KH26]]-KH_26_OPT4_KTQT_v4[[#This Row],[SL-DB25]]</f>
        <v>0</v>
      </c>
      <c r="AL51" s="21">
        <f ca="1">IFERROR(KH_26_OPT4_KTQT_v4[[#This Row],[SL-+/-]]/KH_26_OPT4_KTQT_v4[[#This Row],[SL-DB25]],0)</f>
        <v>0</v>
      </c>
      <c r="AM51" s="51">
        <v>640</v>
      </c>
      <c r="AN51" s="51">
        <v>632</v>
      </c>
      <c r="AO51" s="51">
        <v>624</v>
      </c>
      <c r="AP51" s="51">
        <v>616</v>
      </c>
      <c r="AQ51" s="51">
        <v>608</v>
      </c>
      <c r="AR51" s="51">
        <v>600</v>
      </c>
      <c r="AS51" s="51">
        <v>592</v>
      </c>
      <c r="AT51" s="51">
        <v>584</v>
      </c>
      <c r="AU51" s="51">
        <v>576</v>
      </c>
      <c r="AV51" s="51">
        <v>568</v>
      </c>
      <c r="AW51" s="51">
        <v>560</v>
      </c>
      <c r="AX51" s="51">
        <v>552</v>
      </c>
      <c r="AY51" s="23">
        <v>596</v>
      </c>
      <c r="AZ51" s="7"/>
      <c r="BA51" s="24">
        <f>KH_26_OPT4_KTQT_v4[[#This Row],[GB-DB25]]-KH_26_OPT4_KTQT_v4[[#This Row],[GB-KH25]]</f>
        <v>596</v>
      </c>
      <c r="BB51" s="21">
        <f>IFERROR(KH_26_OPT4_KTQT_v4[[#This Row],[GB-+/-]]/KH_26_OPT4_KTQT_v4[[#This Row],[GB-KH25]],0)</f>
        <v>0</v>
      </c>
      <c r="BC51" s="21"/>
      <c r="BD51" s="47">
        <f>KH_26_OPT4_KTQT_v4[[#This Row],[SL-01]]*KH_26_OPT4_KTQT_v4[[#This Row],[GB-01]]*EXR</f>
        <v>0</v>
      </c>
      <c r="BE51" s="47">
        <f>KH_26_OPT4_KTQT_v4[[#This Row],[SL-02]]*KH_26_OPT4_KTQT_v4[[#This Row],[GB-02]]*EXR</f>
        <v>0</v>
      </c>
      <c r="BF51" s="47">
        <f>KH_26_OPT4_KTQT_v4[[#This Row],[SL-03]]*KH_26_OPT4_KTQT_v4[[#This Row],[GB-03]]*EXR</f>
        <v>0</v>
      </c>
      <c r="BG51" s="47">
        <f>KH_26_OPT4_KTQT_v4[[#This Row],[SL-04]]*KH_26_OPT4_KTQT_v4[[#This Row],[GB-04]]*EXR</f>
        <v>0</v>
      </c>
      <c r="BH51" s="47">
        <f>KH_26_OPT4_KTQT_v4[[#This Row],[SL-05]]*KH_26_OPT4_KTQT_v4[[#This Row],[GB-05]]*EXR</f>
        <v>0</v>
      </c>
      <c r="BI51" s="47">
        <f>KH_26_OPT4_KTQT_v4[[#This Row],[SL-06]]*KH_26_OPT4_KTQT_v4[[#This Row],[GB-06]]*EXR</f>
        <v>0</v>
      </c>
      <c r="BJ51" s="47">
        <f>KH_26_OPT4_KTQT_v4[[#This Row],[SL-07]]*KH_26_OPT4_KTQT_v4[[#This Row],[GB-07]]*EXR</f>
        <v>0</v>
      </c>
      <c r="BK51" s="47">
        <f>KH_26_OPT4_KTQT_v4[[#This Row],[SL-08]]*KH_26_OPT4_KTQT_v4[[#This Row],[GB-08]]*EXR</f>
        <v>0</v>
      </c>
      <c r="BL51" s="47">
        <f>KH_26_OPT4_KTQT_v4[[#This Row],[SL-09]]*KH_26_OPT4_KTQT_v4[[#This Row],[GB-09]]*EXR</f>
        <v>0</v>
      </c>
      <c r="BM51" s="47">
        <f>KH_26_OPT4_KTQT_v4[[#This Row],[SL-10]]*KH_26_OPT4_KTQT_v4[[#This Row],[GB-10]]*EXR</f>
        <v>0</v>
      </c>
      <c r="BN51" s="47">
        <f>KH_26_OPT4_KTQT_v4[[#This Row],[SL-11]]*KH_26_OPT4_KTQT_v4[[#This Row],[GB-11]]*EXR</f>
        <v>0</v>
      </c>
      <c r="BO51" s="47">
        <f>KH_26_OPT4_KTQT_v4[[#This Row],[SL-12]]*KH_26_OPT4_KTQT_v4[[#This Row],[GB-12]]*EXR</f>
        <v>0</v>
      </c>
      <c r="BP51" s="47">
        <f ca="1">SUM(KH_26_OPT4_KTQT_v4[[#This Row],[DT-EXW-01]:[DT-EXW-12]])</f>
        <v>0</v>
      </c>
      <c r="BQ51" s="47">
        <f ca="1">SUMIFS(DB_25[DT-DB25],DB_25[Mã khách],KH_26_OPT4_KTQT_v4[[#This Row],[Mã khách]],DB_25[Mã sản phẩm],KH_26_OPT4_KTQT_v4[[#This Row],[Mã sản phẩm]])</f>
        <v>0</v>
      </c>
      <c r="BR51" s="19">
        <f ca="1">KH_26_OPT4_KTQT_v4[[#This Row],[DT-EXW-KH26]]-KH_26_OPT4_KTQT_v4[[#This Row],[DT-EXW-DB25]]</f>
        <v>0</v>
      </c>
      <c r="BS51" s="21">
        <f ca="1">IFERROR(KH_26_OPT4_KTQT_v4[[#This Row],[DT-EXW-+/-]]/KH_26_OPT4_KTQT_v4[[#This Row],[DT-EXW-DB25]],0)</f>
        <v>0</v>
      </c>
      <c r="BT51" s="139"/>
      <c r="BU51" s="57"/>
      <c r="BV51" s="51"/>
      <c r="BW51" s="47">
        <f>IF(KH_26_OPT4_KTQT_v4[[#This Row],[CPHH-%-SL]]="Dthu",KH_26_OPT4_KTQT_v4[[#This Row],[%HH]]*KH_26_OPT4_KTQT_v4[[#This Row],[DT-EXW-01]],KH_26_OPT4_KTQT_v4[[#This Row],[HH-SL]]*KH_26_OPT4_KTQT_v4[[#This Row],[SL-01]])</f>
        <v>0</v>
      </c>
      <c r="BX51" s="47">
        <f>IF(KH_26_OPT4_KTQT_v4[[#This Row],[CPHH-%-SL]]="Dthu",KH_26_OPT4_KTQT_v4[[#This Row],[%HH]]*KH_26_OPT4_KTQT_v4[[#This Row],[DT-EXW-02]],KH_26_OPT4_KTQT_v4[[#This Row],[HH-SL]]*KH_26_OPT4_KTQT_v4[[#This Row],[SL-02]])</f>
        <v>0</v>
      </c>
      <c r="BY51" s="47">
        <f>IF(KH_26_OPT4_KTQT_v4[[#This Row],[CPHH-%-SL]]="Dthu",KH_26_OPT4_KTQT_v4[[#This Row],[%HH]]*KH_26_OPT4_KTQT_v4[[#This Row],[DT-EXW-03]],KH_26_OPT4_KTQT_v4[[#This Row],[HH-SL]]*KH_26_OPT4_KTQT_v4[[#This Row],[SL-03]])</f>
        <v>0</v>
      </c>
      <c r="BZ51" s="47">
        <f>IF(KH_26_OPT4_KTQT_v4[[#This Row],[CPHH-%-SL]]="Dthu",KH_26_OPT4_KTQT_v4[[#This Row],[%HH]]*KH_26_OPT4_KTQT_v4[[#This Row],[DT-EXW-04]],KH_26_OPT4_KTQT_v4[[#This Row],[HH-SL]]*KH_26_OPT4_KTQT_v4[[#This Row],[SL-04]])</f>
        <v>0</v>
      </c>
      <c r="CA51" s="47">
        <f>IF(KH_26_OPT4_KTQT_v4[[#This Row],[CPHH-%-SL]]="Dthu",KH_26_OPT4_KTQT_v4[[#This Row],[%HH]]*KH_26_OPT4_KTQT_v4[[#This Row],[DT-EXW-05]],KH_26_OPT4_KTQT_v4[[#This Row],[HH-SL]]*KH_26_OPT4_KTQT_v4[[#This Row],[SL-05]])</f>
        <v>0</v>
      </c>
      <c r="CB51" s="47">
        <f>IF(KH_26_OPT4_KTQT_v4[[#This Row],[CPHH-%-SL]]="Dthu",KH_26_OPT4_KTQT_v4[[#This Row],[%HH]]*KH_26_OPT4_KTQT_v4[[#This Row],[DT-EXW-06]],KH_26_OPT4_KTQT_v4[[#This Row],[HH-SL]]*KH_26_OPT4_KTQT_v4[[#This Row],[SL-06]])</f>
        <v>0</v>
      </c>
      <c r="CC51" s="47">
        <f>IF(KH_26_OPT4_KTQT_v4[[#This Row],[CPHH-%-SL]]="Dthu",KH_26_OPT4_KTQT_v4[[#This Row],[%HH]]*KH_26_OPT4_KTQT_v4[[#This Row],[DT-EXW-07]],KH_26_OPT4_KTQT_v4[[#This Row],[HH-SL]]*KH_26_OPT4_KTQT_v4[[#This Row],[SL-07]])</f>
        <v>0</v>
      </c>
      <c r="CD51" s="47">
        <f>IF(KH_26_OPT4_KTQT_v4[[#This Row],[CPHH-%-SL]]="Dthu",KH_26_OPT4_KTQT_v4[[#This Row],[%HH]]*KH_26_OPT4_KTQT_v4[[#This Row],[DT-EXW-08]],KH_26_OPT4_KTQT_v4[[#This Row],[HH-SL]]*KH_26_OPT4_KTQT_v4[[#This Row],[SL-08]])</f>
        <v>0</v>
      </c>
      <c r="CE51" s="47">
        <f>IF(KH_26_OPT4_KTQT_v4[[#This Row],[CPHH-%-SL]]="Dthu",KH_26_OPT4_KTQT_v4[[#This Row],[%HH]]*KH_26_OPT4_KTQT_v4[[#This Row],[DT-EXW-09]],KH_26_OPT4_KTQT_v4[[#This Row],[HH-SL]]*KH_26_OPT4_KTQT_v4[[#This Row],[SL-09]])</f>
        <v>0</v>
      </c>
      <c r="CF51" s="47">
        <f>IF(KH_26_OPT4_KTQT_v4[[#This Row],[CPHH-%-SL]]="Dthu",KH_26_OPT4_KTQT_v4[[#This Row],[%HH]]*KH_26_OPT4_KTQT_v4[[#This Row],[DT-EXW-10]],KH_26_OPT4_KTQT_v4[[#This Row],[HH-SL]]*KH_26_OPT4_KTQT_v4[[#This Row],[SL-10]])</f>
        <v>0</v>
      </c>
      <c r="CG51" s="47">
        <f>IF(KH_26_OPT4_KTQT_v4[[#This Row],[CPHH-%-SL]]="Dthu",KH_26_OPT4_KTQT_v4[[#This Row],[%HH]]*KH_26_OPT4_KTQT_v4[[#This Row],[DT-EXW-11]],KH_26_OPT4_KTQT_v4[[#This Row],[HH-SL]]*KH_26_OPT4_KTQT_v4[[#This Row],[SL-11]])</f>
        <v>0</v>
      </c>
      <c r="CH51" s="47">
        <f>IF(KH_26_OPT4_KTQT_v4[[#This Row],[CPHH-%-SL]]="Dthu",KH_26_OPT4_KTQT_v4[[#This Row],[%HH]]*KH_26_OPT4_KTQT_v4[[#This Row],[DT-EXW-12]],KH_26_OPT4_KTQT_v4[[#This Row],[HH-SL]]*KH_26_OPT4_KTQT_v4[[#This Row],[SL-12]])</f>
        <v>0</v>
      </c>
      <c r="CI51" s="47">
        <f ca="1">SUM(KH_26_OPT4_KTQT_v4[[#This Row],[CPHH-01]:[CPHH-12]])</f>
        <v>0</v>
      </c>
      <c r="CJ51" s="47" cm="1">
        <f t="array" ref="CJ51">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51" s="19">
        <f ca="1">SUM(KH_26_OPT4_KTQT_v4[[#This Row],[ĐGVCNĐ-KXK]:[ĐGVCCT-KXK]])</f>
        <v>530000</v>
      </c>
      <c r="CL51" s="47" cm="1">
        <f t="array" ref="CL51">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530000</v>
      </c>
      <c r="CM51" s="47" cm="1">
        <f t="array" ref="CM51">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51" s="47">
        <f ca="1">(KH_26_OPT4_KTQT_v4[[#This Row],[ĐGVC-KNĐ]]+KH_26_OPT4_KTQT_v4[[#This Row],[ĐGVC-KXK]])*KH_26_OPT4_KTQT_v4[[#This Row],[SL-01]]</f>
        <v>0</v>
      </c>
      <c r="CO51" s="47">
        <f ca="1">(KH_26_OPT4_KTQT_v4[[#This Row],[ĐGVC-KNĐ]]+KH_26_OPT4_KTQT_v4[[#This Row],[ĐGVC-KXK]])*KH_26_OPT4_KTQT_v4[[#This Row],[SL-02]]</f>
        <v>0</v>
      </c>
      <c r="CP51" s="47">
        <f ca="1">(KH_26_OPT4_KTQT_v4[[#This Row],[ĐGVC-KNĐ]]+KH_26_OPT4_KTQT_v4[[#This Row],[ĐGVC-KXK]])*KH_26_OPT4_KTQT_v4[[#This Row],[SL-03]]</f>
        <v>0</v>
      </c>
      <c r="CQ51" s="47">
        <f ca="1">(KH_26_OPT4_KTQT_v4[[#This Row],[ĐGVC-KNĐ]]+KH_26_OPT4_KTQT_v4[[#This Row],[ĐGVC-KXK]])*KH_26_OPT4_KTQT_v4[[#This Row],[SL-04]]</f>
        <v>0</v>
      </c>
      <c r="CR51" s="47">
        <f ca="1">(KH_26_OPT4_KTQT_v4[[#This Row],[ĐGVC-KNĐ]]+KH_26_OPT4_KTQT_v4[[#This Row],[ĐGVC-KXK]])*KH_26_OPT4_KTQT_v4[[#This Row],[SL-05]]</f>
        <v>0</v>
      </c>
      <c r="CS51" s="47">
        <f ca="1">(KH_26_OPT4_KTQT_v4[[#This Row],[ĐGVC-KNĐ]]+KH_26_OPT4_KTQT_v4[[#This Row],[ĐGVC-KXK]])*KH_26_OPT4_KTQT_v4[[#This Row],[SL-06]]</f>
        <v>0</v>
      </c>
      <c r="CT51" s="47">
        <f ca="1">(KH_26_OPT4_KTQT_v4[[#This Row],[ĐGVC-KNĐ]]+KH_26_OPT4_KTQT_v4[[#This Row],[ĐGVC-KXK]])*KH_26_OPT4_KTQT_v4[[#This Row],[SL-07]]</f>
        <v>0</v>
      </c>
      <c r="CU51" s="47">
        <f ca="1">(KH_26_OPT4_KTQT_v4[[#This Row],[ĐGVC-KNĐ]]+KH_26_OPT4_KTQT_v4[[#This Row],[ĐGVC-KXK]])*KH_26_OPT4_KTQT_v4[[#This Row],[SL-08]]</f>
        <v>0</v>
      </c>
      <c r="CV51" s="47">
        <f ca="1">(KH_26_OPT4_KTQT_v4[[#This Row],[ĐGVC-KNĐ]]+KH_26_OPT4_KTQT_v4[[#This Row],[ĐGVC-KXK]])*KH_26_OPT4_KTQT_v4[[#This Row],[SL-09]]</f>
        <v>0</v>
      </c>
      <c r="CW51" s="47">
        <f ca="1">(KH_26_OPT4_KTQT_v4[[#This Row],[ĐGVC-KNĐ]]+KH_26_OPT4_KTQT_v4[[#This Row],[ĐGVC-KXK]])*KH_26_OPT4_KTQT_v4[[#This Row],[SL-10]]</f>
        <v>0</v>
      </c>
      <c r="CX51" s="47">
        <f ca="1">(KH_26_OPT4_KTQT_v4[[#This Row],[ĐGVC-KNĐ]]+KH_26_OPT4_KTQT_v4[[#This Row],[ĐGVC-KXK]])*KH_26_OPT4_KTQT_v4[[#This Row],[SL-11]]</f>
        <v>0</v>
      </c>
      <c r="CY51" s="47">
        <f ca="1">(KH_26_OPT4_KTQT_v4[[#This Row],[ĐGVC-KNĐ]]+KH_26_OPT4_KTQT_v4[[#This Row],[ĐGVC-KXK]])*KH_26_OPT4_KTQT_v4[[#This Row],[SL-12]]</f>
        <v>0</v>
      </c>
      <c r="CZ51" s="47">
        <f ca="1">SUM(KH_26_OPT4_KTQT_v4[[#This Row],[CPVC-01]:[CPVC-12]])</f>
        <v>0</v>
      </c>
      <c r="DA51" s="124">
        <f ca="1">KH_26_OPT4_KTQT_v4[[#This Row],[DT-EXW-01]]+KH_26_OPT4_KTQT_v4[[#This Row],[CPVC-01]]+KH_26_OPT4_KTQT_v4[[#This Row],[CPHH-01]]</f>
        <v>0</v>
      </c>
      <c r="DB51" s="47">
        <f ca="1">KH_26_OPT4_KTQT_v4[[#This Row],[DT-EXW-02]]+KH_26_OPT4_KTQT_v4[[#This Row],[CPVC-02]]+KH_26_OPT4_KTQT_v4[[#This Row],[CPHH-02]]</f>
        <v>0</v>
      </c>
      <c r="DC51" s="47">
        <f ca="1">KH_26_OPT4_KTQT_v4[[#This Row],[DT-EXW-03]]+KH_26_OPT4_KTQT_v4[[#This Row],[CPVC-03]]+KH_26_OPT4_KTQT_v4[[#This Row],[CPHH-03]]</f>
        <v>0</v>
      </c>
      <c r="DD51" s="47">
        <f ca="1">KH_26_OPT4_KTQT_v4[[#This Row],[DT-EXW-04]]+KH_26_OPT4_KTQT_v4[[#This Row],[CPVC-04]]+KH_26_OPT4_KTQT_v4[[#This Row],[CPHH-04]]</f>
        <v>0</v>
      </c>
      <c r="DE51" s="47">
        <f ca="1">KH_26_OPT4_KTQT_v4[[#This Row],[DT-EXW-05]]+KH_26_OPT4_KTQT_v4[[#This Row],[CPVC-05]]+KH_26_OPT4_KTQT_v4[[#This Row],[CPHH-05]]</f>
        <v>0</v>
      </c>
      <c r="DF51" s="47">
        <f ca="1">KH_26_OPT4_KTQT_v4[[#This Row],[DT-EXW-06]]+KH_26_OPT4_KTQT_v4[[#This Row],[CPVC-06]]+KH_26_OPT4_KTQT_v4[[#This Row],[CPHH-06]]</f>
        <v>0</v>
      </c>
      <c r="DG51" s="47">
        <f ca="1">KH_26_OPT4_KTQT_v4[[#This Row],[DT-EXW-07]]+KH_26_OPT4_KTQT_v4[[#This Row],[CPVC-07]]+KH_26_OPT4_KTQT_v4[[#This Row],[CPHH-07]]</f>
        <v>0</v>
      </c>
      <c r="DH51" s="47">
        <f ca="1">KH_26_OPT4_KTQT_v4[[#This Row],[DT-EXW-08]]+KH_26_OPT4_KTQT_v4[[#This Row],[CPVC-08]]+KH_26_OPT4_KTQT_v4[[#This Row],[CPHH-08]]</f>
        <v>0</v>
      </c>
      <c r="DI51" s="47">
        <f ca="1">KH_26_OPT4_KTQT_v4[[#This Row],[DT-EXW-09]]+KH_26_OPT4_KTQT_v4[[#This Row],[CPVC-09]]+KH_26_OPT4_KTQT_v4[[#This Row],[CPHH-09]]</f>
        <v>0</v>
      </c>
      <c r="DJ51" s="47">
        <f ca="1">KH_26_OPT4_KTQT_v4[[#This Row],[DT-EXW-10]]+KH_26_OPT4_KTQT_v4[[#This Row],[CPVC-10]]+KH_26_OPT4_KTQT_v4[[#This Row],[CPHH-10]]</f>
        <v>0</v>
      </c>
      <c r="DK51" s="47">
        <f ca="1">KH_26_OPT4_KTQT_v4[[#This Row],[DT-EXW-11]]+KH_26_OPT4_KTQT_v4[[#This Row],[CPVC-11]]+KH_26_OPT4_KTQT_v4[[#This Row],[CPHH-11]]</f>
        <v>0</v>
      </c>
      <c r="DL51" s="47">
        <f ca="1">KH_26_OPT4_KTQT_v4[[#This Row],[DT-EXW-12]]+KH_26_OPT4_KTQT_v4[[#This Row],[CPVC-12]]+KH_26_OPT4_KTQT_v4[[#This Row],[CPHH-12]]</f>
        <v>0</v>
      </c>
      <c r="DM51" s="47">
        <f ca="1">SUM(KH_26_OPT4_KTQT_v4[[#This Row],[DT-01]:[DT-12]])</f>
        <v>0</v>
      </c>
      <c r="DN51" s="7"/>
      <c r="DO51" s="7"/>
      <c r="DP51" s="125"/>
      <c r="DQ51" s="136"/>
      <c r="DR51" s="132">
        <f>IFERROR(KH_26_OPT4_KTQT_v4[[#This Row],[DT-EXW-01]]*KH_26_OPT4_KTQT_v4[[#This Row],[%CPDP]],0)</f>
        <v>0</v>
      </c>
      <c r="DS51" s="132">
        <f>IFERROR(KH_26_OPT4_KTQT_v4[[#This Row],[DT-EXW-02]]*KH_26_OPT4_KTQT_v4[[#This Row],[%CPDP]],0)</f>
        <v>0</v>
      </c>
      <c r="DT51" s="132">
        <f>IFERROR(KH_26_OPT4_KTQT_v4[[#This Row],[DT-EXW-03]]*KH_26_OPT4_KTQT_v4[[#This Row],[%CPDP]],0)</f>
        <v>0</v>
      </c>
      <c r="DU51" s="132">
        <f>IFERROR(KH_26_OPT4_KTQT_v4[[#This Row],[DT-EXW-04]]*KH_26_OPT4_KTQT_v4[[#This Row],[%CPDP]],0)</f>
        <v>0</v>
      </c>
      <c r="DV51" s="132">
        <f>IFERROR(KH_26_OPT4_KTQT_v4[[#This Row],[DT-EXW-05]]*KH_26_OPT4_KTQT_v4[[#This Row],[%CPDP]],0)</f>
        <v>0</v>
      </c>
      <c r="DW51" s="132">
        <f>IFERROR(KH_26_OPT4_KTQT_v4[[#This Row],[DT-EXW-06]]*KH_26_OPT4_KTQT_v4[[#This Row],[%CPDP]],0)</f>
        <v>0</v>
      </c>
      <c r="DX51" s="132">
        <f>IFERROR(KH_26_OPT4_KTQT_v4[[#This Row],[DT-EXW-07]]*KH_26_OPT4_KTQT_v4[[#This Row],[%CPDP]],0)</f>
        <v>0</v>
      </c>
      <c r="DY51" s="132">
        <f>IFERROR(KH_26_OPT4_KTQT_v4[[#This Row],[DT-EXW-08]]*KH_26_OPT4_KTQT_v4[[#This Row],[%CPDP]],0)</f>
        <v>0</v>
      </c>
      <c r="DZ51" s="132">
        <f>IFERROR(KH_26_OPT4_KTQT_v4[[#This Row],[DT-EXW-09]]*KH_26_OPT4_KTQT_v4[[#This Row],[%CPDP]],0)</f>
        <v>0</v>
      </c>
      <c r="EA51" s="132">
        <f>IFERROR(KH_26_OPT4_KTQT_v4[[#This Row],[DT-EXW-10]]*KH_26_OPT4_KTQT_v4[[#This Row],[%CPDP]],0)</f>
        <v>0</v>
      </c>
      <c r="EB51" s="132">
        <f>IFERROR(KH_26_OPT4_KTQT_v4[[#This Row],[DT-EXW-11]]*KH_26_OPT4_KTQT_v4[[#This Row],[%CPDP]],0)</f>
        <v>0</v>
      </c>
      <c r="EC51" s="132">
        <f>IFERROR(KH_26_OPT4_KTQT_v4[[#This Row],[DT-EXW-12]]*KH_26_OPT4_KTQT_v4[[#This Row],[%CPDP]],0)</f>
        <v>0</v>
      </c>
      <c r="ED51" s="131">
        <f ca="1">SUM(KH_26_OPT4_KTQT_v4[[#This Row],[CPDP-01]:[CPDP-12]])</f>
        <v>0</v>
      </c>
    </row>
    <row r="52" spans="1:134" ht="14.65" hidden="1" customHeight="1" x14ac:dyDescent="0.35">
      <c r="A52" s="18">
        <v>47</v>
      </c>
      <c r="B52" s="71" t="s">
        <v>110</v>
      </c>
      <c r="C52" s="18" t="str">
        <f>IFERROR(_xlfn.XLOOKUP(KH_26_OPT4_KTQT_v4[[#This Row],[Salesman]],MD_Salesman[Salesman],MD_Salesman[SalesManager]),"")</f>
        <v>Quốc Anh</v>
      </c>
      <c r="D52" s="72" t="str">
        <f>IFERROR(INDEX(MD_Customer[Mã khách],MATCH(KH_26_OPT4_KTQT_v4[[#This Row],[Tên khách]],MD_Customer[Tên khách-rút gọn],0)),"")</f>
        <v>NS26-NEWCUS-019</v>
      </c>
      <c r="E52" s="7" t="str">
        <f>IFERROR(INDEX(MD_Customer[Parent Account],MATCH(KH_26_OPT4_KTQT_v4[[#This Row],[Tên khách]],MD_Customer[Tên khách-rút gọn],0)),"")</f>
        <v>New Developments - Hạt PP - NĐ</v>
      </c>
      <c r="F52" s="35" t="s">
        <v>59</v>
      </c>
      <c r="G52" s="7" t="str">
        <f>IFERROR(INDEX(MD_Customer[Phân loại],MATCH(KH_26_OPT4_KTQT_v4[[#This Row],[Tên khách]],MD_Customer[Tên khách-rút gọn],0)),"")</f>
        <v>Mới</v>
      </c>
      <c r="H52" s="7" t="str">
        <f>IFERROR(INDEX(MD_Customer[Kênh bán hàng],MATCH(KH_26_OPT4_KTQT_v4[[#This Row],[Tên khách]],MD_Customer[Tên khách-rút gọn],0)),"")</f>
        <v>Nội địa</v>
      </c>
      <c r="I52" s="35" t="s">
        <v>259</v>
      </c>
      <c r="J52" s="7" t="str">
        <f>IFERROR(INDEX(MD_Destination[Nước],MATCH(KH_26_OPT4_KTQT_v4[[#This Row],[Địa điểm đến]],MD_Destination[Địa điểm đến],0)),"")</f>
        <v>Việt Nam</v>
      </c>
      <c r="K52" s="7" t="str">
        <f>IFERROR(INDEX(MD_Destination[Khu vực],MATCH(KH_26_OPT4_KTQT_v4[[#This Row],[Địa điểm đến]],MD_Destination[Địa điểm đến],0)),"")</f>
        <v>Châu Á</v>
      </c>
      <c r="L52" s="35" t="s">
        <v>260</v>
      </c>
      <c r="M52" s="7" t="str">
        <f>IFERROR(INDEX(MD_SKU[Mã SKU],MATCH(KH_26_OPT4_KTQT_v4[[#This Row],[Tên sản phẩm]],MD_SKU[Tên SKU-rút gọn],0)),"")</f>
        <v>110000392</v>
      </c>
      <c r="N52" s="35" t="s">
        <v>485</v>
      </c>
      <c r="O52" s="7" t="str">
        <f>IFERROR(INDEX(MD_SKU[Ngành hàng],MATCH(KH_26_OPT4_KTQT_v4[[#This Row],[Tên sản phẩm]],MD_SKU[Tên SKU-rút gọn],0)),"")</f>
        <v>rPP</v>
      </c>
      <c r="P52" s="7" t="str">
        <f>IFERROR(INDEX(MD_SKU[Nhóm ngành],MATCH(KH_26_OPT4_KTQT_v4[[#This Row],[Tên sản phẩm]],MD_SKU[Tên SKU-rút gọn],0)),"")</f>
        <v>Hạt PP</v>
      </c>
      <c r="Q52" s="7" t="str">
        <f>IFERROR(
   IF(INDEX(MD_SKU[IV/IM],MATCH(KH_26_OPT4_KTQT_v4[[#This Row],[Tên sản phẩm]],MD_SKU[Tên SKU-rút gọn],0))=0,
      "",
      INDEX(MD_SKU[IV/IM],MATCH(KH_26_OPT4_KTQT_v4[[#This Row],[Tên sản phẩm]],MD_SKU[Tên SKU-rút gọn],0))
   ),
"")</f>
        <v/>
      </c>
      <c r="R52" s="44">
        <f>IFERROR(INDEX(MD_SKU[Application],MATCH(KH_26_OPT4_KTQT_v4[[#This Row],[Tên sản phẩm]],MD_SKU[Tên SKU-rút gọn],0)),"")</f>
        <v>0</v>
      </c>
      <c r="S52" s="7" t="str">
        <f>IFERROR(INDEX(MD_SKU[Phân loại],MATCH(KH_26_OPT4_KTQT_v4[[#This Row],[Tên sản phẩm]],MD_SKU[Tên SKU-rút gọn],0)),"")</f>
        <v>Cũ</v>
      </c>
      <c r="T52" s="7" t="s">
        <v>541</v>
      </c>
      <c r="U52" s="7" t="s">
        <v>1508</v>
      </c>
      <c r="V52" s="70">
        <v>0.8</v>
      </c>
      <c r="W52" s="33">
        <v>25</v>
      </c>
      <c r="X52" s="33">
        <v>25</v>
      </c>
      <c r="Y52" s="33">
        <v>25</v>
      </c>
      <c r="Z52" s="33">
        <v>25</v>
      </c>
      <c r="AA52" s="33">
        <v>25</v>
      </c>
      <c r="AB52" s="33">
        <v>25</v>
      </c>
      <c r="AC52" s="33">
        <v>25</v>
      </c>
      <c r="AD52" s="33">
        <v>25</v>
      </c>
      <c r="AE52" s="33">
        <v>25</v>
      </c>
      <c r="AF52" s="33">
        <v>25</v>
      </c>
      <c r="AG52" s="33">
        <v>25</v>
      </c>
      <c r="AH52" s="33">
        <v>25</v>
      </c>
      <c r="AI52" s="47">
        <f ca="1">SUM(KH_26_OPT4_KTQT_v4[[#This Row],[SL-01]:[SL-12]])</f>
        <v>300</v>
      </c>
      <c r="AJ52" s="47">
        <f ca="1">SUMIFS(DB_25[SL-DB25],DB_25[Mã khách],KH_26_OPT4_KTQT_v4[[#This Row],[Mã khách]],DB_25[Mã sản phẩm],KH_26_OPT4_KTQT_v4[[#This Row],[Mã sản phẩm]])</f>
        <v>0</v>
      </c>
      <c r="AK52" s="20">
        <f ca="1">KH_26_OPT4_KTQT_v4[[#This Row],[SL-KH26]]-KH_26_OPT4_KTQT_v4[[#This Row],[SL-DB25]]</f>
        <v>300</v>
      </c>
      <c r="AL52" s="21">
        <f ca="1">IFERROR(KH_26_OPT4_KTQT_v4[[#This Row],[SL-+/-]]/KH_26_OPT4_KTQT_v4[[#This Row],[SL-DB25]],0)</f>
        <v>0</v>
      </c>
      <c r="AM52" s="51">
        <v>700</v>
      </c>
      <c r="AN52" s="51">
        <v>700</v>
      </c>
      <c r="AO52" s="51">
        <v>700</v>
      </c>
      <c r="AP52" s="51">
        <v>700</v>
      </c>
      <c r="AQ52" s="51">
        <v>700</v>
      </c>
      <c r="AR52" s="51">
        <v>700</v>
      </c>
      <c r="AS52" s="51">
        <v>700</v>
      </c>
      <c r="AT52" s="51">
        <v>700</v>
      </c>
      <c r="AU52" s="51">
        <v>700</v>
      </c>
      <c r="AV52" s="51">
        <v>700</v>
      </c>
      <c r="AW52" s="51">
        <v>700</v>
      </c>
      <c r="AX52" s="51">
        <v>700</v>
      </c>
      <c r="AY52" s="23">
        <v>700</v>
      </c>
      <c r="AZ52" s="7"/>
      <c r="BA52" s="24">
        <f>KH_26_OPT4_KTQT_v4[[#This Row],[GB-DB25]]-KH_26_OPT4_KTQT_v4[[#This Row],[GB-KH25]]</f>
        <v>700</v>
      </c>
      <c r="BB52" s="21">
        <f>IFERROR(KH_26_OPT4_KTQT_v4[[#This Row],[GB-+/-]]/KH_26_OPT4_KTQT_v4[[#This Row],[GB-KH25]],0)</f>
        <v>0</v>
      </c>
      <c r="BC52" s="21"/>
      <c r="BD52" s="47">
        <f>KH_26_OPT4_KTQT_v4[[#This Row],[SL-01]]*KH_26_OPT4_KTQT_v4[[#This Row],[GB-01]]*EXR</f>
        <v>463750000</v>
      </c>
      <c r="BE52" s="47">
        <f>KH_26_OPT4_KTQT_v4[[#This Row],[SL-02]]*KH_26_OPT4_KTQT_v4[[#This Row],[GB-02]]*EXR</f>
        <v>463750000</v>
      </c>
      <c r="BF52" s="47">
        <f>KH_26_OPT4_KTQT_v4[[#This Row],[SL-03]]*KH_26_OPT4_KTQT_v4[[#This Row],[GB-03]]*EXR</f>
        <v>463750000</v>
      </c>
      <c r="BG52" s="47">
        <f>KH_26_OPT4_KTQT_v4[[#This Row],[SL-04]]*KH_26_OPT4_KTQT_v4[[#This Row],[GB-04]]*EXR</f>
        <v>463750000</v>
      </c>
      <c r="BH52" s="47">
        <f>KH_26_OPT4_KTQT_v4[[#This Row],[SL-05]]*KH_26_OPT4_KTQT_v4[[#This Row],[GB-05]]*EXR</f>
        <v>463750000</v>
      </c>
      <c r="BI52" s="47">
        <f>KH_26_OPT4_KTQT_v4[[#This Row],[SL-06]]*KH_26_OPT4_KTQT_v4[[#This Row],[GB-06]]*EXR</f>
        <v>463750000</v>
      </c>
      <c r="BJ52" s="47">
        <f>KH_26_OPT4_KTQT_v4[[#This Row],[SL-07]]*KH_26_OPT4_KTQT_v4[[#This Row],[GB-07]]*EXR</f>
        <v>463750000</v>
      </c>
      <c r="BK52" s="47">
        <f>KH_26_OPT4_KTQT_v4[[#This Row],[SL-08]]*KH_26_OPT4_KTQT_v4[[#This Row],[GB-08]]*EXR</f>
        <v>463750000</v>
      </c>
      <c r="BL52" s="47">
        <f>KH_26_OPT4_KTQT_v4[[#This Row],[SL-09]]*KH_26_OPT4_KTQT_v4[[#This Row],[GB-09]]*EXR</f>
        <v>463750000</v>
      </c>
      <c r="BM52" s="47">
        <f>KH_26_OPT4_KTQT_v4[[#This Row],[SL-10]]*KH_26_OPT4_KTQT_v4[[#This Row],[GB-10]]*EXR</f>
        <v>463750000</v>
      </c>
      <c r="BN52" s="47">
        <f>KH_26_OPT4_KTQT_v4[[#This Row],[SL-11]]*KH_26_OPT4_KTQT_v4[[#This Row],[GB-11]]*EXR</f>
        <v>463750000</v>
      </c>
      <c r="BO52" s="47">
        <f>KH_26_OPT4_KTQT_v4[[#This Row],[SL-12]]*KH_26_OPT4_KTQT_v4[[#This Row],[GB-12]]*EXR</f>
        <v>463750000</v>
      </c>
      <c r="BP52" s="47">
        <f ca="1">SUM(KH_26_OPT4_KTQT_v4[[#This Row],[DT-EXW-01]:[DT-EXW-12]])</f>
        <v>5565000000</v>
      </c>
      <c r="BQ52" s="47">
        <f ca="1">SUMIFS(DB_25[DT-DB25],DB_25[Mã khách],KH_26_OPT4_KTQT_v4[[#This Row],[Mã khách]],DB_25[Mã sản phẩm],KH_26_OPT4_KTQT_v4[[#This Row],[Mã sản phẩm]])</f>
        <v>0</v>
      </c>
      <c r="BR52" s="19">
        <f ca="1">KH_26_OPT4_KTQT_v4[[#This Row],[DT-EXW-KH26]]-KH_26_OPT4_KTQT_v4[[#This Row],[DT-EXW-DB25]]</f>
        <v>5565000000</v>
      </c>
      <c r="BS52" s="21">
        <f ca="1">IFERROR(KH_26_OPT4_KTQT_v4[[#This Row],[DT-EXW-+/-]]/KH_26_OPT4_KTQT_v4[[#This Row],[DT-EXW-DB25]],0)</f>
        <v>0</v>
      </c>
      <c r="BT52" s="139"/>
      <c r="BU52" s="57"/>
      <c r="BV52" s="51"/>
      <c r="BW52" s="47">
        <f>IF(KH_26_OPT4_KTQT_v4[[#This Row],[CPHH-%-SL]]="Dthu",KH_26_OPT4_KTQT_v4[[#This Row],[%HH]]*KH_26_OPT4_KTQT_v4[[#This Row],[DT-EXW-01]],KH_26_OPT4_KTQT_v4[[#This Row],[HH-SL]]*KH_26_OPT4_KTQT_v4[[#This Row],[SL-01]])</f>
        <v>0</v>
      </c>
      <c r="BX52" s="47">
        <f>IF(KH_26_OPT4_KTQT_v4[[#This Row],[CPHH-%-SL]]="Dthu",KH_26_OPT4_KTQT_v4[[#This Row],[%HH]]*KH_26_OPT4_KTQT_v4[[#This Row],[DT-EXW-02]],KH_26_OPT4_KTQT_v4[[#This Row],[HH-SL]]*KH_26_OPT4_KTQT_v4[[#This Row],[SL-02]])</f>
        <v>0</v>
      </c>
      <c r="BY52" s="47">
        <f>IF(KH_26_OPT4_KTQT_v4[[#This Row],[CPHH-%-SL]]="Dthu",KH_26_OPT4_KTQT_v4[[#This Row],[%HH]]*KH_26_OPT4_KTQT_v4[[#This Row],[DT-EXW-03]],KH_26_OPT4_KTQT_v4[[#This Row],[HH-SL]]*KH_26_OPT4_KTQT_v4[[#This Row],[SL-03]])</f>
        <v>0</v>
      </c>
      <c r="BZ52" s="47">
        <f>IF(KH_26_OPT4_KTQT_v4[[#This Row],[CPHH-%-SL]]="Dthu",KH_26_OPT4_KTQT_v4[[#This Row],[%HH]]*KH_26_OPT4_KTQT_v4[[#This Row],[DT-EXW-04]],KH_26_OPT4_KTQT_v4[[#This Row],[HH-SL]]*KH_26_OPT4_KTQT_v4[[#This Row],[SL-04]])</f>
        <v>0</v>
      </c>
      <c r="CA52" s="47">
        <f>IF(KH_26_OPT4_KTQT_v4[[#This Row],[CPHH-%-SL]]="Dthu",KH_26_OPT4_KTQT_v4[[#This Row],[%HH]]*KH_26_OPT4_KTQT_v4[[#This Row],[DT-EXW-05]],KH_26_OPT4_KTQT_v4[[#This Row],[HH-SL]]*KH_26_OPT4_KTQT_v4[[#This Row],[SL-05]])</f>
        <v>0</v>
      </c>
      <c r="CB52" s="47">
        <f>IF(KH_26_OPT4_KTQT_v4[[#This Row],[CPHH-%-SL]]="Dthu",KH_26_OPT4_KTQT_v4[[#This Row],[%HH]]*KH_26_OPT4_KTQT_v4[[#This Row],[DT-EXW-06]],KH_26_OPT4_KTQT_v4[[#This Row],[HH-SL]]*KH_26_OPT4_KTQT_v4[[#This Row],[SL-06]])</f>
        <v>0</v>
      </c>
      <c r="CC52" s="47">
        <f>IF(KH_26_OPT4_KTQT_v4[[#This Row],[CPHH-%-SL]]="Dthu",KH_26_OPT4_KTQT_v4[[#This Row],[%HH]]*KH_26_OPT4_KTQT_v4[[#This Row],[DT-EXW-07]],KH_26_OPT4_KTQT_v4[[#This Row],[HH-SL]]*KH_26_OPT4_KTQT_v4[[#This Row],[SL-07]])</f>
        <v>0</v>
      </c>
      <c r="CD52" s="47">
        <f>IF(KH_26_OPT4_KTQT_v4[[#This Row],[CPHH-%-SL]]="Dthu",KH_26_OPT4_KTQT_v4[[#This Row],[%HH]]*KH_26_OPT4_KTQT_v4[[#This Row],[DT-EXW-08]],KH_26_OPT4_KTQT_v4[[#This Row],[HH-SL]]*KH_26_OPT4_KTQT_v4[[#This Row],[SL-08]])</f>
        <v>0</v>
      </c>
      <c r="CE52" s="47">
        <f>IF(KH_26_OPT4_KTQT_v4[[#This Row],[CPHH-%-SL]]="Dthu",KH_26_OPT4_KTQT_v4[[#This Row],[%HH]]*KH_26_OPT4_KTQT_v4[[#This Row],[DT-EXW-09]],KH_26_OPT4_KTQT_v4[[#This Row],[HH-SL]]*KH_26_OPT4_KTQT_v4[[#This Row],[SL-09]])</f>
        <v>0</v>
      </c>
      <c r="CF52" s="47">
        <f>IF(KH_26_OPT4_KTQT_v4[[#This Row],[CPHH-%-SL]]="Dthu",KH_26_OPT4_KTQT_v4[[#This Row],[%HH]]*KH_26_OPT4_KTQT_v4[[#This Row],[DT-EXW-10]],KH_26_OPT4_KTQT_v4[[#This Row],[HH-SL]]*KH_26_OPT4_KTQT_v4[[#This Row],[SL-10]])</f>
        <v>0</v>
      </c>
      <c r="CG52" s="47">
        <f>IF(KH_26_OPT4_KTQT_v4[[#This Row],[CPHH-%-SL]]="Dthu",KH_26_OPT4_KTQT_v4[[#This Row],[%HH]]*KH_26_OPT4_KTQT_v4[[#This Row],[DT-EXW-11]],KH_26_OPT4_KTQT_v4[[#This Row],[HH-SL]]*KH_26_OPT4_KTQT_v4[[#This Row],[SL-11]])</f>
        <v>0</v>
      </c>
      <c r="CH52" s="47">
        <f>IF(KH_26_OPT4_KTQT_v4[[#This Row],[CPHH-%-SL]]="Dthu",KH_26_OPT4_KTQT_v4[[#This Row],[%HH]]*KH_26_OPT4_KTQT_v4[[#This Row],[DT-EXW-12]],KH_26_OPT4_KTQT_v4[[#This Row],[HH-SL]]*KH_26_OPT4_KTQT_v4[[#This Row],[SL-12]])</f>
        <v>0</v>
      </c>
      <c r="CI52" s="47">
        <f ca="1">SUM(KH_26_OPT4_KTQT_v4[[#This Row],[CPHH-01]:[CPHH-12]])</f>
        <v>0</v>
      </c>
      <c r="CJ52" s="47" cm="1">
        <f t="array" ref="CJ52">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52" s="19">
        <f ca="1">SUM(KH_26_OPT4_KTQT_v4[[#This Row],[ĐGVCNĐ-KXK]:[ĐGVCCT-KXK]])</f>
        <v>0</v>
      </c>
      <c r="CL52" s="47" cm="1">
        <f t="array" ref="CL52">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52" s="47" cm="1">
        <f t="array" ref="CM52">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52" s="47">
        <f ca="1">(KH_26_OPT4_KTQT_v4[[#This Row],[ĐGVC-KNĐ]]+KH_26_OPT4_KTQT_v4[[#This Row],[ĐGVC-KXK]])*KH_26_OPT4_KTQT_v4[[#This Row],[SL-01]]</f>
        <v>0</v>
      </c>
      <c r="CO52" s="47">
        <f ca="1">(KH_26_OPT4_KTQT_v4[[#This Row],[ĐGVC-KNĐ]]+KH_26_OPT4_KTQT_v4[[#This Row],[ĐGVC-KXK]])*KH_26_OPT4_KTQT_v4[[#This Row],[SL-02]]</f>
        <v>0</v>
      </c>
      <c r="CP52" s="47">
        <f ca="1">(KH_26_OPT4_KTQT_v4[[#This Row],[ĐGVC-KNĐ]]+KH_26_OPT4_KTQT_v4[[#This Row],[ĐGVC-KXK]])*KH_26_OPT4_KTQT_v4[[#This Row],[SL-03]]</f>
        <v>0</v>
      </c>
      <c r="CQ52" s="47">
        <f ca="1">(KH_26_OPT4_KTQT_v4[[#This Row],[ĐGVC-KNĐ]]+KH_26_OPT4_KTQT_v4[[#This Row],[ĐGVC-KXK]])*KH_26_OPT4_KTQT_v4[[#This Row],[SL-04]]</f>
        <v>0</v>
      </c>
      <c r="CR52" s="47">
        <f ca="1">(KH_26_OPT4_KTQT_v4[[#This Row],[ĐGVC-KNĐ]]+KH_26_OPT4_KTQT_v4[[#This Row],[ĐGVC-KXK]])*KH_26_OPT4_KTQT_v4[[#This Row],[SL-05]]</f>
        <v>0</v>
      </c>
      <c r="CS52" s="47">
        <f ca="1">(KH_26_OPT4_KTQT_v4[[#This Row],[ĐGVC-KNĐ]]+KH_26_OPT4_KTQT_v4[[#This Row],[ĐGVC-KXK]])*KH_26_OPT4_KTQT_v4[[#This Row],[SL-06]]</f>
        <v>0</v>
      </c>
      <c r="CT52" s="47">
        <f ca="1">(KH_26_OPT4_KTQT_v4[[#This Row],[ĐGVC-KNĐ]]+KH_26_OPT4_KTQT_v4[[#This Row],[ĐGVC-KXK]])*KH_26_OPT4_KTQT_v4[[#This Row],[SL-07]]</f>
        <v>0</v>
      </c>
      <c r="CU52" s="47">
        <f ca="1">(KH_26_OPT4_KTQT_v4[[#This Row],[ĐGVC-KNĐ]]+KH_26_OPT4_KTQT_v4[[#This Row],[ĐGVC-KXK]])*KH_26_OPT4_KTQT_v4[[#This Row],[SL-08]]</f>
        <v>0</v>
      </c>
      <c r="CV52" s="47">
        <f ca="1">(KH_26_OPT4_KTQT_v4[[#This Row],[ĐGVC-KNĐ]]+KH_26_OPT4_KTQT_v4[[#This Row],[ĐGVC-KXK]])*KH_26_OPT4_KTQT_v4[[#This Row],[SL-09]]</f>
        <v>0</v>
      </c>
      <c r="CW52" s="47">
        <f ca="1">(KH_26_OPT4_KTQT_v4[[#This Row],[ĐGVC-KNĐ]]+KH_26_OPT4_KTQT_v4[[#This Row],[ĐGVC-KXK]])*KH_26_OPT4_KTQT_v4[[#This Row],[SL-10]]</f>
        <v>0</v>
      </c>
      <c r="CX52" s="47">
        <f ca="1">(KH_26_OPT4_KTQT_v4[[#This Row],[ĐGVC-KNĐ]]+KH_26_OPT4_KTQT_v4[[#This Row],[ĐGVC-KXK]])*KH_26_OPT4_KTQT_v4[[#This Row],[SL-11]]</f>
        <v>0</v>
      </c>
      <c r="CY52" s="47">
        <f ca="1">(KH_26_OPT4_KTQT_v4[[#This Row],[ĐGVC-KNĐ]]+KH_26_OPT4_KTQT_v4[[#This Row],[ĐGVC-KXK]])*KH_26_OPT4_KTQT_v4[[#This Row],[SL-12]]</f>
        <v>0</v>
      </c>
      <c r="CZ52" s="47">
        <f ca="1">SUM(KH_26_OPT4_KTQT_v4[[#This Row],[CPVC-01]:[CPVC-12]])</f>
        <v>0</v>
      </c>
      <c r="DA52" s="124">
        <f ca="1">KH_26_OPT4_KTQT_v4[[#This Row],[DT-EXW-01]]+KH_26_OPT4_KTQT_v4[[#This Row],[CPVC-01]]+KH_26_OPT4_KTQT_v4[[#This Row],[CPHH-01]]</f>
        <v>463750000</v>
      </c>
      <c r="DB52" s="47">
        <f ca="1">KH_26_OPT4_KTQT_v4[[#This Row],[DT-EXW-02]]+KH_26_OPT4_KTQT_v4[[#This Row],[CPVC-02]]+KH_26_OPT4_KTQT_v4[[#This Row],[CPHH-02]]</f>
        <v>463750000</v>
      </c>
      <c r="DC52" s="47">
        <f ca="1">KH_26_OPT4_KTQT_v4[[#This Row],[DT-EXW-03]]+KH_26_OPT4_KTQT_v4[[#This Row],[CPVC-03]]+KH_26_OPT4_KTQT_v4[[#This Row],[CPHH-03]]</f>
        <v>463750000</v>
      </c>
      <c r="DD52" s="47">
        <f ca="1">KH_26_OPT4_KTQT_v4[[#This Row],[DT-EXW-04]]+KH_26_OPT4_KTQT_v4[[#This Row],[CPVC-04]]+KH_26_OPT4_KTQT_v4[[#This Row],[CPHH-04]]</f>
        <v>463750000</v>
      </c>
      <c r="DE52" s="47">
        <f ca="1">KH_26_OPT4_KTQT_v4[[#This Row],[DT-EXW-05]]+KH_26_OPT4_KTQT_v4[[#This Row],[CPVC-05]]+KH_26_OPT4_KTQT_v4[[#This Row],[CPHH-05]]</f>
        <v>463750000</v>
      </c>
      <c r="DF52" s="47">
        <f ca="1">KH_26_OPT4_KTQT_v4[[#This Row],[DT-EXW-06]]+KH_26_OPT4_KTQT_v4[[#This Row],[CPVC-06]]+KH_26_OPT4_KTQT_v4[[#This Row],[CPHH-06]]</f>
        <v>463750000</v>
      </c>
      <c r="DG52" s="47">
        <f ca="1">KH_26_OPT4_KTQT_v4[[#This Row],[DT-EXW-07]]+KH_26_OPT4_KTQT_v4[[#This Row],[CPVC-07]]+KH_26_OPT4_KTQT_v4[[#This Row],[CPHH-07]]</f>
        <v>463750000</v>
      </c>
      <c r="DH52" s="47">
        <f ca="1">KH_26_OPT4_KTQT_v4[[#This Row],[DT-EXW-08]]+KH_26_OPT4_KTQT_v4[[#This Row],[CPVC-08]]+KH_26_OPT4_KTQT_v4[[#This Row],[CPHH-08]]</f>
        <v>463750000</v>
      </c>
      <c r="DI52" s="47">
        <f ca="1">KH_26_OPT4_KTQT_v4[[#This Row],[DT-EXW-09]]+KH_26_OPT4_KTQT_v4[[#This Row],[CPVC-09]]+KH_26_OPT4_KTQT_v4[[#This Row],[CPHH-09]]</f>
        <v>463750000</v>
      </c>
      <c r="DJ52" s="47">
        <f ca="1">KH_26_OPT4_KTQT_v4[[#This Row],[DT-EXW-10]]+KH_26_OPT4_KTQT_v4[[#This Row],[CPVC-10]]+KH_26_OPT4_KTQT_v4[[#This Row],[CPHH-10]]</f>
        <v>463750000</v>
      </c>
      <c r="DK52" s="47">
        <f ca="1">KH_26_OPT4_KTQT_v4[[#This Row],[DT-EXW-11]]+KH_26_OPT4_KTQT_v4[[#This Row],[CPVC-11]]+KH_26_OPT4_KTQT_v4[[#This Row],[CPHH-11]]</f>
        <v>463750000</v>
      </c>
      <c r="DL52" s="47">
        <f ca="1">KH_26_OPT4_KTQT_v4[[#This Row],[DT-EXW-12]]+KH_26_OPT4_KTQT_v4[[#This Row],[CPVC-12]]+KH_26_OPT4_KTQT_v4[[#This Row],[CPHH-12]]</f>
        <v>463750000</v>
      </c>
      <c r="DM52" s="47">
        <f ca="1">SUM(KH_26_OPT4_KTQT_v4[[#This Row],[DT-01]:[DT-12]])</f>
        <v>5565000000</v>
      </c>
      <c r="DN52" s="7"/>
      <c r="DO52" s="7"/>
      <c r="DP52" s="125"/>
      <c r="DQ52" s="136"/>
      <c r="DR52" s="132">
        <f>IFERROR(KH_26_OPT4_KTQT_v4[[#This Row],[DT-EXW-01]]*KH_26_OPT4_KTQT_v4[[#This Row],[%CPDP]],0)</f>
        <v>0</v>
      </c>
      <c r="DS52" s="132">
        <f>IFERROR(KH_26_OPT4_KTQT_v4[[#This Row],[DT-EXW-02]]*KH_26_OPT4_KTQT_v4[[#This Row],[%CPDP]],0)</f>
        <v>0</v>
      </c>
      <c r="DT52" s="132">
        <f>IFERROR(KH_26_OPT4_KTQT_v4[[#This Row],[DT-EXW-03]]*KH_26_OPT4_KTQT_v4[[#This Row],[%CPDP]],0)</f>
        <v>0</v>
      </c>
      <c r="DU52" s="132">
        <f>IFERROR(KH_26_OPT4_KTQT_v4[[#This Row],[DT-EXW-04]]*KH_26_OPT4_KTQT_v4[[#This Row],[%CPDP]],0)</f>
        <v>0</v>
      </c>
      <c r="DV52" s="132">
        <f>IFERROR(KH_26_OPT4_KTQT_v4[[#This Row],[DT-EXW-05]]*KH_26_OPT4_KTQT_v4[[#This Row],[%CPDP]],0)</f>
        <v>0</v>
      </c>
      <c r="DW52" s="132">
        <f>IFERROR(KH_26_OPT4_KTQT_v4[[#This Row],[DT-EXW-06]]*KH_26_OPT4_KTQT_v4[[#This Row],[%CPDP]],0)</f>
        <v>0</v>
      </c>
      <c r="DX52" s="132">
        <f>IFERROR(KH_26_OPT4_KTQT_v4[[#This Row],[DT-EXW-07]]*KH_26_OPT4_KTQT_v4[[#This Row],[%CPDP]],0)</f>
        <v>0</v>
      </c>
      <c r="DY52" s="132">
        <f>IFERROR(KH_26_OPT4_KTQT_v4[[#This Row],[DT-EXW-08]]*KH_26_OPT4_KTQT_v4[[#This Row],[%CPDP]],0)</f>
        <v>0</v>
      </c>
      <c r="DZ52" s="132">
        <f>IFERROR(KH_26_OPT4_KTQT_v4[[#This Row],[DT-EXW-09]]*KH_26_OPT4_KTQT_v4[[#This Row],[%CPDP]],0)</f>
        <v>0</v>
      </c>
      <c r="EA52" s="132">
        <f>IFERROR(KH_26_OPT4_KTQT_v4[[#This Row],[DT-EXW-10]]*KH_26_OPT4_KTQT_v4[[#This Row],[%CPDP]],0)</f>
        <v>0</v>
      </c>
      <c r="EB52" s="132">
        <f>IFERROR(KH_26_OPT4_KTQT_v4[[#This Row],[DT-EXW-11]]*KH_26_OPT4_KTQT_v4[[#This Row],[%CPDP]],0)</f>
        <v>0</v>
      </c>
      <c r="EC52" s="132">
        <f>IFERROR(KH_26_OPT4_KTQT_v4[[#This Row],[DT-EXW-12]]*KH_26_OPT4_KTQT_v4[[#This Row],[%CPDP]],0)</f>
        <v>0</v>
      </c>
      <c r="ED52" s="131">
        <f ca="1">SUM(KH_26_OPT4_KTQT_v4[[#This Row],[CPDP-01]:[CPDP-12]])</f>
        <v>0</v>
      </c>
    </row>
    <row r="53" spans="1:134" ht="14.65" hidden="1" customHeight="1" x14ac:dyDescent="0.35">
      <c r="A53" s="18">
        <v>48</v>
      </c>
      <c r="B53" s="71" t="s">
        <v>115</v>
      </c>
      <c r="C53" s="18" t="str">
        <f>IFERROR(_xlfn.XLOOKUP(KH_26_OPT4_KTQT_v4[[#This Row],[Salesman]],MD_Salesman[Salesman],MD_Salesman[SalesManager]),"")</f>
        <v>Quốc Anh</v>
      </c>
      <c r="D53" s="72" t="str">
        <f>IFERROR(INDEX(MD_Customer[Mã khách],MATCH(KH_26_OPT4_KTQT_v4[[#This Row],[Tên khách]],MD_Customer[Tên khách-rút gọn],0)),"")</f>
        <v>105292</v>
      </c>
      <c r="E53" s="7" t="str">
        <f>IFERROR(INDEX(MD_Customer[Parent Account],MATCH(KH_26_OPT4_KTQT_v4[[#This Row],[Tên khách]],MD_Customer[Tên khách-rút gọn],0)),"")</f>
        <v>NHỰA ĐỒNG NAI</v>
      </c>
      <c r="F53" s="35" t="s">
        <v>53</v>
      </c>
      <c r="G53" s="7" t="str">
        <f>IFERROR(INDEX(MD_Customer[Phân loại],MATCH(KH_26_OPT4_KTQT_v4[[#This Row],[Tên khách]],MD_Customer[Tên khách-rút gọn],0)),"")</f>
        <v>Hiện hữu</v>
      </c>
      <c r="H53" s="7" t="str">
        <f>IFERROR(INDEX(MD_Customer[Kênh bán hàng],MATCH(KH_26_OPT4_KTQT_v4[[#This Row],[Tên khách]],MD_Customer[Tên khách-rút gọn],0)),"")</f>
        <v>Nội địa</v>
      </c>
      <c r="I53" s="35" t="s">
        <v>268</v>
      </c>
      <c r="J53" s="7" t="str">
        <f>IFERROR(INDEX(MD_Destination[Nước],MATCH(KH_26_OPT4_KTQT_v4[[#This Row],[Địa điểm đến]],MD_Destination[Địa điểm đến],0)),"")</f>
        <v>Việt Nam</v>
      </c>
      <c r="K53" s="7" t="str">
        <f>IFERROR(INDEX(MD_Destination[Khu vực],MATCH(KH_26_OPT4_KTQT_v4[[#This Row],[Địa điểm đến]],MD_Destination[Địa điểm đến],0)),"")</f>
        <v>Châu Á</v>
      </c>
      <c r="L53" s="35" t="s">
        <v>262</v>
      </c>
      <c r="M53" s="7" t="str">
        <f>IFERROR(INDEX(MD_SKU[Mã SKU],MATCH(KH_26_OPT4_KTQT_v4[[#This Row],[Tên sản phẩm]],MD_SKU[Tên SKU-rút gọn],0)),"")</f>
        <v>110000341</v>
      </c>
      <c r="N53" s="35" t="s">
        <v>486</v>
      </c>
      <c r="O53" s="7" t="str">
        <f>IFERROR(INDEX(MD_SKU[Ngành hàng],MATCH(KH_26_OPT4_KTQT_v4[[#This Row],[Tên sản phẩm]],MD_SKU[Tên SKU-rút gọn],0)),"")</f>
        <v>rHDPE thổi</v>
      </c>
      <c r="P53" s="7" t="str">
        <f>IFERROR(INDEX(MD_SKU[Nhóm ngành],MATCH(KH_26_OPT4_KTQT_v4[[#This Row],[Tên sản phẩm]],MD_SKU[Tên SKU-rút gọn],0)),"")</f>
        <v>Hạt HD thổi</v>
      </c>
      <c r="Q53" s="7" t="str">
        <f>IFERROR(
   IF(INDEX(MD_SKU[IV/IM],MATCH(KH_26_OPT4_KTQT_v4[[#This Row],[Tên sản phẩm]],MD_SKU[Tên SKU-rút gọn],0))=0,
      "",
      INDEX(MD_SKU[IV/IM],MATCH(KH_26_OPT4_KTQT_v4[[#This Row],[Tên sản phẩm]],MD_SKU[Tên SKU-rút gọn],0))
   ),
"")</f>
        <v/>
      </c>
      <c r="R53" s="44" t="str">
        <f>IFERROR(INDEX(MD_SKU[Application],MATCH(KH_26_OPT4_KTQT_v4[[#This Row],[Tên sản phẩm]],MD_SKU[Tên SKU-rút gọn],0)),"")</f>
        <v>THỔI ỐNG</v>
      </c>
      <c r="S53" s="7" t="str">
        <f>IFERROR(INDEX(MD_SKU[Phân loại],MATCH(KH_26_OPT4_KTQT_v4[[#This Row],[Tên sản phẩm]],MD_SKU[Tên SKU-rút gọn],0)),"")</f>
        <v>Cũ</v>
      </c>
      <c r="T53" s="7" t="s">
        <v>53</v>
      </c>
      <c r="U53" s="7" t="s">
        <v>1508</v>
      </c>
      <c r="V53" s="70">
        <v>0.8</v>
      </c>
      <c r="W53" s="33"/>
      <c r="X53" s="33"/>
      <c r="Y53" s="33"/>
      <c r="Z53" s="33"/>
      <c r="AA53" s="33"/>
      <c r="AB53" s="33"/>
      <c r="AC53" s="33"/>
      <c r="AD53" s="33"/>
      <c r="AE53" s="33"/>
      <c r="AF53" s="33"/>
      <c r="AG53" s="33"/>
      <c r="AH53" s="33"/>
      <c r="AI53" s="47">
        <f ca="1">SUM(KH_26_OPT4_KTQT_v4[[#This Row],[SL-01]:[SL-12]])</f>
        <v>0</v>
      </c>
      <c r="AJ53" s="47">
        <f ca="1">SUMIFS(DB_25[SL-DB25],DB_25[Mã khách],KH_26_OPT4_KTQT_v4[[#This Row],[Mã khách]],DB_25[Mã sản phẩm],KH_26_OPT4_KTQT_v4[[#This Row],[Mã sản phẩm]])</f>
        <v>182</v>
      </c>
      <c r="AK53" s="20">
        <f ca="1">KH_26_OPT4_KTQT_v4[[#This Row],[SL-KH26]]-KH_26_OPT4_KTQT_v4[[#This Row],[SL-DB25]]</f>
        <v>-182</v>
      </c>
      <c r="AL53" s="21">
        <f ca="1">IFERROR(KH_26_OPT4_KTQT_v4[[#This Row],[SL-+/-]]/KH_26_OPT4_KTQT_v4[[#This Row],[SL-DB25]],0)</f>
        <v>-1</v>
      </c>
      <c r="AM53" s="51">
        <v>600</v>
      </c>
      <c r="AN53" s="51">
        <v>600</v>
      </c>
      <c r="AO53" s="51">
        <v>600</v>
      </c>
      <c r="AP53" s="51">
        <v>600</v>
      </c>
      <c r="AQ53" s="51">
        <v>600</v>
      </c>
      <c r="AR53" s="51">
        <v>600</v>
      </c>
      <c r="AS53" s="51">
        <v>600</v>
      </c>
      <c r="AT53" s="51">
        <v>600</v>
      </c>
      <c r="AU53" s="51">
        <v>600</v>
      </c>
      <c r="AV53" s="51">
        <v>600</v>
      </c>
      <c r="AW53" s="51">
        <v>600</v>
      </c>
      <c r="AX53" s="51">
        <v>600</v>
      </c>
      <c r="AY53" s="23">
        <v>600</v>
      </c>
      <c r="AZ53" s="7"/>
      <c r="BA53" s="24">
        <f>KH_26_OPT4_KTQT_v4[[#This Row],[GB-DB25]]-KH_26_OPT4_KTQT_v4[[#This Row],[GB-KH25]]</f>
        <v>600</v>
      </c>
      <c r="BB53" s="21">
        <f>IFERROR(KH_26_OPT4_KTQT_v4[[#This Row],[GB-+/-]]/KH_26_OPT4_KTQT_v4[[#This Row],[GB-KH25]],0)</f>
        <v>0</v>
      </c>
      <c r="BC53" s="21"/>
      <c r="BD53" s="47">
        <f>KH_26_OPT4_KTQT_v4[[#This Row],[SL-01]]*KH_26_OPT4_KTQT_v4[[#This Row],[GB-01]]*EXR</f>
        <v>0</v>
      </c>
      <c r="BE53" s="47">
        <f>KH_26_OPT4_KTQT_v4[[#This Row],[SL-02]]*KH_26_OPT4_KTQT_v4[[#This Row],[GB-02]]*EXR</f>
        <v>0</v>
      </c>
      <c r="BF53" s="47">
        <f>KH_26_OPT4_KTQT_v4[[#This Row],[SL-03]]*KH_26_OPT4_KTQT_v4[[#This Row],[GB-03]]*EXR</f>
        <v>0</v>
      </c>
      <c r="BG53" s="47">
        <f>KH_26_OPT4_KTQT_v4[[#This Row],[SL-04]]*KH_26_OPT4_KTQT_v4[[#This Row],[GB-04]]*EXR</f>
        <v>0</v>
      </c>
      <c r="BH53" s="47">
        <f>KH_26_OPT4_KTQT_v4[[#This Row],[SL-05]]*KH_26_OPT4_KTQT_v4[[#This Row],[GB-05]]*EXR</f>
        <v>0</v>
      </c>
      <c r="BI53" s="47">
        <f>KH_26_OPT4_KTQT_v4[[#This Row],[SL-06]]*KH_26_OPT4_KTQT_v4[[#This Row],[GB-06]]*EXR</f>
        <v>0</v>
      </c>
      <c r="BJ53" s="47">
        <f>KH_26_OPT4_KTQT_v4[[#This Row],[SL-07]]*KH_26_OPT4_KTQT_v4[[#This Row],[GB-07]]*EXR</f>
        <v>0</v>
      </c>
      <c r="BK53" s="47">
        <f>KH_26_OPT4_KTQT_v4[[#This Row],[SL-08]]*KH_26_OPT4_KTQT_v4[[#This Row],[GB-08]]*EXR</f>
        <v>0</v>
      </c>
      <c r="BL53" s="47">
        <f>KH_26_OPT4_KTQT_v4[[#This Row],[SL-09]]*KH_26_OPT4_KTQT_v4[[#This Row],[GB-09]]*EXR</f>
        <v>0</v>
      </c>
      <c r="BM53" s="47">
        <f>KH_26_OPT4_KTQT_v4[[#This Row],[SL-10]]*KH_26_OPT4_KTQT_v4[[#This Row],[GB-10]]*EXR</f>
        <v>0</v>
      </c>
      <c r="BN53" s="47">
        <f>KH_26_OPT4_KTQT_v4[[#This Row],[SL-11]]*KH_26_OPT4_KTQT_v4[[#This Row],[GB-11]]*EXR</f>
        <v>0</v>
      </c>
      <c r="BO53" s="47">
        <f>KH_26_OPT4_KTQT_v4[[#This Row],[SL-12]]*KH_26_OPT4_KTQT_v4[[#This Row],[GB-12]]*EXR</f>
        <v>0</v>
      </c>
      <c r="BP53" s="47">
        <f ca="1">SUM(KH_26_OPT4_KTQT_v4[[#This Row],[DT-EXW-01]:[DT-EXW-12]])</f>
        <v>0</v>
      </c>
      <c r="BQ53" s="47">
        <f ca="1">SUMIFS(DB_25[DT-DB25],DB_25[Mã khách],KH_26_OPT4_KTQT_v4[[#This Row],[Mã khách]],DB_25[Mã sản phẩm],KH_26_OPT4_KTQT_v4[[#This Row],[Mã sản phẩm]])</f>
        <v>852304079.84137511</v>
      </c>
      <c r="BR53" s="47">
        <f ca="1">KH_26_OPT4_KTQT_v4[[#This Row],[DT-EXW-KH26]]-KH_26_OPT4_KTQT_v4[[#This Row],[DT-EXW-DB25]]</f>
        <v>-852304079.84137511</v>
      </c>
      <c r="BS53" s="21">
        <f ca="1">IFERROR(KH_26_OPT4_KTQT_v4[[#This Row],[DT-EXW-+/-]]/KH_26_OPT4_KTQT_v4[[#This Row],[DT-EXW-DB25]],0)</f>
        <v>-1</v>
      </c>
      <c r="BT53" s="139"/>
      <c r="BU53" s="57"/>
      <c r="BV53" s="51"/>
      <c r="BW53" s="47">
        <f>IF(KH_26_OPT4_KTQT_v4[[#This Row],[CPHH-%-SL]]="Dthu",KH_26_OPT4_KTQT_v4[[#This Row],[%HH]]*KH_26_OPT4_KTQT_v4[[#This Row],[DT-EXW-01]],KH_26_OPT4_KTQT_v4[[#This Row],[HH-SL]]*KH_26_OPT4_KTQT_v4[[#This Row],[SL-01]])</f>
        <v>0</v>
      </c>
      <c r="BX53" s="47">
        <f>IF(KH_26_OPT4_KTQT_v4[[#This Row],[CPHH-%-SL]]="Dthu",KH_26_OPT4_KTQT_v4[[#This Row],[%HH]]*KH_26_OPT4_KTQT_v4[[#This Row],[DT-EXW-02]],KH_26_OPT4_KTQT_v4[[#This Row],[HH-SL]]*KH_26_OPT4_KTQT_v4[[#This Row],[SL-02]])</f>
        <v>0</v>
      </c>
      <c r="BY53" s="47">
        <f>IF(KH_26_OPT4_KTQT_v4[[#This Row],[CPHH-%-SL]]="Dthu",KH_26_OPT4_KTQT_v4[[#This Row],[%HH]]*KH_26_OPT4_KTQT_v4[[#This Row],[DT-EXW-03]],KH_26_OPT4_KTQT_v4[[#This Row],[HH-SL]]*KH_26_OPT4_KTQT_v4[[#This Row],[SL-03]])</f>
        <v>0</v>
      </c>
      <c r="BZ53" s="47">
        <f>IF(KH_26_OPT4_KTQT_v4[[#This Row],[CPHH-%-SL]]="Dthu",KH_26_OPT4_KTQT_v4[[#This Row],[%HH]]*KH_26_OPT4_KTQT_v4[[#This Row],[DT-EXW-04]],KH_26_OPT4_KTQT_v4[[#This Row],[HH-SL]]*KH_26_OPT4_KTQT_v4[[#This Row],[SL-04]])</f>
        <v>0</v>
      </c>
      <c r="CA53" s="47">
        <f>IF(KH_26_OPT4_KTQT_v4[[#This Row],[CPHH-%-SL]]="Dthu",KH_26_OPT4_KTQT_v4[[#This Row],[%HH]]*KH_26_OPT4_KTQT_v4[[#This Row],[DT-EXW-05]],KH_26_OPT4_KTQT_v4[[#This Row],[HH-SL]]*KH_26_OPT4_KTQT_v4[[#This Row],[SL-05]])</f>
        <v>0</v>
      </c>
      <c r="CB53" s="47">
        <f>IF(KH_26_OPT4_KTQT_v4[[#This Row],[CPHH-%-SL]]="Dthu",KH_26_OPT4_KTQT_v4[[#This Row],[%HH]]*KH_26_OPT4_KTQT_v4[[#This Row],[DT-EXW-06]],KH_26_OPT4_KTQT_v4[[#This Row],[HH-SL]]*KH_26_OPT4_KTQT_v4[[#This Row],[SL-06]])</f>
        <v>0</v>
      </c>
      <c r="CC53" s="47">
        <f>IF(KH_26_OPT4_KTQT_v4[[#This Row],[CPHH-%-SL]]="Dthu",KH_26_OPT4_KTQT_v4[[#This Row],[%HH]]*KH_26_OPT4_KTQT_v4[[#This Row],[DT-EXW-07]],KH_26_OPT4_KTQT_v4[[#This Row],[HH-SL]]*KH_26_OPT4_KTQT_v4[[#This Row],[SL-07]])</f>
        <v>0</v>
      </c>
      <c r="CD53" s="47">
        <f>IF(KH_26_OPT4_KTQT_v4[[#This Row],[CPHH-%-SL]]="Dthu",KH_26_OPT4_KTQT_v4[[#This Row],[%HH]]*KH_26_OPT4_KTQT_v4[[#This Row],[DT-EXW-08]],KH_26_OPT4_KTQT_v4[[#This Row],[HH-SL]]*KH_26_OPT4_KTQT_v4[[#This Row],[SL-08]])</f>
        <v>0</v>
      </c>
      <c r="CE53" s="47">
        <f>IF(KH_26_OPT4_KTQT_v4[[#This Row],[CPHH-%-SL]]="Dthu",KH_26_OPT4_KTQT_v4[[#This Row],[%HH]]*KH_26_OPT4_KTQT_v4[[#This Row],[DT-EXW-09]],KH_26_OPT4_KTQT_v4[[#This Row],[HH-SL]]*KH_26_OPT4_KTQT_v4[[#This Row],[SL-09]])</f>
        <v>0</v>
      </c>
      <c r="CF53" s="47">
        <f>IF(KH_26_OPT4_KTQT_v4[[#This Row],[CPHH-%-SL]]="Dthu",KH_26_OPT4_KTQT_v4[[#This Row],[%HH]]*KH_26_OPT4_KTQT_v4[[#This Row],[DT-EXW-10]],KH_26_OPT4_KTQT_v4[[#This Row],[HH-SL]]*KH_26_OPT4_KTQT_v4[[#This Row],[SL-10]])</f>
        <v>0</v>
      </c>
      <c r="CG53" s="47">
        <f>IF(KH_26_OPT4_KTQT_v4[[#This Row],[CPHH-%-SL]]="Dthu",KH_26_OPT4_KTQT_v4[[#This Row],[%HH]]*KH_26_OPT4_KTQT_v4[[#This Row],[DT-EXW-11]],KH_26_OPT4_KTQT_v4[[#This Row],[HH-SL]]*KH_26_OPT4_KTQT_v4[[#This Row],[SL-11]])</f>
        <v>0</v>
      </c>
      <c r="CH53" s="47">
        <f>IF(KH_26_OPT4_KTQT_v4[[#This Row],[CPHH-%-SL]]="Dthu",KH_26_OPT4_KTQT_v4[[#This Row],[%HH]]*KH_26_OPT4_KTQT_v4[[#This Row],[DT-EXW-12]],KH_26_OPT4_KTQT_v4[[#This Row],[HH-SL]]*KH_26_OPT4_KTQT_v4[[#This Row],[SL-12]])</f>
        <v>0</v>
      </c>
      <c r="CI53" s="47">
        <f ca="1">SUM(KH_26_OPT4_KTQT_v4[[#This Row],[CPHH-01]:[CPHH-12]])</f>
        <v>0</v>
      </c>
      <c r="CJ53" s="47" cm="1">
        <f t="array" ref="CJ53">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53" s="19">
        <f ca="1">SUM(KH_26_OPT4_KTQT_v4[[#This Row],[ĐGVCNĐ-KXK]:[ĐGVCCT-KXK]])</f>
        <v>0</v>
      </c>
      <c r="CL53" s="47" cm="1">
        <f t="array" ref="CL53">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53" s="47" cm="1">
        <f t="array" ref="CM53">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53" s="47">
        <f ca="1">(KH_26_OPT4_KTQT_v4[[#This Row],[ĐGVC-KNĐ]]+KH_26_OPT4_KTQT_v4[[#This Row],[ĐGVC-KXK]])*KH_26_OPT4_KTQT_v4[[#This Row],[SL-01]]</f>
        <v>0</v>
      </c>
      <c r="CO53" s="47">
        <f ca="1">(KH_26_OPT4_KTQT_v4[[#This Row],[ĐGVC-KNĐ]]+KH_26_OPT4_KTQT_v4[[#This Row],[ĐGVC-KXK]])*KH_26_OPT4_KTQT_v4[[#This Row],[SL-02]]</f>
        <v>0</v>
      </c>
      <c r="CP53" s="47">
        <f ca="1">(KH_26_OPT4_KTQT_v4[[#This Row],[ĐGVC-KNĐ]]+KH_26_OPT4_KTQT_v4[[#This Row],[ĐGVC-KXK]])*KH_26_OPT4_KTQT_v4[[#This Row],[SL-03]]</f>
        <v>0</v>
      </c>
      <c r="CQ53" s="47">
        <f ca="1">(KH_26_OPT4_KTQT_v4[[#This Row],[ĐGVC-KNĐ]]+KH_26_OPT4_KTQT_v4[[#This Row],[ĐGVC-KXK]])*KH_26_OPT4_KTQT_v4[[#This Row],[SL-04]]</f>
        <v>0</v>
      </c>
      <c r="CR53" s="47">
        <f ca="1">(KH_26_OPT4_KTQT_v4[[#This Row],[ĐGVC-KNĐ]]+KH_26_OPT4_KTQT_v4[[#This Row],[ĐGVC-KXK]])*KH_26_OPT4_KTQT_v4[[#This Row],[SL-05]]</f>
        <v>0</v>
      </c>
      <c r="CS53" s="47">
        <f ca="1">(KH_26_OPT4_KTQT_v4[[#This Row],[ĐGVC-KNĐ]]+KH_26_OPT4_KTQT_v4[[#This Row],[ĐGVC-KXK]])*KH_26_OPT4_KTQT_v4[[#This Row],[SL-06]]</f>
        <v>0</v>
      </c>
      <c r="CT53" s="47">
        <f ca="1">(KH_26_OPT4_KTQT_v4[[#This Row],[ĐGVC-KNĐ]]+KH_26_OPT4_KTQT_v4[[#This Row],[ĐGVC-KXK]])*KH_26_OPT4_KTQT_v4[[#This Row],[SL-07]]</f>
        <v>0</v>
      </c>
      <c r="CU53" s="47">
        <f ca="1">(KH_26_OPT4_KTQT_v4[[#This Row],[ĐGVC-KNĐ]]+KH_26_OPT4_KTQT_v4[[#This Row],[ĐGVC-KXK]])*KH_26_OPT4_KTQT_v4[[#This Row],[SL-08]]</f>
        <v>0</v>
      </c>
      <c r="CV53" s="47">
        <f ca="1">(KH_26_OPT4_KTQT_v4[[#This Row],[ĐGVC-KNĐ]]+KH_26_OPT4_KTQT_v4[[#This Row],[ĐGVC-KXK]])*KH_26_OPT4_KTQT_v4[[#This Row],[SL-09]]</f>
        <v>0</v>
      </c>
      <c r="CW53" s="47">
        <f ca="1">(KH_26_OPT4_KTQT_v4[[#This Row],[ĐGVC-KNĐ]]+KH_26_OPT4_KTQT_v4[[#This Row],[ĐGVC-KXK]])*KH_26_OPT4_KTQT_v4[[#This Row],[SL-10]]</f>
        <v>0</v>
      </c>
      <c r="CX53" s="47">
        <f ca="1">(KH_26_OPT4_KTQT_v4[[#This Row],[ĐGVC-KNĐ]]+KH_26_OPT4_KTQT_v4[[#This Row],[ĐGVC-KXK]])*KH_26_OPT4_KTQT_v4[[#This Row],[SL-11]]</f>
        <v>0</v>
      </c>
      <c r="CY53" s="47">
        <f ca="1">(KH_26_OPT4_KTQT_v4[[#This Row],[ĐGVC-KNĐ]]+KH_26_OPT4_KTQT_v4[[#This Row],[ĐGVC-KXK]])*KH_26_OPT4_KTQT_v4[[#This Row],[SL-12]]</f>
        <v>0</v>
      </c>
      <c r="CZ53" s="47">
        <f ca="1">SUM(KH_26_OPT4_KTQT_v4[[#This Row],[CPVC-01]:[CPVC-12]])</f>
        <v>0</v>
      </c>
      <c r="DA53" s="124">
        <f ca="1">KH_26_OPT4_KTQT_v4[[#This Row],[DT-EXW-01]]+KH_26_OPT4_KTQT_v4[[#This Row],[CPVC-01]]+KH_26_OPT4_KTQT_v4[[#This Row],[CPHH-01]]</f>
        <v>0</v>
      </c>
      <c r="DB53" s="47">
        <f ca="1">KH_26_OPT4_KTQT_v4[[#This Row],[DT-EXW-02]]+KH_26_OPT4_KTQT_v4[[#This Row],[CPVC-02]]+KH_26_OPT4_KTQT_v4[[#This Row],[CPHH-02]]</f>
        <v>0</v>
      </c>
      <c r="DC53" s="47">
        <f ca="1">KH_26_OPT4_KTQT_v4[[#This Row],[DT-EXW-03]]+KH_26_OPT4_KTQT_v4[[#This Row],[CPVC-03]]+KH_26_OPT4_KTQT_v4[[#This Row],[CPHH-03]]</f>
        <v>0</v>
      </c>
      <c r="DD53" s="47">
        <f ca="1">KH_26_OPT4_KTQT_v4[[#This Row],[DT-EXW-04]]+KH_26_OPT4_KTQT_v4[[#This Row],[CPVC-04]]+KH_26_OPT4_KTQT_v4[[#This Row],[CPHH-04]]</f>
        <v>0</v>
      </c>
      <c r="DE53" s="47">
        <f ca="1">KH_26_OPT4_KTQT_v4[[#This Row],[DT-EXW-05]]+KH_26_OPT4_KTQT_v4[[#This Row],[CPVC-05]]+KH_26_OPT4_KTQT_v4[[#This Row],[CPHH-05]]</f>
        <v>0</v>
      </c>
      <c r="DF53" s="47">
        <f ca="1">KH_26_OPT4_KTQT_v4[[#This Row],[DT-EXW-06]]+KH_26_OPT4_KTQT_v4[[#This Row],[CPVC-06]]+KH_26_OPT4_KTQT_v4[[#This Row],[CPHH-06]]</f>
        <v>0</v>
      </c>
      <c r="DG53" s="47">
        <f ca="1">KH_26_OPT4_KTQT_v4[[#This Row],[DT-EXW-07]]+KH_26_OPT4_KTQT_v4[[#This Row],[CPVC-07]]+KH_26_OPT4_KTQT_v4[[#This Row],[CPHH-07]]</f>
        <v>0</v>
      </c>
      <c r="DH53" s="47">
        <f ca="1">KH_26_OPT4_KTQT_v4[[#This Row],[DT-EXW-08]]+KH_26_OPT4_KTQT_v4[[#This Row],[CPVC-08]]+KH_26_OPT4_KTQT_v4[[#This Row],[CPHH-08]]</f>
        <v>0</v>
      </c>
      <c r="DI53" s="47">
        <f ca="1">KH_26_OPT4_KTQT_v4[[#This Row],[DT-EXW-09]]+KH_26_OPT4_KTQT_v4[[#This Row],[CPVC-09]]+KH_26_OPT4_KTQT_v4[[#This Row],[CPHH-09]]</f>
        <v>0</v>
      </c>
      <c r="DJ53" s="47">
        <f ca="1">KH_26_OPT4_KTQT_v4[[#This Row],[DT-EXW-10]]+KH_26_OPT4_KTQT_v4[[#This Row],[CPVC-10]]+KH_26_OPT4_KTQT_v4[[#This Row],[CPHH-10]]</f>
        <v>0</v>
      </c>
      <c r="DK53" s="47">
        <f ca="1">KH_26_OPT4_KTQT_v4[[#This Row],[DT-EXW-11]]+KH_26_OPT4_KTQT_v4[[#This Row],[CPVC-11]]+KH_26_OPT4_KTQT_v4[[#This Row],[CPHH-11]]</f>
        <v>0</v>
      </c>
      <c r="DL53" s="47">
        <f ca="1">KH_26_OPT4_KTQT_v4[[#This Row],[DT-EXW-12]]+KH_26_OPT4_KTQT_v4[[#This Row],[CPVC-12]]+KH_26_OPT4_KTQT_v4[[#This Row],[CPHH-12]]</f>
        <v>0</v>
      </c>
      <c r="DM53" s="47">
        <f ca="1">SUM(KH_26_OPT4_KTQT_v4[[#This Row],[DT-01]:[DT-12]])</f>
        <v>0</v>
      </c>
      <c r="DN53" s="7"/>
      <c r="DO53" s="7"/>
      <c r="DP53" s="125"/>
      <c r="DQ53" s="136"/>
      <c r="DR53" s="132">
        <f>IFERROR(KH_26_OPT4_KTQT_v4[[#This Row],[DT-EXW-01]]*KH_26_OPT4_KTQT_v4[[#This Row],[%CPDP]],0)</f>
        <v>0</v>
      </c>
      <c r="DS53" s="132">
        <f>IFERROR(KH_26_OPT4_KTQT_v4[[#This Row],[DT-EXW-02]]*KH_26_OPT4_KTQT_v4[[#This Row],[%CPDP]],0)</f>
        <v>0</v>
      </c>
      <c r="DT53" s="132">
        <f>IFERROR(KH_26_OPT4_KTQT_v4[[#This Row],[DT-EXW-03]]*KH_26_OPT4_KTQT_v4[[#This Row],[%CPDP]],0)</f>
        <v>0</v>
      </c>
      <c r="DU53" s="132">
        <f>IFERROR(KH_26_OPT4_KTQT_v4[[#This Row],[DT-EXW-04]]*KH_26_OPT4_KTQT_v4[[#This Row],[%CPDP]],0)</f>
        <v>0</v>
      </c>
      <c r="DV53" s="132">
        <f>IFERROR(KH_26_OPT4_KTQT_v4[[#This Row],[DT-EXW-05]]*KH_26_OPT4_KTQT_v4[[#This Row],[%CPDP]],0)</f>
        <v>0</v>
      </c>
      <c r="DW53" s="132">
        <f>IFERROR(KH_26_OPT4_KTQT_v4[[#This Row],[DT-EXW-06]]*KH_26_OPT4_KTQT_v4[[#This Row],[%CPDP]],0)</f>
        <v>0</v>
      </c>
      <c r="DX53" s="132">
        <f>IFERROR(KH_26_OPT4_KTQT_v4[[#This Row],[DT-EXW-07]]*KH_26_OPT4_KTQT_v4[[#This Row],[%CPDP]],0)</f>
        <v>0</v>
      </c>
      <c r="DY53" s="132">
        <f>IFERROR(KH_26_OPT4_KTQT_v4[[#This Row],[DT-EXW-08]]*KH_26_OPT4_KTQT_v4[[#This Row],[%CPDP]],0)</f>
        <v>0</v>
      </c>
      <c r="DZ53" s="132">
        <f>IFERROR(KH_26_OPT4_KTQT_v4[[#This Row],[DT-EXW-09]]*KH_26_OPT4_KTQT_v4[[#This Row],[%CPDP]],0)</f>
        <v>0</v>
      </c>
      <c r="EA53" s="132">
        <f>IFERROR(KH_26_OPT4_KTQT_v4[[#This Row],[DT-EXW-10]]*KH_26_OPT4_KTQT_v4[[#This Row],[%CPDP]],0)</f>
        <v>0</v>
      </c>
      <c r="EB53" s="132">
        <f>IFERROR(KH_26_OPT4_KTQT_v4[[#This Row],[DT-EXW-11]]*KH_26_OPT4_KTQT_v4[[#This Row],[%CPDP]],0)</f>
        <v>0</v>
      </c>
      <c r="EC53" s="132">
        <f>IFERROR(KH_26_OPT4_KTQT_v4[[#This Row],[DT-EXW-12]]*KH_26_OPT4_KTQT_v4[[#This Row],[%CPDP]],0)</f>
        <v>0</v>
      </c>
      <c r="ED53" s="131">
        <f ca="1">SUM(KH_26_OPT4_KTQT_v4[[#This Row],[CPDP-01]:[CPDP-12]])</f>
        <v>0</v>
      </c>
    </row>
    <row r="54" spans="1:134" ht="14.65" hidden="1" customHeight="1" x14ac:dyDescent="0.35">
      <c r="A54" s="18">
        <v>49</v>
      </c>
      <c r="B54" s="71" t="s">
        <v>104</v>
      </c>
      <c r="C54" s="18" t="str">
        <f>IFERROR(_xlfn.XLOOKUP(KH_26_OPT4_KTQT_v4[[#This Row],[Salesman]],MD_Salesman[Salesman],MD_Salesman[SalesManager]),"")</f>
        <v>Quốc Anh</v>
      </c>
      <c r="D54" s="72" t="str">
        <f>IFERROR(INDEX(MD_Customer[Mã khách],MATCH(KH_26_OPT4_KTQT_v4[[#This Row],[Tên khách]],MD_Customer[Tên khách-rút gọn],0)),"")</f>
        <v>105222</v>
      </c>
      <c r="E54" s="7" t="str">
        <f>IFERROR(INDEX(MD_Customer[Parent Account],MATCH(KH_26_OPT4_KTQT_v4[[#This Row],[Tên khách]],MD_Customer[Tên khách-rút gọn],0)),"")</f>
        <v>Coca Cola Việt Nam</v>
      </c>
      <c r="F54" s="35" t="s">
        <v>320</v>
      </c>
      <c r="G54" s="7" t="str">
        <f>IFERROR(INDEX(MD_Customer[Phân loại],MATCH(KH_26_OPT4_KTQT_v4[[#This Row],[Tên khách]],MD_Customer[Tên khách-rút gọn],0)),"")</f>
        <v>Hiện hữu</v>
      </c>
      <c r="H54" s="7" t="str">
        <f>IFERROR(INDEX(MD_Customer[Kênh bán hàng],MATCH(KH_26_OPT4_KTQT_v4[[#This Row],[Tên khách]],MD_Customer[Tên khách-rút gọn],0)),"")</f>
        <v>Nội địa</v>
      </c>
      <c r="I54" s="35" t="s">
        <v>274</v>
      </c>
      <c r="J54" s="7" t="str">
        <f>IFERROR(INDEX(MD_Destination[Nước],MATCH(KH_26_OPT4_KTQT_v4[[#This Row],[Địa điểm đến]],MD_Destination[Địa điểm đến],0)),"")</f>
        <v>Việt Nam</v>
      </c>
      <c r="K54" s="7" t="str">
        <f>IFERROR(INDEX(MD_Destination[Khu vực],MATCH(KH_26_OPT4_KTQT_v4[[#This Row],[Địa điểm đến]],MD_Destination[Địa điểm đến],0)),"")</f>
        <v>Châu Á</v>
      </c>
      <c r="L54" s="35" t="s">
        <v>262</v>
      </c>
      <c r="M54" s="7" t="str">
        <f>IFERROR(INDEX(MD_SKU[Mã SKU],MATCH(KH_26_OPT4_KTQT_v4[[#This Row],[Tên sản phẩm]],MD_SKU[Tên SKU-rút gọn],0)),"")</f>
        <v>110000332</v>
      </c>
      <c r="N54" s="35" t="s">
        <v>1124</v>
      </c>
      <c r="O54" s="7" t="str">
        <f>IFERROR(INDEX(MD_SKU[Ngành hàng],MATCH(KH_26_OPT4_KTQT_v4[[#This Row],[Tên sản phẩm]],MD_SKU[Tên SKU-rút gọn],0)),"")</f>
        <v>rPET</v>
      </c>
      <c r="P54" s="7" t="str">
        <f>IFERROR(INDEX(MD_SKU[Nhóm ngành],MATCH(KH_26_OPT4_KTQT_v4[[#This Row],[Tên sản phẩm]],MD_SKU[Tên SKU-rút gọn],0)),"")</f>
        <v>Hạt PET</v>
      </c>
      <c r="Q54" s="7" t="str">
        <f>IFERROR(
   IF(INDEX(MD_SKU[IV/IM],MATCH(KH_26_OPT4_KTQT_v4[[#This Row],[Tên sản phẩm]],MD_SKU[Tên SKU-rút gọn],0))=0,
      "",
      INDEX(MD_SKU[IV/IM],MATCH(KH_26_OPT4_KTQT_v4[[#This Row],[Tên sản phẩm]],MD_SKU[Tên SKU-rút gọn],0))
   ),
"")</f>
        <v>0.84 ± 0.03</v>
      </c>
      <c r="R54" s="44">
        <f>IFERROR(INDEX(MD_SKU[Application],MATCH(KH_26_OPT4_KTQT_v4[[#This Row],[Tên sản phẩm]],MD_SKU[Tên SKU-rút gọn],0)),"")</f>
        <v>0</v>
      </c>
      <c r="S54" s="7" t="str">
        <f>IFERROR(INDEX(MD_SKU[Phân loại],MATCH(KH_26_OPT4_KTQT_v4[[#This Row],[Tên sản phẩm]],MD_SKU[Tên SKU-rút gọn],0)),"")</f>
        <v>Cũ</v>
      </c>
      <c r="T54" s="7" t="s">
        <v>99</v>
      </c>
      <c r="U54" s="7" t="s">
        <v>1508</v>
      </c>
      <c r="V54" s="70">
        <v>0.8</v>
      </c>
      <c r="W54" s="33">
        <v>22</v>
      </c>
      <c r="X54" s="33">
        <v>22</v>
      </c>
      <c r="Y54" s="33">
        <v>22</v>
      </c>
      <c r="Z54" s="33">
        <v>22</v>
      </c>
      <c r="AA54" s="33">
        <v>22</v>
      </c>
      <c r="AB54" s="33">
        <v>22</v>
      </c>
      <c r="AC54" s="33">
        <v>22</v>
      </c>
      <c r="AD54" s="33">
        <v>22</v>
      </c>
      <c r="AE54" s="33">
        <v>22</v>
      </c>
      <c r="AF54" s="33">
        <v>22</v>
      </c>
      <c r="AG54" s="33">
        <v>22</v>
      </c>
      <c r="AH54" s="33">
        <v>22</v>
      </c>
      <c r="AI54" s="47">
        <f ca="1">SUM(KH_26_OPT4_KTQT_v4[[#This Row],[SL-01]:[SL-12]])</f>
        <v>264</v>
      </c>
      <c r="AJ54" s="47">
        <f ca="1">SUMIFS(DB_25[SL-DB25],DB_25[Mã khách],KH_26_OPT4_KTQT_v4[[#This Row],[Mã khách]],DB_25[Mã sản phẩm],KH_26_OPT4_KTQT_v4[[#This Row],[Mã sản phẩm]])</f>
        <v>242</v>
      </c>
      <c r="AK54" s="20">
        <f ca="1">KH_26_OPT4_KTQT_v4[[#This Row],[SL-KH26]]-KH_26_OPT4_KTQT_v4[[#This Row],[SL-DB25]]</f>
        <v>22</v>
      </c>
      <c r="AL54" s="21">
        <f ca="1">IFERROR(KH_26_OPT4_KTQT_v4[[#This Row],[SL-+/-]]/KH_26_OPT4_KTQT_v4[[#This Row],[SL-DB25]],0)</f>
        <v>9.0909090909090912E-2</v>
      </c>
      <c r="AM54" s="51">
        <f>1260+42</f>
        <v>1302</v>
      </c>
      <c r="AN54" s="51">
        <f t="shared" ref="AN54:AX54" si="5">1260+42</f>
        <v>1302</v>
      </c>
      <c r="AO54" s="51">
        <f t="shared" si="5"/>
        <v>1302</v>
      </c>
      <c r="AP54" s="51">
        <f t="shared" si="5"/>
        <v>1302</v>
      </c>
      <c r="AQ54" s="51">
        <f t="shared" si="5"/>
        <v>1302</v>
      </c>
      <c r="AR54" s="51">
        <f t="shared" si="5"/>
        <v>1302</v>
      </c>
      <c r="AS54" s="51">
        <f t="shared" si="5"/>
        <v>1302</v>
      </c>
      <c r="AT54" s="51">
        <f t="shared" si="5"/>
        <v>1302</v>
      </c>
      <c r="AU54" s="51">
        <f t="shared" si="5"/>
        <v>1302</v>
      </c>
      <c r="AV54" s="51">
        <f t="shared" si="5"/>
        <v>1302</v>
      </c>
      <c r="AW54" s="51">
        <f t="shared" si="5"/>
        <v>1302</v>
      </c>
      <c r="AX54" s="51">
        <f t="shared" si="5"/>
        <v>1302</v>
      </c>
      <c r="AY54" s="23">
        <v>1302</v>
      </c>
      <c r="AZ54" s="7"/>
      <c r="BA54" s="24">
        <f>KH_26_OPT4_KTQT_v4[[#This Row],[GB-DB25]]-KH_26_OPT4_KTQT_v4[[#This Row],[GB-KH25]]</f>
        <v>1302</v>
      </c>
      <c r="BB54" s="21">
        <f>IFERROR(KH_26_OPT4_KTQT_v4[[#This Row],[GB-+/-]]/KH_26_OPT4_KTQT_v4[[#This Row],[GB-KH25]],0)</f>
        <v>0</v>
      </c>
      <c r="BC54" s="21"/>
      <c r="BD54" s="47">
        <f>KH_26_OPT4_KTQT_v4[[#This Row],[SL-01]]*KH_26_OPT4_KTQT_v4[[#This Row],[GB-01]]*EXR</f>
        <v>759066000</v>
      </c>
      <c r="BE54" s="47">
        <f>KH_26_OPT4_KTQT_v4[[#This Row],[SL-02]]*KH_26_OPT4_KTQT_v4[[#This Row],[GB-02]]*EXR</f>
        <v>759066000</v>
      </c>
      <c r="BF54" s="47">
        <f>KH_26_OPT4_KTQT_v4[[#This Row],[SL-03]]*KH_26_OPT4_KTQT_v4[[#This Row],[GB-03]]*EXR</f>
        <v>759066000</v>
      </c>
      <c r="BG54" s="47">
        <f>KH_26_OPT4_KTQT_v4[[#This Row],[SL-04]]*KH_26_OPT4_KTQT_v4[[#This Row],[GB-04]]*EXR</f>
        <v>759066000</v>
      </c>
      <c r="BH54" s="47">
        <f>KH_26_OPT4_KTQT_v4[[#This Row],[SL-05]]*KH_26_OPT4_KTQT_v4[[#This Row],[GB-05]]*EXR</f>
        <v>759066000</v>
      </c>
      <c r="BI54" s="47">
        <f>KH_26_OPT4_KTQT_v4[[#This Row],[SL-06]]*KH_26_OPT4_KTQT_v4[[#This Row],[GB-06]]*EXR</f>
        <v>759066000</v>
      </c>
      <c r="BJ54" s="47">
        <f>KH_26_OPT4_KTQT_v4[[#This Row],[SL-07]]*KH_26_OPT4_KTQT_v4[[#This Row],[GB-07]]*EXR</f>
        <v>759066000</v>
      </c>
      <c r="BK54" s="47">
        <f>KH_26_OPT4_KTQT_v4[[#This Row],[SL-08]]*KH_26_OPT4_KTQT_v4[[#This Row],[GB-08]]*EXR</f>
        <v>759066000</v>
      </c>
      <c r="BL54" s="47">
        <f>KH_26_OPT4_KTQT_v4[[#This Row],[SL-09]]*KH_26_OPT4_KTQT_v4[[#This Row],[GB-09]]*EXR</f>
        <v>759066000</v>
      </c>
      <c r="BM54" s="47">
        <f>KH_26_OPT4_KTQT_v4[[#This Row],[SL-10]]*KH_26_OPT4_KTQT_v4[[#This Row],[GB-10]]*EXR</f>
        <v>759066000</v>
      </c>
      <c r="BN54" s="47">
        <f>KH_26_OPT4_KTQT_v4[[#This Row],[SL-11]]*KH_26_OPT4_KTQT_v4[[#This Row],[GB-11]]*EXR</f>
        <v>759066000</v>
      </c>
      <c r="BO54" s="47">
        <f>KH_26_OPT4_KTQT_v4[[#This Row],[SL-12]]*KH_26_OPT4_KTQT_v4[[#This Row],[GB-12]]*EXR</f>
        <v>759066000</v>
      </c>
      <c r="BP54" s="47">
        <f ca="1">SUM(KH_26_OPT4_KTQT_v4[[#This Row],[DT-EXW-01]:[DT-EXW-12]])</f>
        <v>9108792000</v>
      </c>
      <c r="BQ54" s="47">
        <f ca="1">SUMIFS(DB_25[DT-DB25],DB_25[Mã khách],KH_26_OPT4_KTQT_v4[[#This Row],[Mã khách]],DB_25[Mã sản phẩm],KH_26_OPT4_KTQT_v4[[#This Row],[Mã sản phẩm]])</f>
        <v>8309655659.9687843</v>
      </c>
      <c r="BR54" s="47">
        <f ca="1">KH_26_OPT4_KTQT_v4[[#This Row],[DT-EXW-KH26]]-KH_26_OPT4_KTQT_v4[[#This Row],[DT-EXW-DB25]]</f>
        <v>799136340.03121567</v>
      </c>
      <c r="BS54" s="21">
        <f ca="1">IFERROR(KH_26_OPT4_KTQT_v4[[#This Row],[DT-EXW-+/-]]/KH_26_OPT4_KTQT_v4[[#This Row],[DT-EXW-DB25]],0)</f>
        <v>9.6169609515951673E-2</v>
      </c>
      <c r="BT54" s="139" t="s">
        <v>532</v>
      </c>
      <c r="BU54" s="57">
        <v>0.01</v>
      </c>
      <c r="BV54" s="51"/>
      <c r="BW54" s="47">
        <f>IF(KH_26_OPT4_KTQT_v4[[#This Row],[CPHH-%-SL]]="Dthu",KH_26_OPT4_KTQT_v4[[#This Row],[%HH]]*KH_26_OPT4_KTQT_v4[[#This Row],[DT-EXW-01]],KH_26_OPT4_KTQT_v4[[#This Row],[HH-SL]]*KH_26_OPT4_KTQT_v4[[#This Row],[SL-01]])</f>
        <v>7590660</v>
      </c>
      <c r="BX54" s="47">
        <f>IF(KH_26_OPT4_KTQT_v4[[#This Row],[CPHH-%-SL]]="Dthu",KH_26_OPT4_KTQT_v4[[#This Row],[%HH]]*KH_26_OPT4_KTQT_v4[[#This Row],[DT-EXW-02]],KH_26_OPT4_KTQT_v4[[#This Row],[HH-SL]]*KH_26_OPT4_KTQT_v4[[#This Row],[SL-02]])</f>
        <v>7590660</v>
      </c>
      <c r="BY54" s="47">
        <f>IF(KH_26_OPT4_KTQT_v4[[#This Row],[CPHH-%-SL]]="Dthu",KH_26_OPT4_KTQT_v4[[#This Row],[%HH]]*KH_26_OPT4_KTQT_v4[[#This Row],[DT-EXW-03]],KH_26_OPT4_KTQT_v4[[#This Row],[HH-SL]]*KH_26_OPT4_KTQT_v4[[#This Row],[SL-03]])</f>
        <v>7590660</v>
      </c>
      <c r="BZ54" s="47">
        <f>IF(KH_26_OPT4_KTQT_v4[[#This Row],[CPHH-%-SL]]="Dthu",KH_26_OPT4_KTQT_v4[[#This Row],[%HH]]*KH_26_OPT4_KTQT_v4[[#This Row],[DT-EXW-04]],KH_26_OPT4_KTQT_v4[[#This Row],[HH-SL]]*KH_26_OPT4_KTQT_v4[[#This Row],[SL-04]])</f>
        <v>7590660</v>
      </c>
      <c r="CA54" s="47">
        <f>IF(KH_26_OPT4_KTQT_v4[[#This Row],[CPHH-%-SL]]="Dthu",KH_26_OPT4_KTQT_v4[[#This Row],[%HH]]*KH_26_OPT4_KTQT_v4[[#This Row],[DT-EXW-05]],KH_26_OPT4_KTQT_v4[[#This Row],[HH-SL]]*KH_26_OPT4_KTQT_v4[[#This Row],[SL-05]])</f>
        <v>7590660</v>
      </c>
      <c r="CB54" s="47">
        <f>IF(KH_26_OPT4_KTQT_v4[[#This Row],[CPHH-%-SL]]="Dthu",KH_26_OPT4_KTQT_v4[[#This Row],[%HH]]*KH_26_OPT4_KTQT_v4[[#This Row],[DT-EXW-06]],KH_26_OPT4_KTQT_v4[[#This Row],[HH-SL]]*KH_26_OPT4_KTQT_v4[[#This Row],[SL-06]])</f>
        <v>7590660</v>
      </c>
      <c r="CC54" s="47">
        <f>IF(KH_26_OPT4_KTQT_v4[[#This Row],[CPHH-%-SL]]="Dthu",KH_26_OPT4_KTQT_v4[[#This Row],[%HH]]*KH_26_OPT4_KTQT_v4[[#This Row],[DT-EXW-07]],KH_26_OPT4_KTQT_v4[[#This Row],[HH-SL]]*KH_26_OPT4_KTQT_v4[[#This Row],[SL-07]])</f>
        <v>7590660</v>
      </c>
      <c r="CD54" s="47">
        <f>IF(KH_26_OPT4_KTQT_v4[[#This Row],[CPHH-%-SL]]="Dthu",KH_26_OPT4_KTQT_v4[[#This Row],[%HH]]*KH_26_OPT4_KTQT_v4[[#This Row],[DT-EXW-08]],KH_26_OPT4_KTQT_v4[[#This Row],[HH-SL]]*KH_26_OPT4_KTQT_v4[[#This Row],[SL-08]])</f>
        <v>7590660</v>
      </c>
      <c r="CE54" s="47">
        <f>IF(KH_26_OPT4_KTQT_v4[[#This Row],[CPHH-%-SL]]="Dthu",KH_26_OPT4_KTQT_v4[[#This Row],[%HH]]*KH_26_OPT4_KTQT_v4[[#This Row],[DT-EXW-09]],KH_26_OPT4_KTQT_v4[[#This Row],[HH-SL]]*KH_26_OPT4_KTQT_v4[[#This Row],[SL-09]])</f>
        <v>7590660</v>
      </c>
      <c r="CF54" s="47">
        <f>IF(KH_26_OPT4_KTQT_v4[[#This Row],[CPHH-%-SL]]="Dthu",KH_26_OPT4_KTQT_v4[[#This Row],[%HH]]*KH_26_OPT4_KTQT_v4[[#This Row],[DT-EXW-10]],KH_26_OPT4_KTQT_v4[[#This Row],[HH-SL]]*KH_26_OPT4_KTQT_v4[[#This Row],[SL-10]])</f>
        <v>7590660</v>
      </c>
      <c r="CG54" s="47">
        <f>IF(KH_26_OPT4_KTQT_v4[[#This Row],[CPHH-%-SL]]="Dthu",KH_26_OPT4_KTQT_v4[[#This Row],[%HH]]*KH_26_OPT4_KTQT_v4[[#This Row],[DT-EXW-11]],KH_26_OPT4_KTQT_v4[[#This Row],[HH-SL]]*KH_26_OPT4_KTQT_v4[[#This Row],[SL-11]])</f>
        <v>7590660</v>
      </c>
      <c r="CH54" s="47">
        <f>IF(KH_26_OPT4_KTQT_v4[[#This Row],[CPHH-%-SL]]="Dthu",KH_26_OPT4_KTQT_v4[[#This Row],[%HH]]*KH_26_OPT4_KTQT_v4[[#This Row],[DT-EXW-12]],KH_26_OPT4_KTQT_v4[[#This Row],[HH-SL]]*KH_26_OPT4_KTQT_v4[[#This Row],[SL-12]])</f>
        <v>7590660</v>
      </c>
      <c r="CI54" s="47">
        <f ca="1">SUM(KH_26_OPT4_KTQT_v4[[#This Row],[CPHH-01]:[CPHH-12]])</f>
        <v>91087920</v>
      </c>
      <c r="CJ54" s="47" cm="1">
        <f t="array" ref="CJ54">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610269.31818181823</v>
      </c>
      <c r="CK54" s="19">
        <f ca="1">SUM(KH_26_OPT4_KTQT_v4[[#This Row],[ĐGVCNĐ-KXK]:[ĐGVCCT-KXK]])</f>
        <v>0</v>
      </c>
      <c r="CL54" s="47" cm="1">
        <f t="array" ref="CL54">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54" s="47" cm="1">
        <f t="array" ref="CM54">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54" s="47">
        <f ca="1">(KH_26_OPT4_KTQT_v4[[#This Row],[ĐGVC-KNĐ]]+KH_26_OPT4_KTQT_v4[[#This Row],[ĐGVC-KXK]])*KH_26_OPT4_KTQT_v4[[#This Row],[SL-01]]</f>
        <v>13425925.000000002</v>
      </c>
      <c r="CO54" s="47">
        <f ca="1">(KH_26_OPT4_KTQT_v4[[#This Row],[ĐGVC-KNĐ]]+KH_26_OPT4_KTQT_v4[[#This Row],[ĐGVC-KXK]])*KH_26_OPT4_KTQT_v4[[#This Row],[SL-02]]</f>
        <v>13425925.000000002</v>
      </c>
      <c r="CP54" s="47">
        <f ca="1">(KH_26_OPT4_KTQT_v4[[#This Row],[ĐGVC-KNĐ]]+KH_26_OPT4_KTQT_v4[[#This Row],[ĐGVC-KXK]])*KH_26_OPT4_KTQT_v4[[#This Row],[SL-03]]</f>
        <v>13425925.000000002</v>
      </c>
      <c r="CQ54" s="47">
        <f ca="1">(KH_26_OPT4_KTQT_v4[[#This Row],[ĐGVC-KNĐ]]+KH_26_OPT4_KTQT_v4[[#This Row],[ĐGVC-KXK]])*KH_26_OPT4_KTQT_v4[[#This Row],[SL-04]]</f>
        <v>13425925.000000002</v>
      </c>
      <c r="CR54" s="47">
        <f ca="1">(KH_26_OPT4_KTQT_v4[[#This Row],[ĐGVC-KNĐ]]+KH_26_OPT4_KTQT_v4[[#This Row],[ĐGVC-KXK]])*KH_26_OPT4_KTQT_v4[[#This Row],[SL-05]]</f>
        <v>13425925.000000002</v>
      </c>
      <c r="CS54" s="47">
        <f ca="1">(KH_26_OPT4_KTQT_v4[[#This Row],[ĐGVC-KNĐ]]+KH_26_OPT4_KTQT_v4[[#This Row],[ĐGVC-KXK]])*KH_26_OPT4_KTQT_v4[[#This Row],[SL-06]]</f>
        <v>13425925.000000002</v>
      </c>
      <c r="CT54" s="47">
        <f ca="1">(KH_26_OPT4_KTQT_v4[[#This Row],[ĐGVC-KNĐ]]+KH_26_OPT4_KTQT_v4[[#This Row],[ĐGVC-KXK]])*KH_26_OPT4_KTQT_v4[[#This Row],[SL-07]]</f>
        <v>13425925.000000002</v>
      </c>
      <c r="CU54" s="47">
        <f ca="1">(KH_26_OPT4_KTQT_v4[[#This Row],[ĐGVC-KNĐ]]+KH_26_OPT4_KTQT_v4[[#This Row],[ĐGVC-KXK]])*KH_26_OPT4_KTQT_v4[[#This Row],[SL-08]]</f>
        <v>13425925.000000002</v>
      </c>
      <c r="CV54" s="47">
        <f ca="1">(KH_26_OPT4_KTQT_v4[[#This Row],[ĐGVC-KNĐ]]+KH_26_OPT4_KTQT_v4[[#This Row],[ĐGVC-KXK]])*KH_26_OPT4_KTQT_v4[[#This Row],[SL-09]]</f>
        <v>13425925.000000002</v>
      </c>
      <c r="CW54" s="47">
        <f ca="1">(KH_26_OPT4_KTQT_v4[[#This Row],[ĐGVC-KNĐ]]+KH_26_OPT4_KTQT_v4[[#This Row],[ĐGVC-KXK]])*KH_26_OPT4_KTQT_v4[[#This Row],[SL-10]]</f>
        <v>13425925.000000002</v>
      </c>
      <c r="CX54" s="47">
        <f ca="1">(KH_26_OPT4_KTQT_v4[[#This Row],[ĐGVC-KNĐ]]+KH_26_OPT4_KTQT_v4[[#This Row],[ĐGVC-KXK]])*KH_26_OPT4_KTQT_v4[[#This Row],[SL-11]]</f>
        <v>13425925.000000002</v>
      </c>
      <c r="CY54" s="47">
        <f ca="1">(KH_26_OPT4_KTQT_v4[[#This Row],[ĐGVC-KNĐ]]+KH_26_OPT4_KTQT_v4[[#This Row],[ĐGVC-KXK]])*KH_26_OPT4_KTQT_v4[[#This Row],[SL-12]]</f>
        <v>13425925.000000002</v>
      </c>
      <c r="CZ54" s="47">
        <f ca="1">SUM(KH_26_OPT4_KTQT_v4[[#This Row],[CPVC-01]:[CPVC-12]])</f>
        <v>161111100.00000003</v>
      </c>
      <c r="DA54" s="124">
        <f ca="1">KH_26_OPT4_KTQT_v4[[#This Row],[DT-EXW-01]]+KH_26_OPT4_KTQT_v4[[#This Row],[CPVC-01]]+KH_26_OPT4_KTQT_v4[[#This Row],[CPHH-01]]</f>
        <v>780082585</v>
      </c>
      <c r="DB54" s="47">
        <f ca="1">KH_26_OPT4_KTQT_v4[[#This Row],[DT-EXW-02]]+KH_26_OPT4_KTQT_v4[[#This Row],[CPVC-02]]+KH_26_OPT4_KTQT_v4[[#This Row],[CPHH-02]]</f>
        <v>780082585</v>
      </c>
      <c r="DC54" s="47">
        <f ca="1">KH_26_OPT4_KTQT_v4[[#This Row],[DT-EXW-03]]+KH_26_OPT4_KTQT_v4[[#This Row],[CPVC-03]]+KH_26_OPT4_KTQT_v4[[#This Row],[CPHH-03]]</f>
        <v>780082585</v>
      </c>
      <c r="DD54" s="47">
        <f ca="1">KH_26_OPT4_KTQT_v4[[#This Row],[DT-EXW-04]]+KH_26_OPT4_KTQT_v4[[#This Row],[CPVC-04]]+KH_26_OPT4_KTQT_v4[[#This Row],[CPHH-04]]</f>
        <v>780082585</v>
      </c>
      <c r="DE54" s="47">
        <f ca="1">KH_26_OPT4_KTQT_v4[[#This Row],[DT-EXW-05]]+KH_26_OPT4_KTQT_v4[[#This Row],[CPVC-05]]+KH_26_OPT4_KTQT_v4[[#This Row],[CPHH-05]]</f>
        <v>780082585</v>
      </c>
      <c r="DF54" s="47">
        <f ca="1">KH_26_OPT4_KTQT_v4[[#This Row],[DT-EXW-06]]+KH_26_OPT4_KTQT_v4[[#This Row],[CPVC-06]]+KH_26_OPT4_KTQT_v4[[#This Row],[CPHH-06]]</f>
        <v>780082585</v>
      </c>
      <c r="DG54" s="47">
        <f ca="1">KH_26_OPT4_KTQT_v4[[#This Row],[DT-EXW-07]]+KH_26_OPT4_KTQT_v4[[#This Row],[CPVC-07]]+KH_26_OPT4_KTQT_v4[[#This Row],[CPHH-07]]</f>
        <v>780082585</v>
      </c>
      <c r="DH54" s="47">
        <f ca="1">KH_26_OPT4_KTQT_v4[[#This Row],[DT-EXW-08]]+KH_26_OPT4_KTQT_v4[[#This Row],[CPVC-08]]+KH_26_OPT4_KTQT_v4[[#This Row],[CPHH-08]]</f>
        <v>780082585</v>
      </c>
      <c r="DI54" s="47">
        <f ca="1">KH_26_OPT4_KTQT_v4[[#This Row],[DT-EXW-09]]+KH_26_OPT4_KTQT_v4[[#This Row],[CPVC-09]]+KH_26_OPT4_KTQT_v4[[#This Row],[CPHH-09]]</f>
        <v>780082585</v>
      </c>
      <c r="DJ54" s="47">
        <f ca="1">KH_26_OPT4_KTQT_v4[[#This Row],[DT-EXW-10]]+KH_26_OPT4_KTQT_v4[[#This Row],[CPVC-10]]+KH_26_OPT4_KTQT_v4[[#This Row],[CPHH-10]]</f>
        <v>780082585</v>
      </c>
      <c r="DK54" s="47">
        <f ca="1">KH_26_OPT4_KTQT_v4[[#This Row],[DT-EXW-11]]+KH_26_OPT4_KTQT_v4[[#This Row],[CPVC-11]]+KH_26_OPT4_KTQT_v4[[#This Row],[CPHH-11]]</f>
        <v>780082585</v>
      </c>
      <c r="DL54" s="47">
        <f ca="1">KH_26_OPT4_KTQT_v4[[#This Row],[DT-EXW-12]]+KH_26_OPT4_KTQT_v4[[#This Row],[CPVC-12]]+KH_26_OPT4_KTQT_v4[[#This Row],[CPHH-12]]</f>
        <v>780082585</v>
      </c>
      <c r="DM54" s="47">
        <f ca="1">SUM(KH_26_OPT4_KTQT_v4[[#This Row],[DT-01]:[DT-12]])</f>
        <v>9360991020</v>
      </c>
      <c r="DN54" s="7"/>
      <c r="DO54" s="7"/>
      <c r="DP54" s="125"/>
      <c r="DQ54" s="136"/>
      <c r="DR54" s="132">
        <f>IFERROR(KH_26_OPT4_KTQT_v4[[#This Row],[DT-EXW-01]]*KH_26_OPT4_KTQT_v4[[#This Row],[%CPDP]],0)</f>
        <v>0</v>
      </c>
      <c r="DS54" s="132">
        <f>IFERROR(KH_26_OPT4_KTQT_v4[[#This Row],[DT-EXW-02]]*KH_26_OPT4_KTQT_v4[[#This Row],[%CPDP]],0)</f>
        <v>0</v>
      </c>
      <c r="DT54" s="132">
        <f>IFERROR(KH_26_OPT4_KTQT_v4[[#This Row],[DT-EXW-03]]*KH_26_OPT4_KTQT_v4[[#This Row],[%CPDP]],0)</f>
        <v>0</v>
      </c>
      <c r="DU54" s="132">
        <f>IFERROR(KH_26_OPT4_KTQT_v4[[#This Row],[DT-EXW-04]]*KH_26_OPT4_KTQT_v4[[#This Row],[%CPDP]],0)</f>
        <v>0</v>
      </c>
      <c r="DV54" s="132">
        <f>IFERROR(KH_26_OPT4_KTQT_v4[[#This Row],[DT-EXW-05]]*KH_26_OPT4_KTQT_v4[[#This Row],[%CPDP]],0)</f>
        <v>0</v>
      </c>
      <c r="DW54" s="132">
        <f>IFERROR(KH_26_OPT4_KTQT_v4[[#This Row],[DT-EXW-06]]*KH_26_OPT4_KTQT_v4[[#This Row],[%CPDP]],0)</f>
        <v>0</v>
      </c>
      <c r="DX54" s="132">
        <f>IFERROR(KH_26_OPT4_KTQT_v4[[#This Row],[DT-EXW-07]]*KH_26_OPT4_KTQT_v4[[#This Row],[%CPDP]],0)</f>
        <v>0</v>
      </c>
      <c r="DY54" s="132">
        <f>IFERROR(KH_26_OPT4_KTQT_v4[[#This Row],[DT-EXW-08]]*KH_26_OPT4_KTQT_v4[[#This Row],[%CPDP]],0)</f>
        <v>0</v>
      </c>
      <c r="DZ54" s="132">
        <f>IFERROR(KH_26_OPT4_KTQT_v4[[#This Row],[DT-EXW-09]]*KH_26_OPT4_KTQT_v4[[#This Row],[%CPDP]],0)</f>
        <v>0</v>
      </c>
      <c r="EA54" s="132">
        <f>IFERROR(KH_26_OPT4_KTQT_v4[[#This Row],[DT-EXW-10]]*KH_26_OPT4_KTQT_v4[[#This Row],[%CPDP]],0)</f>
        <v>0</v>
      </c>
      <c r="EB54" s="132">
        <f>IFERROR(KH_26_OPT4_KTQT_v4[[#This Row],[DT-EXW-11]]*KH_26_OPT4_KTQT_v4[[#This Row],[%CPDP]],0)</f>
        <v>0</v>
      </c>
      <c r="EC54" s="132">
        <f>IFERROR(KH_26_OPT4_KTQT_v4[[#This Row],[DT-EXW-12]]*KH_26_OPT4_KTQT_v4[[#This Row],[%CPDP]],0)</f>
        <v>0</v>
      </c>
      <c r="ED54" s="131">
        <f ca="1">SUM(KH_26_OPT4_KTQT_v4[[#This Row],[CPDP-01]:[CPDP-12]])</f>
        <v>0</v>
      </c>
    </row>
    <row r="55" spans="1:134" ht="14.65" hidden="1" customHeight="1" x14ac:dyDescent="0.35">
      <c r="A55" s="18">
        <v>50</v>
      </c>
      <c r="B55" s="71" t="s">
        <v>95</v>
      </c>
      <c r="C55" s="18" t="str">
        <f>IFERROR(_xlfn.XLOOKUP(KH_26_OPT4_KTQT_v4[[#This Row],[Salesman]],MD_Salesman[Salesman],MD_Salesman[SalesManager]),"")</f>
        <v>Cường</v>
      </c>
      <c r="D55" s="72" t="str">
        <f>IFERROR(INDEX(MD_Customer[Mã khách],MATCH(KH_26_OPT4_KTQT_v4[[#This Row],[Tên khách]],MD_Customer[Tên khách-rút gọn],0)),"")</f>
        <v>105263</v>
      </c>
      <c r="E55" s="7" t="str">
        <f>IFERROR(INDEX(MD_Customer[Parent Account],MATCH(KH_26_OPT4_KTQT_v4[[#This Row],[Tên khách]],MD_Customer[Tên khách-rút gọn],0)),"")</f>
        <v>Unilever</v>
      </c>
      <c r="F55" s="35" t="s">
        <v>478</v>
      </c>
      <c r="G55" s="7" t="str">
        <f>IFERROR(INDEX(MD_Customer[Phân loại],MATCH(KH_26_OPT4_KTQT_v4[[#This Row],[Tên khách]],MD_Customer[Tên khách-rút gọn],0)),"")</f>
        <v>Hiện hữu</v>
      </c>
      <c r="H55" s="7" t="str">
        <f>IFERROR(INDEX(MD_Customer[Kênh bán hàng],MATCH(KH_26_OPT4_KTQT_v4[[#This Row],[Tên khách]],MD_Customer[Tên khách-rút gọn],0)),"")</f>
        <v>Nội địa</v>
      </c>
      <c r="I55" s="35" t="s">
        <v>258</v>
      </c>
      <c r="J55" s="7" t="str">
        <f>IFERROR(INDEX(MD_Destination[Nước],MATCH(KH_26_OPT4_KTQT_v4[[#This Row],[Địa điểm đến]],MD_Destination[Địa điểm đến],0)),"")</f>
        <v>Việt Nam</v>
      </c>
      <c r="K55" s="7" t="str">
        <f>IFERROR(INDEX(MD_Destination[Khu vực],MATCH(KH_26_OPT4_KTQT_v4[[#This Row],[Địa điểm đến]],MD_Destination[Địa điểm đến],0)),"")</f>
        <v>Châu Á</v>
      </c>
      <c r="L55" s="35" t="s">
        <v>262</v>
      </c>
      <c r="M55" s="7" t="str">
        <f>IFERROR(INDEX(MD_SKU[Mã SKU],MATCH(KH_26_OPT4_KTQT_v4[[#This Row],[Tên sản phẩm]],MD_SKU[Tên SKU-rút gọn],0)),"")</f>
        <v>110000425</v>
      </c>
      <c r="N55" s="35" t="s">
        <v>462</v>
      </c>
      <c r="O55" s="7" t="str">
        <f>IFERROR(INDEX(MD_SKU[Ngành hàng],MATCH(KH_26_OPT4_KTQT_v4[[#This Row],[Tên sản phẩm]],MD_SKU[Tên SKU-rút gọn],0)),"")</f>
        <v>rHDPE thổi</v>
      </c>
      <c r="P55" s="7" t="str">
        <f>IFERROR(INDEX(MD_SKU[Nhóm ngành],MATCH(KH_26_OPT4_KTQT_v4[[#This Row],[Tên sản phẩm]],MD_SKU[Tên SKU-rút gọn],0)),"")</f>
        <v>Hạt HD thổi</v>
      </c>
      <c r="Q55" s="7" t="str">
        <f>IFERROR(
   IF(INDEX(MD_SKU[IV/IM],MATCH(KH_26_OPT4_KTQT_v4[[#This Row],[Tên sản phẩm]],MD_SKU[Tên SKU-rút gọn],0))=0,
      "",
      INDEX(MD_SKU[IV/IM],MATCH(KH_26_OPT4_KTQT_v4[[#This Row],[Tên sản phẩm]],MD_SKU[Tên SKU-rút gọn],0))
   ),
"")</f>
        <v/>
      </c>
      <c r="R55" s="44" t="str">
        <f>IFERROR(INDEX(MD_SKU[Application],MATCH(KH_26_OPT4_KTQT_v4[[#This Row],[Tên sản phẩm]],MD_SKU[Tên SKU-rút gọn],0)),"")</f>
        <v>THỔI CHAI</v>
      </c>
      <c r="S55" s="7" t="str">
        <f>IFERROR(INDEX(MD_SKU[Phân loại],MATCH(KH_26_OPT4_KTQT_v4[[#This Row],[Tên sản phẩm]],MD_SKU[Tên SKU-rút gọn],0)),"")</f>
        <v>Cũ</v>
      </c>
      <c r="T55" s="7" t="s">
        <v>5</v>
      </c>
      <c r="U55" s="7" t="s">
        <v>1508</v>
      </c>
      <c r="V55" s="70">
        <v>0.8</v>
      </c>
      <c r="W55" s="33">
        <v>22</v>
      </c>
      <c r="X55" s="33">
        <v>22</v>
      </c>
      <c r="Y55" s="33">
        <v>22</v>
      </c>
      <c r="Z55" s="33">
        <v>22</v>
      </c>
      <c r="AA55" s="33">
        <v>22</v>
      </c>
      <c r="AB55" s="33">
        <v>22</v>
      </c>
      <c r="AC55" s="33">
        <v>22</v>
      </c>
      <c r="AD55" s="33">
        <v>22</v>
      </c>
      <c r="AE55" s="33">
        <v>22</v>
      </c>
      <c r="AF55" s="33">
        <v>22</v>
      </c>
      <c r="AG55" s="33">
        <v>22</v>
      </c>
      <c r="AH55" s="33">
        <v>22</v>
      </c>
      <c r="AI55" s="47">
        <f ca="1">SUM(KH_26_OPT4_KTQT_v4[[#This Row],[SL-01]:[SL-12]])</f>
        <v>264</v>
      </c>
      <c r="AJ55" s="47">
        <f ca="1">SUMIFS(DB_25[SL-DB25],DB_25[Mã khách],KH_26_OPT4_KTQT_v4[[#This Row],[Mã khách]],DB_25[Mã sản phẩm],KH_26_OPT4_KTQT_v4[[#This Row],[Mã sản phẩm]])</f>
        <v>37.125</v>
      </c>
      <c r="AK55" s="20">
        <f ca="1">KH_26_OPT4_KTQT_v4[[#This Row],[SL-KH26]]-KH_26_OPT4_KTQT_v4[[#This Row],[SL-DB25]]</f>
        <v>226.875</v>
      </c>
      <c r="AL55" s="21">
        <f ca="1">IFERROR(KH_26_OPT4_KTQT_v4[[#This Row],[SL-+/-]]/KH_26_OPT4_KTQT_v4[[#This Row],[SL-DB25]],0)</f>
        <v>6.1111111111111107</v>
      </c>
      <c r="AM55" s="51">
        <f t="shared" ref="AM55:AX57" si="6">1194+106</f>
        <v>1300</v>
      </c>
      <c r="AN55" s="51">
        <f t="shared" si="6"/>
        <v>1300</v>
      </c>
      <c r="AO55" s="51">
        <f t="shared" si="6"/>
        <v>1300</v>
      </c>
      <c r="AP55" s="51">
        <f t="shared" si="6"/>
        <v>1300</v>
      </c>
      <c r="AQ55" s="51">
        <f t="shared" si="6"/>
        <v>1300</v>
      </c>
      <c r="AR55" s="51">
        <f t="shared" si="6"/>
        <v>1300</v>
      </c>
      <c r="AS55" s="51">
        <f t="shared" si="6"/>
        <v>1300</v>
      </c>
      <c r="AT55" s="51">
        <f t="shared" si="6"/>
        <v>1300</v>
      </c>
      <c r="AU55" s="51">
        <f t="shared" si="6"/>
        <v>1300</v>
      </c>
      <c r="AV55" s="51">
        <f t="shared" si="6"/>
        <v>1300</v>
      </c>
      <c r="AW55" s="51">
        <f t="shared" si="6"/>
        <v>1300</v>
      </c>
      <c r="AX55" s="51">
        <f t="shared" si="6"/>
        <v>1300</v>
      </c>
      <c r="AY55" s="23">
        <v>1236</v>
      </c>
      <c r="AZ55" s="7"/>
      <c r="BA55" s="24">
        <f>KH_26_OPT4_KTQT_v4[[#This Row],[GB-DB25]]-KH_26_OPT4_KTQT_v4[[#This Row],[GB-KH25]]</f>
        <v>1236</v>
      </c>
      <c r="BB55" s="21">
        <f>IFERROR(KH_26_OPT4_KTQT_v4[[#This Row],[GB-+/-]]/KH_26_OPT4_KTQT_v4[[#This Row],[GB-KH25]],0)</f>
        <v>0</v>
      </c>
      <c r="BC55" s="21"/>
      <c r="BD55" s="47">
        <f>KH_26_OPT4_KTQT_v4[[#This Row],[SL-01]]*KH_26_OPT4_KTQT_v4[[#This Row],[GB-01]]*EXR</f>
        <v>757900000</v>
      </c>
      <c r="BE55" s="47">
        <f>KH_26_OPT4_KTQT_v4[[#This Row],[SL-02]]*KH_26_OPT4_KTQT_v4[[#This Row],[GB-02]]*EXR</f>
        <v>757900000</v>
      </c>
      <c r="BF55" s="47">
        <f>KH_26_OPT4_KTQT_v4[[#This Row],[SL-03]]*KH_26_OPT4_KTQT_v4[[#This Row],[GB-03]]*EXR</f>
        <v>757900000</v>
      </c>
      <c r="BG55" s="47">
        <f>KH_26_OPT4_KTQT_v4[[#This Row],[SL-04]]*KH_26_OPT4_KTQT_v4[[#This Row],[GB-04]]*EXR</f>
        <v>757900000</v>
      </c>
      <c r="BH55" s="47">
        <f>KH_26_OPT4_KTQT_v4[[#This Row],[SL-05]]*KH_26_OPT4_KTQT_v4[[#This Row],[GB-05]]*EXR</f>
        <v>757900000</v>
      </c>
      <c r="BI55" s="47">
        <f>KH_26_OPT4_KTQT_v4[[#This Row],[SL-06]]*KH_26_OPT4_KTQT_v4[[#This Row],[GB-06]]*EXR</f>
        <v>757900000</v>
      </c>
      <c r="BJ55" s="47">
        <f>KH_26_OPT4_KTQT_v4[[#This Row],[SL-07]]*KH_26_OPT4_KTQT_v4[[#This Row],[GB-07]]*EXR</f>
        <v>757900000</v>
      </c>
      <c r="BK55" s="47">
        <f>KH_26_OPT4_KTQT_v4[[#This Row],[SL-08]]*KH_26_OPT4_KTQT_v4[[#This Row],[GB-08]]*EXR</f>
        <v>757900000</v>
      </c>
      <c r="BL55" s="47">
        <f>KH_26_OPT4_KTQT_v4[[#This Row],[SL-09]]*KH_26_OPT4_KTQT_v4[[#This Row],[GB-09]]*EXR</f>
        <v>757900000</v>
      </c>
      <c r="BM55" s="47">
        <f>KH_26_OPT4_KTQT_v4[[#This Row],[SL-10]]*KH_26_OPT4_KTQT_v4[[#This Row],[GB-10]]*EXR</f>
        <v>757900000</v>
      </c>
      <c r="BN55" s="47">
        <f>KH_26_OPT4_KTQT_v4[[#This Row],[SL-11]]*KH_26_OPT4_KTQT_v4[[#This Row],[GB-11]]*EXR</f>
        <v>757900000</v>
      </c>
      <c r="BO55" s="47">
        <f>KH_26_OPT4_KTQT_v4[[#This Row],[SL-12]]*KH_26_OPT4_KTQT_v4[[#This Row],[GB-12]]*EXR</f>
        <v>757900000</v>
      </c>
      <c r="BP55" s="47">
        <f ca="1">SUM(KH_26_OPT4_KTQT_v4[[#This Row],[DT-EXW-01]:[DT-EXW-12]])</f>
        <v>9094800000</v>
      </c>
      <c r="BQ55" s="47">
        <f ca="1">SUMIFS(DB_25[DT-DB25],DB_25[Mã khách],KH_26_OPT4_KTQT_v4[[#This Row],[Mã khách]],DB_25[Mã sản phẩm],KH_26_OPT4_KTQT_v4[[#This Row],[Mã sản phẩm]])</f>
        <v>1257262777.3188648</v>
      </c>
      <c r="BR55" s="47">
        <f ca="1">KH_26_OPT4_KTQT_v4[[#This Row],[DT-EXW-KH26]]-KH_26_OPT4_KTQT_v4[[#This Row],[DT-EXW-DB25]]</f>
        <v>7837537222.6811352</v>
      </c>
      <c r="BS55" s="21">
        <f ca="1">IFERROR(KH_26_OPT4_KTQT_v4[[#This Row],[DT-EXW-+/-]]/KH_26_OPT4_KTQT_v4[[#This Row],[DT-EXW-DB25]],0)</f>
        <v>6.2338099592790162</v>
      </c>
      <c r="BT55" s="139"/>
      <c r="BU55" s="57"/>
      <c r="BV55" s="51"/>
      <c r="BW55" s="47">
        <f>IF(KH_26_OPT4_KTQT_v4[[#This Row],[CPHH-%-SL]]="Dthu",KH_26_OPT4_KTQT_v4[[#This Row],[%HH]]*KH_26_OPT4_KTQT_v4[[#This Row],[DT-EXW-01]],KH_26_OPT4_KTQT_v4[[#This Row],[HH-SL]]*KH_26_OPT4_KTQT_v4[[#This Row],[SL-01]])</f>
        <v>0</v>
      </c>
      <c r="BX55" s="47">
        <f>IF(KH_26_OPT4_KTQT_v4[[#This Row],[CPHH-%-SL]]="Dthu",KH_26_OPT4_KTQT_v4[[#This Row],[%HH]]*KH_26_OPT4_KTQT_v4[[#This Row],[DT-EXW-02]],KH_26_OPT4_KTQT_v4[[#This Row],[HH-SL]]*KH_26_OPT4_KTQT_v4[[#This Row],[SL-02]])</f>
        <v>0</v>
      </c>
      <c r="BY55" s="47">
        <f>IF(KH_26_OPT4_KTQT_v4[[#This Row],[CPHH-%-SL]]="Dthu",KH_26_OPT4_KTQT_v4[[#This Row],[%HH]]*KH_26_OPT4_KTQT_v4[[#This Row],[DT-EXW-03]],KH_26_OPT4_KTQT_v4[[#This Row],[HH-SL]]*KH_26_OPT4_KTQT_v4[[#This Row],[SL-03]])</f>
        <v>0</v>
      </c>
      <c r="BZ55" s="47">
        <f>IF(KH_26_OPT4_KTQT_v4[[#This Row],[CPHH-%-SL]]="Dthu",KH_26_OPT4_KTQT_v4[[#This Row],[%HH]]*KH_26_OPT4_KTQT_v4[[#This Row],[DT-EXW-04]],KH_26_OPT4_KTQT_v4[[#This Row],[HH-SL]]*KH_26_OPT4_KTQT_v4[[#This Row],[SL-04]])</f>
        <v>0</v>
      </c>
      <c r="CA55" s="47">
        <f>IF(KH_26_OPT4_KTQT_v4[[#This Row],[CPHH-%-SL]]="Dthu",KH_26_OPT4_KTQT_v4[[#This Row],[%HH]]*KH_26_OPT4_KTQT_v4[[#This Row],[DT-EXW-05]],KH_26_OPT4_KTQT_v4[[#This Row],[HH-SL]]*KH_26_OPT4_KTQT_v4[[#This Row],[SL-05]])</f>
        <v>0</v>
      </c>
      <c r="CB55" s="47">
        <f>IF(KH_26_OPT4_KTQT_v4[[#This Row],[CPHH-%-SL]]="Dthu",KH_26_OPT4_KTQT_v4[[#This Row],[%HH]]*KH_26_OPT4_KTQT_v4[[#This Row],[DT-EXW-06]],KH_26_OPT4_KTQT_v4[[#This Row],[HH-SL]]*KH_26_OPT4_KTQT_v4[[#This Row],[SL-06]])</f>
        <v>0</v>
      </c>
      <c r="CC55" s="47">
        <f>IF(KH_26_OPT4_KTQT_v4[[#This Row],[CPHH-%-SL]]="Dthu",KH_26_OPT4_KTQT_v4[[#This Row],[%HH]]*KH_26_OPT4_KTQT_v4[[#This Row],[DT-EXW-07]],KH_26_OPT4_KTQT_v4[[#This Row],[HH-SL]]*KH_26_OPT4_KTQT_v4[[#This Row],[SL-07]])</f>
        <v>0</v>
      </c>
      <c r="CD55" s="47">
        <f>IF(KH_26_OPT4_KTQT_v4[[#This Row],[CPHH-%-SL]]="Dthu",KH_26_OPT4_KTQT_v4[[#This Row],[%HH]]*KH_26_OPT4_KTQT_v4[[#This Row],[DT-EXW-08]],KH_26_OPT4_KTQT_v4[[#This Row],[HH-SL]]*KH_26_OPT4_KTQT_v4[[#This Row],[SL-08]])</f>
        <v>0</v>
      </c>
      <c r="CE55" s="47">
        <f>IF(KH_26_OPT4_KTQT_v4[[#This Row],[CPHH-%-SL]]="Dthu",KH_26_OPT4_KTQT_v4[[#This Row],[%HH]]*KH_26_OPT4_KTQT_v4[[#This Row],[DT-EXW-09]],KH_26_OPT4_KTQT_v4[[#This Row],[HH-SL]]*KH_26_OPT4_KTQT_v4[[#This Row],[SL-09]])</f>
        <v>0</v>
      </c>
      <c r="CF55" s="47">
        <f>IF(KH_26_OPT4_KTQT_v4[[#This Row],[CPHH-%-SL]]="Dthu",KH_26_OPT4_KTQT_v4[[#This Row],[%HH]]*KH_26_OPT4_KTQT_v4[[#This Row],[DT-EXW-10]],KH_26_OPT4_KTQT_v4[[#This Row],[HH-SL]]*KH_26_OPT4_KTQT_v4[[#This Row],[SL-10]])</f>
        <v>0</v>
      </c>
      <c r="CG55" s="47">
        <f>IF(KH_26_OPT4_KTQT_v4[[#This Row],[CPHH-%-SL]]="Dthu",KH_26_OPT4_KTQT_v4[[#This Row],[%HH]]*KH_26_OPT4_KTQT_v4[[#This Row],[DT-EXW-11]],KH_26_OPT4_KTQT_v4[[#This Row],[HH-SL]]*KH_26_OPT4_KTQT_v4[[#This Row],[SL-11]])</f>
        <v>0</v>
      </c>
      <c r="CH55" s="47">
        <f>IF(KH_26_OPT4_KTQT_v4[[#This Row],[CPHH-%-SL]]="Dthu",KH_26_OPT4_KTQT_v4[[#This Row],[%HH]]*KH_26_OPT4_KTQT_v4[[#This Row],[DT-EXW-12]],KH_26_OPT4_KTQT_v4[[#This Row],[HH-SL]]*KH_26_OPT4_KTQT_v4[[#This Row],[SL-12]])</f>
        <v>0</v>
      </c>
      <c r="CI55" s="47">
        <f ca="1">SUM(KH_26_OPT4_KTQT_v4[[#This Row],[CPHH-01]:[CPHH-12]])</f>
        <v>0</v>
      </c>
      <c r="CJ55" s="47" cm="1">
        <f t="array" ref="CJ55">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55" s="19">
        <f ca="1">SUM(KH_26_OPT4_KTQT_v4[[#This Row],[ĐGVCNĐ-KXK]:[ĐGVCCT-KXK]])</f>
        <v>0</v>
      </c>
      <c r="CL55" s="47" cm="1">
        <f t="array" ref="CL55">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55" s="47" cm="1">
        <f t="array" ref="CM55">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55" s="47">
        <f ca="1">(KH_26_OPT4_KTQT_v4[[#This Row],[ĐGVC-KNĐ]]+KH_26_OPT4_KTQT_v4[[#This Row],[ĐGVC-KXK]])*KH_26_OPT4_KTQT_v4[[#This Row],[SL-01]]</f>
        <v>0</v>
      </c>
      <c r="CO55" s="47">
        <f ca="1">(KH_26_OPT4_KTQT_v4[[#This Row],[ĐGVC-KNĐ]]+KH_26_OPT4_KTQT_v4[[#This Row],[ĐGVC-KXK]])*KH_26_OPT4_KTQT_v4[[#This Row],[SL-02]]</f>
        <v>0</v>
      </c>
      <c r="CP55" s="47">
        <f ca="1">(KH_26_OPT4_KTQT_v4[[#This Row],[ĐGVC-KNĐ]]+KH_26_OPT4_KTQT_v4[[#This Row],[ĐGVC-KXK]])*KH_26_OPT4_KTQT_v4[[#This Row],[SL-03]]</f>
        <v>0</v>
      </c>
      <c r="CQ55" s="47">
        <f ca="1">(KH_26_OPT4_KTQT_v4[[#This Row],[ĐGVC-KNĐ]]+KH_26_OPT4_KTQT_v4[[#This Row],[ĐGVC-KXK]])*KH_26_OPT4_KTQT_v4[[#This Row],[SL-04]]</f>
        <v>0</v>
      </c>
      <c r="CR55" s="47">
        <f ca="1">(KH_26_OPT4_KTQT_v4[[#This Row],[ĐGVC-KNĐ]]+KH_26_OPT4_KTQT_v4[[#This Row],[ĐGVC-KXK]])*KH_26_OPT4_KTQT_v4[[#This Row],[SL-05]]</f>
        <v>0</v>
      </c>
      <c r="CS55" s="47">
        <f ca="1">(KH_26_OPT4_KTQT_v4[[#This Row],[ĐGVC-KNĐ]]+KH_26_OPT4_KTQT_v4[[#This Row],[ĐGVC-KXK]])*KH_26_OPT4_KTQT_v4[[#This Row],[SL-06]]</f>
        <v>0</v>
      </c>
      <c r="CT55" s="47">
        <f ca="1">(KH_26_OPT4_KTQT_v4[[#This Row],[ĐGVC-KNĐ]]+KH_26_OPT4_KTQT_v4[[#This Row],[ĐGVC-KXK]])*KH_26_OPT4_KTQT_v4[[#This Row],[SL-07]]</f>
        <v>0</v>
      </c>
      <c r="CU55" s="47">
        <f ca="1">(KH_26_OPT4_KTQT_v4[[#This Row],[ĐGVC-KNĐ]]+KH_26_OPT4_KTQT_v4[[#This Row],[ĐGVC-KXK]])*KH_26_OPT4_KTQT_v4[[#This Row],[SL-08]]</f>
        <v>0</v>
      </c>
      <c r="CV55" s="47">
        <f ca="1">(KH_26_OPT4_KTQT_v4[[#This Row],[ĐGVC-KNĐ]]+KH_26_OPT4_KTQT_v4[[#This Row],[ĐGVC-KXK]])*KH_26_OPT4_KTQT_v4[[#This Row],[SL-09]]</f>
        <v>0</v>
      </c>
      <c r="CW55" s="47">
        <f ca="1">(KH_26_OPT4_KTQT_v4[[#This Row],[ĐGVC-KNĐ]]+KH_26_OPT4_KTQT_v4[[#This Row],[ĐGVC-KXK]])*KH_26_OPT4_KTQT_v4[[#This Row],[SL-10]]</f>
        <v>0</v>
      </c>
      <c r="CX55" s="47">
        <f ca="1">(KH_26_OPT4_KTQT_v4[[#This Row],[ĐGVC-KNĐ]]+KH_26_OPT4_KTQT_v4[[#This Row],[ĐGVC-KXK]])*KH_26_OPT4_KTQT_v4[[#This Row],[SL-11]]</f>
        <v>0</v>
      </c>
      <c r="CY55" s="47">
        <f ca="1">(KH_26_OPT4_KTQT_v4[[#This Row],[ĐGVC-KNĐ]]+KH_26_OPT4_KTQT_v4[[#This Row],[ĐGVC-KXK]])*KH_26_OPT4_KTQT_v4[[#This Row],[SL-12]]</f>
        <v>0</v>
      </c>
      <c r="CZ55" s="47">
        <f ca="1">SUM(KH_26_OPT4_KTQT_v4[[#This Row],[CPVC-01]:[CPVC-12]])</f>
        <v>0</v>
      </c>
      <c r="DA55" s="124">
        <f ca="1">KH_26_OPT4_KTQT_v4[[#This Row],[DT-EXW-01]]+KH_26_OPT4_KTQT_v4[[#This Row],[CPVC-01]]+KH_26_OPT4_KTQT_v4[[#This Row],[CPHH-01]]</f>
        <v>757900000</v>
      </c>
      <c r="DB55" s="47">
        <f ca="1">KH_26_OPT4_KTQT_v4[[#This Row],[DT-EXW-02]]+KH_26_OPT4_KTQT_v4[[#This Row],[CPVC-02]]+KH_26_OPT4_KTQT_v4[[#This Row],[CPHH-02]]</f>
        <v>757900000</v>
      </c>
      <c r="DC55" s="47">
        <f ca="1">KH_26_OPT4_KTQT_v4[[#This Row],[DT-EXW-03]]+KH_26_OPT4_KTQT_v4[[#This Row],[CPVC-03]]+KH_26_OPT4_KTQT_v4[[#This Row],[CPHH-03]]</f>
        <v>757900000</v>
      </c>
      <c r="DD55" s="47">
        <f ca="1">KH_26_OPT4_KTQT_v4[[#This Row],[DT-EXW-04]]+KH_26_OPT4_KTQT_v4[[#This Row],[CPVC-04]]+KH_26_OPT4_KTQT_v4[[#This Row],[CPHH-04]]</f>
        <v>757900000</v>
      </c>
      <c r="DE55" s="47">
        <f ca="1">KH_26_OPT4_KTQT_v4[[#This Row],[DT-EXW-05]]+KH_26_OPT4_KTQT_v4[[#This Row],[CPVC-05]]+KH_26_OPT4_KTQT_v4[[#This Row],[CPHH-05]]</f>
        <v>757900000</v>
      </c>
      <c r="DF55" s="47">
        <f ca="1">KH_26_OPT4_KTQT_v4[[#This Row],[DT-EXW-06]]+KH_26_OPT4_KTQT_v4[[#This Row],[CPVC-06]]+KH_26_OPT4_KTQT_v4[[#This Row],[CPHH-06]]</f>
        <v>757900000</v>
      </c>
      <c r="DG55" s="47">
        <f ca="1">KH_26_OPT4_KTQT_v4[[#This Row],[DT-EXW-07]]+KH_26_OPT4_KTQT_v4[[#This Row],[CPVC-07]]+KH_26_OPT4_KTQT_v4[[#This Row],[CPHH-07]]</f>
        <v>757900000</v>
      </c>
      <c r="DH55" s="47">
        <f ca="1">KH_26_OPT4_KTQT_v4[[#This Row],[DT-EXW-08]]+KH_26_OPT4_KTQT_v4[[#This Row],[CPVC-08]]+KH_26_OPT4_KTQT_v4[[#This Row],[CPHH-08]]</f>
        <v>757900000</v>
      </c>
      <c r="DI55" s="47">
        <f ca="1">KH_26_OPT4_KTQT_v4[[#This Row],[DT-EXW-09]]+KH_26_OPT4_KTQT_v4[[#This Row],[CPVC-09]]+KH_26_OPT4_KTQT_v4[[#This Row],[CPHH-09]]</f>
        <v>757900000</v>
      </c>
      <c r="DJ55" s="47">
        <f ca="1">KH_26_OPT4_KTQT_v4[[#This Row],[DT-EXW-10]]+KH_26_OPT4_KTQT_v4[[#This Row],[CPVC-10]]+KH_26_OPT4_KTQT_v4[[#This Row],[CPHH-10]]</f>
        <v>757900000</v>
      </c>
      <c r="DK55" s="47">
        <f ca="1">KH_26_OPT4_KTQT_v4[[#This Row],[DT-EXW-11]]+KH_26_OPT4_KTQT_v4[[#This Row],[CPVC-11]]+KH_26_OPT4_KTQT_v4[[#This Row],[CPHH-11]]</f>
        <v>757900000</v>
      </c>
      <c r="DL55" s="47">
        <f ca="1">KH_26_OPT4_KTQT_v4[[#This Row],[DT-EXW-12]]+KH_26_OPT4_KTQT_v4[[#This Row],[CPVC-12]]+KH_26_OPT4_KTQT_v4[[#This Row],[CPHH-12]]</f>
        <v>757900000</v>
      </c>
      <c r="DM55" s="47">
        <f ca="1">SUM(KH_26_OPT4_KTQT_v4[[#This Row],[DT-01]:[DT-12]])</f>
        <v>9094800000</v>
      </c>
      <c r="DN55" s="7"/>
      <c r="DO55" s="7"/>
      <c r="DP55" s="125"/>
      <c r="DQ55" s="136"/>
      <c r="DR55" s="132">
        <f>IFERROR(KH_26_OPT4_KTQT_v4[[#This Row],[DT-EXW-01]]*KH_26_OPT4_KTQT_v4[[#This Row],[%CPDP]],0)</f>
        <v>0</v>
      </c>
      <c r="DS55" s="132">
        <f>IFERROR(KH_26_OPT4_KTQT_v4[[#This Row],[DT-EXW-02]]*KH_26_OPT4_KTQT_v4[[#This Row],[%CPDP]],0)</f>
        <v>0</v>
      </c>
      <c r="DT55" s="132">
        <f>IFERROR(KH_26_OPT4_KTQT_v4[[#This Row],[DT-EXW-03]]*KH_26_OPT4_KTQT_v4[[#This Row],[%CPDP]],0)</f>
        <v>0</v>
      </c>
      <c r="DU55" s="132">
        <f>IFERROR(KH_26_OPT4_KTQT_v4[[#This Row],[DT-EXW-04]]*KH_26_OPT4_KTQT_v4[[#This Row],[%CPDP]],0)</f>
        <v>0</v>
      </c>
      <c r="DV55" s="132">
        <f>IFERROR(KH_26_OPT4_KTQT_v4[[#This Row],[DT-EXW-05]]*KH_26_OPT4_KTQT_v4[[#This Row],[%CPDP]],0)</f>
        <v>0</v>
      </c>
      <c r="DW55" s="132">
        <f>IFERROR(KH_26_OPT4_KTQT_v4[[#This Row],[DT-EXW-06]]*KH_26_OPT4_KTQT_v4[[#This Row],[%CPDP]],0)</f>
        <v>0</v>
      </c>
      <c r="DX55" s="132">
        <f>IFERROR(KH_26_OPT4_KTQT_v4[[#This Row],[DT-EXW-07]]*KH_26_OPT4_KTQT_v4[[#This Row],[%CPDP]],0)</f>
        <v>0</v>
      </c>
      <c r="DY55" s="132">
        <f>IFERROR(KH_26_OPT4_KTQT_v4[[#This Row],[DT-EXW-08]]*KH_26_OPT4_KTQT_v4[[#This Row],[%CPDP]],0)</f>
        <v>0</v>
      </c>
      <c r="DZ55" s="132">
        <f>IFERROR(KH_26_OPT4_KTQT_v4[[#This Row],[DT-EXW-09]]*KH_26_OPT4_KTQT_v4[[#This Row],[%CPDP]],0)</f>
        <v>0</v>
      </c>
      <c r="EA55" s="132">
        <f>IFERROR(KH_26_OPT4_KTQT_v4[[#This Row],[DT-EXW-10]]*KH_26_OPT4_KTQT_v4[[#This Row],[%CPDP]],0)</f>
        <v>0</v>
      </c>
      <c r="EB55" s="132">
        <f>IFERROR(KH_26_OPT4_KTQT_v4[[#This Row],[DT-EXW-11]]*KH_26_OPT4_KTQT_v4[[#This Row],[%CPDP]],0)</f>
        <v>0</v>
      </c>
      <c r="EC55" s="132">
        <f>IFERROR(KH_26_OPT4_KTQT_v4[[#This Row],[DT-EXW-12]]*KH_26_OPT4_KTQT_v4[[#This Row],[%CPDP]],0)</f>
        <v>0</v>
      </c>
      <c r="ED55" s="131">
        <f ca="1">SUM(KH_26_OPT4_KTQT_v4[[#This Row],[CPDP-01]:[CPDP-12]])</f>
        <v>0</v>
      </c>
    </row>
    <row r="56" spans="1:134" ht="14.65" hidden="1" customHeight="1" x14ac:dyDescent="0.35">
      <c r="A56" s="18">
        <v>51</v>
      </c>
      <c r="B56" s="71" t="s">
        <v>95</v>
      </c>
      <c r="C56" s="18" t="str">
        <f>IFERROR(_xlfn.XLOOKUP(KH_26_OPT4_KTQT_v4[[#This Row],[Salesman]],MD_Salesman[Salesman],MD_Salesman[SalesManager]),"")</f>
        <v>Cường</v>
      </c>
      <c r="D56" s="72" t="str">
        <f>IFERROR(INDEX(MD_Customer[Mã khách],MATCH(KH_26_OPT4_KTQT_v4[[#This Row],[Tên khách]],MD_Customer[Tên khách-rút gọn],0)),"")</f>
        <v>105263</v>
      </c>
      <c r="E56" s="7" t="str">
        <f>IFERROR(INDEX(MD_Customer[Parent Account],MATCH(KH_26_OPT4_KTQT_v4[[#This Row],[Tên khách]],MD_Customer[Tên khách-rút gọn],0)),"")</f>
        <v>Unilever</v>
      </c>
      <c r="F56" s="35" t="s">
        <v>478</v>
      </c>
      <c r="G56" s="7" t="str">
        <f>IFERROR(INDEX(MD_Customer[Phân loại],MATCH(KH_26_OPT4_KTQT_v4[[#This Row],[Tên khách]],MD_Customer[Tên khách-rút gọn],0)),"")</f>
        <v>Hiện hữu</v>
      </c>
      <c r="H56" s="7" t="str">
        <f>IFERROR(INDEX(MD_Customer[Kênh bán hàng],MATCH(KH_26_OPT4_KTQT_v4[[#This Row],[Tên khách]],MD_Customer[Tên khách-rút gọn],0)),"")</f>
        <v>Nội địa</v>
      </c>
      <c r="I56" s="35" t="s">
        <v>258</v>
      </c>
      <c r="J56" s="7" t="str">
        <f>IFERROR(INDEX(MD_Destination[Nước],MATCH(KH_26_OPT4_KTQT_v4[[#This Row],[Địa điểm đến]],MD_Destination[Địa điểm đến],0)),"")</f>
        <v>Việt Nam</v>
      </c>
      <c r="K56" s="7" t="str">
        <f>IFERROR(INDEX(MD_Destination[Khu vực],MATCH(KH_26_OPT4_KTQT_v4[[#This Row],[Địa điểm đến]],MD_Destination[Địa điểm đến],0)),"")</f>
        <v>Châu Á</v>
      </c>
      <c r="L56" s="35" t="s">
        <v>262</v>
      </c>
      <c r="M56" s="7" t="str">
        <f>IFERROR(INDEX(MD_SKU[Mã SKU],MATCH(KH_26_OPT4_KTQT_v4[[#This Row],[Tên sản phẩm]],MD_SKU[Tên SKU-rút gọn],0)),"")</f>
        <v>110000426</v>
      </c>
      <c r="N56" s="35" t="s">
        <v>482</v>
      </c>
      <c r="O56" s="7" t="str">
        <f>IFERROR(INDEX(MD_SKU[Ngành hàng],MATCH(KH_26_OPT4_KTQT_v4[[#This Row],[Tên sản phẩm]],MD_SKU[Tên SKU-rút gọn],0)),"")</f>
        <v>rHDPE thổi</v>
      </c>
      <c r="P56" s="7" t="str">
        <f>IFERROR(INDEX(MD_SKU[Nhóm ngành],MATCH(KH_26_OPT4_KTQT_v4[[#This Row],[Tên sản phẩm]],MD_SKU[Tên SKU-rút gọn],0)),"")</f>
        <v>Hạt HD thổi</v>
      </c>
      <c r="Q56" s="7" t="str">
        <f>IFERROR(
   IF(INDEX(MD_SKU[IV/IM],MATCH(KH_26_OPT4_KTQT_v4[[#This Row],[Tên sản phẩm]],MD_SKU[Tên SKU-rút gọn],0))=0,
      "",
      INDEX(MD_SKU[IV/IM],MATCH(KH_26_OPT4_KTQT_v4[[#This Row],[Tên sản phẩm]],MD_SKU[Tên SKU-rút gọn],0))
   ),
"")</f>
        <v/>
      </c>
      <c r="R56" s="44" t="str">
        <f>IFERROR(INDEX(MD_SKU[Application],MATCH(KH_26_OPT4_KTQT_v4[[#This Row],[Tên sản phẩm]],MD_SKU[Tên SKU-rút gọn],0)),"")</f>
        <v>THỔI CHAI</v>
      </c>
      <c r="S56" s="7" t="str">
        <f>IFERROR(INDEX(MD_SKU[Phân loại],MATCH(KH_26_OPT4_KTQT_v4[[#This Row],[Tên sản phẩm]],MD_SKU[Tên SKU-rút gọn],0)),"")</f>
        <v>Cũ</v>
      </c>
      <c r="T56" s="7" t="s">
        <v>5</v>
      </c>
      <c r="U56" s="7" t="s">
        <v>1508</v>
      </c>
      <c r="V56" s="70">
        <v>0.8</v>
      </c>
      <c r="W56" s="33">
        <v>22</v>
      </c>
      <c r="X56" s="33">
        <v>22</v>
      </c>
      <c r="Y56" s="33">
        <v>22</v>
      </c>
      <c r="Z56" s="33">
        <v>22</v>
      </c>
      <c r="AA56" s="33">
        <v>22</v>
      </c>
      <c r="AB56" s="33">
        <v>22</v>
      </c>
      <c r="AC56" s="33">
        <v>22</v>
      </c>
      <c r="AD56" s="33">
        <v>22</v>
      </c>
      <c r="AE56" s="33">
        <v>22</v>
      </c>
      <c r="AF56" s="33">
        <v>22</v>
      </c>
      <c r="AG56" s="33">
        <v>22</v>
      </c>
      <c r="AH56" s="33">
        <v>22</v>
      </c>
      <c r="AI56" s="47">
        <f ca="1">SUM(KH_26_OPT4_KTQT_v4[[#This Row],[SL-01]:[SL-12]])</f>
        <v>264</v>
      </c>
      <c r="AJ56" s="47">
        <f ca="1">SUMIFS(DB_25[SL-DB25],DB_25[Mã khách],KH_26_OPT4_KTQT_v4[[#This Row],[Mã khách]],DB_25[Mã sản phẩm],KH_26_OPT4_KTQT_v4[[#This Row],[Mã sản phẩm]])</f>
        <v>341</v>
      </c>
      <c r="AK56" s="20">
        <f ca="1">KH_26_OPT4_KTQT_v4[[#This Row],[SL-KH26]]-KH_26_OPT4_KTQT_v4[[#This Row],[SL-DB25]]</f>
        <v>-77</v>
      </c>
      <c r="AL56" s="21">
        <f ca="1">IFERROR(KH_26_OPT4_KTQT_v4[[#This Row],[SL-+/-]]/KH_26_OPT4_KTQT_v4[[#This Row],[SL-DB25]],0)</f>
        <v>-0.22580645161290322</v>
      </c>
      <c r="AM56" s="51">
        <f t="shared" si="6"/>
        <v>1300</v>
      </c>
      <c r="AN56" s="51">
        <f t="shared" si="6"/>
        <v>1300</v>
      </c>
      <c r="AO56" s="51">
        <f t="shared" si="6"/>
        <v>1300</v>
      </c>
      <c r="AP56" s="51">
        <f t="shared" si="6"/>
        <v>1300</v>
      </c>
      <c r="AQ56" s="51">
        <f t="shared" si="6"/>
        <v>1300</v>
      </c>
      <c r="AR56" s="51">
        <f t="shared" si="6"/>
        <v>1300</v>
      </c>
      <c r="AS56" s="51">
        <f t="shared" si="6"/>
        <v>1300</v>
      </c>
      <c r="AT56" s="51">
        <f t="shared" si="6"/>
        <v>1300</v>
      </c>
      <c r="AU56" s="51">
        <f t="shared" si="6"/>
        <v>1300</v>
      </c>
      <c r="AV56" s="51">
        <f t="shared" si="6"/>
        <v>1300</v>
      </c>
      <c r="AW56" s="51">
        <f t="shared" si="6"/>
        <v>1300</v>
      </c>
      <c r="AX56" s="51">
        <f t="shared" si="6"/>
        <v>1300</v>
      </c>
      <c r="AY56" s="23">
        <v>1236</v>
      </c>
      <c r="AZ56" s="7"/>
      <c r="BA56" s="24">
        <f>KH_26_OPT4_KTQT_v4[[#This Row],[GB-DB25]]-KH_26_OPT4_KTQT_v4[[#This Row],[GB-KH25]]</f>
        <v>1236</v>
      </c>
      <c r="BB56" s="21">
        <f>IFERROR(KH_26_OPT4_KTQT_v4[[#This Row],[GB-+/-]]/KH_26_OPT4_KTQT_v4[[#This Row],[GB-KH25]],0)</f>
        <v>0</v>
      </c>
      <c r="BC56" s="21"/>
      <c r="BD56" s="47">
        <f>KH_26_OPT4_KTQT_v4[[#This Row],[SL-01]]*KH_26_OPT4_KTQT_v4[[#This Row],[GB-01]]*EXR</f>
        <v>757900000</v>
      </c>
      <c r="BE56" s="47">
        <f>KH_26_OPT4_KTQT_v4[[#This Row],[SL-02]]*KH_26_OPT4_KTQT_v4[[#This Row],[GB-02]]*EXR</f>
        <v>757900000</v>
      </c>
      <c r="BF56" s="47">
        <f>KH_26_OPT4_KTQT_v4[[#This Row],[SL-03]]*KH_26_OPT4_KTQT_v4[[#This Row],[GB-03]]*EXR</f>
        <v>757900000</v>
      </c>
      <c r="BG56" s="47">
        <f>KH_26_OPT4_KTQT_v4[[#This Row],[SL-04]]*KH_26_OPT4_KTQT_v4[[#This Row],[GB-04]]*EXR</f>
        <v>757900000</v>
      </c>
      <c r="BH56" s="47">
        <f>KH_26_OPT4_KTQT_v4[[#This Row],[SL-05]]*KH_26_OPT4_KTQT_v4[[#This Row],[GB-05]]*EXR</f>
        <v>757900000</v>
      </c>
      <c r="BI56" s="47">
        <f>KH_26_OPT4_KTQT_v4[[#This Row],[SL-06]]*KH_26_OPT4_KTQT_v4[[#This Row],[GB-06]]*EXR</f>
        <v>757900000</v>
      </c>
      <c r="BJ56" s="47">
        <f>KH_26_OPT4_KTQT_v4[[#This Row],[SL-07]]*KH_26_OPT4_KTQT_v4[[#This Row],[GB-07]]*EXR</f>
        <v>757900000</v>
      </c>
      <c r="BK56" s="47">
        <f>KH_26_OPT4_KTQT_v4[[#This Row],[SL-08]]*KH_26_OPT4_KTQT_v4[[#This Row],[GB-08]]*EXR</f>
        <v>757900000</v>
      </c>
      <c r="BL56" s="47">
        <f>KH_26_OPT4_KTQT_v4[[#This Row],[SL-09]]*KH_26_OPT4_KTQT_v4[[#This Row],[GB-09]]*EXR</f>
        <v>757900000</v>
      </c>
      <c r="BM56" s="47">
        <f>KH_26_OPT4_KTQT_v4[[#This Row],[SL-10]]*KH_26_OPT4_KTQT_v4[[#This Row],[GB-10]]*EXR</f>
        <v>757900000</v>
      </c>
      <c r="BN56" s="47">
        <f>KH_26_OPT4_KTQT_v4[[#This Row],[SL-11]]*KH_26_OPT4_KTQT_v4[[#This Row],[GB-11]]*EXR</f>
        <v>757900000</v>
      </c>
      <c r="BO56" s="47">
        <f>KH_26_OPT4_KTQT_v4[[#This Row],[SL-12]]*KH_26_OPT4_KTQT_v4[[#This Row],[GB-12]]*EXR</f>
        <v>757900000</v>
      </c>
      <c r="BP56" s="47">
        <f ca="1">SUM(KH_26_OPT4_KTQT_v4[[#This Row],[DT-EXW-01]:[DT-EXW-12]])</f>
        <v>9094800000</v>
      </c>
      <c r="BQ56" s="47">
        <f ca="1">SUMIFS(DB_25[DT-DB25],DB_25[Mã khách],KH_26_OPT4_KTQT_v4[[#This Row],[Mã khách]],DB_25[Mã sản phẩm],KH_26_OPT4_KTQT_v4[[#This Row],[Mã sản phẩm]])</f>
        <v>10068742025.984629</v>
      </c>
      <c r="BR56" s="47">
        <f ca="1">KH_26_OPT4_KTQT_v4[[#This Row],[DT-EXW-KH26]]-KH_26_OPT4_KTQT_v4[[#This Row],[DT-EXW-DB25]]</f>
        <v>-973942025.98462868</v>
      </c>
      <c r="BS56" s="21">
        <f ca="1">IFERROR(KH_26_OPT4_KTQT_v4[[#This Row],[DT-EXW-+/-]]/KH_26_OPT4_KTQT_v4[[#This Row],[DT-EXW-DB25]],0)</f>
        <v>-9.6729266026595442E-2</v>
      </c>
      <c r="BT56" s="139"/>
      <c r="BU56" s="57"/>
      <c r="BV56" s="51"/>
      <c r="BW56" s="47">
        <f>IF(KH_26_OPT4_KTQT_v4[[#This Row],[CPHH-%-SL]]="Dthu",KH_26_OPT4_KTQT_v4[[#This Row],[%HH]]*KH_26_OPT4_KTQT_v4[[#This Row],[DT-EXW-01]],KH_26_OPT4_KTQT_v4[[#This Row],[HH-SL]]*KH_26_OPT4_KTQT_v4[[#This Row],[SL-01]])</f>
        <v>0</v>
      </c>
      <c r="BX56" s="47">
        <f>IF(KH_26_OPT4_KTQT_v4[[#This Row],[CPHH-%-SL]]="Dthu",KH_26_OPT4_KTQT_v4[[#This Row],[%HH]]*KH_26_OPT4_KTQT_v4[[#This Row],[DT-EXW-02]],KH_26_OPT4_KTQT_v4[[#This Row],[HH-SL]]*KH_26_OPT4_KTQT_v4[[#This Row],[SL-02]])</f>
        <v>0</v>
      </c>
      <c r="BY56" s="47">
        <f>IF(KH_26_OPT4_KTQT_v4[[#This Row],[CPHH-%-SL]]="Dthu",KH_26_OPT4_KTQT_v4[[#This Row],[%HH]]*KH_26_OPT4_KTQT_v4[[#This Row],[DT-EXW-03]],KH_26_OPT4_KTQT_v4[[#This Row],[HH-SL]]*KH_26_OPT4_KTQT_v4[[#This Row],[SL-03]])</f>
        <v>0</v>
      </c>
      <c r="BZ56" s="47">
        <f>IF(KH_26_OPT4_KTQT_v4[[#This Row],[CPHH-%-SL]]="Dthu",KH_26_OPT4_KTQT_v4[[#This Row],[%HH]]*KH_26_OPT4_KTQT_v4[[#This Row],[DT-EXW-04]],KH_26_OPT4_KTQT_v4[[#This Row],[HH-SL]]*KH_26_OPT4_KTQT_v4[[#This Row],[SL-04]])</f>
        <v>0</v>
      </c>
      <c r="CA56" s="47">
        <f>IF(KH_26_OPT4_KTQT_v4[[#This Row],[CPHH-%-SL]]="Dthu",KH_26_OPT4_KTQT_v4[[#This Row],[%HH]]*KH_26_OPT4_KTQT_v4[[#This Row],[DT-EXW-05]],KH_26_OPT4_KTQT_v4[[#This Row],[HH-SL]]*KH_26_OPT4_KTQT_v4[[#This Row],[SL-05]])</f>
        <v>0</v>
      </c>
      <c r="CB56" s="47">
        <f>IF(KH_26_OPT4_KTQT_v4[[#This Row],[CPHH-%-SL]]="Dthu",KH_26_OPT4_KTQT_v4[[#This Row],[%HH]]*KH_26_OPT4_KTQT_v4[[#This Row],[DT-EXW-06]],KH_26_OPT4_KTQT_v4[[#This Row],[HH-SL]]*KH_26_OPT4_KTQT_v4[[#This Row],[SL-06]])</f>
        <v>0</v>
      </c>
      <c r="CC56" s="47">
        <f>IF(KH_26_OPT4_KTQT_v4[[#This Row],[CPHH-%-SL]]="Dthu",KH_26_OPT4_KTQT_v4[[#This Row],[%HH]]*KH_26_OPT4_KTQT_v4[[#This Row],[DT-EXW-07]],KH_26_OPT4_KTQT_v4[[#This Row],[HH-SL]]*KH_26_OPT4_KTQT_v4[[#This Row],[SL-07]])</f>
        <v>0</v>
      </c>
      <c r="CD56" s="47">
        <f>IF(KH_26_OPT4_KTQT_v4[[#This Row],[CPHH-%-SL]]="Dthu",KH_26_OPT4_KTQT_v4[[#This Row],[%HH]]*KH_26_OPT4_KTQT_v4[[#This Row],[DT-EXW-08]],KH_26_OPT4_KTQT_v4[[#This Row],[HH-SL]]*KH_26_OPT4_KTQT_v4[[#This Row],[SL-08]])</f>
        <v>0</v>
      </c>
      <c r="CE56" s="47">
        <f>IF(KH_26_OPT4_KTQT_v4[[#This Row],[CPHH-%-SL]]="Dthu",KH_26_OPT4_KTQT_v4[[#This Row],[%HH]]*KH_26_OPT4_KTQT_v4[[#This Row],[DT-EXW-09]],KH_26_OPT4_KTQT_v4[[#This Row],[HH-SL]]*KH_26_OPT4_KTQT_v4[[#This Row],[SL-09]])</f>
        <v>0</v>
      </c>
      <c r="CF56" s="47">
        <f>IF(KH_26_OPT4_KTQT_v4[[#This Row],[CPHH-%-SL]]="Dthu",KH_26_OPT4_KTQT_v4[[#This Row],[%HH]]*KH_26_OPT4_KTQT_v4[[#This Row],[DT-EXW-10]],KH_26_OPT4_KTQT_v4[[#This Row],[HH-SL]]*KH_26_OPT4_KTQT_v4[[#This Row],[SL-10]])</f>
        <v>0</v>
      </c>
      <c r="CG56" s="47">
        <f>IF(KH_26_OPT4_KTQT_v4[[#This Row],[CPHH-%-SL]]="Dthu",KH_26_OPT4_KTQT_v4[[#This Row],[%HH]]*KH_26_OPT4_KTQT_v4[[#This Row],[DT-EXW-11]],KH_26_OPT4_KTQT_v4[[#This Row],[HH-SL]]*KH_26_OPT4_KTQT_v4[[#This Row],[SL-11]])</f>
        <v>0</v>
      </c>
      <c r="CH56" s="47">
        <f>IF(KH_26_OPT4_KTQT_v4[[#This Row],[CPHH-%-SL]]="Dthu",KH_26_OPT4_KTQT_v4[[#This Row],[%HH]]*KH_26_OPT4_KTQT_v4[[#This Row],[DT-EXW-12]],KH_26_OPT4_KTQT_v4[[#This Row],[HH-SL]]*KH_26_OPT4_KTQT_v4[[#This Row],[SL-12]])</f>
        <v>0</v>
      </c>
      <c r="CI56" s="47">
        <f ca="1">SUM(KH_26_OPT4_KTQT_v4[[#This Row],[CPHH-01]:[CPHH-12]])</f>
        <v>0</v>
      </c>
      <c r="CJ56" s="47" cm="1">
        <f t="array" ref="CJ56">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56" s="19">
        <f ca="1">SUM(KH_26_OPT4_KTQT_v4[[#This Row],[ĐGVCNĐ-KXK]:[ĐGVCCT-KXK]])</f>
        <v>0</v>
      </c>
      <c r="CL56" s="47" cm="1">
        <f t="array" ref="CL56">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56" s="47" cm="1">
        <f t="array" ref="CM56">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56" s="47">
        <f ca="1">(KH_26_OPT4_KTQT_v4[[#This Row],[ĐGVC-KNĐ]]+KH_26_OPT4_KTQT_v4[[#This Row],[ĐGVC-KXK]])*KH_26_OPT4_KTQT_v4[[#This Row],[SL-01]]</f>
        <v>0</v>
      </c>
      <c r="CO56" s="47">
        <f ca="1">(KH_26_OPT4_KTQT_v4[[#This Row],[ĐGVC-KNĐ]]+KH_26_OPT4_KTQT_v4[[#This Row],[ĐGVC-KXK]])*KH_26_OPT4_KTQT_v4[[#This Row],[SL-02]]</f>
        <v>0</v>
      </c>
      <c r="CP56" s="47">
        <f ca="1">(KH_26_OPT4_KTQT_v4[[#This Row],[ĐGVC-KNĐ]]+KH_26_OPT4_KTQT_v4[[#This Row],[ĐGVC-KXK]])*KH_26_OPT4_KTQT_v4[[#This Row],[SL-03]]</f>
        <v>0</v>
      </c>
      <c r="CQ56" s="47">
        <f ca="1">(KH_26_OPT4_KTQT_v4[[#This Row],[ĐGVC-KNĐ]]+KH_26_OPT4_KTQT_v4[[#This Row],[ĐGVC-KXK]])*KH_26_OPT4_KTQT_v4[[#This Row],[SL-04]]</f>
        <v>0</v>
      </c>
      <c r="CR56" s="47">
        <f ca="1">(KH_26_OPT4_KTQT_v4[[#This Row],[ĐGVC-KNĐ]]+KH_26_OPT4_KTQT_v4[[#This Row],[ĐGVC-KXK]])*KH_26_OPT4_KTQT_v4[[#This Row],[SL-05]]</f>
        <v>0</v>
      </c>
      <c r="CS56" s="47">
        <f ca="1">(KH_26_OPT4_KTQT_v4[[#This Row],[ĐGVC-KNĐ]]+KH_26_OPT4_KTQT_v4[[#This Row],[ĐGVC-KXK]])*KH_26_OPT4_KTQT_v4[[#This Row],[SL-06]]</f>
        <v>0</v>
      </c>
      <c r="CT56" s="47">
        <f ca="1">(KH_26_OPT4_KTQT_v4[[#This Row],[ĐGVC-KNĐ]]+KH_26_OPT4_KTQT_v4[[#This Row],[ĐGVC-KXK]])*KH_26_OPT4_KTQT_v4[[#This Row],[SL-07]]</f>
        <v>0</v>
      </c>
      <c r="CU56" s="47">
        <f ca="1">(KH_26_OPT4_KTQT_v4[[#This Row],[ĐGVC-KNĐ]]+KH_26_OPT4_KTQT_v4[[#This Row],[ĐGVC-KXK]])*KH_26_OPT4_KTQT_v4[[#This Row],[SL-08]]</f>
        <v>0</v>
      </c>
      <c r="CV56" s="47">
        <f ca="1">(KH_26_OPT4_KTQT_v4[[#This Row],[ĐGVC-KNĐ]]+KH_26_OPT4_KTQT_v4[[#This Row],[ĐGVC-KXK]])*KH_26_OPT4_KTQT_v4[[#This Row],[SL-09]]</f>
        <v>0</v>
      </c>
      <c r="CW56" s="47">
        <f ca="1">(KH_26_OPT4_KTQT_v4[[#This Row],[ĐGVC-KNĐ]]+KH_26_OPT4_KTQT_v4[[#This Row],[ĐGVC-KXK]])*KH_26_OPT4_KTQT_v4[[#This Row],[SL-10]]</f>
        <v>0</v>
      </c>
      <c r="CX56" s="47">
        <f ca="1">(KH_26_OPT4_KTQT_v4[[#This Row],[ĐGVC-KNĐ]]+KH_26_OPT4_KTQT_v4[[#This Row],[ĐGVC-KXK]])*KH_26_OPT4_KTQT_v4[[#This Row],[SL-11]]</f>
        <v>0</v>
      </c>
      <c r="CY56" s="47">
        <f ca="1">(KH_26_OPT4_KTQT_v4[[#This Row],[ĐGVC-KNĐ]]+KH_26_OPT4_KTQT_v4[[#This Row],[ĐGVC-KXK]])*KH_26_OPT4_KTQT_v4[[#This Row],[SL-12]]</f>
        <v>0</v>
      </c>
      <c r="CZ56" s="47">
        <f ca="1">SUM(KH_26_OPT4_KTQT_v4[[#This Row],[CPVC-01]:[CPVC-12]])</f>
        <v>0</v>
      </c>
      <c r="DA56" s="124">
        <f ca="1">KH_26_OPT4_KTQT_v4[[#This Row],[DT-EXW-01]]+KH_26_OPT4_KTQT_v4[[#This Row],[CPVC-01]]+KH_26_OPT4_KTQT_v4[[#This Row],[CPHH-01]]</f>
        <v>757900000</v>
      </c>
      <c r="DB56" s="47">
        <f ca="1">KH_26_OPT4_KTQT_v4[[#This Row],[DT-EXW-02]]+KH_26_OPT4_KTQT_v4[[#This Row],[CPVC-02]]+KH_26_OPT4_KTQT_v4[[#This Row],[CPHH-02]]</f>
        <v>757900000</v>
      </c>
      <c r="DC56" s="47">
        <f ca="1">KH_26_OPT4_KTQT_v4[[#This Row],[DT-EXW-03]]+KH_26_OPT4_KTQT_v4[[#This Row],[CPVC-03]]+KH_26_OPT4_KTQT_v4[[#This Row],[CPHH-03]]</f>
        <v>757900000</v>
      </c>
      <c r="DD56" s="47">
        <f ca="1">KH_26_OPT4_KTQT_v4[[#This Row],[DT-EXW-04]]+KH_26_OPT4_KTQT_v4[[#This Row],[CPVC-04]]+KH_26_OPT4_KTQT_v4[[#This Row],[CPHH-04]]</f>
        <v>757900000</v>
      </c>
      <c r="DE56" s="47">
        <f ca="1">KH_26_OPT4_KTQT_v4[[#This Row],[DT-EXW-05]]+KH_26_OPT4_KTQT_v4[[#This Row],[CPVC-05]]+KH_26_OPT4_KTQT_v4[[#This Row],[CPHH-05]]</f>
        <v>757900000</v>
      </c>
      <c r="DF56" s="47">
        <f ca="1">KH_26_OPT4_KTQT_v4[[#This Row],[DT-EXW-06]]+KH_26_OPT4_KTQT_v4[[#This Row],[CPVC-06]]+KH_26_OPT4_KTQT_v4[[#This Row],[CPHH-06]]</f>
        <v>757900000</v>
      </c>
      <c r="DG56" s="47">
        <f ca="1">KH_26_OPT4_KTQT_v4[[#This Row],[DT-EXW-07]]+KH_26_OPT4_KTQT_v4[[#This Row],[CPVC-07]]+KH_26_OPT4_KTQT_v4[[#This Row],[CPHH-07]]</f>
        <v>757900000</v>
      </c>
      <c r="DH56" s="47">
        <f ca="1">KH_26_OPT4_KTQT_v4[[#This Row],[DT-EXW-08]]+KH_26_OPT4_KTQT_v4[[#This Row],[CPVC-08]]+KH_26_OPT4_KTQT_v4[[#This Row],[CPHH-08]]</f>
        <v>757900000</v>
      </c>
      <c r="DI56" s="47">
        <f ca="1">KH_26_OPT4_KTQT_v4[[#This Row],[DT-EXW-09]]+KH_26_OPT4_KTQT_v4[[#This Row],[CPVC-09]]+KH_26_OPT4_KTQT_v4[[#This Row],[CPHH-09]]</f>
        <v>757900000</v>
      </c>
      <c r="DJ56" s="47">
        <f ca="1">KH_26_OPT4_KTQT_v4[[#This Row],[DT-EXW-10]]+KH_26_OPT4_KTQT_v4[[#This Row],[CPVC-10]]+KH_26_OPT4_KTQT_v4[[#This Row],[CPHH-10]]</f>
        <v>757900000</v>
      </c>
      <c r="DK56" s="47">
        <f ca="1">KH_26_OPT4_KTQT_v4[[#This Row],[DT-EXW-11]]+KH_26_OPT4_KTQT_v4[[#This Row],[CPVC-11]]+KH_26_OPT4_KTQT_v4[[#This Row],[CPHH-11]]</f>
        <v>757900000</v>
      </c>
      <c r="DL56" s="47">
        <f ca="1">KH_26_OPT4_KTQT_v4[[#This Row],[DT-EXW-12]]+KH_26_OPT4_KTQT_v4[[#This Row],[CPVC-12]]+KH_26_OPT4_KTQT_v4[[#This Row],[CPHH-12]]</f>
        <v>757900000</v>
      </c>
      <c r="DM56" s="47">
        <f ca="1">SUM(KH_26_OPT4_KTQT_v4[[#This Row],[DT-01]:[DT-12]])</f>
        <v>9094800000</v>
      </c>
      <c r="DN56" s="7"/>
      <c r="DO56" s="7"/>
      <c r="DP56" s="125"/>
      <c r="DQ56" s="136"/>
      <c r="DR56" s="132">
        <f>IFERROR(KH_26_OPT4_KTQT_v4[[#This Row],[DT-EXW-01]]*KH_26_OPT4_KTQT_v4[[#This Row],[%CPDP]],0)</f>
        <v>0</v>
      </c>
      <c r="DS56" s="132">
        <f>IFERROR(KH_26_OPT4_KTQT_v4[[#This Row],[DT-EXW-02]]*KH_26_OPT4_KTQT_v4[[#This Row],[%CPDP]],0)</f>
        <v>0</v>
      </c>
      <c r="DT56" s="132">
        <f>IFERROR(KH_26_OPT4_KTQT_v4[[#This Row],[DT-EXW-03]]*KH_26_OPT4_KTQT_v4[[#This Row],[%CPDP]],0)</f>
        <v>0</v>
      </c>
      <c r="DU56" s="132">
        <f>IFERROR(KH_26_OPT4_KTQT_v4[[#This Row],[DT-EXW-04]]*KH_26_OPT4_KTQT_v4[[#This Row],[%CPDP]],0)</f>
        <v>0</v>
      </c>
      <c r="DV56" s="132">
        <f>IFERROR(KH_26_OPT4_KTQT_v4[[#This Row],[DT-EXW-05]]*KH_26_OPT4_KTQT_v4[[#This Row],[%CPDP]],0)</f>
        <v>0</v>
      </c>
      <c r="DW56" s="132">
        <f>IFERROR(KH_26_OPT4_KTQT_v4[[#This Row],[DT-EXW-06]]*KH_26_OPT4_KTQT_v4[[#This Row],[%CPDP]],0)</f>
        <v>0</v>
      </c>
      <c r="DX56" s="132">
        <f>IFERROR(KH_26_OPT4_KTQT_v4[[#This Row],[DT-EXW-07]]*KH_26_OPT4_KTQT_v4[[#This Row],[%CPDP]],0)</f>
        <v>0</v>
      </c>
      <c r="DY56" s="132">
        <f>IFERROR(KH_26_OPT4_KTQT_v4[[#This Row],[DT-EXW-08]]*KH_26_OPT4_KTQT_v4[[#This Row],[%CPDP]],0)</f>
        <v>0</v>
      </c>
      <c r="DZ56" s="132">
        <f>IFERROR(KH_26_OPT4_KTQT_v4[[#This Row],[DT-EXW-09]]*KH_26_OPT4_KTQT_v4[[#This Row],[%CPDP]],0)</f>
        <v>0</v>
      </c>
      <c r="EA56" s="132">
        <f>IFERROR(KH_26_OPT4_KTQT_v4[[#This Row],[DT-EXW-10]]*KH_26_OPT4_KTQT_v4[[#This Row],[%CPDP]],0)</f>
        <v>0</v>
      </c>
      <c r="EB56" s="132">
        <f>IFERROR(KH_26_OPT4_KTQT_v4[[#This Row],[DT-EXW-11]]*KH_26_OPT4_KTQT_v4[[#This Row],[%CPDP]],0)</f>
        <v>0</v>
      </c>
      <c r="EC56" s="132">
        <f>IFERROR(KH_26_OPT4_KTQT_v4[[#This Row],[DT-EXW-12]]*KH_26_OPT4_KTQT_v4[[#This Row],[%CPDP]],0)</f>
        <v>0</v>
      </c>
      <c r="ED56" s="131">
        <f ca="1">SUM(KH_26_OPT4_KTQT_v4[[#This Row],[CPDP-01]:[CPDP-12]])</f>
        <v>0</v>
      </c>
    </row>
    <row r="57" spans="1:134" ht="14.65" hidden="1" customHeight="1" x14ac:dyDescent="0.35">
      <c r="A57" s="18">
        <v>52</v>
      </c>
      <c r="B57" s="71" t="s">
        <v>95</v>
      </c>
      <c r="C57" s="18" t="str">
        <f>IFERROR(_xlfn.XLOOKUP(KH_26_OPT4_KTQT_v4[[#This Row],[Salesman]],MD_Salesman[Salesman],MD_Salesman[SalesManager]),"")</f>
        <v>Cường</v>
      </c>
      <c r="D57" s="72" t="str">
        <f>IFERROR(INDEX(MD_Customer[Mã khách],MATCH(KH_26_OPT4_KTQT_v4[[#This Row],[Tên khách]],MD_Customer[Tên khách-rút gọn],0)),"")</f>
        <v>105263</v>
      </c>
      <c r="E57" s="7" t="str">
        <f>IFERROR(INDEX(MD_Customer[Parent Account],MATCH(KH_26_OPT4_KTQT_v4[[#This Row],[Tên khách]],MD_Customer[Tên khách-rút gọn],0)),"")</f>
        <v>Unilever</v>
      </c>
      <c r="F57" s="35" t="s">
        <v>478</v>
      </c>
      <c r="G57" s="7" t="str">
        <f>IFERROR(INDEX(MD_Customer[Phân loại],MATCH(KH_26_OPT4_KTQT_v4[[#This Row],[Tên khách]],MD_Customer[Tên khách-rút gọn],0)),"")</f>
        <v>Hiện hữu</v>
      </c>
      <c r="H57" s="7" t="str">
        <f>IFERROR(INDEX(MD_Customer[Kênh bán hàng],MATCH(KH_26_OPT4_KTQT_v4[[#This Row],[Tên khách]],MD_Customer[Tên khách-rút gọn],0)),"")</f>
        <v>Nội địa</v>
      </c>
      <c r="I57" s="35" t="s">
        <v>258</v>
      </c>
      <c r="J57" s="7" t="str">
        <f>IFERROR(INDEX(MD_Destination[Nước],MATCH(KH_26_OPT4_KTQT_v4[[#This Row],[Địa điểm đến]],MD_Destination[Địa điểm đến],0)),"")</f>
        <v>Việt Nam</v>
      </c>
      <c r="K57" s="7" t="str">
        <f>IFERROR(INDEX(MD_Destination[Khu vực],MATCH(KH_26_OPT4_KTQT_v4[[#This Row],[Địa điểm đến]],MD_Destination[Địa điểm đến],0)),"")</f>
        <v>Châu Á</v>
      </c>
      <c r="L57" s="35" t="s">
        <v>262</v>
      </c>
      <c r="M57" s="7" t="str">
        <f>IFERROR(INDEX(MD_SKU[Mã SKU],MATCH(KH_26_OPT4_KTQT_v4[[#This Row],[Tên sản phẩm]],MD_SKU[Tên SKU-rút gọn],0)),"")</f>
        <v>110000481</v>
      </c>
      <c r="N57" s="35" t="s">
        <v>466</v>
      </c>
      <c r="O57" s="7" t="str">
        <f>IFERROR(INDEX(MD_SKU[Ngành hàng],MATCH(KH_26_OPT4_KTQT_v4[[#This Row],[Tên sản phẩm]],MD_SKU[Tên SKU-rút gọn],0)),"")</f>
        <v>rHDPE thổi</v>
      </c>
      <c r="P57" s="7" t="str">
        <f>IFERROR(INDEX(MD_SKU[Nhóm ngành],MATCH(KH_26_OPT4_KTQT_v4[[#This Row],[Tên sản phẩm]],MD_SKU[Tên SKU-rút gọn],0)),"")</f>
        <v>Hạt HD thổi</v>
      </c>
      <c r="Q57" s="7" t="str">
        <f>IFERROR(
   IF(INDEX(MD_SKU[IV/IM],MATCH(KH_26_OPT4_KTQT_v4[[#This Row],[Tên sản phẩm]],MD_SKU[Tên SKU-rút gọn],0))=0,
      "",
      INDEX(MD_SKU[IV/IM],MATCH(KH_26_OPT4_KTQT_v4[[#This Row],[Tên sản phẩm]],MD_SKU[Tên SKU-rút gọn],0))
   ),
"")</f>
        <v/>
      </c>
      <c r="R57" s="44" t="str">
        <f>IFERROR(INDEX(MD_SKU[Application],MATCH(KH_26_OPT4_KTQT_v4[[#This Row],[Tên sản phẩm]],MD_SKU[Tên SKU-rút gọn],0)),"")</f>
        <v>THỔI CHAI</v>
      </c>
      <c r="S57" s="7" t="str">
        <f>IFERROR(INDEX(MD_SKU[Phân loại],MATCH(KH_26_OPT4_KTQT_v4[[#This Row],[Tên sản phẩm]],MD_SKU[Tên SKU-rút gọn],0)),"")</f>
        <v>Cũ</v>
      </c>
      <c r="T57" s="7" t="s">
        <v>5</v>
      </c>
      <c r="U57" s="7" t="s">
        <v>1508</v>
      </c>
      <c r="V57" s="70">
        <v>0.8</v>
      </c>
      <c r="W57" s="33">
        <v>22</v>
      </c>
      <c r="X57" s="33">
        <v>22</v>
      </c>
      <c r="Y57" s="33">
        <v>22</v>
      </c>
      <c r="Z57" s="33">
        <v>22</v>
      </c>
      <c r="AA57" s="33">
        <v>22</v>
      </c>
      <c r="AB57" s="33">
        <v>22</v>
      </c>
      <c r="AC57" s="33">
        <v>22</v>
      </c>
      <c r="AD57" s="33">
        <v>22</v>
      </c>
      <c r="AE57" s="33">
        <v>22</v>
      </c>
      <c r="AF57" s="33">
        <v>22</v>
      </c>
      <c r="AG57" s="33">
        <v>22</v>
      </c>
      <c r="AH57" s="33">
        <v>22</v>
      </c>
      <c r="AI57" s="47">
        <f ca="1">SUM(KH_26_OPT4_KTQT_v4[[#This Row],[SL-01]:[SL-12]])</f>
        <v>264</v>
      </c>
      <c r="AJ57" s="47">
        <f ca="1">SUMIFS(DB_25[SL-DB25],DB_25[Mã khách],KH_26_OPT4_KTQT_v4[[#This Row],[Mã khách]],DB_25[Mã sản phẩm],KH_26_OPT4_KTQT_v4[[#This Row],[Mã sản phẩm]])</f>
        <v>414</v>
      </c>
      <c r="AK57" s="20">
        <f ca="1">KH_26_OPT4_KTQT_v4[[#This Row],[SL-KH26]]-KH_26_OPT4_KTQT_v4[[#This Row],[SL-DB25]]</f>
        <v>-150</v>
      </c>
      <c r="AL57" s="21">
        <f ca="1">IFERROR(KH_26_OPT4_KTQT_v4[[#This Row],[SL-+/-]]/KH_26_OPT4_KTQT_v4[[#This Row],[SL-DB25]],0)</f>
        <v>-0.36231884057971014</v>
      </c>
      <c r="AM57" s="51">
        <f t="shared" si="6"/>
        <v>1300</v>
      </c>
      <c r="AN57" s="51">
        <f t="shared" si="6"/>
        <v>1300</v>
      </c>
      <c r="AO57" s="51">
        <f t="shared" si="6"/>
        <v>1300</v>
      </c>
      <c r="AP57" s="51">
        <f t="shared" si="6"/>
        <v>1300</v>
      </c>
      <c r="AQ57" s="51">
        <f t="shared" si="6"/>
        <v>1300</v>
      </c>
      <c r="AR57" s="51">
        <f t="shared" si="6"/>
        <v>1300</v>
      </c>
      <c r="AS57" s="51">
        <f t="shared" si="6"/>
        <v>1300</v>
      </c>
      <c r="AT57" s="51">
        <f t="shared" si="6"/>
        <v>1300</v>
      </c>
      <c r="AU57" s="51">
        <f t="shared" si="6"/>
        <v>1300</v>
      </c>
      <c r="AV57" s="51">
        <f t="shared" si="6"/>
        <v>1300</v>
      </c>
      <c r="AW57" s="51">
        <f t="shared" si="6"/>
        <v>1300</v>
      </c>
      <c r="AX57" s="51">
        <f t="shared" si="6"/>
        <v>1300</v>
      </c>
      <c r="AY57" s="23">
        <v>1286</v>
      </c>
      <c r="AZ57" s="7"/>
      <c r="BA57" s="24">
        <f>KH_26_OPT4_KTQT_v4[[#This Row],[GB-DB25]]-KH_26_OPT4_KTQT_v4[[#This Row],[GB-KH25]]</f>
        <v>1286</v>
      </c>
      <c r="BB57" s="21">
        <f>IFERROR(KH_26_OPT4_KTQT_v4[[#This Row],[GB-+/-]]/KH_26_OPT4_KTQT_v4[[#This Row],[GB-KH25]],0)</f>
        <v>0</v>
      </c>
      <c r="BC57" s="21"/>
      <c r="BD57" s="47">
        <f>KH_26_OPT4_KTQT_v4[[#This Row],[SL-01]]*KH_26_OPT4_KTQT_v4[[#This Row],[GB-01]]*EXR</f>
        <v>757900000</v>
      </c>
      <c r="BE57" s="47">
        <f>KH_26_OPT4_KTQT_v4[[#This Row],[SL-02]]*KH_26_OPT4_KTQT_v4[[#This Row],[GB-02]]*EXR</f>
        <v>757900000</v>
      </c>
      <c r="BF57" s="47">
        <f>KH_26_OPT4_KTQT_v4[[#This Row],[SL-03]]*KH_26_OPT4_KTQT_v4[[#This Row],[GB-03]]*EXR</f>
        <v>757900000</v>
      </c>
      <c r="BG57" s="47">
        <f>KH_26_OPT4_KTQT_v4[[#This Row],[SL-04]]*KH_26_OPT4_KTQT_v4[[#This Row],[GB-04]]*EXR</f>
        <v>757900000</v>
      </c>
      <c r="BH57" s="47">
        <f>KH_26_OPT4_KTQT_v4[[#This Row],[SL-05]]*KH_26_OPT4_KTQT_v4[[#This Row],[GB-05]]*EXR</f>
        <v>757900000</v>
      </c>
      <c r="BI57" s="47">
        <f>KH_26_OPT4_KTQT_v4[[#This Row],[SL-06]]*KH_26_OPT4_KTQT_v4[[#This Row],[GB-06]]*EXR</f>
        <v>757900000</v>
      </c>
      <c r="BJ57" s="47">
        <f>KH_26_OPT4_KTQT_v4[[#This Row],[SL-07]]*KH_26_OPT4_KTQT_v4[[#This Row],[GB-07]]*EXR</f>
        <v>757900000</v>
      </c>
      <c r="BK57" s="47">
        <f>KH_26_OPT4_KTQT_v4[[#This Row],[SL-08]]*KH_26_OPT4_KTQT_v4[[#This Row],[GB-08]]*EXR</f>
        <v>757900000</v>
      </c>
      <c r="BL57" s="47">
        <f>KH_26_OPT4_KTQT_v4[[#This Row],[SL-09]]*KH_26_OPT4_KTQT_v4[[#This Row],[GB-09]]*EXR</f>
        <v>757900000</v>
      </c>
      <c r="BM57" s="47">
        <f>KH_26_OPT4_KTQT_v4[[#This Row],[SL-10]]*KH_26_OPT4_KTQT_v4[[#This Row],[GB-10]]*EXR</f>
        <v>757900000</v>
      </c>
      <c r="BN57" s="47">
        <f>KH_26_OPT4_KTQT_v4[[#This Row],[SL-11]]*KH_26_OPT4_KTQT_v4[[#This Row],[GB-11]]*EXR</f>
        <v>757900000</v>
      </c>
      <c r="BO57" s="47">
        <f>KH_26_OPT4_KTQT_v4[[#This Row],[SL-12]]*KH_26_OPT4_KTQT_v4[[#This Row],[GB-12]]*EXR</f>
        <v>757900000</v>
      </c>
      <c r="BP57" s="47">
        <f ca="1">SUM(KH_26_OPT4_KTQT_v4[[#This Row],[DT-EXW-01]:[DT-EXW-12]])</f>
        <v>9094800000</v>
      </c>
      <c r="BQ57" s="47">
        <f ca="1">SUMIFS(DB_25[DT-DB25],DB_25[Mã khách],KH_26_OPT4_KTQT_v4[[#This Row],[Mã khách]],DB_25[Mã sản phẩm],KH_26_OPT4_KTQT_v4[[#This Row],[Mã sản phẩm]])</f>
        <v>6673979703.6715193</v>
      </c>
      <c r="BR57" s="47">
        <f ca="1">KH_26_OPT4_KTQT_v4[[#This Row],[DT-EXW-KH26]]-KH_26_OPT4_KTQT_v4[[#This Row],[DT-EXW-DB25]]</f>
        <v>2420820296.3284807</v>
      </c>
      <c r="BS57" s="21">
        <f ca="1">IFERROR(KH_26_OPT4_KTQT_v4[[#This Row],[DT-EXW-+/-]]/KH_26_OPT4_KTQT_v4[[#This Row],[DT-EXW-DB25]],0)</f>
        <v>0.36272515108140474</v>
      </c>
      <c r="BT57" s="139"/>
      <c r="BU57" s="57"/>
      <c r="BV57" s="51"/>
      <c r="BW57" s="47">
        <f>IF(KH_26_OPT4_KTQT_v4[[#This Row],[CPHH-%-SL]]="Dthu",KH_26_OPT4_KTQT_v4[[#This Row],[%HH]]*KH_26_OPT4_KTQT_v4[[#This Row],[DT-EXW-01]],KH_26_OPT4_KTQT_v4[[#This Row],[HH-SL]]*KH_26_OPT4_KTQT_v4[[#This Row],[SL-01]])</f>
        <v>0</v>
      </c>
      <c r="BX57" s="47">
        <f>IF(KH_26_OPT4_KTQT_v4[[#This Row],[CPHH-%-SL]]="Dthu",KH_26_OPT4_KTQT_v4[[#This Row],[%HH]]*KH_26_OPT4_KTQT_v4[[#This Row],[DT-EXW-02]],KH_26_OPT4_KTQT_v4[[#This Row],[HH-SL]]*KH_26_OPT4_KTQT_v4[[#This Row],[SL-02]])</f>
        <v>0</v>
      </c>
      <c r="BY57" s="47">
        <f>IF(KH_26_OPT4_KTQT_v4[[#This Row],[CPHH-%-SL]]="Dthu",KH_26_OPT4_KTQT_v4[[#This Row],[%HH]]*KH_26_OPT4_KTQT_v4[[#This Row],[DT-EXW-03]],KH_26_OPT4_KTQT_v4[[#This Row],[HH-SL]]*KH_26_OPT4_KTQT_v4[[#This Row],[SL-03]])</f>
        <v>0</v>
      </c>
      <c r="BZ57" s="47">
        <f>IF(KH_26_OPT4_KTQT_v4[[#This Row],[CPHH-%-SL]]="Dthu",KH_26_OPT4_KTQT_v4[[#This Row],[%HH]]*KH_26_OPT4_KTQT_v4[[#This Row],[DT-EXW-04]],KH_26_OPT4_KTQT_v4[[#This Row],[HH-SL]]*KH_26_OPT4_KTQT_v4[[#This Row],[SL-04]])</f>
        <v>0</v>
      </c>
      <c r="CA57" s="47">
        <f>IF(KH_26_OPT4_KTQT_v4[[#This Row],[CPHH-%-SL]]="Dthu",KH_26_OPT4_KTQT_v4[[#This Row],[%HH]]*KH_26_OPT4_KTQT_v4[[#This Row],[DT-EXW-05]],KH_26_OPT4_KTQT_v4[[#This Row],[HH-SL]]*KH_26_OPT4_KTQT_v4[[#This Row],[SL-05]])</f>
        <v>0</v>
      </c>
      <c r="CB57" s="47">
        <f>IF(KH_26_OPT4_KTQT_v4[[#This Row],[CPHH-%-SL]]="Dthu",KH_26_OPT4_KTQT_v4[[#This Row],[%HH]]*KH_26_OPT4_KTQT_v4[[#This Row],[DT-EXW-06]],KH_26_OPT4_KTQT_v4[[#This Row],[HH-SL]]*KH_26_OPT4_KTQT_v4[[#This Row],[SL-06]])</f>
        <v>0</v>
      </c>
      <c r="CC57" s="47">
        <f>IF(KH_26_OPT4_KTQT_v4[[#This Row],[CPHH-%-SL]]="Dthu",KH_26_OPT4_KTQT_v4[[#This Row],[%HH]]*KH_26_OPT4_KTQT_v4[[#This Row],[DT-EXW-07]],KH_26_OPT4_KTQT_v4[[#This Row],[HH-SL]]*KH_26_OPT4_KTQT_v4[[#This Row],[SL-07]])</f>
        <v>0</v>
      </c>
      <c r="CD57" s="47">
        <f>IF(KH_26_OPT4_KTQT_v4[[#This Row],[CPHH-%-SL]]="Dthu",KH_26_OPT4_KTQT_v4[[#This Row],[%HH]]*KH_26_OPT4_KTQT_v4[[#This Row],[DT-EXW-08]],KH_26_OPT4_KTQT_v4[[#This Row],[HH-SL]]*KH_26_OPT4_KTQT_v4[[#This Row],[SL-08]])</f>
        <v>0</v>
      </c>
      <c r="CE57" s="47">
        <f>IF(KH_26_OPT4_KTQT_v4[[#This Row],[CPHH-%-SL]]="Dthu",KH_26_OPT4_KTQT_v4[[#This Row],[%HH]]*KH_26_OPT4_KTQT_v4[[#This Row],[DT-EXW-09]],KH_26_OPT4_KTQT_v4[[#This Row],[HH-SL]]*KH_26_OPT4_KTQT_v4[[#This Row],[SL-09]])</f>
        <v>0</v>
      </c>
      <c r="CF57" s="47">
        <f>IF(KH_26_OPT4_KTQT_v4[[#This Row],[CPHH-%-SL]]="Dthu",KH_26_OPT4_KTQT_v4[[#This Row],[%HH]]*KH_26_OPT4_KTQT_v4[[#This Row],[DT-EXW-10]],KH_26_OPT4_KTQT_v4[[#This Row],[HH-SL]]*KH_26_OPT4_KTQT_v4[[#This Row],[SL-10]])</f>
        <v>0</v>
      </c>
      <c r="CG57" s="47">
        <f>IF(KH_26_OPT4_KTQT_v4[[#This Row],[CPHH-%-SL]]="Dthu",KH_26_OPT4_KTQT_v4[[#This Row],[%HH]]*KH_26_OPT4_KTQT_v4[[#This Row],[DT-EXW-11]],KH_26_OPT4_KTQT_v4[[#This Row],[HH-SL]]*KH_26_OPT4_KTQT_v4[[#This Row],[SL-11]])</f>
        <v>0</v>
      </c>
      <c r="CH57" s="47">
        <f>IF(KH_26_OPT4_KTQT_v4[[#This Row],[CPHH-%-SL]]="Dthu",KH_26_OPT4_KTQT_v4[[#This Row],[%HH]]*KH_26_OPT4_KTQT_v4[[#This Row],[DT-EXW-12]],KH_26_OPT4_KTQT_v4[[#This Row],[HH-SL]]*KH_26_OPT4_KTQT_v4[[#This Row],[SL-12]])</f>
        <v>0</v>
      </c>
      <c r="CI57" s="47">
        <f ca="1">SUM(KH_26_OPT4_KTQT_v4[[#This Row],[CPHH-01]:[CPHH-12]])</f>
        <v>0</v>
      </c>
      <c r="CJ57" s="47" cm="1">
        <f t="array" ref="CJ57">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57" s="19">
        <f ca="1">SUM(KH_26_OPT4_KTQT_v4[[#This Row],[ĐGVCNĐ-KXK]:[ĐGVCCT-KXK]])</f>
        <v>0</v>
      </c>
      <c r="CL57" s="47" cm="1">
        <f t="array" ref="CL57">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57" s="47" cm="1">
        <f t="array" ref="CM57">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57" s="47">
        <f ca="1">(KH_26_OPT4_KTQT_v4[[#This Row],[ĐGVC-KNĐ]]+KH_26_OPT4_KTQT_v4[[#This Row],[ĐGVC-KXK]])*KH_26_OPT4_KTQT_v4[[#This Row],[SL-01]]</f>
        <v>0</v>
      </c>
      <c r="CO57" s="47">
        <f ca="1">(KH_26_OPT4_KTQT_v4[[#This Row],[ĐGVC-KNĐ]]+KH_26_OPT4_KTQT_v4[[#This Row],[ĐGVC-KXK]])*KH_26_OPT4_KTQT_v4[[#This Row],[SL-02]]</f>
        <v>0</v>
      </c>
      <c r="CP57" s="47">
        <f ca="1">(KH_26_OPT4_KTQT_v4[[#This Row],[ĐGVC-KNĐ]]+KH_26_OPT4_KTQT_v4[[#This Row],[ĐGVC-KXK]])*KH_26_OPT4_KTQT_v4[[#This Row],[SL-03]]</f>
        <v>0</v>
      </c>
      <c r="CQ57" s="47">
        <f ca="1">(KH_26_OPT4_KTQT_v4[[#This Row],[ĐGVC-KNĐ]]+KH_26_OPT4_KTQT_v4[[#This Row],[ĐGVC-KXK]])*KH_26_OPT4_KTQT_v4[[#This Row],[SL-04]]</f>
        <v>0</v>
      </c>
      <c r="CR57" s="47">
        <f ca="1">(KH_26_OPT4_KTQT_v4[[#This Row],[ĐGVC-KNĐ]]+KH_26_OPT4_KTQT_v4[[#This Row],[ĐGVC-KXK]])*KH_26_OPT4_KTQT_v4[[#This Row],[SL-05]]</f>
        <v>0</v>
      </c>
      <c r="CS57" s="47">
        <f ca="1">(KH_26_OPT4_KTQT_v4[[#This Row],[ĐGVC-KNĐ]]+KH_26_OPT4_KTQT_v4[[#This Row],[ĐGVC-KXK]])*KH_26_OPT4_KTQT_v4[[#This Row],[SL-06]]</f>
        <v>0</v>
      </c>
      <c r="CT57" s="47">
        <f ca="1">(KH_26_OPT4_KTQT_v4[[#This Row],[ĐGVC-KNĐ]]+KH_26_OPT4_KTQT_v4[[#This Row],[ĐGVC-KXK]])*KH_26_OPT4_KTQT_v4[[#This Row],[SL-07]]</f>
        <v>0</v>
      </c>
      <c r="CU57" s="47">
        <f ca="1">(KH_26_OPT4_KTQT_v4[[#This Row],[ĐGVC-KNĐ]]+KH_26_OPT4_KTQT_v4[[#This Row],[ĐGVC-KXK]])*KH_26_OPT4_KTQT_v4[[#This Row],[SL-08]]</f>
        <v>0</v>
      </c>
      <c r="CV57" s="47">
        <f ca="1">(KH_26_OPT4_KTQT_v4[[#This Row],[ĐGVC-KNĐ]]+KH_26_OPT4_KTQT_v4[[#This Row],[ĐGVC-KXK]])*KH_26_OPT4_KTQT_v4[[#This Row],[SL-09]]</f>
        <v>0</v>
      </c>
      <c r="CW57" s="47">
        <f ca="1">(KH_26_OPT4_KTQT_v4[[#This Row],[ĐGVC-KNĐ]]+KH_26_OPT4_KTQT_v4[[#This Row],[ĐGVC-KXK]])*KH_26_OPT4_KTQT_v4[[#This Row],[SL-10]]</f>
        <v>0</v>
      </c>
      <c r="CX57" s="47">
        <f ca="1">(KH_26_OPT4_KTQT_v4[[#This Row],[ĐGVC-KNĐ]]+KH_26_OPT4_KTQT_v4[[#This Row],[ĐGVC-KXK]])*KH_26_OPT4_KTQT_v4[[#This Row],[SL-11]]</f>
        <v>0</v>
      </c>
      <c r="CY57" s="47">
        <f ca="1">(KH_26_OPT4_KTQT_v4[[#This Row],[ĐGVC-KNĐ]]+KH_26_OPT4_KTQT_v4[[#This Row],[ĐGVC-KXK]])*KH_26_OPT4_KTQT_v4[[#This Row],[SL-12]]</f>
        <v>0</v>
      </c>
      <c r="CZ57" s="47">
        <f ca="1">SUM(KH_26_OPT4_KTQT_v4[[#This Row],[CPVC-01]:[CPVC-12]])</f>
        <v>0</v>
      </c>
      <c r="DA57" s="124">
        <f ca="1">KH_26_OPT4_KTQT_v4[[#This Row],[DT-EXW-01]]+KH_26_OPT4_KTQT_v4[[#This Row],[CPVC-01]]+KH_26_OPT4_KTQT_v4[[#This Row],[CPHH-01]]</f>
        <v>757900000</v>
      </c>
      <c r="DB57" s="47">
        <f ca="1">KH_26_OPT4_KTQT_v4[[#This Row],[DT-EXW-02]]+KH_26_OPT4_KTQT_v4[[#This Row],[CPVC-02]]+KH_26_OPT4_KTQT_v4[[#This Row],[CPHH-02]]</f>
        <v>757900000</v>
      </c>
      <c r="DC57" s="47">
        <f ca="1">KH_26_OPT4_KTQT_v4[[#This Row],[DT-EXW-03]]+KH_26_OPT4_KTQT_v4[[#This Row],[CPVC-03]]+KH_26_OPT4_KTQT_v4[[#This Row],[CPHH-03]]</f>
        <v>757900000</v>
      </c>
      <c r="DD57" s="47">
        <f ca="1">KH_26_OPT4_KTQT_v4[[#This Row],[DT-EXW-04]]+KH_26_OPT4_KTQT_v4[[#This Row],[CPVC-04]]+KH_26_OPT4_KTQT_v4[[#This Row],[CPHH-04]]</f>
        <v>757900000</v>
      </c>
      <c r="DE57" s="47">
        <f ca="1">KH_26_OPT4_KTQT_v4[[#This Row],[DT-EXW-05]]+KH_26_OPT4_KTQT_v4[[#This Row],[CPVC-05]]+KH_26_OPT4_KTQT_v4[[#This Row],[CPHH-05]]</f>
        <v>757900000</v>
      </c>
      <c r="DF57" s="47">
        <f ca="1">KH_26_OPT4_KTQT_v4[[#This Row],[DT-EXW-06]]+KH_26_OPT4_KTQT_v4[[#This Row],[CPVC-06]]+KH_26_OPT4_KTQT_v4[[#This Row],[CPHH-06]]</f>
        <v>757900000</v>
      </c>
      <c r="DG57" s="47">
        <f ca="1">KH_26_OPT4_KTQT_v4[[#This Row],[DT-EXW-07]]+KH_26_OPT4_KTQT_v4[[#This Row],[CPVC-07]]+KH_26_OPT4_KTQT_v4[[#This Row],[CPHH-07]]</f>
        <v>757900000</v>
      </c>
      <c r="DH57" s="47">
        <f ca="1">KH_26_OPT4_KTQT_v4[[#This Row],[DT-EXW-08]]+KH_26_OPT4_KTQT_v4[[#This Row],[CPVC-08]]+KH_26_OPT4_KTQT_v4[[#This Row],[CPHH-08]]</f>
        <v>757900000</v>
      </c>
      <c r="DI57" s="47">
        <f ca="1">KH_26_OPT4_KTQT_v4[[#This Row],[DT-EXW-09]]+KH_26_OPT4_KTQT_v4[[#This Row],[CPVC-09]]+KH_26_OPT4_KTQT_v4[[#This Row],[CPHH-09]]</f>
        <v>757900000</v>
      </c>
      <c r="DJ57" s="47">
        <f ca="1">KH_26_OPT4_KTQT_v4[[#This Row],[DT-EXW-10]]+KH_26_OPT4_KTQT_v4[[#This Row],[CPVC-10]]+KH_26_OPT4_KTQT_v4[[#This Row],[CPHH-10]]</f>
        <v>757900000</v>
      </c>
      <c r="DK57" s="47">
        <f ca="1">KH_26_OPT4_KTQT_v4[[#This Row],[DT-EXW-11]]+KH_26_OPT4_KTQT_v4[[#This Row],[CPVC-11]]+KH_26_OPT4_KTQT_v4[[#This Row],[CPHH-11]]</f>
        <v>757900000</v>
      </c>
      <c r="DL57" s="47">
        <f ca="1">KH_26_OPT4_KTQT_v4[[#This Row],[DT-EXW-12]]+KH_26_OPT4_KTQT_v4[[#This Row],[CPVC-12]]+KH_26_OPT4_KTQT_v4[[#This Row],[CPHH-12]]</f>
        <v>757900000</v>
      </c>
      <c r="DM57" s="47">
        <f ca="1">SUM(KH_26_OPT4_KTQT_v4[[#This Row],[DT-01]:[DT-12]])</f>
        <v>9094800000</v>
      </c>
      <c r="DN57" s="7"/>
      <c r="DO57" s="7"/>
      <c r="DP57" s="125"/>
      <c r="DQ57" s="136"/>
      <c r="DR57" s="132">
        <f>IFERROR(KH_26_OPT4_KTQT_v4[[#This Row],[DT-EXW-01]]*KH_26_OPT4_KTQT_v4[[#This Row],[%CPDP]],0)</f>
        <v>0</v>
      </c>
      <c r="DS57" s="132">
        <f>IFERROR(KH_26_OPT4_KTQT_v4[[#This Row],[DT-EXW-02]]*KH_26_OPT4_KTQT_v4[[#This Row],[%CPDP]],0)</f>
        <v>0</v>
      </c>
      <c r="DT57" s="132">
        <f>IFERROR(KH_26_OPT4_KTQT_v4[[#This Row],[DT-EXW-03]]*KH_26_OPT4_KTQT_v4[[#This Row],[%CPDP]],0)</f>
        <v>0</v>
      </c>
      <c r="DU57" s="132">
        <f>IFERROR(KH_26_OPT4_KTQT_v4[[#This Row],[DT-EXW-04]]*KH_26_OPT4_KTQT_v4[[#This Row],[%CPDP]],0)</f>
        <v>0</v>
      </c>
      <c r="DV57" s="132">
        <f>IFERROR(KH_26_OPT4_KTQT_v4[[#This Row],[DT-EXW-05]]*KH_26_OPT4_KTQT_v4[[#This Row],[%CPDP]],0)</f>
        <v>0</v>
      </c>
      <c r="DW57" s="132">
        <f>IFERROR(KH_26_OPT4_KTQT_v4[[#This Row],[DT-EXW-06]]*KH_26_OPT4_KTQT_v4[[#This Row],[%CPDP]],0)</f>
        <v>0</v>
      </c>
      <c r="DX57" s="132">
        <f>IFERROR(KH_26_OPT4_KTQT_v4[[#This Row],[DT-EXW-07]]*KH_26_OPT4_KTQT_v4[[#This Row],[%CPDP]],0)</f>
        <v>0</v>
      </c>
      <c r="DY57" s="132">
        <f>IFERROR(KH_26_OPT4_KTQT_v4[[#This Row],[DT-EXW-08]]*KH_26_OPT4_KTQT_v4[[#This Row],[%CPDP]],0)</f>
        <v>0</v>
      </c>
      <c r="DZ57" s="132">
        <f>IFERROR(KH_26_OPT4_KTQT_v4[[#This Row],[DT-EXW-09]]*KH_26_OPT4_KTQT_v4[[#This Row],[%CPDP]],0)</f>
        <v>0</v>
      </c>
      <c r="EA57" s="132">
        <f>IFERROR(KH_26_OPT4_KTQT_v4[[#This Row],[DT-EXW-10]]*KH_26_OPT4_KTQT_v4[[#This Row],[%CPDP]],0)</f>
        <v>0</v>
      </c>
      <c r="EB57" s="132">
        <f>IFERROR(KH_26_OPT4_KTQT_v4[[#This Row],[DT-EXW-11]]*KH_26_OPT4_KTQT_v4[[#This Row],[%CPDP]],0)</f>
        <v>0</v>
      </c>
      <c r="EC57" s="132">
        <f>IFERROR(KH_26_OPT4_KTQT_v4[[#This Row],[DT-EXW-12]]*KH_26_OPT4_KTQT_v4[[#This Row],[%CPDP]],0)</f>
        <v>0</v>
      </c>
      <c r="ED57" s="131">
        <f ca="1">SUM(KH_26_OPT4_KTQT_v4[[#This Row],[CPDP-01]:[CPDP-12]])</f>
        <v>0</v>
      </c>
    </row>
    <row r="58" spans="1:134" ht="14.65" hidden="1" customHeight="1" x14ac:dyDescent="0.35">
      <c r="A58" s="18">
        <v>53</v>
      </c>
      <c r="B58" s="71" t="s">
        <v>104</v>
      </c>
      <c r="C58" s="18" t="str">
        <f>IFERROR(_xlfn.XLOOKUP(KH_26_OPT4_KTQT_v4[[#This Row],[Salesman]],MD_Salesman[Salesman],MD_Salesman[SalesManager]),"")</f>
        <v>Quốc Anh</v>
      </c>
      <c r="D58" s="72" t="str">
        <f>IFERROR(INDEX(MD_Customer[Mã khách],MATCH(KH_26_OPT4_KTQT_v4[[#This Row],[Tên khách]],MD_Customer[Tên khách-rút gọn],0)),"")</f>
        <v>105312</v>
      </c>
      <c r="E58" s="7" t="str">
        <f>IFERROR(INDEX(MD_Customer[Parent Account],MATCH(KH_26_OPT4_KTQT_v4[[#This Row],[Tên khách]],MD_Customer[Tên khách-rút gọn],0)),"")</f>
        <v>Coca Cola Việt Nam</v>
      </c>
      <c r="F58" s="35" t="s">
        <v>321</v>
      </c>
      <c r="G58" s="7" t="str">
        <f>IFERROR(INDEX(MD_Customer[Phân loại],MATCH(KH_26_OPT4_KTQT_v4[[#This Row],[Tên khách]],MD_Customer[Tên khách-rút gọn],0)),"")</f>
        <v>Hiện hữu</v>
      </c>
      <c r="H58" s="7" t="str">
        <f>IFERROR(INDEX(MD_Customer[Kênh bán hàng],MATCH(KH_26_OPT4_KTQT_v4[[#This Row],[Tên khách]],MD_Customer[Tên khách-rút gọn],0)),"")</f>
        <v>Nội địa</v>
      </c>
      <c r="I58" s="35" t="s">
        <v>276</v>
      </c>
      <c r="J58" s="7" t="str">
        <f>IFERROR(INDEX(MD_Destination[Nước],MATCH(KH_26_OPT4_KTQT_v4[[#This Row],[Địa điểm đến]],MD_Destination[Địa điểm đến],0)),"")</f>
        <v>Việt Nam</v>
      </c>
      <c r="K58" s="7" t="str">
        <f>IFERROR(INDEX(MD_Destination[Khu vực],MATCH(KH_26_OPT4_KTQT_v4[[#This Row],[Địa điểm đến]],MD_Destination[Địa điểm đến],0)),"")</f>
        <v>Châu Á</v>
      </c>
      <c r="L58" s="35" t="s">
        <v>262</v>
      </c>
      <c r="M58" s="7" t="str">
        <f>IFERROR(INDEX(MD_SKU[Mã SKU],MATCH(KH_26_OPT4_KTQT_v4[[#This Row],[Tên sản phẩm]],MD_SKU[Tên SKU-rút gọn],0)),"")</f>
        <v>110000332</v>
      </c>
      <c r="N58" s="35" t="s">
        <v>1124</v>
      </c>
      <c r="O58" s="7" t="str">
        <f>IFERROR(INDEX(MD_SKU[Ngành hàng],MATCH(KH_26_OPT4_KTQT_v4[[#This Row],[Tên sản phẩm]],MD_SKU[Tên SKU-rút gọn],0)),"")</f>
        <v>rPET</v>
      </c>
      <c r="P58" s="7" t="str">
        <f>IFERROR(INDEX(MD_SKU[Nhóm ngành],MATCH(KH_26_OPT4_KTQT_v4[[#This Row],[Tên sản phẩm]],MD_SKU[Tên SKU-rút gọn],0)),"")</f>
        <v>Hạt PET</v>
      </c>
      <c r="Q58" s="7" t="str">
        <f>IFERROR(
   IF(INDEX(MD_SKU[IV/IM],MATCH(KH_26_OPT4_KTQT_v4[[#This Row],[Tên sản phẩm]],MD_SKU[Tên SKU-rút gọn],0))=0,
      "",
      INDEX(MD_SKU[IV/IM],MATCH(KH_26_OPT4_KTQT_v4[[#This Row],[Tên sản phẩm]],MD_SKU[Tên SKU-rút gọn],0))
   ),
"")</f>
        <v>0.84 ± 0.03</v>
      </c>
      <c r="R58" s="44">
        <f>IFERROR(INDEX(MD_SKU[Application],MATCH(KH_26_OPT4_KTQT_v4[[#This Row],[Tên sản phẩm]],MD_SKU[Tên SKU-rút gọn],0)),"")</f>
        <v>0</v>
      </c>
      <c r="S58" s="7" t="str">
        <f>IFERROR(INDEX(MD_SKU[Phân loại],MATCH(KH_26_OPT4_KTQT_v4[[#This Row],[Tên sản phẩm]],MD_SKU[Tên SKU-rút gọn],0)),"")</f>
        <v>Cũ</v>
      </c>
      <c r="T58" s="7" t="s">
        <v>99</v>
      </c>
      <c r="U58" s="7" t="s">
        <v>1508</v>
      </c>
      <c r="V58" s="70">
        <v>0.8</v>
      </c>
      <c r="W58" s="33">
        <v>22</v>
      </c>
      <c r="X58" s="33">
        <v>22</v>
      </c>
      <c r="Y58" s="33">
        <v>22</v>
      </c>
      <c r="Z58" s="33">
        <v>22</v>
      </c>
      <c r="AA58" s="33">
        <v>22</v>
      </c>
      <c r="AB58" s="33">
        <v>22</v>
      </c>
      <c r="AC58" s="33">
        <v>22</v>
      </c>
      <c r="AD58" s="33">
        <v>22</v>
      </c>
      <c r="AE58" s="33">
        <v>22</v>
      </c>
      <c r="AF58" s="33">
        <v>22</v>
      </c>
      <c r="AG58" s="33">
        <v>22</v>
      </c>
      <c r="AH58" s="33">
        <v>22</v>
      </c>
      <c r="AI58" s="47">
        <f ca="1">SUM(KH_26_OPT4_KTQT_v4[[#This Row],[SL-01]:[SL-12]])</f>
        <v>264</v>
      </c>
      <c r="AJ58" s="47">
        <f ca="1">SUMIFS(DB_25[SL-DB25],DB_25[Mã khách],KH_26_OPT4_KTQT_v4[[#This Row],[Mã khách]],DB_25[Mã sản phẩm],KH_26_OPT4_KTQT_v4[[#This Row],[Mã sản phẩm]])</f>
        <v>220</v>
      </c>
      <c r="AK58" s="20">
        <f ca="1">KH_26_OPT4_KTQT_v4[[#This Row],[SL-KH26]]-KH_26_OPT4_KTQT_v4[[#This Row],[SL-DB25]]</f>
        <v>44</v>
      </c>
      <c r="AL58" s="21">
        <f ca="1">IFERROR(KH_26_OPT4_KTQT_v4[[#This Row],[SL-+/-]]/KH_26_OPT4_KTQT_v4[[#This Row],[SL-DB25]],0)</f>
        <v>0.2</v>
      </c>
      <c r="AM58" s="51">
        <f t="shared" ref="AM58:AX59" si="7">1260+42</f>
        <v>1302</v>
      </c>
      <c r="AN58" s="51">
        <f t="shared" si="7"/>
        <v>1302</v>
      </c>
      <c r="AO58" s="51">
        <f t="shared" si="7"/>
        <v>1302</v>
      </c>
      <c r="AP58" s="51">
        <f t="shared" si="7"/>
        <v>1302</v>
      </c>
      <c r="AQ58" s="51">
        <f t="shared" si="7"/>
        <v>1302</v>
      </c>
      <c r="AR58" s="51">
        <f t="shared" si="7"/>
        <v>1302</v>
      </c>
      <c r="AS58" s="51">
        <f t="shared" si="7"/>
        <v>1302</v>
      </c>
      <c r="AT58" s="51">
        <f t="shared" si="7"/>
        <v>1302</v>
      </c>
      <c r="AU58" s="51">
        <f t="shared" si="7"/>
        <v>1302</v>
      </c>
      <c r="AV58" s="51">
        <f t="shared" si="7"/>
        <v>1302</v>
      </c>
      <c r="AW58" s="51">
        <f t="shared" si="7"/>
        <v>1302</v>
      </c>
      <c r="AX58" s="51">
        <f t="shared" si="7"/>
        <v>1302</v>
      </c>
      <c r="AY58" s="23">
        <v>1302</v>
      </c>
      <c r="AZ58" s="7"/>
      <c r="BA58" s="24">
        <f>KH_26_OPT4_KTQT_v4[[#This Row],[GB-DB25]]-KH_26_OPT4_KTQT_v4[[#This Row],[GB-KH25]]</f>
        <v>1302</v>
      </c>
      <c r="BB58" s="21">
        <f>IFERROR(KH_26_OPT4_KTQT_v4[[#This Row],[GB-+/-]]/KH_26_OPT4_KTQT_v4[[#This Row],[GB-KH25]],0)</f>
        <v>0</v>
      </c>
      <c r="BC58" s="21"/>
      <c r="BD58" s="47">
        <f>KH_26_OPT4_KTQT_v4[[#This Row],[SL-01]]*KH_26_OPT4_KTQT_v4[[#This Row],[GB-01]]*EXR</f>
        <v>759066000</v>
      </c>
      <c r="BE58" s="47">
        <f>KH_26_OPT4_KTQT_v4[[#This Row],[SL-02]]*KH_26_OPT4_KTQT_v4[[#This Row],[GB-02]]*EXR</f>
        <v>759066000</v>
      </c>
      <c r="BF58" s="47">
        <f>KH_26_OPT4_KTQT_v4[[#This Row],[SL-03]]*KH_26_OPT4_KTQT_v4[[#This Row],[GB-03]]*EXR</f>
        <v>759066000</v>
      </c>
      <c r="BG58" s="47">
        <f>KH_26_OPT4_KTQT_v4[[#This Row],[SL-04]]*KH_26_OPT4_KTQT_v4[[#This Row],[GB-04]]*EXR</f>
        <v>759066000</v>
      </c>
      <c r="BH58" s="47">
        <f>KH_26_OPT4_KTQT_v4[[#This Row],[SL-05]]*KH_26_OPT4_KTQT_v4[[#This Row],[GB-05]]*EXR</f>
        <v>759066000</v>
      </c>
      <c r="BI58" s="47">
        <f>KH_26_OPT4_KTQT_v4[[#This Row],[SL-06]]*KH_26_OPT4_KTQT_v4[[#This Row],[GB-06]]*EXR</f>
        <v>759066000</v>
      </c>
      <c r="BJ58" s="47">
        <f>KH_26_OPT4_KTQT_v4[[#This Row],[SL-07]]*KH_26_OPT4_KTQT_v4[[#This Row],[GB-07]]*EXR</f>
        <v>759066000</v>
      </c>
      <c r="BK58" s="47">
        <f>KH_26_OPT4_KTQT_v4[[#This Row],[SL-08]]*KH_26_OPT4_KTQT_v4[[#This Row],[GB-08]]*EXR</f>
        <v>759066000</v>
      </c>
      <c r="BL58" s="47">
        <f>KH_26_OPT4_KTQT_v4[[#This Row],[SL-09]]*KH_26_OPT4_KTQT_v4[[#This Row],[GB-09]]*EXR</f>
        <v>759066000</v>
      </c>
      <c r="BM58" s="47">
        <f>KH_26_OPT4_KTQT_v4[[#This Row],[SL-10]]*KH_26_OPT4_KTQT_v4[[#This Row],[GB-10]]*EXR</f>
        <v>759066000</v>
      </c>
      <c r="BN58" s="47">
        <f>KH_26_OPT4_KTQT_v4[[#This Row],[SL-11]]*KH_26_OPT4_KTQT_v4[[#This Row],[GB-11]]*EXR</f>
        <v>759066000</v>
      </c>
      <c r="BO58" s="47">
        <f>KH_26_OPT4_KTQT_v4[[#This Row],[SL-12]]*KH_26_OPT4_KTQT_v4[[#This Row],[GB-12]]*EXR</f>
        <v>759066000</v>
      </c>
      <c r="BP58" s="47">
        <f ca="1">SUM(KH_26_OPT4_KTQT_v4[[#This Row],[DT-EXW-01]:[DT-EXW-12]])</f>
        <v>9108792000</v>
      </c>
      <c r="BQ58" s="47">
        <f ca="1">SUMIFS(DB_25[DT-DB25],DB_25[Mã khách],KH_26_OPT4_KTQT_v4[[#This Row],[Mã khách]],DB_25[Mã sản phẩm],KH_26_OPT4_KTQT_v4[[#This Row],[Mã sản phẩm]])</f>
        <v>3147384955.4822073</v>
      </c>
      <c r="BR58" s="47">
        <f ca="1">KH_26_OPT4_KTQT_v4[[#This Row],[DT-EXW-KH26]]-KH_26_OPT4_KTQT_v4[[#This Row],[DT-EXW-DB25]]</f>
        <v>5961407044.5177927</v>
      </c>
      <c r="BS58" s="21">
        <f ca="1">IFERROR(KH_26_OPT4_KTQT_v4[[#This Row],[DT-EXW-+/-]]/KH_26_OPT4_KTQT_v4[[#This Row],[DT-EXW-DB25]],0)</f>
        <v>1.8940825888279218</v>
      </c>
      <c r="BT58" s="139" t="s">
        <v>532</v>
      </c>
      <c r="BU58" s="57">
        <v>0.01</v>
      </c>
      <c r="BV58" s="51"/>
      <c r="BW58" s="47">
        <f>IF(KH_26_OPT4_KTQT_v4[[#This Row],[CPHH-%-SL]]="Dthu",KH_26_OPT4_KTQT_v4[[#This Row],[%HH]]*KH_26_OPT4_KTQT_v4[[#This Row],[DT-EXW-01]],KH_26_OPT4_KTQT_v4[[#This Row],[HH-SL]]*KH_26_OPT4_KTQT_v4[[#This Row],[SL-01]])</f>
        <v>7590660</v>
      </c>
      <c r="BX58" s="47">
        <f>IF(KH_26_OPT4_KTQT_v4[[#This Row],[CPHH-%-SL]]="Dthu",KH_26_OPT4_KTQT_v4[[#This Row],[%HH]]*KH_26_OPT4_KTQT_v4[[#This Row],[DT-EXW-02]],KH_26_OPT4_KTQT_v4[[#This Row],[HH-SL]]*KH_26_OPT4_KTQT_v4[[#This Row],[SL-02]])</f>
        <v>7590660</v>
      </c>
      <c r="BY58" s="47">
        <f>IF(KH_26_OPT4_KTQT_v4[[#This Row],[CPHH-%-SL]]="Dthu",KH_26_OPT4_KTQT_v4[[#This Row],[%HH]]*KH_26_OPT4_KTQT_v4[[#This Row],[DT-EXW-03]],KH_26_OPT4_KTQT_v4[[#This Row],[HH-SL]]*KH_26_OPT4_KTQT_v4[[#This Row],[SL-03]])</f>
        <v>7590660</v>
      </c>
      <c r="BZ58" s="47">
        <f>IF(KH_26_OPT4_KTQT_v4[[#This Row],[CPHH-%-SL]]="Dthu",KH_26_OPT4_KTQT_v4[[#This Row],[%HH]]*KH_26_OPT4_KTQT_v4[[#This Row],[DT-EXW-04]],KH_26_OPT4_KTQT_v4[[#This Row],[HH-SL]]*KH_26_OPT4_KTQT_v4[[#This Row],[SL-04]])</f>
        <v>7590660</v>
      </c>
      <c r="CA58" s="47">
        <f>IF(KH_26_OPT4_KTQT_v4[[#This Row],[CPHH-%-SL]]="Dthu",KH_26_OPT4_KTQT_v4[[#This Row],[%HH]]*KH_26_OPT4_KTQT_v4[[#This Row],[DT-EXW-05]],KH_26_OPT4_KTQT_v4[[#This Row],[HH-SL]]*KH_26_OPT4_KTQT_v4[[#This Row],[SL-05]])</f>
        <v>7590660</v>
      </c>
      <c r="CB58" s="47">
        <f>IF(KH_26_OPT4_KTQT_v4[[#This Row],[CPHH-%-SL]]="Dthu",KH_26_OPT4_KTQT_v4[[#This Row],[%HH]]*KH_26_OPT4_KTQT_v4[[#This Row],[DT-EXW-06]],KH_26_OPT4_KTQT_v4[[#This Row],[HH-SL]]*KH_26_OPT4_KTQT_v4[[#This Row],[SL-06]])</f>
        <v>7590660</v>
      </c>
      <c r="CC58" s="47">
        <f>IF(KH_26_OPT4_KTQT_v4[[#This Row],[CPHH-%-SL]]="Dthu",KH_26_OPT4_KTQT_v4[[#This Row],[%HH]]*KH_26_OPT4_KTQT_v4[[#This Row],[DT-EXW-07]],KH_26_OPT4_KTQT_v4[[#This Row],[HH-SL]]*KH_26_OPT4_KTQT_v4[[#This Row],[SL-07]])</f>
        <v>7590660</v>
      </c>
      <c r="CD58" s="47">
        <f>IF(KH_26_OPT4_KTQT_v4[[#This Row],[CPHH-%-SL]]="Dthu",KH_26_OPT4_KTQT_v4[[#This Row],[%HH]]*KH_26_OPT4_KTQT_v4[[#This Row],[DT-EXW-08]],KH_26_OPT4_KTQT_v4[[#This Row],[HH-SL]]*KH_26_OPT4_KTQT_v4[[#This Row],[SL-08]])</f>
        <v>7590660</v>
      </c>
      <c r="CE58" s="47">
        <f>IF(KH_26_OPT4_KTQT_v4[[#This Row],[CPHH-%-SL]]="Dthu",KH_26_OPT4_KTQT_v4[[#This Row],[%HH]]*KH_26_OPT4_KTQT_v4[[#This Row],[DT-EXW-09]],KH_26_OPT4_KTQT_v4[[#This Row],[HH-SL]]*KH_26_OPT4_KTQT_v4[[#This Row],[SL-09]])</f>
        <v>7590660</v>
      </c>
      <c r="CF58" s="47">
        <f>IF(KH_26_OPT4_KTQT_v4[[#This Row],[CPHH-%-SL]]="Dthu",KH_26_OPT4_KTQT_v4[[#This Row],[%HH]]*KH_26_OPT4_KTQT_v4[[#This Row],[DT-EXW-10]],KH_26_OPT4_KTQT_v4[[#This Row],[HH-SL]]*KH_26_OPT4_KTQT_v4[[#This Row],[SL-10]])</f>
        <v>7590660</v>
      </c>
      <c r="CG58" s="47">
        <f>IF(KH_26_OPT4_KTQT_v4[[#This Row],[CPHH-%-SL]]="Dthu",KH_26_OPT4_KTQT_v4[[#This Row],[%HH]]*KH_26_OPT4_KTQT_v4[[#This Row],[DT-EXW-11]],KH_26_OPT4_KTQT_v4[[#This Row],[HH-SL]]*KH_26_OPT4_KTQT_v4[[#This Row],[SL-11]])</f>
        <v>7590660</v>
      </c>
      <c r="CH58" s="47">
        <f>IF(KH_26_OPT4_KTQT_v4[[#This Row],[CPHH-%-SL]]="Dthu",KH_26_OPT4_KTQT_v4[[#This Row],[%HH]]*KH_26_OPT4_KTQT_v4[[#This Row],[DT-EXW-12]],KH_26_OPT4_KTQT_v4[[#This Row],[HH-SL]]*KH_26_OPT4_KTQT_v4[[#This Row],[SL-12]])</f>
        <v>7590660</v>
      </c>
      <c r="CI58" s="47">
        <f ca="1">SUM(KH_26_OPT4_KTQT_v4[[#This Row],[CPHH-01]:[CPHH-12]])</f>
        <v>91087920</v>
      </c>
      <c r="CJ58" s="47" cm="1">
        <f t="array" ref="CJ58">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140000</v>
      </c>
      <c r="CK58" s="19">
        <f ca="1">SUM(KH_26_OPT4_KTQT_v4[[#This Row],[ĐGVCNĐ-KXK]:[ĐGVCCT-KXK]])</f>
        <v>0</v>
      </c>
      <c r="CL58" s="47" cm="1">
        <f t="array" ref="CL58">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58" s="47" cm="1">
        <f t="array" ref="CM58">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58" s="47">
        <f ca="1">(KH_26_OPT4_KTQT_v4[[#This Row],[ĐGVC-KNĐ]]+KH_26_OPT4_KTQT_v4[[#This Row],[ĐGVC-KXK]])*KH_26_OPT4_KTQT_v4[[#This Row],[SL-01]]</f>
        <v>3080000</v>
      </c>
      <c r="CO58" s="47">
        <f ca="1">(KH_26_OPT4_KTQT_v4[[#This Row],[ĐGVC-KNĐ]]+KH_26_OPT4_KTQT_v4[[#This Row],[ĐGVC-KXK]])*KH_26_OPT4_KTQT_v4[[#This Row],[SL-02]]</f>
        <v>3080000</v>
      </c>
      <c r="CP58" s="47">
        <f ca="1">(KH_26_OPT4_KTQT_v4[[#This Row],[ĐGVC-KNĐ]]+KH_26_OPT4_KTQT_v4[[#This Row],[ĐGVC-KXK]])*KH_26_OPT4_KTQT_v4[[#This Row],[SL-03]]</f>
        <v>3080000</v>
      </c>
      <c r="CQ58" s="47">
        <f ca="1">(KH_26_OPT4_KTQT_v4[[#This Row],[ĐGVC-KNĐ]]+KH_26_OPT4_KTQT_v4[[#This Row],[ĐGVC-KXK]])*KH_26_OPT4_KTQT_v4[[#This Row],[SL-04]]</f>
        <v>3080000</v>
      </c>
      <c r="CR58" s="47">
        <f ca="1">(KH_26_OPT4_KTQT_v4[[#This Row],[ĐGVC-KNĐ]]+KH_26_OPT4_KTQT_v4[[#This Row],[ĐGVC-KXK]])*KH_26_OPT4_KTQT_v4[[#This Row],[SL-05]]</f>
        <v>3080000</v>
      </c>
      <c r="CS58" s="47">
        <f ca="1">(KH_26_OPT4_KTQT_v4[[#This Row],[ĐGVC-KNĐ]]+KH_26_OPT4_KTQT_v4[[#This Row],[ĐGVC-KXK]])*KH_26_OPT4_KTQT_v4[[#This Row],[SL-06]]</f>
        <v>3080000</v>
      </c>
      <c r="CT58" s="47">
        <f ca="1">(KH_26_OPT4_KTQT_v4[[#This Row],[ĐGVC-KNĐ]]+KH_26_OPT4_KTQT_v4[[#This Row],[ĐGVC-KXK]])*KH_26_OPT4_KTQT_v4[[#This Row],[SL-07]]</f>
        <v>3080000</v>
      </c>
      <c r="CU58" s="47">
        <f ca="1">(KH_26_OPT4_KTQT_v4[[#This Row],[ĐGVC-KNĐ]]+KH_26_OPT4_KTQT_v4[[#This Row],[ĐGVC-KXK]])*KH_26_OPT4_KTQT_v4[[#This Row],[SL-08]]</f>
        <v>3080000</v>
      </c>
      <c r="CV58" s="47">
        <f ca="1">(KH_26_OPT4_KTQT_v4[[#This Row],[ĐGVC-KNĐ]]+KH_26_OPT4_KTQT_v4[[#This Row],[ĐGVC-KXK]])*KH_26_OPT4_KTQT_v4[[#This Row],[SL-09]]</f>
        <v>3080000</v>
      </c>
      <c r="CW58" s="47">
        <f ca="1">(KH_26_OPT4_KTQT_v4[[#This Row],[ĐGVC-KNĐ]]+KH_26_OPT4_KTQT_v4[[#This Row],[ĐGVC-KXK]])*KH_26_OPT4_KTQT_v4[[#This Row],[SL-10]]</f>
        <v>3080000</v>
      </c>
      <c r="CX58" s="47">
        <f ca="1">(KH_26_OPT4_KTQT_v4[[#This Row],[ĐGVC-KNĐ]]+KH_26_OPT4_KTQT_v4[[#This Row],[ĐGVC-KXK]])*KH_26_OPT4_KTQT_v4[[#This Row],[SL-11]]</f>
        <v>3080000</v>
      </c>
      <c r="CY58" s="47">
        <f ca="1">(KH_26_OPT4_KTQT_v4[[#This Row],[ĐGVC-KNĐ]]+KH_26_OPT4_KTQT_v4[[#This Row],[ĐGVC-KXK]])*KH_26_OPT4_KTQT_v4[[#This Row],[SL-12]]</f>
        <v>3080000</v>
      </c>
      <c r="CZ58" s="47">
        <f ca="1">SUM(KH_26_OPT4_KTQT_v4[[#This Row],[CPVC-01]:[CPVC-12]])</f>
        <v>36960000</v>
      </c>
      <c r="DA58" s="124">
        <f ca="1">KH_26_OPT4_KTQT_v4[[#This Row],[DT-EXW-01]]+KH_26_OPT4_KTQT_v4[[#This Row],[CPVC-01]]+KH_26_OPT4_KTQT_v4[[#This Row],[CPHH-01]]</f>
        <v>769736660</v>
      </c>
      <c r="DB58" s="47">
        <f ca="1">KH_26_OPT4_KTQT_v4[[#This Row],[DT-EXW-02]]+KH_26_OPT4_KTQT_v4[[#This Row],[CPVC-02]]+KH_26_OPT4_KTQT_v4[[#This Row],[CPHH-02]]</f>
        <v>769736660</v>
      </c>
      <c r="DC58" s="47">
        <f ca="1">KH_26_OPT4_KTQT_v4[[#This Row],[DT-EXW-03]]+KH_26_OPT4_KTQT_v4[[#This Row],[CPVC-03]]+KH_26_OPT4_KTQT_v4[[#This Row],[CPHH-03]]</f>
        <v>769736660</v>
      </c>
      <c r="DD58" s="47">
        <f ca="1">KH_26_OPT4_KTQT_v4[[#This Row],[DT-EXW-04]]+KH_26_OPT4_KTQT_v4[[#This Row],[CPVC-04]]+KH_26_OPT4_KTQT_v4[[#This Row],[CPHH-04]]</f>
        <v>769736660</v>
      </c>
      <c r="DE58" s="47">
        <f ca="1">KH_26_OPT4_KTQT_v4[[#This Row],[DT-EXW-05]]+KH_26_OPT4_KTQT_v4[[#This Row],[CPVC-05]]+KH_26_OPT4_KTQT_v4[[#This Row],[CPHH-05]]</f>
        <v>769736660</v>
      </c>
      <c r="DF58" s="47">
        <f ca="1">KH_26_OPT4_KTQT_v4[[#This Row],[DT-EXW-06]]+KH_26_OPT4_KTQT_v4[[#This Row],[CPVC-06]]+KH_26_OPT4_KTQT_v4[[#This Row],[CPHH-06]]</f>
        <v>769736660</v>
      </c>
      <c r="DG58" s="47">
        <f ca="1">KH_26_OPT4_KTQT_v4[[#This Row],[DT-EXW-07]]+KH_26_OPT4_KTQT_v4[[#This Row],[CPVC-07]]+KH_26_OPT4_KTQT_v4[[#This Row],[CPHH-07]]</f>
        <v>769736660</v>
      </c>
      <c r="DH58" s="47">
        <f ca="1">KH_26_OPT4_KTQT_v4[[#This Row],[DT-EXW-08]]+KH_26_OPT4_KTQT_v4[[#This Row],[CPVC-08]]+KH_26_OPT4_KTQT_v4[[#This Row],[CPHH-08]]</f>
        <v>769736660</v>
      </c>
      <c r="DI58" s="47">
        <f ca="1">KH_26_OPT4_KTQT_v4[[#This Row],[DT-EXW-09]]+KH_26_OPT4_KTQT_v4[[#This Row],[CPVC-09]]+KH_26_OPT4_KTQT_v4[[#This Row],[CPHH-09]]</f>
        <v>769736660</v>
      </c>
      <c r="DJ58" s="47">
        <f ca="1">KH_26_OPT4_KTQT_v4[[#This Row],[DT-EXW-10]]+KH_26_OPT4_KTQT_v4[[#This Row],[CPVC-10]]+KH_26_OPT4_KTQT_v4[[#This Row],[CPHH-10]]</f>
        <v>769736660</v>
      </c>
      <c r="DK58" s="47">
        <f ca="1">KH_26_OPT4_KTQT_v4[[#This Row],[DT-EXW-11]]+KH_26_OPT4_KTQT_v4[[#This Row],[CPVC-11]]+KH_26_OPT4_KTQT_v4[[#This Row],[CPHH-11]]</f>
        <v>769736660</v>
      </c>
      <c r="DL58" s="47">
        <f ca="1">KH_26_OPT4_KTQT_v4[[#This Row],[DT-EXW-12]]+KH_26_OPT4_KTQT_v4[[#This Row],[CPVC-12]]+KH_26_OPT4_KTQT_v4[[#This Row],[CPHH-12]]</f>
        <v>769736660</v>
      </c>
      <c r="DM58" s="47">
        <f ca="1">SUM(KH_26_OPT4_KTQT_v4[[#This Row],[DT-01]:[DT-12]])</f>
        <v>9236839920</v>
      </c>
      <c r="DN58" s="7"/>
      <c r="DO58" s="7"/>
      <c r="DP58" s="125"/>
      <c r="DQ58" s="136"/>
      <c r="DR58" s="132">
        <f>IFERROR(KH_26_OPT4_KTQT_v4[[#This Row],[DT-EXW-01]]*KH_26_OPT4_KTQT_v4[[#This Row],[%CPDP]],0)</f>
        <v>0</v>
      </c>
      <c r="DS58" s="132">
        <f>IFERROR(KH_26_OPT4_KTQT_v4[[#This Row],[DT-EXW-02]]*KH_26_OPT4_KTQT_v4[[#This Row],[%CPDP]],0)</f>
        <v>0</v>
      </c>
      <c r="DT58" s="132">
        <f>IFERROR(KH_26_OPT4_KTQT_v4[[#This Row],[DT-EXW-03]]*KH_26_OPT4_KTQT_v4[[#This Row],[%CPDP]],0)</f>
        <v>0</v>
      </c>
      <c r="DU58" s="132">
        <f>IFERROR(KH_26_OPT4_KTQT_v4[[#This Row],[DT-EXW-04]]*KH_26_OPT4_KTQT_v4[[#This Row],[%CPDP]],0)</f>
        <v>0</v>
      </c>
      <c r="DV58" s="132">
        <f>IFERROR(KH_26_OPT4_KTQT_v4[[#This Row],[DT-EXW-05]]*KH_26_OPT4_KTQT_v4[[#This Row],[%CPDP]],0)</f>
        <v>0</v>
      </c>
      <c r="DW58" s="132">
        <f>IFERROR(KH_26_OPT4_KTQT_v4[[#This Row],[DT-EXW-06]]*KH_26_OPT4_KTQT_v4[[#This Row],[%CPDP]],0)</f>
        <v>0</v>
      </c>
      <c r="DX58" s="132">
        <f>IFERROR(KH_26_OPT4_KTQT_v4[[#This Row],[DT-EXW-07]]*KH_26_OPT4_KTQT_v4[[#This Row],[%CPDP]],0)</f>
        <v>0</v>
      </c>
      <c r="DY58" s="132">
        <f>IFERROR(KH_26_OPT4_KTQT_v4[[#This Row],[DT-EXW-08]]*KH_26_OPT4_KTQT_v4[[#This Row],[%CPDP]],0)</f>
        <v>0</v>
      </c>
      <c r="DZ58" s="132">
        <f>IFERROR(KH_26_OPT4_KTQT_v4[[#This Row],[DT-EXW-09]]*KH_26_OPT4_KTQT_v4[[#This Row],[%CPDP]],0)</f>
        <v>0</v>
      </c>
      <c r="EA58" s="132">
        <f>IFERROR(KH_26_OPT4_KTQT_v4[[#This Row],[DT-EXW-10]]*KH_26_OPT4_KTQT_v4[[#This Row],[%CPDP]],0)</f>
        <v>0</v>
      </c>
      <c r="EB58" s="132">
        <f>IFERROR(KH_26_OPT4_KTQT_v4[[#This Row],[DT-EXW-11]]*KH_26_OPT4_KTQT_v4[[#This Row],[%CPDP]],0)</f>
        <v>0</v>
      </c>
      <c r="EC58" s="132">
        <f>IFERROR(KH_26_OPT4_KTQT_v4[[#This Row],[DT-EXW-12]]*KH_26_OPT4_KTQT_v4[[#This Row],[%CPDP]],0)</f>
        <v>0</v>
      </c>
      <c r="ED58" s="131">
        <f ca="1">SUM(KH_26_OPT4_KTQT_v4[[#This Row],[CPDP-01]:[CPDP-12]])</f>
        <v>0</v>
      </c>
    </row>
    <row r="59" spans="1:134" ht="14.65" hidden="1" customHeight="1" x14ac:dyDescent="0.35">
      <c r="A59" s="18">
        <v>54</v>
      </c>
      <c r="B59" s="71" t="s">
        <v>104</v>
      </c>
      <c r="C59" s="18" t="str">
        <f>IFERROR(_xlfn.XLOOKUP(KH_26_OPT4_KTQT_v4[[#This Row],[Salesman]],MD_Salesman[Salesman],MD_Salesman[SalesManager]),"")</f>
        <v>Quốc Anh</v>
      </c>
      <c r="D59" s="72" t="str">
        <f>IFERROR(INDEX(MD_Customer[Mã khách],MATCH(KH_26_OPT4_KTQT_v4[[#This Row],[Tên khách]],MD_Customer[Tên khách-rút gọn],0)),"")</f>
        <v>105328</v>
      </c>
      <c r="E59" s="7" t="str">
        <f>IFERROR(INDEX(MD_Customer[Parent Account],MATCH(KH_26_OPT4_KTQT_v4[[#This Row],[Tên khách]],MD_Customer[Tên khách-rút gọn],0)),"")</f>
        <v>Coca Cola Việt Nam</v>
      </c>
      <c r="F59" s="35" t="s">
        <v>269</v>
      </c>
      <c r="G59" s="7" t="str">
        <f>IFERROR(INDEX(MD_Customer[Phân loại],MATCH(KH_26_OPT4_KTQT_v4[[#This Row],[Tên khách]],MD_Customer[Tên khách-rút gọn],0)),"")</f>
        <v>Hiện hữu</v>
      </c>
      <c r="H59" s="7" t="str">
        <f>IFERROR(INDEX(MD_Customer[Kênh bán hàng],MATCH(KH_26_OPT4_KTQT_v4[[#This Row],[Tên khách]],MD_Customer[Tên khách-rút gọn],0)),"")</f>
        <v>Nội địa</v>
      </c>
      <c r="I59" s="35" t="s">
        <v>258</v>
      </c>
      <c r="J59" s="7" t="str">
        <f>IFERROR(INDEX(MD_Destination[Nước],MATCH(KH_26_OPT4_KTQT_v4[[#This Row],[Địa điểm đến]],MD_Destination[Địa điểm đến],0)),"")</f>
        <v>Việt Nam</v>
      </c>
      <c r="K59" s="7" t="str">
        <f>IFERROR(INDEX(MD_Destination[Khu vực],MATCH(KH_26_OPT4_KTQT_v4[[#This Row],[Địa điểm đến]],MD_Destination[Địa điểm đến],0)),"")</f>
        <v>Châu Á</v>
      </c>
      <c r="L59" s="35" t="s">
        <v>262</v>
      </c>
      <c r="M59" s="7" t="str">
        <f>IFERROR(INDEX(MD_SKU[Mã SKU],MATCH(KH_26_OPT4_KTQT_v4[[#This Row],[Tên sản phẩm]],MD_SKU[Tên SKU-rút gọn],0)),"")</f>
        <v>110000332</v>
      </c>
      <c r="N59" s="35" t="s">
        <v>1124</v>
      </c>
      <c r="O59" s="7" t="str">
        <f>IFERROR(INDEX(MD_SKU[Ngành hàng],MATCH(KH_26_OPT4_KTQT_v4[[#This Row],[Tên sản phẩm]],MD_SKU[Tên SKU-rút gọn],0)),"")</f>
        <v>rPET</v>
      </c>
      <c r="P59" s="7" t="str">
        <f>IFERROR(INDEX(MD_SKU[Nhóm ngành],MATCH(KH_26_OPT4_KTQT_v4[[#This Row],[Tên sản phẩm]],MD_SKU[Tên SKU-rút gọn],0)),"")</f>
        <v>Hạt PET</v>
      </c>
      <c r="Q59" s="7" t="str">
        <f>IFERROR(
   IF(INDEX(MD_SKU[IV/IM],MATCH(KH_26_OPT4_KTQT_v4[[#This Row],[Tên sản phẩm]],MD_SKU[Tên SKU-rút gọn],0))=0,
      "",
      INDEX(MD_SKU[IV/IM],MATCH(KH_26_OPT4_KTQT_v4[[#This Row],[Tên sản phẩm]],MD_SKU[Tên SKU-rút gọn],0))
   ),
"")</f>
        <v>0.84 ± 0.03</v>
      </c>
      <c r="R59" s="44">
        <f>IFERROR(INDEX(MD_SKU[Application],MATCH(KH_26_OPT4_KTQT_v4[[#This Row],[Tên sản phẩm]],MD_SKU[Tên SKU-rút gọn],0)),"")</f>
        <v>0</v>
      </c>
      <c r="S59" s="7" t="str">
        <f>IFERROR(INDEX(MD_SKU[Phân loại],MATCH(KH_26_OPT4_KTQT_v4[[#This Row],[Tên sản phẩm]],MD_SKU[Tên SKU-rút gọn],0)),"")</f>
        <v>Cũ</v>
      </c>
      <c r="T59" s="7" t="s">
        <v>99</v>
      </c>
      <c r="U59" s="7" t="s">
        <v>1508</v>
      </c>
      <c r="V59" s="70">
        <v>0.8</v>
      </c>
      <c r="W59" s="33">
        <v>22</v>
      </c>
      <c r="X59" s="33">
        <v>22</v>
      </c>
      <c r="Y59" s="33">
        <v>22</v>
      </c>
      <c r="Z59" s="33">
        <v>22</v>
      </c>
      <c r="AA59" s="33">
        <v>22</v>
      </c>
      <c r="AB59" s="33">
        <v>22</v>
      </c>
      <c r="AC59" s="33">
        <v>22</v>
      </c>
      <c r="AD59" s="33">
        <v>22</v>
      </c>
      <c r="AE59" s="33">
        <v>22</v>
      </c>
      <c r="AF59" s="33">
        <v>22</v>
      </c>
      <c r="AG59" s="33">
        <v>22</v>
      </c>
      <c r="AH59" s="33">
        <v>22</v>
      </c>
      <c r="AI59" s="47">
        <f ca="1">SUM(KH_26_OPT4_KTQT_v4[[#This Row],[SL-01]:[SL-12]])</f>
        <v>264</v>
      </c>
      <c r="AJ59" s="47">
        <f ca="1">SUMIFS(DB_25[SL-DB25],DB_25[Mã khách],KH_26_OPT4_KTQT_v4[[#This Row],[Mã khách]],DB_25[Mã sản phẩm],KH_26_OPT4_KTQT_v4[[#This Row],[Mã sản phẩm]])</f>
        <v>286</v>
      </c>
      <c r="AK59" s="20">
        <f ca="1">KH_26_OPT4_KTQT_v4[[#This Row],[SL-KH26]]-KH_26_OPT4_KTQT_v4[[#This Row],[SL-DB25]]</f>
        <v>-22</v>
      </c>
      <c r="AL59" s="21">
        <f ca="1">IFERROR(KH_26_OPT4_KTQT_v4[[#This Row],[SL-+/-]]/KH_26_OPT4_KTQT_v4[[#This Row],[SL-DB25]],0)</f>
        <v>-7.6923076923076927E-2</v>
      </c>
      <c r="AM59" s="51">
        <f t="shared" si="7"/>
        <v>1302</v>
      </c>
      <c r="AN59" s="51">
        <f t="shared" si="7"/>
        <v>1302</v>
      </c>
      <c r="AO59" s="51">
        <f t="shared" si="7"/>
        <v>1302</v>
      </c>
      <c r="AP59" s="51">
        <f t="shared" si="7"/>
        <v>1302</v>
      </c>
      <c r="AQ59" s="51">
        <f t="shared" si="7"/>
        <v>1302</v>
      </c>
      <c r="AR59" s="51">
        <f t="shared" si="7"/>
        <v>1302</v>
      </c>
      <c r="AS59" s="51">
        <f t="shared" si="7"/>
        <v>1302</v>
      </c>
      <c r="AT59" s="51">
        <f t="shared" si="7"/>
        <v>1302</v>
      </c>
      <c r="AU59" s="51">
        <f t="shared" si="7"/>
        <v>1302</v>
      </c>
      <c r="AV59" s="51">
        <f t="shared" si="7"/>
        <v>1302</v>
      </c>
      <c r="AW59" s="51">
        <f t="shared" si="7"/>
        <v>1302</v>
      </c>
      <c r="AX59" s="51">
        <f t="shared" si="7"/>
        <v>1302</v>
      </c>
      <c r="AY59" s="23">
        <v>1302</v>
      </c>
      <c r="AZ59" s="7"/>
      <c r="BA59" s="24">
        <f>KH_26_OPT4_KTQT_v4[[#This Row],[GB-DB25]]-KH_26_OPT4_KTQT_v4[[#This Row],[GB-KH25]]</f>
        <v>1302</v>
      </c>
      <c r="BB59" s="21">
        <f>IFERROR(KH_26_OPT4_KTQT_v4[[#This Row],[GB-+/-]]/KH_26_OPT4_KTQT_v4[[#This Row],[GB-KH25]],0)</f>
        <v>0</v>
      </c>
      <c r="BC59" s="21"/>
      <c r="BD59" s="47">
        <f>KH_26_OPT4_KTQT_v4[[#This Row],[SL-01]]*KH_26_OPT4_KTQT_v4[[#This Row],[GB-01]]*EXR</f>
        <v>759066000</v>
      </c>
      <c r="BE59" s="47">
        <f>KH_26_OPT4_KTQT_v4[[#This Row],[SL-02]]*KH_26_OPT4_KTQT_v4[[#This Row],[GB-02]]*EXR</f>
        <v>759066000</v>
      </c>
      <c r="BF59" s="47">
        <f>KH_26_OPT4_KTQT_v4[[#This Row],[SL-03]]*KH_26_OPT4_KTQT_v4[[#This Row],[GB-03]]*EXR</f>
        <v>759066000</v>
      </c>
      <c r="BG59" s="47">
        <f>KH_26_OPT4_KTQT_v4[[#This Row],[SL-04]]*KH_26_OPT4_KTQT_v4[[#This Row],[GB-04]]*EXR</f>
        <v>759066000</v>
      </c>
      <c r="BH59" s="47">
        <f>KH_26_OPT4_KTQT_v4[[#This Row],[SL-05]]*KH_26_OPT4_KTQT_v4[[#This Row],[GB-05]]*EXR</f>
        <v>759066000</v>
      </c>
      <c r="BI59" s="47">
        <f>KH_26_OPT4_KTQT_v4[[#This Row],[SL-06]]*KH_26_OPT4_KTQT_v4[[#This Row],[GB-06]]*EXR</f>
        <v>759066000</v>
      </c>
      <c r="BJ59" s="47">
        <f>KH_26_OPT4_KTQT_v4[[#This Row],[SL-07]]*KH_26_OPT4_KTQT_v4[[#This Row],[GB-07]]*EXR</f>
        <v>759066000</v>
      </c>
      <c r="BK59" s="47">
        <f>KH_26_OPT4_KTQT_v4[[#This Row],[SL-08]]*KH_26_OPT4_KTQT_v4[[#This Row],[GB-08]]*EXR</f>
        <v>759066000</v>
      </c>
      <c r="BL59" s="47">
        <f>KH_26_OPT4_KTQT_v4[[#This Row],[SL-09]]*KH_26_OPT4_KTQT_v4[[#This Row],[GB-09]]*EXR</f>
        <v>759066000</v>
      </c>
      <c r="BM59" s="47">
        <f>KH_26_OPT4_KTQT_v4[[#This Row],[SL-10]]*KH_26_OPT4_KTQT_v4[[#This Row],[GB-10]]*EXR</f>
        <v>759066000</v>
      </c>
      <c r="BN59" s="47">
        <f>KH_26_OPT4_KTQT_v4[[#This Row],[SL-11]]*KH_26_OPT4_KTQT_v4[[#This Row],[GB-11]]*EXR</f>
        <v>759066000</v>
      </c>
      <c r="BO59" s="47">
        <f>KH_26_OPT4_KTQT_v4[[#This Row],[SL-12]]*KH_26_OPT4_KTQT_v4[[#This Row],[GB-12]]*EXR</f>
        <v>759066000</v>
      </c>
      <c r="BP59" s="47">
        <f ca="1">SUM(KH_26_OPT4_KTQT_v4[[#This Row],[DT-EXW-01]:[DT-EXW-12]])</f>
        <v>9108792000</v>
      </c>
      <c r="BQ59" s="47">
        <f ca="1">SUMIFS(DB_25[DT-DB25],DB_25[Mã khách],KH_26_OPT4_KTQT_v4[[#This Row],[Mã khách]],DB_25[Mã sản phẩm],KH_26_OPT4_KTQT_v4[[#This Row],[Mã sản phẩm]])</f>
        <v>10042165884.464769</v>
      </c>
      <c r="BR59" s="47">
        <f ca="1">KH_26_OPT4_KTQT_v4[[#This Row],[DT-EXW-KH26]]-KH_26_OPT4_KTQT_v4[[#This Row],[DT-EXW-DB25]]</f>
        <v>-933373884.46476936</v>
      </c>
      <c r="BS59" s="21">
        <f ca="1">IFERROR(KH_26_OPT4_KTQT_v4[[#This Row],[DT-EXW-+/-]]/KH_26_OPT4_KTQT_v4[[#This Row],[DT-EXW-DB25]],0)</f>
        <v>-9.2945475627792484E-2</v>
      </c>
      <c r="BT59" s="139" t="s">
        <v>532</v>
      </c>
      <c r="BU59" s="57">
        <v>0.01</v>
      </c>
      <c r="BV59" s="51"/>
      <c r="BW59" s="47">
        <f>IF(KH_26_OPT4_KTQT_v4[[#This Row],[CPHH-%-SL]]="Dthu",KH_26_OPT4_KTQT_v4[[#This Row],[%HH]]*KH_26_OPT4_KTQT_v4[[#This Row],[DT-EXW-01]],KH_26_OPT4_KTQT_v4[[#This Row],[HH-SL]]*KH_26_OPT4_KTQT_v4[[#This Row],[SL-01]])</f>
        <v>7590660</v>
      </c>
      <c r="BX59" s="47">
        <f>IF(KH_26_OPT4_KTQT_v4[[#This Row],[CPHH-%-SL]]="Dthu",KH_26_OPT4_KTQT_v4[[#This Row],[%HH]]*KH_26_OPT4_KTQT_v4[[#This Row],[DT-EXW-02]],KH_26_OPT4_KTQT_v4[[#This Row],[HH-SL]]*KH_26_OPT4_KTQT_v4[[#This Row],[SL-02]])</f>
        <v>7590660</v>
      </c>
      <c r="BY59" s="47">
        <f>IF(KH_26_OPT4_KTQT_v4[[#This Row],[CPHH-%-SL]]="Dthu",KH_26_OPT4_KTQT_v4[[#This Row],[%HH]]*KH_26_OPT4_KTQT_v4[[#This Row],[DT-EXW-03]],KH_26_OPT4_KTQT_v4[[#This Row],[HH-SL]]*KH_26_OPT4_KTQT_v4[[#This Row],[SL-03]])</f>
        <v>7590660</v>
      </c>
      <c r="BZ59" s="47">
        <f>IF(KH_26_OPT4_KTQT_v4[[#This Row],[CPHH-%-SL]]="Dthu",KH_26_OPT4_KTQT_v4[[#This Row],[%HH]]*KH_26_OPT4_KTQT_v4[[#This Row],[DT-EXW-04]],KH_26_OPT4_KTQT_v4[[#This Row],[HH-SL]]*KH_26_OPT4_KTQT_v4[[#This Row],[SL-04]])</f>
        <v>7590660</v>
      </c>
      <c r="CA59" s="47">
        <f>IF(KH_26_OPT4_KTQT_v4[[#This Row],[CPHH-%-SL]]="Dthu",KH_26_OPT4_KTQT_v4[[#This Row],[%HH]]*KH_26_OPT4_KTQT_v4[[#This Row],[DT-EXW-05]],KH_26_OPT4_KTQT_v4[[#This Row],[HH-SL]]*KH_26_OPT4_KTQT_v4[[#This Row],[SL-05]])</f>
        <v>7590660</v>
      </c>
      <c r="CB59" s="47">
        <f>IF(KH_26_OPT4_KTQT_v4[[#This Row],[CPHH-%-SL]]="Dthu",KH_26_OPT4_KTQT_v4[[#This Row],[%HH]]*KH_26_OPT4_KTQT_v4[[#This Row],[DT-EXW-06]],KH_26_OPT4_KTQT_v4[[#This Row],[HH-SL]]*KH_26_OPT4_KTQT_v4[[#This Row],[SL-06]])</f>
        <v>7590660</v>
      </c>
      <c r="CC59" s="47">
        <f>IF(KH_26_OPT4_KTQT_v4[[#This Row],[CPHH-%-SL]]="Dthu",KH_26_OPT4_KTQT_v4[[#This Row],[%HH]]*KH_26_OPT4_KTQT_v4[[#This Row],[DT-EXW-07]],KH_26_OPT4_KTQT_v4[[#This Row],[HH-SL]]*KH_26_OPT4_KTQT_v4[[#This Row],[SL-07]])</f>
        <v>7590660</v>
      </c>
      <c r="CD59" s="47">
        <f>IF(KH_26_OPT4_KTQT_v4[[#This Row],[CPHH-%-SL]]="Dthu",KH_26_OPT4_KTQT_v4[[#This Row],[%HH]]*KH_26_OPT4_KTQT_v4[[#This Row],[DT-EXW-08]],KH_26_OPT4_KTQT_v4[[#This Row],[HH-SL]]*KH_26_OPT4_KTQT_v4[[#This Row],[SL-08]])</f>
        <v>7590660</v>
      </c>
      <c r="CE59" s="47">
        <f>IF(KH_26_OPT4_KTQT_v4[[#This Row],[CPHH-%-SL]]="Dthu",KH_26_OPT4_KTQT_v4[[#This Row],[%HH]]*KH_26_OPT4_KTQT_v4[[#This Row],[DT-EXW-09]],KH_26_OPT4_KTQT_v4[[#This Row],[HH-SL]]*KH_26_OPT4_KTQT_v4[[#This Row],[SL-09]])</f>
        <v>7590660</v>
      </c>
      <c r="CF59" s="47">
        <f>IF(KH_26_OPT4_KTQT_v4[[#This Row],[CPHH-%-SL]]="Dthu",KH_26_OPT4_KTQT_v4[[#This Row],[%HH]]*KH_26_OPT4_KTQT_v4[[#This Row],[DT-EXW-10]],KH_26_OPT4_KTQT_v4[[#This Row],[HH-SL]]*KH_26_OPT4_KTQT_v4[[#This Row],[SL-10]])</f>
        <v>7590660</v>
      </c>
      <c r="CG59" s="47">
        <f>IF(KH_26_OPT4_KTQT_v4[[#This Row],[CPHH-%-SL]]="Dthu",KH_26_OPT4_KTQT_v4[[#This Row],[%HH]]*KH_26_OPT4_KTQT_v4[[#This Row],[DT-EXW-11]],KH_26_OPT4_KTQT_v4[[#This Row],[HH-SL]]*KH_26_OPT4_KTQT_v4[[#This Row],[SL-11]])</f>
        <v>7590660</v>
      </c>
      <c r="CH59" s="47">
        <f>IF(KH_26_OPT4_KTQT_v4[[#This Row],[CPHH-%-SL]]="Dthu",KH_26_OPT4_KTQT_v4[[#This Row],[%HH]]*KH_26_OPT4_KTQT_v4[[#This Row],[DT-EXW-12]],KH_26_OPT4_KTQT_v4[[#This Row],[HH-SL]]*KH_26_OPT4_KTQT_v4[[#This Row],[SL-12]])</f>
        <v>7590660</v>
      </c>
      <c r="CI59" s="47">
        <f ca="1">SUM(KH_26_OPT4_KTQT_v4[[#This Row],[CPHH-01]:[CPHH-12]])</f>
        <v>91087920</v>
      </c>
      <c r="CJ59" s="47" cm="1">
        <f t="array" ref="CJ59">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200000</v>
      </c>
      <c r="CK59" s="19">
        <f ca="1">SUM(KH_26_OPT4_KTQT_v4[[#This Row],[ĐGVCNĐ-KXK]:[ĐGVCCT-KXK]])</f>
        <v>0</v>
      </c>
      <c r="CL59" s="47" cm="1">
        <f t="array" ref="CL59">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59" s="47" cm="1">
        <f t="array" ref="CM59">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59" s="47">
        <f ca="1">(KH_26_OPT4_KTQT_v4[[#This Row],[ĐGVC-KNĐ]]+KH_26_OPT4_KTQT_v4[[#This Row],[ĐGVC-KXK]])*KH_26_OPT4_KTQT_v4[[#This Row],[SL-01]]</f>
        <v>4400000</v>
      </c>
      <c r="CO59" s="47">
        <f ca="1">(KH_26_OPT4_KTQT_v4[[#This Row],[ĐGVC-KNĐ]]+KH_26_OPT4_KTQT_v4[[#This Row],[ĐGVC-KXK]])*KH_26_OPT4_KTQT_v4[[#This Row],[SL-02]]</f>
        <v>4400000</v>
      </c>
      <c r="CP59" s="47">
        <f ca="1">(KH_26_OPT4_KTQT_v4[[#This Row],[ĐGVC-KNĐ]]+KH_26_OPT4_KTQT_v4[[#This Row],[ĐGVC-KXK]])*KH_26_OPT4_KTQT_v4[[#This Row],[SL-03]]</f>
        <v>4400000</v>
      </c>
      <c r="CQ59" s="47">
        <f ca="1">(KH_26_OPT4_KTQT_v4[[#This Row],[ĐGVC-KNĐ]]+KH_26_OPT4_KTQT_v4[[#This Row],[ĐGVC-KXK]])*KH_26_OPT4_KTQT_v4[[#This Row],[SL-04]]</f>
        <v>4400000</v>
      </c>
      <c r="CR59" s="47">
        <f ca="1">(KH_26_OPT4_KTQT_v4[[#This Row],[ĐGVC-KNĐ]]+KH_26_OPT4_KTQT_v4[[#This Row],[ĐGVC-KXK]])*KH_26_OPT4_KTQT_v4[[#This Row],[SL-05]]</f>
        <v>4400000</v>
      </c>
      <c r="CS59" s="47">
        <f ca="1">(KH_26_OPT4_KTQT_v4[[#This Row],[ĐGVC-KNĐ]]+KH_26_OPT4_KTQT_v4[[#This Row],[ĐGVC-KXK]])*KH_26_OPT4_KTQT_v4[[#This Row],[SL-06]]</f>
        <v>4400000</v>
      </c>
      <c r="CT59" s="47">
        <f ca="1">(KH_26_OPT4_KTQT_v4[[#This Row],[ĐGVC-KNĐ]]+KH_26_OPT4_KTQT_v4[[#This Row],[ĐGVC-KXK]])*KH_26_OPT4_KTQT_v4[[#This Row],[SL-07]]</f>
        <v>4400000</v>
      </c>
      <c r="CU59" s="47">
        <f ca="1">(KH_26_OPT4_KTQT_v4[[#This Row],[ĐGVC-KNĐ]]+KH_26_OPT4_KTQT_v4[[#This Row],[ĐGVC-KXK]])*KH_26_OPT4_KTQT_v4[[#This Row],[SL-08]]</f>
        <v>4400000</v>
      </c>
      <c r="CV59" s="47">
        <f ca="1">(KH_26_OPT4_KTQT_v4[[#This Row],[ĐGVC-KNĐ]]+KH_26_OPT4_KTQT_v4[[#This Row],[ĐGVC-KXK]])*KH_26_OPT4_KTQT_v4[[#This Row],[SL-09]]</f>
        <v>4400000</v>
      </c>
      <c r="CW59" s="47">
        <f ca="1">(KH_26_OPT4_KTQT_v4[[#This Row],[ĐGVC-KNĐ]]+KH_26_OPT4_KTQT_v4[[#This Row],[ĐGVC-KXK]])*KH_26_OPT4_KTQT_v4[[#This Row],[SL-10]]</f>
        <v>4400000</v>
      </c>
      <c r="CX59" s="47">
        <f ca="1">(KH_26_OPT4_KTQT_v4[[#This Row],[ĐGVC-KNĐ]]+KH_26_OPT4_KTQT_v4[[#This Row],[ĐGVC-KXK]])*KH_26_OPT4_KTQT_v4[[#This Row],[SL-11]]</f>
        <v>4400000</v>
      </c>
      <c r="CY59" s="47">
        <f ca="1">(KH_26_OPT4_KTQT_v4[[#This Row],[ĐGVC-KNĐ]]+KH_26_OPT4_KTQT_v4[[#This Row],[ĐGVC-KXK]])*KH_26_OPT4_KTQT_v4[[#This Row],[SL-12]]</f>
        <v>4400000</v>
      </c>
      <c r="CZ59" s="47">
        <f ca="1">SUM(KH_26_OPT4_KTQT_v4[[#This Row],[CPVC-01]:[CPVC-12]])</f>
        <v>52800000</v>
      </c>
      <c r="DA59" s="124">
        <f ca="1">KH_26_OPT4_KTQT_v4[[#This Row],[DT-EXW-01]]+KH_26_OPT4_KTQT_v4[[#This Row],[CPVC-01]]+KH_26_OPT4_KTQT_v4[[#This Row],[CPHH-01]]</f>
        <v>771056660</v>
      </c>
      <c r="DB59" s="47">
        <f ca="1">KH_26_OPT4_KTQT_v4[[#This Row],[DT-EXW-02]]+KH_26_OPT4_KTQT_v4[[#This Row],[CPVC-02]]+KH_26_OPT4_KTQT_v4[[#This Row],[CPHH-02]]</f>
        <v>771056660</v>
      </c>
      <c r="DC59" s="47">
        <f ca="1">KH_26_OPT4_KTQT_v4[[#This Row],[DT-EXW-03]]+KH_26_OPT4_KTQT_v4[[#This Row],[CPVC-03]]+KH_26_OPT4_KTQT_v4[[#This Row],[CPHH-03]]</f>
        <v>771056660</v>
      </c>
      <c r="DD59" s="47">
        <f ca="1">KH_26_OPT4_KTQT_v4[[#This Row],[DT-EXW-04]]+KH_26_OPT4_KTQT_v4[[#This Row],[CPVC-04]]+KH_26_OPT4_KTQT_v4[[#This Row],[CPHH-04]]</f>
        <v>771056660</v>
      </c>
      <c r="DE59" s="47">
        <f ca="1">KH_26_OPT4_KTQT_v4[[#This Row],[DT-EXW-05]]+KH_26_OPT4_KTQT_v4[[#This Row],[CPVC-05]]+KH_26_OPT4_KTQT_v4[[#This Row],[CPHH-05]]</f>
        <v>771056660</v>
      </c>
      <c r="DF59" s="47">
        <f ca="1">KH_26_OPT4_KTQT_v4[[#This Row],[DT-EXW-06]]+KH_26_OPT4_KTQT_v4[[#This Row],[CPVC-06]]+KH_26_OPT4_KTQT_v4[[#This Row],[CPHH-06]]</f>
        <v>771056660</v>
      </c>
      <c r="DG59" s="47">
        <f ca="1">KH_26_OPT4_KTQT_v4[[#This Row],[DT-EXW-07]]+KH_26_OPT4_KTQT_v4[[#This Row],[CPVC-07]]+KH_26_OPT4_KTQT_v4[[#This Row],[CPHH-07]]</f>
        <v>771056660</v>
      </c>
      <c r="DH59" s="47">
        <f ca="1">KH_26_OPT4_KTQT_v4[[#This Row],[DT-EXW-08]]+KH_26_OPT4_KTQT_v4[[#This Row],[CPVC-08]]+KH_26_OPT4_KTQT_v4[[#This Row],[CPHH-08]]</f>
        <v>771056660</v>
      </c>
      <c r="DI59" s="47">
        <f ca="1">KH_26_OPT4_KTQT_v4[[#This Row],[DT-EXW-09]]+KH_26_OPT4_KTQT_v4[[#This Row],[CPVC-09]]+KH_26_OPT4_KTQT_v4[[#This Row],[CPHH-09]]</f>
        <v>771056660</v>
      </c>
      <c r="DJ59" s="47">
        <f ca="1">KH_26_OPT4_KTQT_v4[[#This Row],[DT-EXW-10]]+KH_26_OPT4_KTQT_v4[[#This Row],[CPVC-10]]+KH_26_OPT4_KTQT_v4[[#This Row],[CPHH-10]]</f>
        <v>771056660</v>
      </c>
      <c r="DK59" s="47">
        <f ca="1">KH_26_OPT4_KTQT_v4[[#This Row],[DT-EXW-11]]+KH_26_OPT4_KTQT_v4[[#This Row],[CPVC-11]]+KH_26_OPT4_KTQT_v4[[#This Row],[CPHH-11]]</f>
        <v>771056660</v>
      </c>
      <c r="DL59" s="47">
        <f ca="1">KH_26_OPT4_KTQT_v4[[#This Row],[DT-EXW-12]]+KH_26_OPT4_KTQT_v4[[#This Row],[CPVC-12]]+KH_26_OPT4_KTQT_v4[[#This Row],[CPHH-12]]</f>
        <v>771056660</v>
      </c>
      <c r="DM59" s="47">
        <f ca="1">SUM(KH_26_OPT4_KTQT_v4[[#This Row],[DT-01]:[DT-12]])</f>
        <v>9252679920</v>
      </c>
      <c r="DN59" s="7"/>
      <c r="DO59" s="7"/>
      <c r="DP59" s="125"/>
      <c r="DQ59" s="136"/>
      <c r="DR59" s="132">
        <f>IFERROR(KH_26_OPT4_KTQT_v4[[#This Row],[DT-EXW-01]]*KH_26_OPT4_KTQT_v4[[#This Row],[%CPDP]],0)</f>
        <v>0</v>
      </c>
      <c r="DS59" s="132">
        <f>IFERROR(KH_26_OPT4_KTQT_v4[[#This Row],[DT-EXW-02]]*KH_26_OPT4_KTQT_v4[[#This Row],[%CPDP]],0)</f>
        <v>0</v>
      </c>
      <c r="DT59" s="132">
        <f>IFERROR(KH_26_OPT4_KTQT_v4[[#This Row],[DT-EXW-03]]*KH_26_OPT4_KTQT_v4[[#This Row],[%CPDP]],0)</f>
        <v>0</v>
      </c>
      <c r="DU59" s="132">
        <f>IFERROR(KH_26_OPT4_KTQT_v4[[#This Row],[DT-EXW-04]]*KH_26_OPT4_KTQT_v4[[#This Row],[%CPDP]],0)</f>
        <v>0</v>
      </c>
      <c r="DV59" s="132">
        <f>IFERROR(KH_26_OPT4_KTQT_v4[[#This Row],[DT-EXW-05]]*KH_26_OPT4_KTQT_v4[[#This Row],[%CPDP]],0)</f>
        <v>0</v>
      </c>
      <c r="DW59" s="132">
        <f>IFERROR(KH_26_OPT4_KTQT_v4[[#This Row],[DT-EXW-06]]*KH_26_OPT4_KTQT_v4[[#This Row],[%CPDP]],0)</f>
        <v>0</v>
      </c>
      <c r="DX59" s="132">
        <f>IFERROR(KH_26_OPT4_KTQT_v4[[#This Row],[DT-EXW-07]]*KH_26_OPT4_KTQT_v4[[#This Row],[%CPDP]],0)</f>
        <v>0</v>
      </c>
      <c r="DY59" s="132">
        <f>IFERROR(KH_26_OPT4_KTQT_v4[[#This Row],[DT-EXW-08]]*KH_26_OPT4_KTQT_v4[[#This Row],[%CPDP]],0)</f>
        <v>0</v>
      </c>
      <c r="DZ59" s="132">
        <f>IFERROR(KH_26_OPT4_KTQT_v4[[#This Row],[DT-EXW-09]]*KH_26_OPT4_KTQT_v4[[#This Row],[%CPDP]],0)</f>
        <v>0</v>
      </c>
      <c r="EA59" s="132">
        <f>IFERROR(KH_26_OPT4_KTQT_v4[[#This Row],[DT-EXW-10]]*KH_26_OPT4_KTQT_v4[[#This Row],[%CPDP]],0)</f>
        <v>0</v>
      </c>
      <c r="EB59" s="132">
        <f>IFERROR(KH_26_OPT4_KTQT_v4[[#This Row],[DT-EXW-11]]*KH_26_OPT4_KTQT_v4[[#This Row],[%CPDP]],0)</f>
        <v>0</v>
      </c>
      <c r="EC59" s="132">
        <f>IFERROR(KH_26_OPT4_KTQT_v4[[#This Row],[DT-EXW-12]]*KH_26_OPT4_KTQT_v4[[#This Row],[%CPDP]],0)</f>
        <v>0</v>
      </c>
      <c r="ED59" s="131">
        <f ca="1">SUM(KH_26_OPT4_KTQT_v4[[#This Row],[CPDP-01]:[CPDP-12]])</f>
        <v>0</v>
      </c>
    </row>
    <row r="60" spans="1:134" ht="14.65" hidden="1" customHeight="1" x14ac:dyDescent="0.35">
      <c r="A60" s="18">
        <v>55</v>
      </c>
      <c r="B60" s="71" t="s">
        <v>115</v>
      </c>
      <c r="C60" s="18" t="str">
        <f>IFERROR(_xlfn.XLOOKUP(KH_26_OPT4_KTQT_v4[[#This Row],[Salesman]],MD_Salesman[Salesman],MD_Salesman[SalesManager]),"")</f>
        <v>Quốc Anh</v>
      </c>
      <c r="D60" s="72" t="str">
        <f>IFERROR(INDEX(MD_Customer[Mã khách],MATCH(KH_26_OPT4_KTQT_v4[[#This Row],[Tên khách]],MD_Customer[Tên khách-rút gọn],0)),"")</f>
        <v>105333</v>
      </c>
      <c r="E60" s="7" t="str">
        <f>IFERROR(INDEX(MD_Customer[Parent Account],MATCH(KH_26_OPT4_KTQT_v4[[#This Row],[Tên khách]],MD_Customer[Tên khách-rút gọn],0)),"")</f>
        <v>LƯỚI BẢO NÔNG</v>
      </c>
      <c r="F60" s="35" t="s">
        <v>56</v>
      </c>
      <c r="G60" s="7" t="str">
        <f>IFERROR(INDEX(MD_Customer[Phân loại],MATCH(KH_26_OPT4_KTQT_v4[[#This Row],[Tên khách]],MD_Customer[Tên khách-rút gọn],0)),"")</f>
        <v>Hiện hữu</v>
      </c>
      <c r="H60" s="7" t="str">
        <f>IFERROR(INDEX(MD_Customer[Kênh bán hàng],MATCH(KH_26_OPT4_KTQT_v4[[#This Row],[Tên khách]],MD_Customer[Tên khách-rút gọn],0)),"")</f>
        <v>Nội địa</v>
      </c>
      <c r="I60" s="35" t="s">
        <v>258</v>
      </c>
      <c r="J60" s="7" t="str">
        <f>IFERROR(INDEX(MD_Destination[Nước],MATCH(KH_26_OPT4_KTQT_v4[[#This Row],[Địa điểm đến]],MD_Destination[Địa điểm đến],0)),"")</f>
        <v>Việt Nam</v>
      </c>
      <c r="K60" s="7" t="str">
        <f>IFERROR(INDEX(MD_Destination[Khu vực],MATCH(KH_26_OPT4_KTQT_v4[[#This Row],[Địa điểm đến]],MD_Destination[Địa điểm đến],0)),"")</f>
        <v>Châu Á</v>
      </c>
      <c r="L60" s="35" t="s">
        <v>260</v>
      </c>
      <c r="M60" s="7" t="str">
        <f>IFERROR(INDEX(MD_SKU[Mã SKU],MATCH(KH_26_OPT4_KTQT_v4[[#This Row],[Tên sản phẩm]],MD_SKU[Tên SKU-rút gọn],0)),"")</f>
        <v>110000408</v>
      </c>
      <c r="N60" s="35" t="s">
        <v>471</v>
      </c>
      <c r="O60" s="7" t="str">
        <f>IFERROR(INDEX(MD_SKU[Ngành hàng],MATCH(KH_26_OPT4_KTQT_v4[[#This Row],[Tên sản phẩm]],MD_SKU[Tên SKU-rút gọn],0)),"")</f>
        <v>rHDPE ép</v>
      </c>
      <c r="P60" s="7" t="str">
        <f>IFERROR(INDEX(MD_SKU[Nhóm ngành],MATCH(KH_26_OPT4_KTQT_v4[[#This Row],[Tên sản phẩm]],MD_SKU[Tên SKU-rút gọn],0)),"")</f>
        <v>Vảy HD ép</v>
      </c>
      <c r="Q60" s="7" t="str">
        <f>IFERROR(
   IF(INDEX(MD_SKU[IV/IM],MATCH(KH_26_OPT4_KTQT_v4[[#This Row],[Tên sản phẩm]],MD_SKU[Tên SKU-rút gọn],0))=0,
      "",
      INDEX(MD_SKU[IV/IM],MATCH(KH_26_OPT4_KTQT_v4[[#This Row],[Tên sản phẩm]],MD_SKU[Tên SKU-rút gọn],0))
   ),
"")</f>
        <v/>
      </c>
      <c r="R60" s="44">
        <f>IFERROR(INDEX(MD_SKU[Application],MATCH(KH_26_OPT4_KTQT_v4[[#This Row],[Tên sản phẩm]],MD_SKU[Tên SKU-rút gọn],0)),"")</f>
        <v>0</v>
      </c>
      <c r="S60" s="7" t="str">
        <f>IFERROR(INDEX(MD_SKU[Phân loại],MATCH(KH_26_OPT4_KTQT_v4[[#This Row],[Tên sản phẩm]],MD_SKU[Tên SKU-rút gọn],0)),"")</f>
        <v>Cũ</v>
      </c>
      <c r="T60" s="7" t="s">
        <v>56</v>
      </c>
      <c r="U60" s="7" t="s">
        <v>1508</v>
      </c>
      <c r="V60" s="70">
        <v>0.8</v>
      </c>
      <c r="W60" s="33"/>
      <c r="X60" s="33"/>
      <c r="Y60" s="33"/>
      <c r="Z60" s="33"/>
      <c r="AA60" s="33"/>
      <c r="AB60" s="33"/>
      <c r="AC60" s="33"/>
      <c r="AD60" s="33"/>
      <c r="AE60" s="33"/>
      <c r="AF60" s="33"/>
      <c r="AG60" s="33"/>
      <c r="AH60" s="33"/>
      <c r="AI60" s="47">
        <f ca="1">SUM(KH_26_OPT4_KTQT_v4[[#This Row],[SL-01]:[SL-12]])</f>
        <v>0</v>
      </c>
      <c r="AJ60" s="47">
        <f ca="1">SUMIFS(DB_25[SL-DB25],DB_25[Mã khách],KH_26_OPT4_KTQT_v4[[#This Row],[Mã khách]],DB_25[Mã sản phẩm],KH_26_OPT4_KTQT_v4[[#This Row],[Mã sản phẩm]])</f>
        <v>430.25</v>
      </c>
      <c r="AK60" s="20">
        <f ca="1">KH_26_OPT4_KTQT_v4[[#This Row],[SL-KH26]]-KH_26_OPT4_KTQT_v4[[#This Row],[SL-DB25]]</f>
        <v>-430.25</v>
      </c>
      <c r="AL60" s="21">
        <f ca="1">IFERROR(KH_26_OPT4_KTQT_v4[[#This Row],[SL-+/-]]/KH_26_OPT4_KTQT_v4[[#This Row],[SL-DB25]],0)</f>
        <v>-1</v>
      </c>
      <c r="AM60" s="51">
        <v>560</v>
      </c>
      <c r="AN60" s="51">
        <v>560</v>
      </c>
      <c r="AO60" s="51">
        <v>560</v>
      </c>
      <c r="AP60" s="51">
        <v>560</v>
      </c>
      <c r="AQ60" s="51">
        <v>560</v>
      </c>
      <c r="AR60" s="51">
        <v>560</v>
      </c>
      <c r="AS60" s="51">
        <v>560</v>
      </c>
      <c r="AT60" s="51">
        <v>560</v>
      </c>
      <c r="AU60" s="51">
        <v>560</v>
      </c>
      <c r="AV60" s="51">
        <v>560</v>
      </c>
      <c r="AW60" s="51">
        <v>560</v>
      </c>
      <c r="AX60" s="51">
        <v>560</v>
      </c>
      <c r="AY60" s="23">
        <v>560</v>
      </c>
      <c r="AZ60" s="7"/>
      <c r="BA60" s="24">
        <f>KH_26_OPT4_KTQT_v4[[#This Row],[GB-DB25]]-KH_26_OPT4_KTQT_v4[[#This Row],[GB-KH25]]</f>
        <v>560</v>
      </c>
      <c r="BB60" s="21">
        <f>IFERROR(KH_26_OPT4_KTQT_v4[[#This Row],[GB-+/-]]/KH_26_OPT4_KTQT_v4[[#This Row],[GB-KH25]],0)</f>
        <v>0</v>
      </c>
      <c r="BC60" s="21"/>
      <c r="BD60" s="47">
        <f>KH_26_OPT4_KTQT_v4[[#This Row],[SL-01]]*KH_26_OPT4_KTQT_v4[[#This Row],[GB-01]]*EXR</f>
        <v>0</v>
      </c>
      <c r="BE60" s="47">
        <f>KH_26_OPT4_KTQT_v4[[#This Row],[SL-02]]*KH_26_OPT4_KTQT_v4[[#This Row],[GB-02]]*EXR</f>
        <v>0</v>
      </c>
      <c r="BF60" s="47">
        <f>KH_26_OPT4_KTQT_v4[[#This Row],[SL-03]]*KH_26_OPT4_KTQT_v4[[#This Row],[GB-03]]*EXR</f>
        <v>0</v>
      </c>
      <c r="BG60" s="47">
        <f>KH_26_OPT4_KTQT_v4[[#This Row],[SL-04]]*KH_26_OPT4_KTQT_v4[[#This Row],[GB-04]]*EXR</f>
        <v>0</v>
      </c>
      <c r="BH60" s="47">
        <f>KH_26_OPT4_KTQT_v4[[#This Row],[SL-05]]*KH_26_OPT4_KTQT_v4[[#This Row],[GB-05]]*EXR</f>
        <v>0</v>
      </c>
      <c r="BI60" s="47">
        <f>KH_26_OPT4_KTQT_v4[[#This Row],[SL-06]]*KH_26_OPT4_KTQT_v4[[#This Row],[GB-06]]*EXR</f>
        <v>0</v>
      </c>
      <c r="BJ60" s="47">
        <f>KH_26_OPT4_KTQT_v4[[#This Row],[SL-07]]*KH_26_OPT4_KTQT_v4[[#This Row],[GB-07]]*EXR</f>
        <v>0</v>
      </c>
      <c r="BK60" s="47">
        <f>KH_26_OPT4_KTQT_v4[[#This Row],[SL-08]]*KH_26_OPT4_KTQT_v4[[#This Row],[GB-08]]*EXR</f>
        <v>0</v>
      </c>
      <c r="BL60" s="47">
        <f>KH_26_OPT4_KTQT_v4[[#This Row],[SL-09]]*KH_26_OPT4_KTQT_v4[[#This Row],[GB-09]]*EXR</f>
        <v>0</v>
      </c>
      <c r="BM60" s="47">
        <f>KH_26_OPT4_KTQT_v4[[#This Row],[SL-10]]*KH_26_OPT4_KTQT_v4[[#This Row],[GB-10]]*EXR</f>
        <v>0</v>
      </c>
      <c r="BN60" s="47">
        <f>KH_26_OPT4_KTQT_v4[[#This Row],[SL-11]]*KH_26_OPT4_KTQT_v4[[#This Row],[GB-11]]*EXR</f>
        <v>0</v>
      </c>
      <c r="BO60" s="47">
        <f>KH_26_OPT4_KTQT_v4[[#This Row],[SL-12]]*KH_26_OPT4_KTQT_v4[[#This Row],[GB-12]]*EXR</f>
        <v>0</v>
      </c>
      <c r="BP60" s="47">
        <f ca="1">SUM(KH_26_OPT4_KTQT_v4[[#This Row],[DT-EXW-01]:[DT-EXW-12]])</f>
        <v>0</v>
      </c>
      <c r="BQ60" s="47">
        <f ca="1">SUMIFS(DB_25[DT-DB25],DB_25[Mã khách],KH_26_OPT4_KTQT_v4[[#This Row],[Mã khách]],DB_25[Mã sản phẩm],KH_26_OPT4_KTQT_v4[[#This Row],[Mã sản phẩm]])</f>
        <v>2795863924.5248852</v>
      </c>
      <c r="BR60" s="47">
        <f ca="1">KH_26_OPT4_KTQT_v4[[#This Row],[DT-EXW-KH26]]-KH_26_OPT4_KTQT_v4[[#This Row],[DT-EXW-DB25]]</f>
        <v>-2795863924.5248852</v>
      </c>
      <c r="BS60" s="21">
        <f ca="1">IFERROR(KH_26_OPT4_KTQT_v4[[#This Row],[DT-EXW-+/-]]/KH_26_OPT4_KTQT_v4[[#This Row],[DT-EXW-DB25]],0)</f>
        <v>-1</v>
      </c>
      <c r="BT60" s="139"/>
      <c r="BU60" s="57"/>
      <c r="BV60" s="51"/>
      <c r="BW60" s="47">
        <f>IF(KH_26_OPT4_KTQT_v4[[#This Row],[CPHH-%-SL]]="Dthu",KH_26_OPT4_KTQT_v4[[#This Row],[%HH]]*KH_26_OPT4_KTQT_v4[[#This Row],[DT-EXW-01]],KH_26_OPT4_KTQT_v4[[#This Row],[HH-SL]]*KH_26_OPT4_KTQT_v4[[#This Row],[SL-01]])</f>
        <v>0</v>
      </c>
      <c r="BX60" s="47">
        <f>IF(KH_26_OPT4_KTQT_v4[[#This Row],[CPHH-%-SL]]="Dthu",KH_26_OPT4_KTQT_v4[[#This Row],[%HH]]*KH_26_OPT4_KTQT_v4[[#This Row],[DT-EXW-02]],KH_26_OPT4_KTQT_v4[[#This Row],[HH-SL]]*KH_26_OPT4_KTQT_v4[[#This Row],[SL-02]])</f>
        <v>0</v>
      </c>
      <c r="BY60" s="47">
        <f>IF(KH_26_OPT4_KTQT_v4[[#This Row],[CPHH-%-SL]]="Dthu",KH_26_OPT4_KTQT_v4[[#This Row],[%HH]]*KH_26_OPT4_KTQT_v4[[#This Row],[DT-EXW-03]],KH_26_OPT4_KTQT_v4[[#This Row],[HH-SL]]*KH_26_OPT4_KTQT_v4[[#This Row],[SL-03]])</f>
        <v>0</v>
      </c>
      <c r="BZ60" s="47">
        <f>IF(KH_26_OPT4_KTQT_v4[[#This Row],[CPHH-%-SL]]="Dthu",KH_26_OPT4_KTQT_v4[[#This Row],[%HH]]*KH_26_OPT4_KTQT_v4[[#This Row],[DT-EXW-04]],KH_26_OPT4_KTQT_v4[[#This Row],[HH-SL]]*KH_26_OPT4_KTQT_v4[[#This Row],[SL-04]])</f>
        <v>0</v>
      </c>
      <c r="CA60" s="47">
        <f>IF(KH_26_OPT4_KTQT_v4[[#This Row],[CPHH-%-SL]]="Dthu",KH_26_OPT4_KTQT_v4[[#This Row],[%HH]]*KH_26_OPT4_KTQT_v4[[#This Row],[DT-EXW-05]],KH_26_OPT4_KTQT_v4[[#This Row],[HH-SL]]*KH_26_OPT4_KTQT_v4[[#This Row],[SL-05]])</f>
        <v>0</v>
      </c>
      <c r="CB60" s="47">
        <f>IF(KH_26_OPT4_KTQT_v4[[#This Row],[CPHH-%-SL]]="Dthu",KH_26_OPT4_KTQT_v4[[#This Row],[%HH]]*KH_26_OPT4_KTQT_v4[[#This Row],[DT-EXW-06]],KH_26_OPT4_KTQT_v4[[#This Row],[HH-SL]]*KH_26_OPT4_KTQT_v4[[#This Row],[SL-06]])</f>
        <v>0</v>
      </c>
      <c r="CC60" s="47">
        <f>IF(KH_26_OPT4_KTQT_v4[[#This Row],[CPHH-%-SL]]="Dthu",KH_26_OPT4_KTQT_v4[[#This Row],[%HH]]*KH_26_OPT4_KTQT_v4[[#This Row],[DT-EXW-07]],KH_26_OPT4_KTQT_v4[[#This Row],[HH-SL]]*KH_26_OPT4_KTQT_v4[[#This Row],[SL-07]])</f>
        <v>0</v>
      </c>
      <c r="CD60" s="47">
        <f>IF(KH_26_OPT4_KTQT_v4[[#This Row],[CPHH-%-SL]]="Dthu",KH_26_OPT4_KTQT_v4[[#This Row],[%HH]]*KH_26_OPT4_KTQT_v4[[#This Row],[DT-EXW-08]],KH_26_OPT4_KTQT_v4[[#This Row],[HH-SL]]*KH_26_OPT4_KTQT_v4[[#This Row],[SL-08]])</f>
        <v>0</v>
      </c>
      <c r="CE60" s="47">
        <f>IF(KH_26_OPT4_KTQT_v4[[#This Row],[CPHH-%-SL]]="Dthu",KH_26_OPT4_KTQT_v4[[#This Row],[%HH]]*KH_26_OPT4_KTQT_v4[[#This Row],[DT-EXW-09]],KH_26_OPT4_KTQT_v4[[#This Row],[HH-SL]]*KH_26_OPT4_KTQT_v4[[#This Row],[SL-09]])</f>
        <v>0</v>
      </c>
      <c r="CF60" s="47">
        <f>IF(KH_26_OPT4_KTQT_v4[[#This Row],[CPHH-%-SL]]="Dthu",KH_26_OPT4_KTQT_v4[[#This Row],[%HH]]*KH_26_OPT4_KTQT_v4[[#This Row],[DT-EXW-10]],KH_26_OPT4_KTQT_v4[[#This Row],[HH-SL]]*KH_26_OPT4_KTQT_v4[[#This Row],[SL-10]])</f>
        <v>0</v>
      </c>
      <c r="CG60" s="47">
        <f>IF(KH_26_OPT4_KTQT_v4[[#This Row],[CPHH-%-SL]]="Dthu",KH_26_OPT4_KTQT_v4[[#This Row],[%HH]]*KH_26_OPT4_KTQT_v4[[#This Row],[DT-EXW-11]],KH_26_OPT4_KTQT_v4[[#This Row],[HH-SL]]*KH_26_OPT4_KTQT_v4[[#This Row],[SL-11]])</f>
        <v>0</v>
      </c>
      <c r="CH60" s="47">
        <f>IF(KH_26_OPT4_KTQT_v4[[#This Row],[CPHH-%-SL]]="Dthu",KH_26_OPT4_KTQT_v4[[#This Row],[%HH]]*KH_26_OPT4_KTQT_v4[[#This Row],[DT-EXW-12]],KH_26_OPT4_KTQT_v4[[#This Row],[HH-SL]]*KH_26_OPT4_KTQT_v4[[#This Row],[SL-12]])</f>
        <v>0</v>
      </c>
      <c r="CI60" s="47">
        <f ca="1">SUM(KH_26_OPT4_KTQT_v4[[#This Row],[CPHH-01]:[CPHH-12]])</f>
        <v>0</v>
      </c>
      <c r="CJ60" s="47" cm="1">
        <f t="array" ref="CJ60">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60" s="19">
        <f ca="1">SUM(KH_26_OPT4_KTQT_v4[[#This Row],[ĐGVCNĐ-KXK]:[ĐGVCCT-KXK]])</f>
        <v>0</v>
      </c>
      <c r="CL60" s="47" cm="1">
        <f t="array" ref="CL60">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60" s="47" cm="1">
        <f t="array" ref="CM60">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60" s="47">
        <f ca="1">(KH_26_OPT4_KTQT_v4[[#This Row],[ĐGVC-KNĐ]]+KH_26_OPT4_KTQT_v4[[#This Row],[ĐGVC-KXK]])*KH_26_OPT4_KTQT_v4[[#This Row],[SL-01]]</f>
        <v>0</v>
      </c>
      <c r="CO60" s="47">
        <f ca="1">(KH_26_OPT4_KTQT_v4[[#This Row],[ĐGVC-KNĐ]]+KH_26_OPT4_KTQT_v4[[#This Row],[ĐGVC-KXK]])*KH_26_OPT4_KTQT_v4[[#This Row],[SL-02]]</f>
        <v>0</v>
      </c>
      <c r="CP60" s="47">
        <f ca="1">(KH_26_OPT4_KTQT_v4[[#This Row],[ĐGVC-KNĐ]]+KH_26_OPT4_KTQT_v4[[#This Row],[ĐGVC-KXK]])*KH_26_OPT4_KTQT_v4[[#This Row],[SL-03]]</f>
        <v>0</v>
      </c>
      <c r="CQ60" s="47">
        <f ca="1">(KH_26_OPT4_KTQT_v4[[#This Row],[ĐGVC-KNĐ]]+KH_26_OPT4_KTQT_v4[[#This Row],[ĐGVC-KXK]])*KH_26_OPT4_KTQT_v4[[#This Row],[SL-04]]</f>
        <v>0</v>
      </c>
      <c r="CR60" s="47">
        <f ca="1">(KH_26_OPT4_KTQT_v4[[#This Row],[ĐGVC-KNĐ]]+KH_26_OPT4_KTQT_v4[[#This Row],[ĐGVC-KXK]])*KH_26_OPT4_KTQT_v4[[#This Row],[SL-05]]</f>
        <v>0</v>
      </c>
      <c r="CS60" s="47">
        <f ca="1">(KH_26_OPT4_KTQT_v4[[#This Row],[ĐGVC-KNĐ]]+KH_26_OPT4_KTQT_v4[[#This Row],[ĐGVC-KXK]])*KH_26_OPT4_KTQT_v4[[#This Row],[SL-06]]</f>
        <v>0</v>
      </c>
      <c r="CT60" s="47">
        <f ca="1">(KH_26_OPT4_KTQT_v4[[#This Row],[ĐGVC-KNĐ]]+KH_26_OPT4_KTQT_v4[[#This Row],[ĐGVC-KXK]])*KH_26_OPT4_KTQT_v4[[#This Row],[SL-07]]</f>
        <v>0</v>
      </c>
      <c r="CU60" s="47">
        <f ca="1">(KH_26_OPT4_KTQT_v4[[#This Row],[ĐGVC-KNĐ]]+KH_26_OPT4_KTQT_v4[[#This Row],[ĐGVC-KXK]])*KH_26_OPT4_KTQT_v4[[#This Row],[SL-08]]</f>
        <v>0</v>
      </c>
      <c r="CV60" s="47">
        <f ca="1">(KH_26_OPT4_KTQT_v4[[#This Row],[ĐGVC-KNĐ]]+KH_26_OPT4_KTQT_v4[[#This Row],[ĐGVC-KXK]])*KH_26_OPT4_KTQT_v4[[#This Row],[SL-09]]</f>
        <v>0</v>
      </c>
      <c r="CW60" s="47">
        <f ca="1">(KH_26_OPT4_KTQT_v4[[#This Row],[ĐGVC-KNĐ]]+KH_26_OPT4_KTQT_v4[[#This Row],[ĐGVC-KXK]])*KH_26_OPT4_KTQT_v4[[#This Row],[SL-10]]</f>
        <v>0</v>
      </c>
      <c r="CX60" s="47">
        <f ca="1">(KH_26_OPT4_KTQT_v4[[#This Row],[ĐGVC-KNĐ]]+KH_26_OPT4_KTQT_v4[[#This Row],[ĐGVC-KXK]])*KH_26_OPT4_KTQT_v4[[#This Row],[SL-11]]</f>
        <v>0</v>
      </c>
      <c r="CY60" s="47">
        <f ca="1">(KH_26_OPT4_KTQT_v4[[#This Row],[ĐGVC-KNĐ]]+KH_26_OPT4_KTQT_v4[[#This Row],[ĐGVC-KXK]])*KH_26_OPT4_KTQT_v4[[#This Row],[SL-12]]</f>
        <v>0</v>
      </c>
      <c r="CZ60" s="47">
        <f ca="1">SUM(KH_26_OPT4_KTQT_v4[[#This Row],[CPVC-01]:[CPVC-12]])</f>
        <v>0</v>
      </c>
      <c r="DA60" s="124">
        <f ca="1">KH_26_OPT4_KTQT_v4[[#This Row],[DT-EXW-01]]+KH_26_OPT4_KTQT_v4[[#This Row],[CPVC-01]]+KH_26_OPT4_KTQT_v4[[#This Row],[CPHH-01]]</f>
        <v>0</v>
      </c>
      <c r="DB60" s="47">
        <f ca="1">KH_26_OPT4_KTQT_v4[[#This Row],[DT-EXW-02]]+KH_26_OPT4_KTQT_v4[[#This Row],[CPVC-02]]+KH_26_OPT4_KTQT_v4[[#This Row],[CPHH-02]]</f>
        <v>0</v>
      </c>
      <c r="DC60" s="47">
        <f ca="1">KH_26_OPT4_KTQT_v4[[#This Row],[DT-EXW-03]]+KH_26_OPT4_KTQT_v4[[#This Row],[CPVC-03]]+KH_26_OPT4_KTQT_v4[[#This Row],[CPHH-03]]</f>
        <v>0</v>
      </c>
      <c r="DD60" s="47">
        <f ca="1">KH_26_OPT4_KTQT_v4[[#This Row],[DT-EXW-04]]+KH_26_OPT4_KTQT_v4[[#This Row],[CPVC-04]]+KH_26_OPT4_KTQT_v4[[#This Row],[CPHH-04]]</f>
        <v>0</v>
      </c>
      <c r="DE60" s="47">
        <f ca="1">KH_26_OPT4_KTQT_v4[[#This Row],[DT-EXW-05]]+KH_26_OPT4_KTQT_v4[[#This Row],[CPVC-05]]+KH_26_OPT4_KTQT_v4[[#This Row],[CPHH-05]]</f>
        <v>0</v>
      </c>
      <c r="DF60" s="47">
        <f ca="1">KH_26_OPT4_KTQT_v4[[#This Row],[DT-EXW-06]]+KH_26_OPT4_KTQT_v4[[#This Row],[CPVC-06]]+KH_26_OPT4_KTQT_v4[[#This Row],[CPHH-06]]</f>
        <v>0</v>
      </c>
      <c r="DG60" s="47">
        <f ca="1">KH_26_OPT4_KTQT_v4[[#This Row],[DT-EXW-07]]+KH_26_OPT4_KTQT_v4[[#This Row],[CPVC-07]]+KH_26_OPT4_KTQT_v4[[#This Row],[CPHH-07]]</f>
        <v>0</v>
      </c>
      <c r="DH60" s="47">
        <f ca="1">KH_26_OPT4_KTQT_v4[[#This Row],[DT-EXW-08]]+KH_26_OPT4_KTQT_v4[[#This Row],[CPVC-08]]+KH_26_OPT4_KTQT_v4[[#This Row],[CPHH-08]]</f>
        <v>0</v>
      </c>
      <c r="DI60" s="47">
        <f ca="1">KH_26_OPT4_KTQT_v4[[#This Row],[DT-EXW-09]]+KH_26_OPT4_KTQT_v4[[#This Row],[CPVC-09]]+KH_26_OPT4_KTQT_v4[[#This Row],[CPHH-09]]</f>
        <v>0</v>
      </c>
      <c r="DJ60" s="47">
        <f ca="1">KH_26_OPT4_KTQT_v4[[#This Row],[DT-EXW-10]]+KH_26_OPT4_KTQT_v4[[#This Row],[CPVC-10]]+KH_26_OPT4_KTQT_v4[[#This Row],[CPHH-10]]</f>
        <v>0</v>
      </c>
      <c r="DK60" s="47">
        <f ca="1">KH_26_OPT4_KTQT_v4[[#This Row],[DT-EXW-11]]+KH_26_OPT4_KTQT_v4[[#This Row],[CPVC-11]]+KH_26_OPT4_KTQT_v4[[#This Row],[CPHH-11]]</f>
        <v>0</v>
      </c>
      <c r="DL60" s="47">
        <f ca="1">KH_26_OPT4_KTQT_v4[[#This Row],[DT-EXW-12]]+KH_26_OPT4_KTQT_v4[[#This Row],[CPVC-12]]+KH_26_OPT4_KTQT_v4[[#This Row],[CPHH-12]]</f>
        <v>0</v>
      </c>
      <c r="DM60" s="47">
        <f ca="1">SUM(KH_26_OPT4_KTQT_v4[[#This Row],[DT-01]:[DT-12]])</f>
        <v>0</v>
      </c>
      <c r="DN60" s="7"/>
      <c r="DO60" s="7"/>
      <c r="DP60" s="125"/>
      <c r="DQ60" s="136"/>
      <c r="DR60" s="132">
        <f>IFERROR(KH_26_OPT4_KTQT_v4[[#This Row],[DT-EXW-01]]*KH_26_OPT4_KTQT_v4[[#This Row],[%CPDP]],0)</f>
        <v>0</v>
      </c>
      <c r="DS60" s="132">
        <f>IFERROR(KH_26_OPT4_KTQT_v4[[#This Row],[DT-EXW-02]]*KH_26_OPT4_KTQT_v4[[#This Row],[%CPDP]],0)</f>
        <v>0</v>
      </c>
      <c r="DT60" s="132">
        <f>IFERROR(KH_26_OPT4_KTQT_v4[[#This Row],[DT-EXW-03]]*KH_26_OPT4_KTQT_v4[[#This Row],[%CPDP]],0)</f>
        <v>0</v>
      </c>
      <c r="DU60" s="132">
        <f>IFERROR(KH_26_OPT4_KTQT_v4[[#This Row],[DT-EXW-04]]*KH_26_OPT4_KTQT_v4[[#This Row],[%CPDP]],0)</f>
        <v>0</v>
      </c>
      <c r="DV60" s="132">
        <f>IFERROR(KH_26_OPT4_KTQT_v4[[#This Row],[DT-EXW-05]]*KH_26_OPT4_KTQT_v4[[#This Row],[%CPDP]],0)</f>
        <v>0</v>
      </c>
      <c r="DW60" s="132">
        <f>IFERROR(KH_26_OPT4_KTQT_v4[[#This Row],[DT-EXW-06]]*KH_26_OPT4_KTQT_v4[[#This Row],[%CPDP]],0)</f>
        <v>0</v>
      </c>
      <c r="DX60" s="132">
        <f>IFERROR(KH_26_OPT4_KTQT_v4[[#This Row],[DT-EXW-07]]*KH_26_OPT4_KTQT_v4[[#This Row],[%CPDP]],0)</f>
        <v>0</v>
      </c>
      <c r="DY60" s="132">
        <f>IFERROR(KH_26_OPT4_KTQT_v4[[#This Row],[DT-EXW-08]]*KH_26_OPT4_KTQT_v4[[#This Row],[%CPDP]],0)</f>
        <v>0</v>
      </c>
      <c r="DZ60" s="132">
        <f>IFERROR(KH_26_OPT4_KTQT_v4[[#This Row],[DT-EXW-09]]*KH_26_OPT4_KTQT_v4[[#This Row],[%CPDP]],0)</f>
        <v>0</v>
      </c>
      <c r="EA60" s="132">
        <f>IFERROR(KH_26_OPT4_KTQT_v4[[#This Row],[DT-EXW-10]]*KH_26_OPT4_KTQT_v4[[#This Row],[%CPDP]],0)</f>
        <v>0</v>
      </c>
      <c r="EB60" s="132">
        <f>IFERROR(KH_26_OPT4_KTQT_v4[[#This Row],[DT-EXW-11]]*KH_26_OPT4_KTQT_v4[[#This Row],[%CPDP]],0)</f>
        <v>0</v>
      </c>
      <c r="EC60" s="132">
        <f>IFERROR(KH_26_OPT4_KTQT_v4[[#This Row],[DT-EXW-12]]*KH_26_OPT4_KTQT_v4[[#This Row],[%CPDP]],0)</f>
        <v>0</v>
      </c>
      <c r="ED60" s="131">
        <f ca="1">SUM(KH_26_OPT4_KTQT_v4[[#This Row],[CPDP-01]:[CPDP-12]])</f>
        <v>0</v>
      </c>
    </row>
    <row r="61" spans="1:134" ht="14.65" hidden="1" customHeight="1" x14ac:dyDescent="0.35">
      <c r="A61" s="18">
        <v>56</v>
      </c>
      <c r="B61" s="71" t="s">
        <v>95</v>
      </c>
      <c r="C61" s="18" t="str">
        <f>IFERROR(_xlfn.XLOOKUP(KH_26_OPT4_KTQT_v4[[#This Row],[Salesman]],MD_Salesman[Salesman],MD_Salesman[SalesManager]),"")</f>
        <v>Cường</v>
      </c>
      <c r="D61" s="72" t="str">
        <f>IFERROR(INDEX(MD_Customer[Mã khách],MATCH(KH_26_OPT4_KTQT_v4[[#This Row],[Tên khách]],MD_Customer[Tên khách-rút gọn],0)),"")</f>
        <v>200357</v>
      </c>
      <c r="E61" s="7" t="str">
        <f>IFERROR(INDEX(MD_Customer[Parent Account],MATCH(KH_26_OPT4_KTQT_v4[[#This Row],[Tên khách]],MD_Customer[Tên khách-rút gọn],0)),"")</f>
        <v>Genesis Polymers International</v>
      </c>
      <c r="F61" s="35" t="s">
        <v>126</v>
      </c>
      <c r="G61" s="7" t="str">
        <f>IFERROR(INDEX(MD_Customer[Phân loại],MATCH(KH_26_OPT4_KTQT_v4[[#This Row],[Tên khách]],MD_Customer[Tên khách-rút gọn],0)),"")</f>
        <v>Hiện hữu</v>
      </c>
      <c r="H61" s="7" t="str">
        <f>IFERROR(INDEX(MD_Customer[Kênh bán hàng],MATCH(KH_26_OPT4_KTQT_v4[[#This Row],[Tên khách]],MD_Customer[Tên khách-rút gọn],0)),"")</f>
        <v>Xuất khẩu</v>
      </c>
      <c r="I61" s="35" t="s">
        <v>300</v>
      </c>
      <c r="J61" s="7" t="str">
        <f>IFERROR(INDEX(MD_Destination[Nước],MATCH(KH_26_OPT4_KTQT_v4[[#This Row],[Địa điểm đến]],MD_Destination[Địa điểm đến],0)),"")</f>
        <v>Mexico</v>
      </c>
      <c r="K61" s="7" t="str">
        <f>IFERROR(INDEX(MD_Destination[Khu vực],MATCH(KH_26_OPT4_KTQT_v4[[#This Row],[Địa điểm đến]],MD_Destination[Địa điểm đến],0)),"")</f>
        <v>Châu Mỹ</v>
      </c>
      <c r="L61" s="35" t="s">
        <v>293</v>
      </c>
      <c r="M61" s="7" t="str">
        <f>IFERROR(INDEX(MD_SKU[Mã SKU],MATCH(KH_26_OPT4_KTQT_v4[[#This Row],[Tên sản phẩm]],MD_SKU[Tên SKU-rút gọn],0)),"")</f>
        <v>110000332</v>
      </c>
      <c r="N61" s="35" t="s">
        <v>1124</v>
      </c>
      <c r="O61" s="7" t="str">
        <f>IFERROR(INDEX(MD_SKU[Ngành hàng],MATCH(KH_26_OPT4_KTQT_v4[[#This Row],[Tên sản phẩm]],MD_SKU[Tên SKU-rút gọn],0)),"")</f>
        <v>rPET</v>
      </c>
      <c r="P61" s="7" t="str">
        <f>IFERROR(INDEX(MD_SKU[Nhóm ngành],MATCH(KH_26_OPT4_KTQT_v4[[#This Row],[Tên sản phẩm]],MD_SKU[Tên SKU-rút gọn],0)),"")</f>
        <v>Hạt PET</v>
      </c>
      <c r="Q61" s="7" t="str">
        <f>IFERROR(
   IF(INDEX(MD_SKU[IV/IM],MATCH(KH_26_OPT4_KTQT_v4[[#This Row],[Tên sản phẩm]],MD_SKU[Tên SKU-rút gọn],0))=0,
      "",
      INDEX(MD_SKU[IV/IM],MATCH(KH_26_OPT4_KTQT_v4[[#This Row],[Tên sản phẩm]],MD_SKU[Tên SKU-rút gọn],0))
   ),
"")</f>
        <v>0.84 ± 0.03</v>
      </c>
      <c r="R61" s="44">
        <f>IFERROR(INDEX(MD_SKU[Application],MATCH(KH_26_OPT4_KTQT_v4[[#This Row],[Tên sản phẩm]],MD_SKU[Tên SKU-rút gọn],0)),"")</f>
        <v>0</v>
      </c>
      <c r="S61" s="7" t="str">
        <f>IFERROR(INDEX(MD_SKU[Phân loại],MATCH(KH_26_OPT4_KTQT_v4[[#This Row],[Tên sản phẩm]],MD_SKU[Tên SKU-rút gọn],0)),"")</f>
        <v>Cũ</v>
      </c>
      <c r="T61" s="180" t="s">
        <v>126</v>
      </c>
      <c r="U61" s="7" t="s">
        <v>1508</v>
      </c>
      <c r="V61" s="70">
        <v>0.8</v>
      </c>
      <c r="W61" s="33">
        <v>22</v>
      </c>
      <c r="X61" s="33">
        <v>22</v>
      </c>
      <c r="Y61" s="33">
        <v>22</v>
      </c>
      <c r="Z61" s="33">
        <v>22</v>
      </c>
      <c r="AA61" s="33">
        <v>22</v>
      </c>
      <c r="AB61" s="33">
        <v>22</v>
      </c>
      <c r="AC61" s="33">
        <v>22</v>
      </c>
      <c r="AD61" s="33">
        <v>22</v>
      </c>
      <c r="AE61" s="33">
        <v>22</v>
      </c>
      <c r="AF61" s="33">
        <v>22</v>
      </c>
      <c r="AG61" s="33">
        <v>22</v>
      </c>
      <c r="AH61" s="33">
        <v>22</v>
      </c>
      <c r="AI61" s="47">
        <f ca="1">SUM(KH_26_OPT4_KTQT_v4[[#This Row],[SL-01]:[SL-12]])</f>
        <v>264</v>
      </c>
      <c r="AJ61" s="47">
        <f ca="1">SUMIFS(DB_25[SL-DB25],DB_25[Mã khách],KH_26_OPT4_KTQT_v4[[#This Row],[Mã khách]],DB_25[Mã sản phẩm],KH_26_OPT4_KTQT_v4[[#This Row],[Mã sản phẩm]])</f>
        <v>352</v>
      </c>
      <c r="AK61" s="20">
        <f ca="1">KH_26_OPT4_KTQT_v4[[#This Row],[SL-KH26]]-KH_26_OPT4_KTQT_v4[[#This Row],[SL-DB25]]</f>
        <v>-88</v>
      </c>
      <c r="AL61" s="21">
        <f ca="1">IFERROR(KH_26_OPT4_KTQT_v4[[#This Row],[SL-+/-]]/KH_26_OPT4_KTQT_v4[[#This Row],[SL-DB25]],0)</f>
        <v>-0.25</v>
      </c>
      <c r="AM61" s="51">
        <v>1250</v>
      </c>
      <c r="AN61" s="51">
        <v>1250</v>
      </c>
      <c r="AO61" s="51">
        <v>1250</v>
      </c>
      <c r="AP61" s="51">
        <v>1250</v>
      </c>
      <c r="AQ61" s="51">
        <v>1250</v>
      </c>
      <c r="AR61" s="51">
        <v>1250</v>
      </c>
      <c r="AS61" s="51">
        <v>1250</v>
      </c>
      <c r="AT61" s="51">
        <v>1250</v>
      </c>
      <c r="AU61" s="51">
        <v>1250</v>
      </c>
      <c r="AV61" s="51">
        <v>1250</v>
      </c>
      <c r="AW61" s="51">
        <v>1250</v>
      </c>
      <c r="AX61" s="51">
        <v>1250</v>
      </c>
      <c r="AY61" s="23">
        <v>1200</v>
      </c>
      <c r="AZ61" s="7"/>
      <c r="BA61" s="24">
        <f>KH_26_OPT4_KTQT_v4[[#This Row],[GB-DB25]]-KH_26_OPT4_KTQT_v4[[#This Row],[GB-KH25]]</f>
        <v>1200</v>
      </c>
      <c r="BB61" s="21">
        <f>IFERROR(KH_26_OPT4_KTQT_v4[[#This Row],[GB-+/-]]/KH_26_OPT4_KTQT_v4[[#This Row],[GB-KH25]],0)</f>
        <v>0</v>
      </c>
      <c r="BC61" s="21"/>
      <c r="BD61" s="47">
        <f>KH_26_OPT4_KTQT_v4[[#This Row],[SL-01]]*KH_26_OPT4_KTQT_v4[[#This Row],[GB-01]]*EXR</f>
        <v>728750000</v>
      </c>
      <c r="BE61" s="47">
        <f>KH_26_OPT4_KTQT_v4[[#This Row],[SL-02]]*KH_26_OPT4_KTQT_v4[[#This Row],[GB-02]]*EXR</f>
        <v>728750000</v>
      </c>
      <c r="BF61" s="47">
        <f>KH_26_OPT4_KTQT_v4[[#This Row],[SL-03]]*KH_26_OPT4_KTQT_v4[[#This Row],[GB-03]]*EXR</f>
        <v>728750000</v>
      </c>
      <c r="BG61" s="47">
        <f>KH_26_OPT4_KTQT_v4[[#This Row],[SL-04]]*KH_26_OPT4_KTQT_v4[[#This Row],[GB-04]]*EXR</f>
        <v>728750000</v>
      </c>
      <c r="BH61" s="47">
        <f>KH_26_OPT4_KTQT_v4[[#This Row],[SL-05]]*KH_26_OPT4_KTQT_v4[[#This Row],[GB-05]]*EXR</f>
        <v>728750000</v>
      </c>
      <c r="BI61" s="47">
        <f>KH_26_OPT4_KTQT_v4[[#This Row],[SL-06]]*KH_26_OPT4_KTQT_v4[[#This Row],[GB-06]]*EXR</f>
        <v>728750000</v>
      </c>
      <c r="BJ61" s="47">
        <f>KH_26_OPT4_KTQT_v4[[#This Row],[SL-07]]*KH_26_OPT4_KTQT_v4[[#This Row],[GB-07]]*EXR</f>
        <v>728750000</v>
      </c>
      <c r="BK61" s="47">
        <f>KH_26_OPT4_KTQT_v4[[#This Row],[SL-08]]*KH_26_OPT4_KTQT_v4[[#This Row],[GB-08]]*EXR</f>
        <v>728750000</v>
      </c>
      <c r="BL61" s="47">
        <f>KH_26_OPT4_KTQT_v4[[#This Row],[SL-09]]*KH_26_OPT4_KTQT_v4[[#This Row],[GB-09]]*EXR</f>
        <v>728750000</v>
      </c>
      <c r="BM61" s="47">
        <f>KH_26_OPT4_KTQT_v4[[#This Row],[SL-10]]*KH_26_OPT4_KTQT_v4[[#This Row],[GB-10]]*EXR</f>
        <v>728750000</v>
      </c>
      <c r="BN61" s="47">
        <f>KH_26_OPT4_KTQT_v4[[#This Row],[SL-11]]*KH_26_OPT4_KTQT_v4[[#This Row],[GB-11]]*EXR</f>
        <v>728750000</v>
      </c>
      <c r="BO61" s="47">
        <f>KH_26_OPT4_KTQT_v4[[#This Row],[SL-12]]*KH_26_OPT4_KTQT_v4[[#This Row],[GB-12]]*EXR</f>
        <v>728750000</v>
      </c>
      <c r="BP61" s="47">
        <f ca="1">SUM(KH_26_OPT4_KTQT_v4[[#This Row],[DT-EXW-01]:[DT-EXW-12]])</f>
        <v>8745000000</v>
      </c>
      <c r="BQ61" s="47">
        <f ca="1">SUMIFS(DB_25[DT-DB25],DB_25[Mã khách],KH_26_OPT4_KTQT_v4[[#This Row],[Mã khách]],DB_25[Mã sản phẩm],KH_26_OPT4_KTQT_v4[[#This Row],[Mã sản phẩm]])</f>
        <v>7603216859.2347927</v>
      </c>
      <c r="BR61" s="47">
        <f ca="1">KH_26_OPT4_KTQT_v4[[#This Row],[DT-EXW-KH26]]-KH_26_OPT4_KTQT_v4[[#This Row],[DT-EXW-DB25]]</f>
        <v>1141783140.7652073</v>
      </c>
      <c r="BS61" s="21">
        <f ca="1">IFERROR(KH_26_OPT4_KTQT_v4[[#This Row],[DT-EXW-+/-]]/KH_26_OPT4_KTQT_v4[[#This Row],[DT-EXW-DB25]],0)</f>
        <v>0.15017106073706271</v>
      </c>
      <c r="BT61" s="139"/>
      <c r="BU61" s="57"/>
      <c r="BV61" s="51"/>
      <c r="BW61" s="47">
        <f>IF(KH_26_OPT4_KTQT_v4[[#This Row],[CPHH-%-SL]]="Dthu",KH_26_OPT4_KTQT_v4[[#This Row],[%HH]]*KH_26_OPT4_KTQT_v4[[#This Row],[DT-EXW-01]],KH_26_OPT4_KTQT_v4[[#This Row],[HH-SL]]*KH_26_OPT4_KTQT_v4[[#This Row],[SL-01]])</f>
        <v>0</v>
      </c>
      <c r="BX61" s="47">
        <f>IF(KH_26_OPT4_KTQT_v4[[#This Row],[CPHH-%-SL]]="Dthu",KH_26_OPT4_KTQT_v4[[#This Row],[%HH]]*KH_26_OPT4_KTQT_v4[[#This Row],[DT-EXW-02]],KH_26_OPT4_KTQT_v4[[#This Row],[HH-SL]]*KH_26_OPT4_KTQT_v4[[#This Row],[SL-02]])</f>
        <v>0</v>
      </c>
      <c r="BY61" s="47">
        <f>IF(KH_26_OPT4_KTQT_v4[[#This Row],[CPHH-%-SL]]="Dthu",KH_26_OPT4_KTQT_v4[[#This Row],[%HH]]*KH_26_OPT4_KTQT_v4[[#This Row],[DT-EXW-03]],KH_26_OPT4_KTQT_v4[[#This Row],[HH-SL]]*KH_26_OPT4_KTQT_v4[[#This Row],[SL-03]])</f>
        <v>0</v>
      </c>
      <c r="BZ61" s="47">
        <f>IF(KH_26_OPT4_KTQT_v4[[#This Row],[CPHH-%-SL]]="Dthu",KH_26_OPT4_KTQT_v4[[#This Row],[%HH]]*KH_26_OPT4_KTQT_v4[[#This Row],[DT-EXW-04]],KH_26_OPT4_KTQT_v4[[#This Row],[HH-SL]]*KH_26_OPT4_KTQT_v4[[#This Row],[SL-04]])</f>
        <v>0</v>
      </c>
      <c r="CA61" s="47">
        <f>IF(KH_26_OPT4_KTQT_v4[[#This Row],[CPHH-%-SL]]="Dthu",KH_26_OPT4_KTQT_v4[[#This Row],[%HH]]*KH_26_OPT4_KTQT_v4[[#This Row],[DT-EXW-05]],KH_26_OPT4_KTQT_v4[[#This Row],[HH-SL]]*KH_26_OPT4_KTQT_v4[[#This Row],[SL-05]])</f>
        <v>0</v>
      </c>
      <c r="CB61" s="47">
        <f>IF(KH_26_OPT4_KTQT_v4[[#This Row],[CPHH-%-SL]]="Dthu",KH_26_OPT4_KTQT_v4[[#This Row],[%HH]]*KH_26_OPT4_KTQT_v4[[#This Row],[DT-EXW-06]],KH_26_OPT4_KTQT_v4[[#This Row],[HH-SL]]*KH_26_OPT4_KTQT_v4[[#This Row],[SL-06]])</f>
        <v>0</v>
      </c>
      <c r="CC61" s="47">
        <f>IF(KH_26_OPT4_KTQT_v4[[#This Row],[CPHH-%-SL]]="Dthu",KH_26_OPT4_KTQT_v4[[#This Row],[%HH]]*KH_26_OPT4_KTQT_v4[[#This Row],[DT-EXW-07]],KH_26_OPT4_KTQT_v4[[#This Row],[HH-SL]]*KH_26_OPT4_KTQT_v4[[#This Row],[SL-07]])</f>
        <v>0</v>
      </c>
      <c r="CD61" s="47">
        <f>IF(KH_26_OPT4_KTQT_v4[[#This Row],[CPHH-%-SL]]="Dthu",KH_26_OPT4_KTQT_v4[[#This Row],[%HH]]*KH_26_OPT4_KTQT_v4[[#This Row],[DT-EXW-08]],KH_26_OPT4_KTQT_v4[[#This Row],[HH-SL]]*KH_26_OPT4_KTQT_v4[[#This Row],[SL-08]])</f>
        <v>0</v>
      </c>
      <c r="CE61" s="47">
        <f>IF(KH_26_OPT4_KTQT_v4[[#This Row],[CPHH-%-SL]]="Dthu",KH_26_OPT4_KTQT_v4[[#This Row],[%HH]]*KH_26_OPT4_KTQT_v4[[#This Row],[DT-EXW-09]],KH_26_OPT4_KTQT_v4[[#This Row],[HH-SL]]*KH_26_OPT4_KTQT_v4[[#This Row],[SL-09]])</f>
        <v>0</v>
      </c>
      <c r="CF61" s="47">
        <f>IF(KH_26_OPT4_KTQT_v4[[#This Row],[CPHH-%-SL]]="Dthu",KH_26_OPT4_KTQT_v4[[#This Row],[%HH]]*KH_26_OPT4_KTQT_v4[[#This Row],[DT-EXW-10]],KH_26_OPT4_KTQT_v4[[#This Row],[HH-SL]]*KH_26_OPT4_KTQT_v4[[#This Row],[SL-10]])</f>
        <v>0</v>
      </c>
      <c r="CG61" s="47">
        <f>IF(KH_26_OPT4_KTQT_v4[[#This Row],[CPHH-%-SL]]="Dthu",KH_26_OPT4_KTQT_v4[[#This Row],[%HH]]*KH_26_OPT4_KTQT_v4[[#This Row],[DT-EXW-11]],KH_26_OPT4_KTQT_v4[[#This Row],[HH-SL]]*KH_26_OPT4_KTQT_v4[[#This Row],[SL-11]])</f>
        <v>0</v>
      </c>
      <c r="CH61" s="47">
        <f>IF(KH_26_OPT4_KTQT_v4[[#This Row],[CPHH-%-SL]]="Dthu",KH_26_OPT4_KTQT_v4[[#This Row],[%HH]]*KH_26_OPT4_KTQT_v4[[#This Row],[DT-EXW-12]],KH_26_OPT4_KTQT_v4[[#This Row],[HH-SL]]*KH_26_OPT4_KTQT_v4[[#This Row],[SL-12]])</f>
        <v>0</v>
      </c>
      <c r="CI61" s="47">
        <f ca="1">SUM(KH_26_OPT4_KTQT_v4[[#This Row],[CPHH-01]:[CPHH-12]])</f>
        <v>0</v>
      </c>
      <c r="CJ61" s="47" cm="1">
        <f t="array" ref="CJ61">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61" s="19">
        <f ca="1">SUM(KH_26_OPT4_KTQT_v4[[#This Row],[ĐGVCNĐ-KXK]:[ĐGVCCT-KXK]])</f>
        <v>3420909.0909090908</v>
      </c>
      <c r="CL61" s="47" cm="1">
        <f t="array" ref="CL61">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530000</v>
      </c>
      <c r="CM61" s="47" cm="1">
        <f t="array" ref="CM61">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2890909.0909090908</v>
      </c>
      <c r="CN61" s="47">
        <f ca="1">(KH_26_OPT4_KTQT_v4[[#This Row],[ĐGVC-KNĐ]]+KH_26_OPT4_KTQT_v4[[#This Row],[ĐGVC-KXK]])*KH_26_OPT4_KTQT_v4[[#This Row],[SL-01]]</f>
        <v>75260000</v>
      </c>
      <c r="CO61" s="47">
        <f ca="1">(KH_26_OPT4_KTQT_v4[[#This Row],[ĐGVC-KNĐ]]+KH_26_OPT4_KTQT_v4[[#This Row],[ĐGVC-KXK]])*KH_26_OPT4_KTQT_v4[[#This Row],[SL-02]]</f>
        <v>75260000</v>
      </c>
      <c r="CP61" s="47">
        <f ca="1">(KH_26_OPT4_KTQT_v4[[#This Row],[ĐGVC-KNĐ]]+KH_26_OPT4_KTQT_v4[[#This Row],[ĐGVC-KXK]])*KH_26_OPT4_KTQT_v4[[#This Row],[SL-03]]</f>
        <v>75260000</v>
      </c>
      <c r="CQ61" s="47">
        <f ca="1">(KH_26_OPT4_KTQT_v4[[#This Row],[ĐGVC-KNĐ]]+KH_26_OPT4_KTQT_v4[[#This Row],[ĐGVC-KXK]])*KH_26_OPT4_KTQT_v4[[#This Row],[SL-04]]</f>
        <v>75260000</v>
      </c>
      <c r="CR61" s="47">
        <f ca="1">(KH_26_OPT4_KTQT_v4[[#This Row],[ĐGVC-KNĐ]]+KH_26_OPT4_KTQT_v4[[#This Row],[ĐGVC-KXK]])*KH_26_OPT4_KTQT_v4[[#This Row],[SL-05]]</f>
        <v>75260000</v>
      </c>
      <c r="CS61" s="47">
        <f ca="1">(KH_26_OPT4_KTQT_v4[[#This Row],[ĐGVC-KNĐ]]+KH_26_OPT4_KTQT_v4[[#This Row],[ĐGVC-KXK]])*KH_26_OPT4_KTQT_v4[[#This Row],[SL-06]]</f>
        <v>75260000</v>
      </c>
      <c r="CT61" s="47">
        <f ca="1">(KH_26_OPT4_KTQT_v4[[#This Row],[ĐGVC-KNĐ]]+KH_26_OPT4_KTQT_v4[[#This Row],[ĐGVC-KXK]])*KH_26_OPT4_KTQT_v4[[#This Row],[SL-07]]</f>
        <v>75260000</v>
      </c>
      <c r="CU61" s="47">
        <f ca="1">(KH_26_OPT4_KTQT_v4[[#This Row],[ĐGVC-KNĐ]]+KH_26_OPT4_KTQT_v4[[#This Row],[ĐGVC-KXK]])*KH_26_OPT4_KTQT_v4[[#This Row],[SL-08]]</f>
        <v>75260000</v>
      </c>
      <c r="CV61" s="47">
        <f ca="1">(KH_26_OPT4_KTQT_v4[[#This Row],[ĐGVC-KNĐ]]+KH_26_OPT4_KTQT_v4[[#This Row],[ĐGVC-KXK]])*KH_26_OPT4_KTQT_v4[[#This Row],[SL-09]]</f>
        <v>75260000</v>
      </c>
      <c r="CW61" s="47">
        <f ca="1">(KH_26_OPT4_KTQT_v4[[#This Row],[ĐGVC-KNĐ]]+KH_26_OPT4_KTQT_v4[[#This Row],[ĐGVC-KXK]])*KH_26_OPT4_KTQT_v4[[#This Row],[SL-10]]</f>
        <v>75260000</v>
      </c>
      <c r="CX61" s="47">
        <f ca="1">(KH_26_OPT4_KTQT_v4[[#This Row],[ĐGVC-KNĐ]]+KH_26_OPT4_KTQT_v4[[#This Row],[ĐGVC-KXK]])*KH_26_OPT4_KTQT_v4[[#This Row],[SL-11]]</f>
        <v>75260000</v>
      </c>
      <c r="CY61" s="47">
        <f ca="1">(KH_26_OPT4_KTQT_v4[[#This Row],[ĐGVC-KNĐ]]+KH_26_OPT4_KTQT_v4[[#This Row],[ĐGVC-KXK]])*KH_26_OPT4_KTQT_v4[[#This Row],[SL-12]]</f>
        <v>75260000</v>
      </c>
      <c r="CZ61" s="47">
        <f ca="1">SUM(KH_26_OPT4_KTQT_v4[[#This Row],[CPVC-01]:[CPVC-12]])</f>
        <v>903120000</v>
      </c>
      <c r="DA61" s="124">
        <f ca="1">KH_26_OPT4_KTQT_v4[[#This Row],[DT-EXW-01]]+KH_26_OPT4_KTQT_v4[[#This Row],[CPVC-01]]+KH_26_OPT4_KTQT_v4[[#This Row],[CPHH-01]]</f>
        <v>804010000</v>
      </c>
      <c r="DB61" s="47">
        <f ca="1">KH_26_OPT4_KTQT_v4[[#This Row],[DT-EXW-02]]+KH_26_OPT4_KTQT_v4[[#This Row],[CPVC-02]]+KH_26_OPT4_KTQT_v4[[#This Row],[CPHH-02]]</f>
        <v>804010000</v>
      </c>
      <c r="DC61" s="47">
        <f ca="1">KH_26_OPT4_KTQT_v4[[#This Row],[DT-EXW-03]]+KH_26_OPT4_KTQT_v4[[#This Row],[CPVC-03]]+KH_26_OPT4_KTQT_v4[[#This Row],[CPHH-03]]</f>
        <v>804010000</v>
      </c>
      <c r="DD61" s="47">
        <f ca="1">KH_26_OPT4_KTQT_v4[[#This Row],[DT-EXW-04]]+KH_26_OPT4_KTQT_v4[[#This Row],[CPVC-04]]+KH_26_OPT4_KTQT_v4[[#This Row],[CPHH-04]]</f>
        <v>804010000</v>
      </c>
      <c r="DE61" s="47">
        <f ca="1">KH_26_OPT4_KTQT_v4[[#This Row],[DT-EXW-05]]+KH_26_OPT4_KTQT_v4[[#This Row],[CPVC-05]]+KH_26_OPT4_KTQT_v4[[#This Row],[CPHH-05]]</f>
        <v>804010000</v>
      </c>
      <c r="DF61" s="47">
        <f ca="1">KH_26_OPT4_KTQT_v4[[#This Row],[DT-EXW-06]]+KH_26_OPT4_KTQT_v4[[#This Row],[CPVC-06]]+KH_26_OPT4_KTQT_v4[[#This Row],[CPHH-06]]</f>
        <v>804010000</v>
      </c>
      <c r="DG61" s="47">
        <f ca="1">KH_26_OPT4_KTQT_v4[[#This Row],[DT-EXW-07]]+KH_26_OPT4_KTQT_v4[[#This Row],[CPVC-07]]+KH_26_OPT4_KTQT_v4[[#This Row],[CPHH-07]]</f>
        <v>804010000</v>
      </c>
      <c r="DH61" s="47">
        <f ca="1">KH_26_OPT4_KTQT_v4[[#This Row],[DT-EXW-08]]+KH_26_OPT4_KTQT_v4[[#This Row],[CPVC-08]]+KH_26_OPT4_KTQT_v4[[#This Row],[CPHH-08]]</f>
        <v>804010000</v>
      </c>
      <c r="DI61" s="47">
        <f ca="1">KH_26_OPT4_KTQT_v4[[#This Row],[DT-EXW-09]]+KH_26_OPT4_KTQT_v4[[#This Row],[CPVC-09]]+KH_26_OPT4_KTQT_v4[[#This Row],[CPHH-09]]</f>
        <v>804010000</v>
      </c>
      <c r="DJ61" s="47">
        <f ca="1">KH_26_OPT4_KTQT_v4[[#This Row],[DT-EXW-10]]+KH_26_OPT4_KTQT_v4[[#This Row],[CPVC-10]]+KH_26_OPT4_KTQT_v4[[#This Row],[CPHH-10]]</f>
        <v>804010000</v>
      </c>
      <c r="DK61" s="47">
        <f ca="1">KH_26_OPT4_KTQT_v4[[#This Row],[DT-EXW-11]]+KH_26_OPT4_KTQT_v4[[#This Row],[CPVC-11]]+KH_26_OPT4_KTQT_v4[[#This Row],[CPHH-11]]</f>
        <v>804010000</v>
      </c>
      <c r="DL61" s="47">
        <f ca="1">KH_26_OPT4_KTQT_v4[[#This Row],[DT-EXW-12]]+KH_26_OPT4_KTQT_v4[[#This Row],[CPVC-12]]+KH_26_OPT4_KTQT_v4[[#This Row],[CPHH-12]]</f>
        <v>804010000</v>
      </c>
      <c r="DM61" s="47">
        <f ca="1">SUM(KH_26_OPT4_KTQT_v4[[#This Row],[DT-01]:[DT-12]])</f>
        <v>9648120000</v>
      </c>
      <c r="DN61" s="7"/>
      <c r="DO61" s="7"/>
      <c r="DP61" s="125"/>
      <c r="DQ61" s="136"/>
      <c r="DR61" s="132">
        <f>IFERROR(KH_26_OPT4_KTQT_v4[[#This Row],[DT-EXW-01]]*KH_26_OPT4_KTQT_v4[[#This Row],[%CPDP]],0)</f>
        <v>0</v>
      </c>
      <c r="DS61" s="132">
        <f>IFERROR(KH_26_OPT4_KTQT_v4[[#This Row],[DT-EXW-02]]*KH_26_OPT4_KTQT_v4[[#This Row],[%CPDP]],0)</f>
        <v>0</v>
      </c>
      <c r="DT61" s="132">
        <f>IFERROR(KH_26_OPT4_KTQT_v4[[#This Row],[DT-EXW-03]]*KH_26_OPT4_KTQT_v4[[#This Row],[%CPDP]],0)</f>
        <v>0</v>
      </c>
      <c r="DU61" s="132">
        <f>IFERROR(KH_26_OPT4_KTQT_v4[[#This Row],[DT-EXW-04]]*KH_26_OPT4_KTQT_v4[[#This Row],[%CPDP]],0)</f>
        <v>0</v>
      </c>
      <c r="DV61" s="132">
        <f>IFERROR(KH_26_OPT4_KTQT_v4[[#This Row],[DT-EXW-05]]*KH_26_OPT4_KTQT_v4[[#This Row],[%CPDP]],0)</f>
        <v>0</v>
      </c>
      <c r="DW61" s="132">
        <f>IFERROR(KH_26_OPT4_KTQT_v4[[#This Row],[DT-EXW-06]]*KH_26_OPT4_KTQT_v4[[#This Row],[%CPDP]],0)</f>
        <v>0</v>
      </c>
      <c r="DX61" s="132">
        <f>IFERROR(KH_26_OPT4_KTQT_v4[[#This Row],[DT-EXW-07]]*KH_26_OPT4_KTQT_v4[[#This Row],[%CPDP]],0)</f>
        <v>0</v>
      </c>
      <c r="DY61" s="132">
        <f>IFERROR(KH_26_OPT4_KTQT_v4[[#This Row],[DT-EXW-08]]*KH_26_OPT4_KTQT_v4[[#This Row],[%CPDP]],0)</f>
        <v>0</v>
      </c>
      <c r="DZ61" s="132">
        <f>IFERROR(KH_26_OPT4_KTQT_v4[[#This Row],[DT-EXW-09]]*KH_26_OPT4_KTQT_v4[[#This Row],[%CPDP]],0)</f>
        <v>0</v>
      </c>
      <c r="EA61" s="132">
        <f>IFERROR(KH_26_OPT4_KTQT_v4[[#This Row],[DT-EXW-10]]*KH_26_OPT4_KTQT_v4[[#This Row],[%CPDP]],0)</f>
        <v>0</v>
      </c>
      <c r="EB61" s="132">
        <f>IFERROR(KH_26_OPT4_KTQT_v4[[#This Row],[DT-EXW-11]]*KH_26_OPT4_KTQT_v4[[#This Row],[%CPDP]],0)</f>
        <v>0</v>
      </c>
      <c r="EC61" s="132">
        <f>IFERROR(KH_26_OPT4_KTQT_v4[[#This Row],[DT-EXW-12]]*KH_26_OPT4_KTQT_v4[[#This Row],[%CPDP]],0)</f>
        <v>0</v>
      </c>
      <c r="ED61" s="131">
        <f ca="1">SUM(KH_26_OPT4_KTQT_v4[[#This Row],[CPDP-01]:[CPDP-12]])</f>
        <v>0</v>
      </c>
    </row>
    <row r="62" spans="1:134" ht="14.65" hidden="1" customHeight="1" x14ac:dyDescent="0.35">
      <c r="A62" s="18">
        <v>57</v>
      </c>
      <c r="B62" s="71" t="s">
        <v>115</v>
      </c>
      <c r="C62" s="18" t="str">
        <f>IFERROR(_xlfn.XLOOKUP(KH_26_OPT4_KTQT_v4[[#This Row],[Salesman]],MD_Salesman[Salesman],MD_Salesman[SalesManager]),"")</f>
        <v>Quốc Anh</v>
      </c>
      <c r="D62" s="72" t="str">
        <f>IFERROR(INDEX(MD_Customer[Mã khách],MATCH(KH_26_OPT4_KTQT_v4[[#This Row],[Tên khách]],MD_Customer[Tên khách-rút gọn],0)),"")</f>
        <v>200368</v>
      </c>
      <c r="E62" s="7" t="str">
        <f>IFERROR(INDEX(MD_Customer[Parent Account],MATCH(KH_26_OPT4_KTQT_v4[[#This Row],[Tên khách]],MD_Customer[Tên khách-rút gọn],0)),"")</f>
        <v>SodaStream</v>
      </c>
      <c r="F62" s="35" t="s">
        <v>127</v>
      </c>
      <c r="G62" s="7" t="str">
        <f>IFERROR(INDEX(MD_Customer[Phân loại],MATCH(KH_26_OPT4_KTQT_v4[[#This Row],[Tên khách]],MD_Customer[Tên khách-rút gọn],0)),"")</f>
        <v>Hiện hữu</v>
      </c>
      <c r="H62" s="7" t="str">
        <f>IFERROR(INDEX(MD_Customer[Kênh bán hàng],MATCH(KH_26_OPT4_KTQT_v4[[#This Row],[Tên khách]],MD_Customer[Tên khách-rút gọn],0)),"")</f>
        <v>Xuất khẩu</v>
      </c>
      <c r="I62" s="35" t="s">
        <v>302</v>
      </c>
      <c r="J62" s="7" t="str">
        <f>IFERROR(INDEX(MD_Destination[Nước],MATCH(KH_26_OPT4_KTQT_v4[[#This Row],[Địa điểm đến]],MD_Destination[Địa điểm đến],0)),"")</f>
        <v>Israel</v>
      </c>
      <c r="K62" s="7" t="str">
        <f>IFERROR(INDEX(MD_Destination[Khu vực],MATCH(KH_26_OPT4_KTQT_v4[[#This Row],[Địa điểm đến]],MD_Destination[Địa điểm đến],0)),"")</f>
        <v>Châu Á</v>
      </c>
      <c r="L62" s="35" t="s">
        <v>285</v>
      </c>
      <c r="M62" s="7" t="str">
        <f>IFERROR(INDEX(MD_SKU[Mã SKU],MATCH(KH_26_OPT4_KTQT_v4[[#This Row],[Tên sản phẩm]],MD_SKU[Tên SKU-rút gọn],0)),"")</f>
        <v>110000332</v>
      </c>
      <c r="N62" s="35" t="s">
        <v>1124</v>
      </c>
      <c r="O62" s="7" t="str">
        <f>IFERROR(INDEX(MD_SKU[Ngành hàng],MATCH(KH_26_OPT4_KTQT_v4[[#This Row],[Tên sản phẩm]],MD_SKU[Tên SKU-rút gọn],0)),"")</f>
        <v>rPET</v>
      </c>
      <c r="P62" s="7" t="str">
        <f>IFERROR(INDEX(MD_SKU[Nhóm ngành],MATCH(KH_26_OPT4_KTQT_v4[[#This Row],[Tên sản phẩm]],MD_SKU[Tên SKU-rút gọn],0)),"")</f>
        <v>Hạt PET</v>
      </c>
      <c r="Q62" s="7" t="str">
        <f>IFERROR(
   IF(INDEX(MD_SKU[IV/IM],MATCH(KH_26_OPT4_KTQT_v4[[#This Row],[Tên sản phẩm]],MD_SKU[Tên SKU-rút gọn],0))=0,
      "",
      INDEX(MD_SKU[IV/IM],MATCH(KH_26_OPT4_KTQT_v4[[#This Row],[Tên sản phẩm]],MD_SKU[Tên SKU-rút gọn],0))
   ),
"")</f>
        <v>0.84 ± 0.03</v>
      </c>
      <c r="R62" s="44">
        <f>IFERROR(INDEX(MD_SKU[Application],MATCH(KH_26_OPT4_KTQT_v4[[#This Row],[Tên sản phẩm]],MD_SKU[Tên SKU-rút gọn],0)),"")</f>
        <v>0</v>
      </c>
      <c r="S62" s="7" t="str">
        <f>IFERROR(INDEX(MD_SKU[Phân loại],MATCH(KH_26_OPT4_KTQT_v4[[#This Row],[Tên sản phẩm]],MD_SKU[Tên SKU-rút gọn],0)),"")</f>
        <v>Cũ</v>
      </c>
      <c r="T62" s="7" t="s">
        <v>542</v>
      </c>
      <c r="U62" s="7" t="s">
        <v>1508</v>
      </c>
      <c r="V62" s="70">
        <v>0.8</v>
      </c>
      <c r="W62" s="33">
        <v>44</v>
      </c>
      <c r="X62" s="33"/>
      <c r="Y62" s="33">
        <v>44</v>
      </c>
      <c r="Z62" s="33"/>
      <c r="AA62" s="33">
        <v>44</v>
      </c>
      <c r="AB62" s="33"/>
      <c r="AC62" s="33">
        <v>44</v>
      </c>
      <c r="AD62" s="33"/>
      <c r="AE62" s="33">
        <v>44</v>
      </c>
      <c r="AF62" s="33"/>
      <c r="AG62" s="33">
        <v>44</v>
      </c>
      <c r="AH62" s="33"/>
      <c r="AI62" s="47">
        <f ca="1">SUM(KH_26_OPT4_KTQT_v4[[#This Row],[SL-01]:[SL-12]])</f>
        <v>264</v>
      </c>
      <c r="AJ62" s="47">
        <f ca="1">SUMIFS(DB_25[SL-DB25],DB_25[Mã khách],KH_26_OPT4_KTQT_v4[[#This Row],[Mã khách]],DB_25[Mã sản phẩm],KH_26_OPT4_KTQT_v4[[#This Row],[Mã sản phẩm]])</f>
        <v>572</v>
      </c>
      <c r="AK62" s="20">
        <f ca="1">KH_26_OPT4_KTQT_v4[[#This Row],[SL-KH26]]-KH_26_OPT4_KTQT_v4[[#This Row],[SL-DB25]]</f>
        <v>-308</v>
      </c>
      <c r="AL62" s="21">
        <f ca="1">IFERROR(KH_26_OPT4_KTQT_v4[[#This Row],[SL-+/-]]/KH_26_OPT4_KTQT_v4[[#This Row],[SL-DB25]],0)</f>
        <v>-0.53846153846153844</v>
      </c>
      <c r="AM62" s="51">
        <v>1250</v>
      </c>
      <c r="AN62" s="51">
        <v>1250</v>
      </c>
      <c r="AO62" s="51">
        <v>1250</v>
      </c>
      <c r="AP62" s="51">
        <v>1250</v>
      </c>
      <c r="AQ62" s="51">
        <v>1250</v>
      </c>
      <c r="AR62" s="51">
        <v>1250</v>
      </c>
      <c r="AS62" s="51">
        <v>1250</v>
      </c>
      <c r="AT62" s="51">
        <v>1250</v>
      </c>
      <c r="AU62" s="51">
        <v>1250</v>
      </c>
      <c r="AV62" s="51">
        <v>1250</v>
      </c>
      <c r="AW62" s="51">
        <v>1250</v>
      </c>
      <c r="AX62" s="51">
        <v>1250</v>
      </c>
      <c r="AY62" s="23">
        <v>1250</v>
      </c>
      <c r="AZ62" s="7"/>
      <c r="BA62" s="24">
        <f>KH_26_OPT4_KTQT_v4[[#This Row],[GB-DB25]]-KH_26_OPT4_KTQT_v4[[#This Row],[GB-KH25]]</f>
        <v>1250</v>
      </c>
      <c r="BB62" s="21">
        <f>IFERROR(KH_26_OPT4_KTQT_v4[[#This Row],[GB-+/-]]/KH_26_OPT4_KTQT_v4[[#This Row],[GB-KH25]],0)</f>
        <v>0</v>
      </c>
      <c r="BC62" s="21"/>
      <c r="BD62" s="47">
        <f>KH_26_OPT4_KTQT_v4[[#This Row],[SL-01]]*KH_26_OPT4_KTQT_v4[[#This Row],[GB-01]]*EXR</f>
        <v>1457500000</v>
      </c>
      <c r="BE62" s="47">
        <f>KH_26_OPT4_KTQT_v4[[#This Row],[SL-02]]*KH_26_OPT4_KTQT_v4[[#This Row],[GB-02]]*EXR</f>
        <v>0</v>
      </c>
      <c r="BF62" s="47">
        <f>KH_26_OPT4_KTQT_v4[[#This Row],[SL-03]]*KH_26_OPT4_KTQT_v4[[#This Row],[GB-03]]*EXR</f>
        <v>1457500000</v>
      </c>
      <c r="BG62" s="47">
        <f>KH_26_OPT4_KTQT_v4[[#This Row],[SL-04]]*KH_26_OPT4_KTQT_v4[[#This Row],[GB-04]]*EXR</f>
        <v>0</v>
      </c>
      <c r="BH62" s="47">
        <f>KH_26_OPT4_KTQT_v4[[#This Row],[SL-05]]*KH_26_OPT4_KTQT_v4[[#This Row],[GB-05]]*EXR</f>
        <v>1457500000</v>
      </c>
      <c r="BI62" s="47">
        <f>KH_26_OPT4_KTQT_v4[[#This Row],[SL-06]]*KH_26_OPT4_KTQT_v4[[#This Row],[GB-06]]*EXR</f>
        <v>0</v>
      </c>
      <c r="BJ62" s="47">
        <f>KH_26_OPT4_KTQT_v4[[#This Row],[SL-07]]*KH_26_OPT4_KTQT_v4[[#This Row],[GB-07]]*EXR</f>
        <v>1457500000</v>
      </c>
      <c r="BK62" s="47">
        <f>KH_26_OPT4_KTQT_v4[[#This Row],[SL-08]]*KH_26_OPT4_KTQT_v4[[#This Row],[GB-08]]*EXR</f>
        <v>0</v>
      </c>
      <c r="BL62" s="47">
        <f>KH_26_OPT4_KTQT_v4[[#This Row],[SL-09]]*KH_26_OPT4_KTQT_v4[[#This Row],[GB-09]]*EXR</f>
        <v>1457500000</v>
      </c>
      <c r="BM62" s="47">
        <f>KH_26_OPT4_KTQT_v4[[#This Row],[SL-10]]*KH_26_OPT4_KTQT_v4[[#This Row],[GB-10]]*EXR</f>
        <v>0</v>
      </c>
      <c r="BN62" s="47">
        <f>KH_26_OPT4_KTQT_v4[[#This Row],[SL-11]]*KH_26_OPT4_KTQT_v4[[#This Row],[GB-11]]*EXR</f>
        <v>1457500000</v>
      </c>
      <c r="BO62" s="47">
        <f>KH_26_OPT4_KTQT_v4[[#This Row],[SL-12]]*KH_26_OPT4_KTQT_v4[[#This Row],[GB-12]]*EXR</f>
        <v>0</v>
      </c>
      <c r="BP62" s="47">
        <f ca="1">SUM(KH_26_OPT4_KTQT_v4[[#This Row],[DT-EXW-01]:[DT-EXW-12]])</f>
        <v>8745000000</v>
      </c>
      <c r="BQ62" s="47">
        <f ca="1">SUMIFS(DB_25[DT-DB25],DB_25[Mã khách],KH_26_OPT4_KTQT_v4[[#This Row],[Mã khách]],DB_25[Mã sản phẩm],KH_26_OPT4_KTQT_v4[[#This Row],[Mã sản phẩm]])</f>
        <v>1515455330.9048197</v>
      </c>
      <c r="BR62" s="47">
        <f ca="1">KH_26_OPT4_KTQT_v4[[#This Row],[DT-EXW-KH26]]-KH_26_OPT4_KTQT_v4[[#This Row],[DT-EXW-DB25]]</f>
        <v>7229544669.0951805</v>
      </c>
      <c r="BS62" s="21">
        <f ca="1">IFERROR(KH_26_OPT4_KTQT_v4[[#This Row],[DT-EXW-+/-]]/KH_26_OPT4_KTQT_v4[[#This Row],[DT-EXW-DB25]],0)</f>
        <v>4.7705428999868307</v>
      </c>
      <c r="BT62" s="139" t="s">
        <v>536</v>
      </c>
      <c r="BU62" s="57"/>
      <c r="BV62" s="51">
        <f>25*EXR</f>
        <v>662500</v>
      </c>
      <c r="BW62" s="47">
        <f>IF(KH_26_OPT4_KTQT_v4[[#This Row],[CPHH-%-SL]]="Dthu",KH_26_OPT4_KTQT_v4[[#This Row],[%HH]]*KH_26_OPT4_KTQT_v4[[#This Row],[DT-EXW-01]],KH_26_OPT4_KTQT_v4[[#This Row],[HH-SL]]*KH_26_OPT4_KTQT_v4[[#This Row],[SL-01]])</f>
        <v>29150000</v>
      </c>
      <c r="BX62" s="47">
        <f>IF(KH_26_OPT4_KTQT_v4[[#This Row],[CPHH-%-SL]]="Dthu",KH_26_OPT4_KTQT_v4[[#This Row],[%HH]]*KH_26_OPT4_KTQT_v4[[#This Row],[DT-EXW-02]],KH_26_OPT4_KTQT_v4[[#This Row],[HH-SL]]*KH_26_OPT4_KTQT_v4[[#This Row],[SL-02]])</f>
        <v>0</v>
      </c>
      <c r="BY62" s="47">
        <f>IF(KH_26_OPT4_KTQT_v4[[#This Row],[CPHH-%-SL]]="Dthu",KH_26_OPT4_KTQT_v4[[#This Row],[%HH]]*KH_26_OPT4_KTQT_v4[[#This Row],[DT-EXW-03]],KH_26_OPT4_KTQT_v4[[#This Row],[HH-SL]]*KH_26_OPT4_KTQT_v4[[#This Row],[SL-03]])</f>
        <v>29150000</v>
      </c>
      <c r="BZ62" s="47">
        <f>IF(KH_26_OPT4_KTQT_v4[[#This Row],[CPHH-%-SL]]="Dthu",KH_26_OPT4_KTQT_v4[[#This Row],[%HH]]*KH_26_OPT4_KTQT_v4[[#This Row],[DT-EXW-04]],KH_26_OPT4_KTQT_v4[[#This Row],[HH-SL]]*KH_26_OPT4_KTQT_v4[[#This Row],[SL-04]])</f>
        <v>0</v>
      </c>
      <c r="CA62" s="47">
        <f>IF(KH_26_OPT4_KTQT_v4[[#This Row],[CPHH-%-SL]]="Dthu",KH_26_OPT4_KTQT_v4[[#This Row],[%HH]]*KH_26_OPT4_KTQT_v4[[#This Row],[DT-EXW-05]],KH_26_OPT4_KTQT_v4[[#This Row],[HH-SL]]*KH_26_OPT4_KTQT_v4[[#This Row],[SL-05]])</f>
        <v>29150000</v>
      </c>
      <c r="CB62" s="47">
        <f>IF(KH_26_OPT4_KTQT_v4[[#This Row],[CPHH-%-SL]]="Dthu",KH_26_OPT4_KTQT_v4[[#This Row],[%HH]]*KH_26_OPT4_KTQT_v4[[#This Row],[DT-EXW-06]],KH_26_OPT4_KTQT_v4[[#This Row],[HH-SL]]*KH_26_OPT4_KTQT_v4[[#This Row],[SL-06]])</f>
        <v>0</v>
      </c>
      <c r="CC62" s="47">
        <f>IF(KH_26_OPT4_KTQT_v4[[#This Row],[CPHH-%-SL]]="Dthu",KH_26_OPT4_KTQT_v4[[#This Row],[%HH]]*KH_26_OPT4_KTQT_v4[[#This Row],[DT-EXW-07]],KH_26_OPT4_KTQT_v4[[#This Row],[HH-SL]]*KH_26_OPT4_KTQT_v4[[#This Row],[SL-07]])</f>
        <v>29150000</v>
      </c>
      <c r="CD62" s="47">
        <f>IF(KH_26_OPT4_KTQT_v4[[#This Row],[CPHH-%-SL]]="Dthu",KH_26_OPT4_KTQT_v4[[#This Row],[%HH]]*KH_26_OPT4_KTQT_v4[[#This Row],[DT-EXW-08]],KH_26_OPT4_KTQT_v4[[#This Row],[HH-SL]]*KH_26_OPT4_KTQT_v4[[#This Row],[SL-08]])</f>
        <v>0</v>
      </c>
      <c r="CE62" s="47">
        <f>IF(KH_26_OPT4_KTQT_v4[[#This Row],[CPHH-%-SL]]="Dthu",KH_26_OPT4_KTQT_v4[[#This Row],[%HH]]*KH_26_OPT4_KTQT_v4[[#This Row],[DT-EXW-09]],KH_26_OPT4_KTQT_v4[[#This Row],[HH-SL]]*KH_26_OPT4_KTQT_v4[[#This Row],[SL-09]])</f>
        <v>29150000</v>
      </c>
      <c r="CF62" s="47">
        <f>IF(KH_26_OPT4_KTQT_v4[[#This Row],[CPHH-%-SL]]="Dthu",KH_26_OPT4_KTQT_v4[[#This Row],[%HH]]*KH_26_OPT4_KTQT_v4[[#This Row],[DT-EXW-10]],KH_26_OPT4_KTQT_v4[[#This Row],[HH-SL]]*KH_26_OPT4_KTQT_v4[[#This Row],[SL-10]])</f>
        <v>0</v>
      </c>
      <c r="CG62" s="47">
        <f>IF(KH_26_OPT4_KTQT_v4[[#This Row],[CPHH-%-SL]]="Dthu",KH_26_OPT4_KTQT_v4[[#This Row],[%HH]]*KH_26_OPT4_KTQT_v4[[#This Row],[DT-EXW-11]],KH_26_OPT4_KTQT_v4[[#This Row],[HH-SL]]*KH_26_OPT4_KTQT_v4[[#This Row],[SL-11]])</f>
        <v>29150000</v>
      </c>
      <c r="CH62" s="47">
        <f>IF(KH_26_OPT4_KTQT_v4[[#This Row],[CPHH-%-SL]]="Dthu",KH_26_OPT4_KTQT_v4[[#This Row],[%HH]]*KH_26_OPT4_KTQT_v4[[#This Row],[DT-EXW-12]],KH_26_OPT4_KTQT_v4[[#This Row],[HH-SL]]*KH_26_OPT4_KTQT_v4[[#This Row],[SL-12]])</f>
        <v>0</v>
      </c>
      <c r="CI62" s="47">
        <f ca="1">SUM(KH_26_OPT4_KTQT_v4[[#This Row],[CPHH-01]:[CPHH-12]])</f>
        <v>174900000</v>
      </c>
      <c r="CJ62" s="47" cm="1">
        <f t="array" ref="CJ62">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62" s="19">
        <f ca="1">SUM(KH_26_OPT4_KTQT_v4[[#This Row],[ĐGVCNĐ-KXK]:[ĐGVCCT-KXK]])</f>
        <v>5107272.7272727275</v>
      </c>
      <c r="CL62" s="47" cm="1">
        <f t="array" ref="CL62">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530000</v>
      </c>
      <c r="CM62" s="47" cm="1">
        <f t="array" ref="CM62">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4577272.7272727275</v>
      </c>
      <c r="CN62" s="47">
        <f ca="1">(KH_26_OPT4_KTQT_v4[[#This Row],[ĐGVC-KNĐ]]+KH_26_OPT4_KTQT_v4[[#This Row],[ĐGVC-KXK]])*KH_26_OPT4_KTQT_v4[[#This Row],[SL-01]]</f>
        <v>224720000</v>
      </c>
      <c r="CO62" s="47">
        <f ca="1">(KH_26_OPT4_KTQT_v4[[#This Row],[ĐGVC-KNĐ]]+KH_26_OPT4_KTQT_v4[[#This Row],[ĐGVC-KXK]])*KH_26_OPT4_KTQT_v4[[#This Row],[SL-02]]</f>
        <v>0</v>
      </c>
      <c r="CP62" s="47">
        <f ca="1">(KH_26_OPT4_KTQT_v4[[#This Row],[ĐGVC-KNĐ]]+KH_26_OPT4_KTQT_v4[[#This Row],[ĐGVC-KXK]])*KH_26_OPT4_KTQT_v4[[#This Row],[SL-03]]</f>
        <v>224720000</v>
      </c>
      <c r="CQ62" s="47">
        <f ca="1">(KH_26_OPT4_KTQT_v4[[#This Row],[ĐGVC-KNĐ]]+KH_26_OPT4_KTQT_v4[[#This Row],[ĐGVC-KXK]])*KH_26_OPT4_KTQT_v4[[#This Row],[SL-04]]</f>
        <v>0</v>
      </c>
      <c r="CR62" s="47">
        <f ca="1">(KH_26_OPT4_KTQT_v4[[#This Row],[ĐGVC-KNĐ]]+KH_26_OPT4_KTQT_v4[[#This Row],[ĐGVC-KXK]])*KH_26_OPT4_KTQT_v4[[#This Row],[SL-05]]</f>
        <v>224720000</v>
      </c>
      <c r="CS62" s="47">
        <f ca="1">(KH_26_OPT4_KTQT_v4[[#This Row],[ĐGVC-KNĐ]]+KH_26_OPT4_KTQT_v4[[#This Row],[ĐGVC-KXK]])*KH_26_OPT4_KTQT_v4[[#This Row],[SL-06]]</f>
        <v>0</v>
      </c>
      <c r="CT62" s="47">
        <f ca="1">(KH_26_OPT4_KTQT_v4[[#This Row],[ĐGVC-KNĐ]]+KH_26_OPT4_KTQT_v4[[#This Row],[ĐGVC-KXK]])*KH_26_OPT4_KTQT_v4[[#This Row],[SL-07]]</f>
        <v>224720000</v>
      </c>
      <c r="CU62" s="47">
        <f ca="1">(KH_26_OPT4_KTQT_v4[[#This Row],[ĐGVC-KNĐ]]+KH_26_OPT4_KTQT_v4[[#This Row],[ĐGVC-KXK]])*KH_26_OPT4_KTQT_v4[[#This Row],[SL-08]]</f>
        <v>0</v>
      </c>
      <c r="CV62" s="47">
        <f ca="1">(KH_26_OPT4_KTQT_v4[[#This Row],[ĐGVC-KNĐ]]+KH_26_OPT4_KTQT_v4[[#This Row],[ĐGVC-KXK]])*KH_26_OPT4_KTQT_v4[[#This Row],[SL-09]]</f>
        <v>224720000</v>
      </c>
      <c r="CW62" s="47">
        <f ca="1">(KH_26_OPT4_KTQT_v4[[#This Row],[ĐGVC-KNĐ]]+KH_26_OPT4_KTQT_v4[[#This Row],[ĐGVC-KXK]])*KH_26_OPT4_KTQT_v4[[#This Row],[SL-10]]</f>
        <v>0</v>
      </c>
      <c r="CX62" s="47">
        <f ca="1">(KH_26_OPT4_KTQT_v4[[#This Row],[ĐGVC-KNĐ]]+KH_26_OPT4_KTQT_v4[[#This Row],[ĐGVC-KXK]])*KH_26_OPT4_KTQT_v4[[#This Row],[SL-11]]</f>
        <v>224720000</v>
      </c>
      <c r="CY62" s="47">
        <f ca="1">(KH_26_OPT4_KTQT_v4[[#This Row],[ĐGVC-KNĐ]]+KH_26_OPT4_KTQT_v4[[#This Row],[ĐGVC-KXK]])*KH_26_OPT4_KTQT_v4[[#This Row],[SL-12]]</f>
        <v>0</v>
      </c>
      <c r="CZ62" s="47">
        <f ca="1">SUM(KH_26_OPT4_KTQT_v4[[#This Row],[CPVC-01]:[CPVC-12]])</f>
        <v>1348320000</v>
      </c>
      <c r="DA62" s="124">
        <f ca="1">KH_26_OPT4_KTQT_v4[[#This Row],[DT-EXW-01]]+KH_26_OPT4_KTQT_v4[[#This Row],[CPVC-01]]+KH_26_OPT4_KTQT_v4[[#This Row],[CPHH-01]]</f>
        <v>1711370000</v>
      </c>
      <c r="DB62" s="47">
        <f ca="1">KH_26_OPT4_KTQT_v4[[#This Row],[DT-EXW-02]]+KH_26_OPT4_KTQT_v4[[#This Row],[CPVC-02]]+KH_26_OPT4_KTQT_v4[[#This Row],[CPHH-02]]</f>
        <v>0</v>
      </c>
      <c r="DC62" s="47">
        <f ca="1">KH_26_OPT4_KTQT_v4[[#This Row],[DT-EXW-03]]+KH_26_OPT4_KTQT_v4[[#This Row],[CPVC-03]]+KH_26_OPT4_KTQT_v4[[#This Row],[CPHH-03]]</f>
        <v>1711370000</v>
      </c>
      <c r="DD62" s="47">
        <f ca="1">KH_26_OPT4_KTQT_v4[[#This Row],[DT-EXW-04]]+KH_26_OPT4_KTQT_v4[[#This Row],[CPVC-04]]+KH_26_OPT4_KTQT_v4[[#This Row],[CPHH-04]]</f>
        <v>0</v>
      </c>
      <c r="DE62" s="47">
        <f ca="1">KH_26_OPT4_KTQT_v4[[#This Row],[DT-EXW-05]]+KH_26_OPT4_KTQT_v4[[#This Row],[CPVC-05]]+KH_26_OPT4_KTQT_v4[[#This Row],[CPHH-05]]</f>
        <v>1711370000</v>
      </c>
      <c r="DF62" s="47">
        <f ca="1">KH_26_OPT4_KTQT_v4[[#This Row],[DT-EXW-06]]+KH_26_OPT4_KTQT_v4[[#This Row],[CPVC-06]]+KH_26_OPT4_KTQT_v4[[#This Row],[CPHH-06]]</f>
        <v>0</v>
      </c>
      <c r="DG62" s="47">
        <f ca="1">KH_26_OPT4_KTQT_v4[[#This Row],[DT-EXW-07]]+KH_26_OPT4_KTQT_v4[[#This Row],[CPVC-07]]+KH_26_OPT4_KTQT_v4[[#This Row],[CPHH-07]]</f>
        <v>1711370000</v>
      </c>
      <c r="DH62" s="47">
        <f ca="1">KH_26_OPT4_KTQT_v4[[#This Row],[DT-EXW-08]]+KH_26_OPT4_KTQT_v4[[#This Row],[CPVC-08]]+KH_26_OPT4_KTQT_v4[[#This Row],[CPHH-08]]</f>
        <v>0</v>
      </c>
      <c r="DI62" s="47">
        <f ca="1">KH_26_OPT4_KTQT_v4[[#This Row],[DT-EXW-09]]+KH_26_OPT4_KTQT_v4[[#This Row],[CPVC-09]]+KH_26_OPT4_KTQT_v4[[#This Row],[CPHH-09]]</f>
        <v>1711370000</v>
      </c>
      <c r="DJ62" s="47">
        <f ca="1">KH_26_OPT4_KTQT_v4[[#This Row],[DT-EXW-10]]+KH_26_OPT4_KTQT_v4[[#This Row],[CPVC-10]]+KH_26_OPT4_KTQT_v4[[#This Row],[CPHH-10]]</f>
        <v>0</v>
      </c>
      <c r="DK62" s="47">
        <f ca="1">KH_26_OPT4_KTQT_v4[[#This Row],[DT-EXW-11]]+KH_26_OPT4_KTQT_v4[[#This Row],[CPVC-11]]+KH_26_OPT4_KTQT_v4[[#This Row],[CPHH-11]]</f>
        <v>1711370000</v>
      </c>
      <c r="DL62" s="47">
        <f ca="1">KH_26_OPT4_KTQT_v4[[#This Row],[DT-EXW-12]]+KH_26_OPT4_KTQT_v4[[#This Row],[CPVC-12]]+KH_26_OPT4_KTQT_v4[[#This Row],[CPHH-12]]</f>
        <v>0</v>
      </c>
      <c r="DM62" s="47">
        <f ca="1">SUM(KH_26_OPT4_KTQT_v4[[#This Row],[DT-01]:[DT-12]])</f>
        <v>10268220000</v>
      </c>
      <c r="DN62" s="7"/>
      <c r="DO62" s="7"/>
      <c r="DP62" s="125"/>
      <c r="DQ62" s="136"/>
      <c r="DR62" s="132">
        <f>IFERROR(KH_26_OPT4_KTQT_v4[[#This Row],[DT-EXW-01]]*KH_26_OPT4_KTQT_v4[[#This Row],[%CPDP]],0)</f>
        <v>0</v>
      </c>
      <c r="DS62" s="132">
        <f>IFERROR(KH_26_OPT4_KTQT_v4[[#This Row],[DT-EXW-02]]*KH_26_OPT4_KTQT_v4[[#This Row],[%CPDP]],0)</f>
        <v>0</v>
      </c>
      <c r="DT62" s="132">
        <f>IFERROR(KH_26_OPT4_KTQT_v4[[#This Row],[DT-EXW-03]]*KH_26_OPT4_KTQT_v4[[#This Row],[%CPDP]],0)</f>
        <v>0</v>
      </c>
      <c r="DU62" s="132">
        <f>IFERROR(KH_26_OPT4_KTQT_v4[[#This Row],[DT-EXW-04]]*KH_26_OPT4_KTQT_v4[[#This Row],[%CPDP]],0)</f>
        <v>0</v>
      </c>
      <c r="DV62" s="132">
        <f>IFERROR(KH_26_OPT4_KTQT_v4[[#This Row],[DT-EXW-05]]*KH_26_OPT4_KTQT_v4[[#This Row],[%CPDP]],0)</f>
        <v>0</v>
      </c>
      <c r="DW62" s="132">
        <f>IFERROR(KH_26_OPT4_KTQT_v4[[#This Row],[DT-EXW-06]]*KH_26_OPT4_KTQT_v4[[#This Row],[%CPDP]],0)</f>
        <v>0</v>
      </c>
      <c r="DX62" s="132">
        <f>IFERROR(KH_26_OPT4_KTQT_v4[[#This Row],[DT-EXW-07]]*KH_26_OPT4_KTQT_v4[[#This Row],[%CPDP]],0)</f>
        <v>0</v>
      </c>
      <c r="DY62" s="132">
        <f>IFERROR(KH_26_OPT4_KTQT_v4[[#This Row],[DT-EXW-08]]*KH_26_OPT4_KTQT_v4[[#This Row],[%CPDP]],0)</f>
        <v>0</v>
      </c>
      <c r="DZ62" s="132">
        <f>IFERROR(KH_26_OPT4_KTQT_v4[[#This Row],[DT-EXW-09]]*KH_26_OPT4_KTQT_v4[[#This Row],[%CPDP]],0)</f>
        <v>0</v>
      </c>
      <c r="EA62" s="132">
        <f>IFERROR(KH_26_OPT4_KTQT_v4[[#This Row],[DT-EXW-10]]*KH_26_OPT4_KTQT_v4[[#This Row],[%CPDP]],0)</f>
        <v>0</v>
      </c>
      <c r="EB62" s="132">
        <f>IFERROR(KH_26_OPT4_KTQT_v4[[#This Row],[DT-EXW-11]]*KH_26_OPT4_KTQT_v4[[#This Row],[%CPDP]],0)</f>
        <v>0</v>
      </c>
      <c r="EC62" s="132">
        <f>IFERROR(KH_26_OPT4_KTQT_v4[[#This Row],[DT-EXW-12]]*KH_26_OPT4_KTQT_v4[[#This Row],[%CPDP]],0)</f>
        <v>0</v>
      </c>
      <c r="ED62" s="131">
        <f ca="1">SUM(KH_26_OPT4_KTQT_v4[[#This Row],[CPDP-01]:[CPDP-12]])</f>
        <v>0</v>
      </c>
    </row>
    <row r="63" spans="1:134" ht="14.65" hidden="1" customHeight="1" x14ac:dyDescent="0.35">
      <c r="A63" s="18">
        <v>58</v>
      </c>
      <c r="B63" s="71" t="s">
        <v>115</v>
      </c>
      <c r="C63" s="18" t="str">
        <f>IFERROR(_xlfn.XLOOKUP(KH_26_OPT4_KTQT_v4[[#This Row],[Salesman]],MD_Salesman[Salesman],MD_Salesman[SalesManager]),"")</f>
        <v>Quốc Anh</v>
      </c>
      <c r="D63" s="72" t="str">
        <f>IFERROR(INDEX(MD_Customer[Mã khách],MATCH(KH_26_OPT4_KTQT_v4[[#This Row],[Tên khách]],MD_Customer[Tên khách-rút gọn],0)),"")</f>
        <v>200383</v>
      </c>
      <c r="E63" s="7" t="str">
        <f>IFERROR(INDEX(MD_Customer[Parent Account],MATCH(KH_26_OPT4_KTQT_v4[[#This Row],[Tên khách]],MD_Customer[Tên khách-rút gọn],0)),"")</f>
        <v>PIA</v>
      </c>
      <c r="F63" s="35" t="s">
        <v>304</v>
      </c>
      <c r="G63" s="7" t="str">
        <f>IFERROR(INDEX(MD_Customer[Phân loại],MATCH(KH_26_OPT4_KTQT_v4[[#This Row],[Tên khách]],MD_Customer[Tên khách-rút gọn],0)),"")</f>
        <v>Hiện hữu</v>
      </c>
      <c r="H63" s="7" t="str">
        <f>IFERROR(INDEX(MD_Customer[Kênh bán hàng],MATCH(KH_26_OPT4_KTQT_v4[[#This Row],[Tên khách]],MD_Customer[Tên khách-rút gọn],0)),"")</f>
        <v>Xuất khẩu</v>
      </c>
      <c r="I63" s="35" t="s">
        <v>305</v>
      </c>
      <c r="J63" s="7" t="str">
        <f>IFERROR(INDEX(MD_Destination[Nước],MATCH(KH_26_OPT4_KTQT_v4[[#This Row],[Địa điểm đến]],MD_Destination[Địa điểm đến],0)),"")</f>
        <v>Úc</v>
      </c>
      <c r="K63" s="7" t="str">
        <f>IFERROR(INDEX(MD_Destination[Khu vực],MATCH(KH_26_OPT4_KTQT_v4[[#This Row],[Địa điểm đến]],MD_Destination[Địa điểm đến],0)),"")</f>
        <v>Châu Úc</v>
      </c>
      <c r="L63" s="35" t="s">
        <v>285</v>
      </c>
      <c r="M63" s="7" t="str">
        <f>IFERROR(INDEX(MD_SKU[Mã SKU],MATCH(KH_26_OPT4_KTQT_v4[[#This Row],[Tên sản phẩm]],MD_SKU[Tên SKU-rút gọn],0)),"")</f>
        <v>110000354</v>
      </c>
      <c r="N63" s="35" t="s">
        <v>456</v>
      </c>
      <c r="O63" s="7" t="str">
        <f>IFERROR(INDEX(MD_SKU[Ngành hàng],MATCH(KH_26_OPT4_KTQT_v4[[#This Row],[Tên sản phẩm]],MD_SKU[Tên SKU-rút gọn],0)),"")</f>
        <v>rPET</v>
      </c>
      <c r="P63" s="7" t="str">
        <f>IFERROR(INDEX(MD_SKU[Nhóm ngành],MATCH(KH_26_OPT4_KTQT_v4[[#This Row],[Tên sản phẩm]],MD_SKU[Tên SKU-rút gọn],0)),"")</f>
        <v>Hạt PET</v>
      </c>
      <c r="Q63" s="7" t="str">
        <f>IFERROR(
   IF(INDEX(MD_SKU[IV/IM],MATCH(KH_26_OPT4_KTQT_v4[[#This Row],[Tên sản phẩm]],MD_SKU[Tên SKU-rút gọn],0))=0,
      "",
      INDEX(MD_SKU[IV/IM],MATCH(KH_26_OPT4_KTQT_v4[[#This Row],[Tên sản phẩm]],MD_SKU[Tên SKU-rút gọn],0))
   ),
"")</f>
        <v>0.78 ± 0.02</v>
      </c>
      <c r="R63" s="44">
        <f>IFERROR(INDEX(MD_SKU[Application],MATCH(KH_26_OPT4_KTQT_v4[[#This Row],[Tên sản phẩm]],MD_SKU[Tên SKU-rút gọn],0)),"")</f>
        <v>0</v>
      </c>
      <c r="S63" s="7" t="str">
        <f>IFERROR(INDEX(MD_SKU[Phân loại],MATCH(KH_26_OPT4_KTQT_v4[[#This Row],[Tên sản phẩm]],MD_SKU[Tên SKU-rút gọn],0)),"")</f>
        <v>Cũ</v>
      </c>
      <c r="T63" s="180" t="s">
        <v>130</v>
      </c>
      <c r="U63" s="7" t="s">
        <v>1508</v>
      </c>
      <c r="V63" s="70">
        <v>0.8</v>
      </c>
      <c r="W63" s="7">
        <v>44</v>
      </c>
      <c r="X63" s="7"/>
      <c r="Y63" s="7">
        <v>44</v>
      </c>
      <c r="Z63" s="7"/>
      <c r="AA63" s="7">
        <v>44</v>
      </c>
      <c r="AB63" s="7"/>
      <c r="AC63" s="7">
        <v>44</v>
      </c>
      <c r="AD63" s="7"/>
      <c r="AE63" s="7">
        <v>44</v>
      </c>
      <c r="AF63" s="7"/>
      <c r="AG63" s="7">
        <v>44</v>
      </c>
      <c r="AH63" s="7"/>
      <c r="AI63" s="47">
        <f ca="1">SUM(KH_26_OPT4_KTQT_v4[[#This Row],[SL-01]:[SL-12]])</f>
        <v>264</v>
      </c>
      <c r="AJ63" s="47">
        <f ca="1">SUMIFS(DB_25[SL-DB25],DB_25[Mã khách],KH_26_OPT4_KTQT_v4[[#This Row],[Mã khách]],DB_25[Mã sản phẩm],KH_26_OPT4_KTQT_v4[[#This Row],[Mã sản phẩm]])</f>
        <v>262.89999999999998</v>
      </c>
      <c r="AK63" s="20">
        <f ca="1">KH_26_OPT4_KTQT_v4[[#This Row],[SL-KH26]]-KH_26_OPT4_KTQT_v4[[#This Row],[SL-DB25]]</f>
        <v>1.1000000000000227</v>
      </c>
      <c r="AL63" s="21">
        <f ca="1">IFERROR(KH_26_OPT4_KTQT_v4[[#This Row],[SL-+/-]]/KH_26_OPT4_KTQT_v4[[#This Row],[SL-DB25]],0)</f>
        <v>4.1841004184101291E-3</v>
      </c>
      <c r="AM63" s="51">
        <v>1150</v>
      </c>
      <c r="AN63" s="51">
        <v>1150</v>
      </c>
      <c r="AO63" s="51">
        <v>1150</v>
      </c>
      <c r="AP63" s="51">
        <v>1150</v>
      </c>
      <c r="AQ63" s="51">
        <v>1150</v>
      </c>
      <c r="AR63" s="51">
        <v>1150</v>
      </c>
      <c r="AS63" s="51">
        <v>1150</v>
      </c>
      <c r="AT63" s="51">
        <v>1150</v>
      </c>
      <c r="AU63" s="51">
        <v>1150</v>
      </c>
      <c r="AV63" s="51">
        <v>1150</v>
      </c>
      <c r="AW63" s="51">
        <v>1150</v>
      </c>
      <c r="AX63" s="51">
        <v>1150</v>
      </c>
      <c r="AY63" s="23">
        <v>1150</v>
      </c>
      <c r="AZ63" s="7"/>
      <c r="BA63" s="24">
        <f>KH_26_OPT4_KTQT_v4[[#This Row],[GB-DB25]]-KH_26_OPT4_KTQT_v4[[#This Row],[GB-KH25]]</f>
        <v>1150</v>
      </c>
      <c r="BB63" s="21">
        <f>IFERROR(KH_26_OPT4_KTQT_v4[[#This Row],[GB-+/-]]/KH_26_OPT4_KTQT_v4[[#This Row],[GB-KH25]],0)</f>
        <v>0</v>
      </c>
      <c r="BC63" s="21"/>
      <c r="BD63" s="47">
        <f>KH_26_OPT4_KTQT_v4[[#This Row],[SL-01]]*KH_26_OPT4_KTQT_v4[[#This Row],[GB-01]]*EXR</f>
        <v>1340900000</v>
      </c>
      <c r="BE63" s="47">
        <f>KH_26_OPT4_KTQT_v4[[#This Row],[SL-02]]*KH_26_OPT4_KTQT_v4[[#This Row],[GB-02]]*EXR</f>
        <v>0</v>
      </c>
      <c r="BF63" s="47">
        <f>KH_26_OPT4_KTQT_v4[[#This Row],[SL-03]]*KH_26_OPT4_KTQT_v4[[#This Row],[GB-03]]*EXR</f>
        <v>1340900000</v>
      </c>
      <c r="BG63" s="47">
        <f>KH_26_OPT4_KTQT_v4[[#This Row],[SL-04]]*KH_26_OPT4_KTQT_v4[[#This Row],[GB-04]]*EXR</f>
        <v>0</v>
      </c>
      <c r="BH63" s="47">
        <f>KH_26_OPT4_KTQT_v4[[#This Row],[SL-05]]*KH_26_OPT4_KTQT_v4[[#This Row],[GB-05]]*EXR</f>
        <v>1340900000</v>
      </c>
      <c r="BI63" s="47">
        <f>KH_26_OPT4_KTQT_v4[[#This Row],[SL-06]]*KH_26_OPT4_KTQT_v4[[#This Row],[GB-06]]*EXR</f>
        <v>0</v>
      </c>
      <c r="BJ63" s="47">
        <f>KH_26_OPT4_KTQT_v4[[#This Row],[SL-07]]*KH_26_OPT4_KTQT_v4[[#This Row],[GB-07]]*EXR</f>
        <v>1340900000</v>
      </c>
      <c r="BK63" s="47">
        <f>KH_26_OPT4_KTQT_v4[[#This Row],[SL-08]]*KH_26_OPT4_KTQT_v4[[#This Row],[GB-08]]*EXR</f>
        <v>0</v>
      </c>
      <c r="BL63" s="47">
        <f>KH_26_OPT4_KTQT_v4[[#This Row],[SL-09]]*KH_26_OPT4_KTQT_v4[[#This Row],[GB-09]]*EXR</f>
        <v>1340900000</v>
      </c>
      <c r="BM63" s="47">
        <f>KH_26_OPT4_KTQT_v4[[#This Row],[SL-10]]*KH_26_OPT4_KTQT_v4[[#This Row],[GB-10]]*EXR</f>
        <v>0</v>
      </c>
      <c r="BN63" s="47">
        <f>KH_26_OPT4_KTQT_v4[[#This Row],[SL-11]]*KH_26_OPT4_KTQT_v4[[#This Row],[GB-11]]*EXR</f>
        <v>1340900000</v>
      </c>
      <c r="BO63" s="47">
        <f>KH_26_OPT4_KTQT_v4[[#This Row],[SL-12]]*KH_26_OPT4_KTQT_v4[[#This Row],[GB-12]]*EXR</f>
        <v>0</v>
      </c>
      <c r="BP63" s="47">
        <f ca="1">SUM(KH_26_OPT4_KTQT_v4[[#This Row],[DT-EXW-01]:[DT-EXW-12]])</f>
        <v>8045400000</v>
      </c>
      <c r="BQ63" s="47">
        <f ca="1">SUMIFS(DB_25[DT-DB25],DB_25[Mã khách],KH_26_OPT4_KTQT_v4[[#This Row],[Mã khách]],DB_25[Mã sản phẩm],KH_26_OPT4_KTQT_v4[[#This Row],[Mã sản phẩm]])</f>
        <v>4132368629.7606473</v>
      </c>
      <c r="BR63" s="47">
        <f ca="1">KH_26_OPT4_KTQT_v4[[#This Row],[DT-EXW-KH26]]-KH_26_OPT4_KTQT_v4[[#This Row],[DT-EXW-DB25]]</f>
        <v>3913031370.2393527</v>
      </c>
      <c r="BS63" s="21">
        <f ca="1">IFERROR(KH_26_OPT4_KTQT_v4[[#This Row],[DT-EXW-+/-]]/KH_26_OPT4_KTQT_v4[[#This Row],[DT-EXW-DB25]],0)</f>
        <v>0.94692214582656942</v>
      </c>
      <c r="BT63" s="139"/>
      <c r="BU63" s="57"/>
      <c r="BV63" s="51"/>
      <c r="BW63" s="47">
        <f>IF(KH_26_OPT4_KTQT_v4[[#This Row],[CPHH-%-SL]]="Dthu",KH_26_OPT4_KTQT_v4[[#This Row],[%HH]]*KH_26_OPT4_KTQT_v4[[#This Row],[DT-EXW-01]],KH_26_OPT4_KTQT_v4[[#This Row],[HH-SL]]*KH_26_OPT4_KTQT_v4[[#This Row],[SL-01]])</f>
        <v>0</v>
      </c>
      <c r="BX63" s="47">
        <f>IF(KH_26_OPT4_KTQT_v4[[#This Row],[CPHH-%-SL]]="Dthu",KH_26_OPT4_KTQT_v4[[#This Row],[%HH]]*KH_26_OPT4_KTQT_v4[[#This Row],[DT-EXW-02]],KH_26_OPT4_KTQT_v4[[#This Row],[HH-SL]]*KH_26_OPT4_KTQT_v4[[#This Row],[SL-02]])</f>
        <v>0</v>
      </c>
      <c r="BY63" s="47">
        <f>IF(KH_26_OPT4_KTQT_v4[[#This Row],[CPHH-%-SL]]="Dthu",KH_26_OPT4_KTQT_v4[[#This Row],[%HH]]*KH_26_OPT4_KTQT_v4[[#This Row],[DT-EXW-03]],KH_26_OPT4_KTQT_v4[[#This Row],[HH-SL]]*KH_26_OPT4_KTQT_v4[[#This Row],[SL-03]])</f>
        <v>0</v>
      </c>
      <c r="BZ63" s="47">
        <f>IF(KH_26_OPT4_KTQT_v4[[#This Row],[CPHH-%-SL]]="Dthu",KH_26_OPT4_KTQT_v4[[#This Row],[%HH]]*KH_26_OPT4_KTQT_v4[[#This Row],[DT-EXW-04]],KH_26_OPT4_KTQT_v4[[#This Row],[HH-SL]]*KH_26_OPT4_KTQT_v4[[#This Row],[SL-04]])</f>
        <v>0</v>
      </c>
      <c r="CA63" s="47">
        <f>IF(KH_26_OPT4_KTQT_v4[[#This Row],[CPHH-%-SL]]="Dthu",KH_26_OPT4_KTQT_v4[[#This Row],[%HH]]*KH_26_OPT4_KTQT_v4[[#This Row],[DT-EXW-05]],KH_26_OPT4_KTQT_v4[[#This Row],[HH-SL]]*KH_26_OPT4_KTQT_v4[[#This Row],[SL-05]])</f>
        <v>0</v>
      </c>
      <c r="CB63" s="47">
        <f>IF(KH_26_OPT4_KTQT_v4[[#This Row],[CPHH-%-SL]]="Dthu",KH_26_OPT4_KTQT_v4[[#This Row],[%HH]]*KH_26_OPT4_KTQT_v4[[#This Row],[DT-EXW-06]],KH_26_OPT4_KTQT_v4[[#This Row],[HH-SL]]*KH_26_OPT4_KTQT_v4[[#This Row],[SL-06]])</f>
        <v>0</v>
      </c>
      <c r="CC63" s="47">
        <f>IF(KH_26_OPT4_KTQT_v4[[#This Row],[CPHH-%-SL]]="Dthu",KH_26_OPT4_KTQT_v4[[#This Row],[%HH]]*KH_26_OPT4_KTQT_v4[[#This Row],[DT-EXW-07]],KH_26_OPT4_KTQT_v4[[#This Row],[HH-SL]]*KH_26_OPT4_KTQT_v4[[#This Row],[SL-07]])</f>
        <v>0</v>
      </c>
      <c r="CD63" s="47">
        <f>IF(KH_26_OPT4_KTQT_v4[[#This Row],[CPHH-%-SL]]="Dthu",KH_26_OPT4_KTQT_v4[[#This Row],[%HH]]*KH_26_OPT4_KTQT_v4[[#This Row],[DT-EXW-08]],KH_26_OPT4_KTQT_v4[[#This Row],[HH-SL]]*KH_26_OPT4_KTQT_v4[[#This Row],[SL-08]])</f>
        <v>0</v>
      </c>
      <c r="CE63" s="47">
        <f>IF(KH_26_OPT4_KTQT_v4[[#This Row],[CPHH-%-SL]]="Dthu",KH_26_OPT4_KTQT_v4[[#This Row],[%HH]]*KH_26_OPT4_KTQT_v4[[#This Row],[DT-EXW-09]],KH_26_OPT4_KTQT_v4[[#This Row],[HH-SL]]*KH_26_OPT4_KTQT_v4[[#This Row],[SL-09]])</f>
        <v>0</v>
      </c>
      <c r="CF63" s="47">
        <f>IF(KH_26_OPT4_KTQT_v4[[#This Row],[CPHH-%-SL]]="Dthu",KH_26_OPT4_KTQT_v4[[#This Row],[%HH]]*KH_26_OPT4_KTQT_v4[[#This Row],[DT-EXW-10]],KH_26_OPT4_KTQT_v4[[#This Row],[HH-SL]]*KH_26_OPT4_KTQT_v4[[#This Row],[SL-10]])</f>
        <v>0</v>
      </c>
      <c r="CG63" s="47">
        <f>IF(KH_26_OPT4_KTQT_v4[[#This Row],[CPHH-%-SL]]="Dthu",KH_26_OPT4_KTQT_v4[[#This Row],[%HH]]*KH_26_OPT4_KTQT_v4[[#This Row],[DT-EXW-11]],KH_26_OPT4_KTQT_v4[[#This Row],[HH-SL]]*KH_26_OPT4_KTQT_v4[[#This Row],[SL-11]])</f>
        <v>0</v>
      </c>
      <c r="CH63" s="47">
        <f>IF(KH_26_OPT4_KTQT_v4[[#This Row],[CPHH-%-SL]]="Dthu",KH_26_OPT4_KTQT_v4[[#This Row],[%HH]]*KH_26_OPT4_KTQT_v4[[#This Row],[DT-EXW-12]],KH_26_OPT4_KTQT_v4[[#This Row],[HH-SL]]*KH_26_OPT4_KTQT_v4[[#This Row],[SL-12]])</f>
        <v>0</v>
      </c>
      <c r="CI63" s="47">
        <f ca="1">SUM(KH_26_OPT4_KTQT_v4[[#This Row],[CPHH-01]:[CPHH-12]])</f>
        <v>0</v>
      </c>
      <c r="CJ63" s="47" cm="1">
        <f t="array" ref="CJ63">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63" s="19">
        <f ca="1">SUM(KH_26_OPT4_KTQT_v4[[#This Row],[ĐGVCNĐ-KXK]:[ĐGVCCT-KXK]])</f>
        <v>1734545.4545454546</v>
      </c>
      <c r="CL63" s="47" cm="1">
        <f t="array" ref="CL63">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530000</v>
      </c>
      <c r="CM63" s="47" cm="1">
        <f t="array" ref="CM63">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1204545.4545454546</v>
      </c>
      <c r="CN63" s="47">
        <f ca="1">(KH_26_OPT4_KTQT_v4[[#This Row],[ĐGVC-KNĐ]]+KH_26_OPT4_KTQT_v4[[#This Row],[ĐGVC-KXK]])*KH_26_OPT4_KTQT_v4[[#This Row],[SL-01]]</f>
        <v>76320000</v>
      </c>
      <c r="CO63" s="47">
        <f ca="1">(KH_26_OPT4_KTQT_v4[[#This Row],[ĐGVC-KNĐ]]+KH_26_OPT4_KTQT_v4[[#This Row],[ĐGVC-KXK]])*KH_26_OPT4_KTQT_v4[[#This Row],[SL-02]]</f>
        <v>0</v>
      </c>
      <c r="CP63" s="47">
        <f ca="1">(KH_26_OPT4_KTQT_v4[[#This Row],[ĐGVC-KNĐ]]+KH_26_OPT4_KTQT_v4[[#This Row],[ĐGVC-KXK]])*KH_26_OPT4_KTQT_v4[[#This Row],[SL-03]]</f>
        <v>76320000</v>
      </c>
      <c r="CQ63" s="47">
        <f ca="1">(KH_26_OPT4_KTQT_v4[[#This Row],[ĐGVC-KNĐ]]+KH_26_OPT4_KTQT_v4[[#This Row],[ĐGVC-KXK]])*KH_26_OPT4_KTQT_v4[[#This Row],[SL-04]]</f>
        <v>0</v>
      </c>
      <c r="CR63" s="47">
        <f ca="1">(KH_26_OPT4_KTQT_v4[[#This Row],[ĐGVC-KNĐ]]+KH_26_OPT4_KTQT_v4[[#This Row],[ĐGVC-KXK]])*KH_26_OPT4_KTQT_v4[[#This Row],[SL-05]]</f>
        <v>76320000</v>
      </c>
      <c r="CS63" s="47">
        <f ca="1">(KH_26_OPT4_KTQT_v4[[#This Row],[ĐGVC-KNĐ]]+KH_26_OPT4_KTQT_v4[[#This Row],[ĐGVC-KXK]])*KH_26_OPT4_KTQT_v4[[#This Row],[SL-06]]</f>
        <v>0</v>
      </c>
      <c r="CT63" s="47">
        <f ca="1">(KH_26_OPT4_KTQT_v4[[#This Row],[ĐGVC-KNĐ]]+KH_26_OPT4_KTQT_v4[[#This Row],[ĐGVC-KXK]])*KH_26_OPT4_KTQT_v4[[#This Row],[SL-07]]</f>
        <v>76320000</v>
      </c>
      <c r="CU63" s="47">
        <f ca="1">(KH_26_OPT4_KTQT_v4[[#This Row],[ĐGVC-KNĐ]]+KH_26_OPT4_KTQT_v4[[#This Row],[ĐGVC-KXK]])*KH_26_OPT4_KTQT_v4[[#This Row],[SL-08]]</f>
        <v>0</v>
      </c>
      <c r="CV63" s="47">
        <f ca="1">(KH_26_OPT4_KTQT_v4[[#This Row],[ĐGVC-KNĐ]]+KH_26_OPT4_KTQT_v4[[#This Row],[ĐGVC-KXK]])*KH_26_OPT4_KTQT_v4[[#This Row],[SL-09]]</f>
        <v>76320000</v>
      </c>
      <c r="CW63" s="47">
        <f ca="1">(KH_26_OPT4_KTQT_v4[[#This Row],[ĐGVC-KNĐ]]+KH_26_OPT4_KTQT_v4[[#This Row],[ĐGVC-KXK]])*KH_26_OPT4_KTQT_v4[[#This Row],[SL-10]]</f>
        <v>0</v>
      </c>
      <c r="CX63" s="47">
        <f ca="1">(KH_26_OPT4_KTQT_v4[[#This Row],[ĐGVC-KNĐ]]+KH_26_OPT4_KTQT_v4[[#This Row],[ĐGVC-KXK]])*KH_26_OPT4_KTQT_v4[[#This Row],[SL-11]]</f>
        <v>76320000</v>
      </c>
      <c r="CY63" s="47">
        <f ca="1">(KH_26_OPT4_KTQT_v4[[#This Row],[ĐGVC-KNĐ]]+KH_26_OPT4_KTQT_v4[[#This Row],[ĐGVC-KXK]])*KH_26_OPT4_KTQT_v4[[#This Row],[SL-12]]</f>
        <v>0</v>
      </c>
      <c r="CZ63" s="47">
        <f ca="1">SUM(KH_26_OPT4_KTQT_v4[[#This Row],[CPVC-01]:[CPVC-12]])</f>
        <v>457920000</v>
      </c>
      <c r="DA63" s="124">
        <f ca="1">KH_26_OPT4_KTQT_v4[[#This Row],[DT-EXW-01]]+KH_26_OPT4_KTQT_v4[[#This Row],[CPVC-01]]+KH_26_OPT4_KTQT_v4[[#This Row],[CPHH-01]]</f>
        <v>1417220000</v>
      </c>
      <c r="DB63" s="47">
        <f ca="1">KH_26_OPT4_KTQT_v4[[#This Row],[DT-EXW-02]]+KH_26_OPT4_KTQT_v4[[#This Row],[CPVC-02]]+KH_26_OPT4_KTQT_v4[[#This Row],[CPHH-02]]</f>
        <v>0</v>
      </c>
      <c r="DC63" s="47">
        <f ca="1">KH_26_OPT4_KTQT_v4[[#This Row],[DT-EXW-03]]+KH_26_OPT4_KTQT_v4[[#This Row],[CPVC-03]]+KH_26_OPT4_KTQT_v4[[#This Row],[CPHH-03]]</f>
        <v>1417220000</v>
      </c>
      <c r="DD63" s="47">
        <f ca="1">KH_26_OPT4_KTQT_v4[[#This Row],[DT-EXW-04]]+KH_26_OPT4_KTQT_v4[[#This Row],[CPVC-04]]+KH_26_OPT4_KTQT_v4[[#This Row],[CPHH-04]]</f>
        <v>0</v>
      </c>
      <c r="DE63" s="47">
        <f ca="1">KH_26_OPT4_KTQT_v4[[#This Row],[DT-EXW-05]]+KH_26_OPT4_KTQT_v4[[#This Row],[CPVC-05]]+KH_26_OPT4_KTQT_v4[[#This Row],[CPHH-05]]</f>
        <v>1417220000</v>
      </c>
      <c r="DF63" s="47">
        <f ca="1">KH_26_OPT4_KTQT_v4[[#This Row],[DT-EXW-06]]+KH_26_OPT4_KTQT_v4[[#This Row],[CPVC-06]]+KH_26_OPT4_KTQT_v4[[#This Row],[CPHH-06]]</f>
        <v>0</v>
      </c>
      <c r="DG63" s="47">
        <f ca="1">KH_26_OPT4_KTQT_v4[[#This Row],[DT-EXW-07]]+KH_26_OPT4_KTQT_v4[[#This Row],[CPVC-07]]+KH_26_OPT4_KTQT_v4[[#This Row],[CPHH-07]]</f>
        <v>1417220000</v>
      </c>
      <c r="DH63" s="47">
        <f ca="1">KH_26_OPT4_KTQT_v4[[#This Row],[DT-EXW-08]]+KH_26_OPT4_KTQT_v4[[#This Row],[CPVC-08]]+KH_26_OPT4_KTQT_v4[[#This Row],[CPHH-08]]</f>
        <v>0</v>
      </c>
      <c r="DI63" s="47">
        <f ca="1">KH_26_OPT4_KTQT_v4[[#This Row],[DT-EXW-09]]+KH_26_OPT4_KTQT_v4[[#This Row],[CPVC-09]]+KH_26_OPT4_KTQT_v4[[#This Row],[CPHH-09]]</f>
        <v>1417220000</v>
      </c>
      <c r="DJ63" s="47">
        <f ca="1">KH_26_OPT4_KTQT_v4[[#This Row],[DT-EXW-10]]+KH_26_OPT4_KTQT_v4[[#This Row],[CPVC-10]]+KH_26_OPT4_KTQT_v4[[#This Row],[CPHH-10]]</f>
        <v>0</v>
      </c>
      <c r="DK63" s="47">
        <f ca="1">KH_26_OPT4_KTQT_v4[[#This Row],[DT-EXW-11]]+KH_26_OPT4_KTQT_v4[[#This Row],[CPVC-11]]+KH_26_OPT4_KTQT_v4[[#This Row],[CPHH-11]]</f>
        <v>1417220000</v>
      </c>
      <c r="DL63" s="47">
        <f ca="1">KH_26_OPT4_KTQT_v4[[#This Row],[DT-EXW-12]]+KH_26_OPT4_KTQT_v4[[#This Row],[CPVC-12]]+KH_26_OPT4_KTQT_v4[[#This Row],[CPHH-12]]</f>
        <v>0</v>
      </c>
      <c r="DM63" s="47">
        <f ca="1">SUM(KH_26_OPT4_KTQT_v4[[#This Row],[DT-01]:[DT-12]])</f>
        <v>8503320000</v>
      </c>
      <c r="DN63" s="7"/>
      <c r="DO63" s="7"/>
      <c r="DP63" s="125"/>
      <c r="DQ63" s="136"/>
      <c r="DR63" s="132">
        <f>IFERROR(KH_26_OPT4_KTQT_v4[[#This Row],[DT-EXW-01]]*KH_26_OPT4_KTQT_v4[[#This Row],[%CPDP]],0)</f>
        <v>0</v>
      </c>
      <c r="DS63" s="132">
        <f>IFERROR(KH_26_OPT4_KTQT_v4[[#This Row],[DT-EXW-02]]*KH_26_OPT4_KTQT_v4[[#This Row],[%CPDP]],0)</f>
        <v>0</v>
      </c>
      <c r="DT63" s="132">
        <f>IFERROR(KH_26_OPT4_KTQT_v4[[#This Row],[DT-EXW-03]]*KH_26_OPT4_KTQT_v4[[#This Row],[%CPDP]],0)</f>
        <v>0</v>
      </c>
      <c r="DU63" s="132">
        <f>IFERROR(KH_26_OPT4_KTQT_v4[[#This Row],[DT-EXW-04]]*KH_26_OPT4_KTQT_v4[[#This Row],[%CPDP]],0)</f>
        <v>0</v>
      </c>
      <c r="DV63" s="132">
        <f>IFERROR(KH_26_OPT4_KTQT_v4[[#This Row],[DT-EXW-05]]*KH_26_OPT4_KTQT_v4[[#This Row],[%CPDP]],0)</f>
        <v>0</v>
      </c>
      <c r="DW63" s="132">
        <f>IFERROR(KH_26_OPT4_KTQT_v4[[#This Row],[DT-EXW-06]]*KH_26_OPT4_KTQT_v4[[#This Row],[%CPDP]],0)</f>
        <v>0</v>
      </c>
      <c r="DX63" s="132">
        <f>IFERROR(KH_26_OPT4_KTQT_v4[[#This Row],[DT-EXW-07]]*KH_26_OPT4_KTQT_v4[[#This Row],[%CPDP]],0)</f>
        <v>0</v>
      </c>
      <c r="DY63" s="132">
        <f>IFERROR(KH_26_OPT4_KTQT_v4[[#This Row],[DT-EXW-08]]*KH_26_OPT4_KTQT_v4[[#This Row],[%CPDP]],0)</f>
        <v>0</v>
      </c>
      <c r="DZ63" s="132">
        <f>IFERROR(KH_26_OPT4_KTQT_v4[[#This Row],[DT-EXW-09]]*KH_26_OPT4_KTQT_v4[[#This Row],[%CPDP]],0)</f>
        <v>0</v>
      </c>
      <c r="EA63" s="132">
        <f>IFERROR(KH_26_OPT4_KTQT_v4[[#This Row],[DT-EXW-10]]*KH_26_OPT4_KTQT_v4[[#This Row],[%CPDP]],0)</f>
        <v>0</v>
      </c>
      <c r="EB63" s="132">
        <f>IFERROR(KH_26_OPT4_KTQT_v4[[#This Row],[DT-EXW-11]]*KH_26_OPT4_KTQT_v4[[#This Row],[%CPDP]],0)</f>
        <v>0</v>
      </c>
      <c r="EC63" s="132">
        <f>IFERROR(KH_26_OPT4_KTQT_v4[[#This Row],[DT-EXW-12]]*KH_26_OPT4_KTQT_v4[[#This Row],[%CPDP]],0)</f>
        <v>0</v>
      </c>
      <c r="ED63" s="131">
        <f ca="1">SUM(KH_26_OPT4_KTQT_v4[[#This Row],[CPDP-01]:[CPDP-12]])</f>
        <v>0</v>
      </c>
    </row>
    <row r="64" spans="1:134" ht="14.65" hidden="1" customHeight="1" x14ac:dyDescent="0.35">
      <c r="A64" s="18">
        <v>59</v>
      </c>
      <c r="B64" s="71" t="s">
        <v>95</v>
      </c>
      <c r="C64" s="18" t="str">
        <f>IFERROR(_xlfn.XLOOKUP(KH_26_OPT4_KTQT_v4[[#This Row],[Salesman]],MD_Salesman[Salesman],MD_Salesman[SalesManager]),"")</f>
        <v>Cường</v>
      </c>
      <c r="D64" s="72" t="str">
        <f>IFERROR(INDEX(MD_Customer[Mã khách],MATCH(KH_26_OPT4_KTQT_v4[[#This Row],[Tên khách]],MD_Customer[Tên khách-rút gọn],0)),"")</f>
        <v>200386</v>
      </c>
      <c r="E64" s="7" t="str">
        <f>IFERROR(INDEX(MD_Customer[Parent Account],MATCH(KH_26_OPT4_KTQT_v4[[#This Row],[Tên khách]],MD_Customer[Tên khách-rút gọn],0)),"")</f>
        <v>GENESIS DISTRIBUCIÓN DE COLOMBIA SA</v>
      </c>
      <c r="F64" s="35" t="s">
        <v>129</v>
      </c>
      <c r="G64" s="7" t="str">
        <f>IFERROR(INDEX(MD_Customer[Phân loại],MATCH(KH_26_OPT4_KTQT_v4[[#This Row],[Tên khách]],MD_Customer[Tên khách-rút gọn],0)),"")</f>
        <v>Mới</v>
      </c>
      <c r="H64" s="7" t="str">
        <f>IFERROR(INDEX(MD_Customer[Kênh bán hàng],MATCH(KH_26_OPT4_KTQT_v4[[#This Row],[Tên khách]],MD_Customer[Tên khách-rút gọn],0)),"")</f>
        <v>Xuất khẩu</v>
      </c>
      <c r="I64" s="35" t="s">
        <v>307</v>
      </c>
      <c r="J64" s="7" t="str">
        <f>IFERROR(INDEX(MD_Destination[Nước],MATCH(KH_26_OPT4_KTQT_v4[[#This Row],[Địa điểm đến]],MD_Destination[Địa điểm đến],0)),"")</f>
        <v>Colombia</v>
      </c>
      <c r="K64" s="7" t="str">
        <f>IFERROR(INDEX(MD_Destination[Khu vực],MATCH(KH_26_OPT4_KTQT_v4[[#This Row],[Địa điểm đến]],MD_Destination[Địa điểm đến],0)),"")</f>
        <v>Châu Mỹ</v>
      </c>
      <c r="L64" s="35" t="s">
        <v>293</v>
      </c>
      <c r="M64" s="7" t="str">
        <f>IFERROR(INDEX(MD_SKU[Mã SKU],MATCH(KH_26_OPT4_KTQT_v4[[#This Row],[Tên sản phẩm]],MD_SKU[Tên SKU-rút gọn],0)),"")</f>
        <v>110000332</v>
      </c>
      <c r="N64" s="35" t="s">
        <v>1124</v>
      </c>
      <c r="O64" s="7" t="str">
        <f>IFERROR(INDEX(MD_SKU[Ngành hàng],MATCH(KH_26_OPT4_KTQT_v4[[#This Row],[Tên sản phẩm]],MD_SKU[Tên SKU-rút gọn],0)),"")</f>
        <v>rPET</v>
      </c>
      <c r="P64" s="7" t="str">
        <f>IFERROR(INDEX(MD_SKU[Nhóm ngành],MATCH(KH_26_OPT4_KTQT_v4[[#This Row],[Tên sản phẩm]],MD_SKU[Tên SKU-rút gọn],0)),"")</f>
        <v>Hạt PET</v>
      </c>
      <c r="Q64" s="7" t="str">
        <f>IFERROR(
   IF(INDEX(MD_SKU[IV/IM],MATCH(KH_26_OPT4_KTQT_v4[[#This Row],[Tên sản phẩm]],MD_SKU[Tên SKU-rút gọn],0))=0,
      "",
      INDEX(MD_SKU[IV/IM],MATCH(KH_26_OPT4_KTQT_v4[[#This Row],[Tên sản phẩm]],MD_SKU[Tên SKU-rút gọn],0))
   ),
"")</f>
        <v>0.84 ± 0.03</v>
      </c>
      <c r="R64" s="44">
        <f>IFERROR(INDEX(MD_SKU[Application],MATCH(KH_26_OPT4_KTQT_v4[[#This Row],[Tên sản phẩm]],MD_SKU[Tên SKU-rút gọn],0)),"")</f>
        <v>0</v>
      </c>
      <c r="S64" s="7" t="str">
        <f>IFERROR(INDEX(MD_SKU[Phân loại],MATCH(KH_26_OPT4_KTQT_v4[[#This Row],[Tên sản phẩm]],MD_SKU[Tên SKU-rút gọn],0)),"")</f>
        <v>Cũ</v>
      </c>
      <c r="T64" s="180" t="s">
        <v>129</v>
      </c>
      <c r="U64" s="7" t="s">
        <v>1508</v>
      </c>
      <c r="V64" s="70">
        <v>0.8</v>
      </c>
      <c r="W64" s="33">
        <v>66</v>
      </c>
      <c r="X64" s="33">
        <v>66</v>
      </c>
      <c r="Y64" s="33">
        <v>66</v>
      </c>
      <c r="Z64" s="33">
        <v>66</v>
      </c>
      <c r="AA64" s="33">
        <v>66</v>
      </c>
      <c r="AB64" s="33">
        <v>66</v>
      </c>
      <c r="AC64" s="33">
        <v>66</v>
      </c>
      <c r="AD64" s="33">
        <v>66</v>
      </c>
      <c r="AE64" s="33">
        <v>66</v>
      </c>
      <c r="AF64" s="33">
        <v>66</v>
      </c>
      <c r="AG64" s="33">
        <v>66</v>
      </c>
      <c r="AH64" s="33">
        <v>66</v>
      </c>
      <c r="AI64" s="47">
        <f ca="1">SUM(KH_26_OPT4_KTQT_v4[[#This Row],[SL-01]:[SL-12]])</f>
        <v>792</v>
      </c>
      <c r="AJ64" s="47">
        <f ca="1">SUMIFS(DB_25[SL-DB25],DB_25[Mã khách],KH_26_OPT4_KTQT_v4[[#This Row],[Mã khách]],DB_25[Mã sản phẩm],KH_26_OPT4_KTQT_v4[[#This Row],[Mã sản phẩm]])</f>
        <v>110</v>
      </c>
      <c r="AK64" s="20">
        <f ca="1">KH_26_OPT4_KTQT_v4[[#This Row],[SL-KH26]]-KH_26_OPT4_KTQT_v4[[#This Row],[SL-DB25]]</f>
        <v>682</v>
      </c>
      <c r="AL64" s="21">
        <f ca="1">IFERROR(KH_26_OPT4_KTQT_v4[[#This Row],[SL-+/-]]/KH_26_OPT4_KTQT_v4[[#This Row],[SL-DB25]],0)</f>
        <v>6.2</v>
      </c>
      <c r="AM64" s="51">
        <v>1250</v>
      </c>
      <c r="AN64" s="51">
        <v>1250</v>
      </c>
      <c r="AO64" s="51">
        <v>1250</v>
      </c>
      <c r="AP64" s="51">
        <v>1250</v>
      </c>
      <c r="AQ64" s="51">
        <v>1250</v>
      </c>
      <c r="AR64" s="51">
        <v>1250</v>
      </c>
      <c r="AS64" s="51">
        <v>1250</v>
      </c>
      <c r="AT64" s="51">
        <v>1250</v>
      </c>
      <c r="AU64" s="51">
        <v>1250</v>
      </c>
      <c r="AV64" s="51">
        <v>1250</v>
      </c>
      <c r="AW64" s="51">
        <v>1250</v>
      </c>
      <c r="AX64" s="51">
        <v>1250</v>
      </c>
      <c r="AY64" s="23">
        <v>1200</v>
      </c>
      <c r="AZ64" s="7"/>
      <c r="BA64" s="24">
        <f>KH_26_OPT4_KTQT_v4[[#This Row],[GB-DB25]]-KH_26_OPT4_KTQT_v4[[#This Row],[GB-KH25]]</f>
        <v>1200</v>
      </c>
      <c r="BB64" s="21">
        <f>IFERROR(KH_26_OPT4_KTQT_v4[[#This Row],[GB-+/-]]/KH_26_OPT4_KTQT_v4[[#This Row],[GB-KH25]],0)</f>
        <v>0</v>
      </c>
      <c r="BC64" s="21"/>
      <c r="BD64" s="47">
        <f>KH_26_OPT4_KTQT_v4[[#This Row],[SL-01]]*KH_26_OPT4_KTQT_v4[[#This Row],[GB-01]]*EXR</f>
        <v>2186250000</v>
      </c>
      <c r="BE64" s="47">
        <f>KH_26_OPT4_KTQT_v4[[#This Row],[SL-02]]*KH_26_OPT4_KTQT_v4[[#This Row],[GB-02]]*EXR</f>
        <v>2186250000</v>
      </c>
      <c r="BF64" s="47">
        <f>KH_26_OPT4_KTQT_v4[[#This Row],[SL-03]]*KH_26_OPT4_KTQT_v4[[#This Row],[GB-03]]*EXR</f>
        <v>2186250000</v>
      </c>
      <c r="BG64" s="47">
        <f>KH_26_OPT4_KTQT_v4[[#This Row],[SL-04]]*KH_26_OPT4_KTQT_v4[[#This Row],[GB-04]]*EXR</f>
        <v>2186250000</v>
      </c>
      <c r="BH64" s="47">
        <f>KH_26_OPT4_KTQT_v4[[#This Row],[SL-05]]*KH_26_OPT4_KTQT_v4[[#This Row],[GB-05]]*EXR</f>
        <v>2186250000</v>
      </c>
      <c r="BI64" s="47">
        <f>KH_26_OPT4_KTQT_v4[[#This Row],[SL-06]]*KH_26_OPT4_KTQT_v4[[#This Row],[GB-06]]*EXR</f>
        <v>2186250000</v>
      </c>
      <c r="BJ64" s="47">
        <f>KH_26_OPT4_KTQT_v4[[#This Row],[SL-07]]*KH_26_OPT4_KTQT_v4[[#This Row],[GB-07]]*EXR</f>
        <v>2186250000</v>
      </c>
      <c r="BK64" s="47">
        <f>KH_26_OPT4_KTQT_v4[[#This Row],[SL-08]]*KH_26_OPT4_KTQT_v4[[#This Row],[GB-08]]*EXR</f>
        <v>2186250000</v>
      </c>
      <c r="BL64" s="47">
        <f>KH_26_OPT4_KTQT_v4[[#This Row],[SL-09]]*KH_26_OPT4_KTQT_v4[[#This Row],[GB-09]]*EXR</f>
        <v>2186250000</v>
      </c>
      <c r="BM64" s="47">
        <f>KH_26_OPT4_KTQT_v4[[#This Row],[SL-10]]*KH_26_OPT4_KTQT_v4[[#This Row],[GB-10]]*EXR</f>
        <v>2186250000</v>
      </c>
      <c r="BN64" s="47">
        <f>KH_26_OPT4_KTQT_v4[[#This Row],[SL-11]]*KH_26_OPT4_KTQT_v4[[#This Row],[GB-11]]*EXR</f>
        <v>2186250000</v>
      </c>
      <c r="BO64" s="47">
        <f>KH_26_OPT4_KTQT_v4[[#This Row],[SL-12]]*KH_26_OPT4_KTQT_v4[[#This Row],[GB-12]]*EXR</f>
        <v>2186250000</v>
      </c>
      <c r="BP64" s="47">
        <f ca="1">SUM(KH_26_OPT4_KTQT_v4[[#This Row],[DT-EXW-01]:[DT-EXW-12]])</f>
        <v>26235000000</v>
      </c>
      <c r="BQ64" s="47">
        <f ca="1">SUMIFS(DB_25[DT-DB25],DB_25[Mã khách],KH_26_OPT4_KTQT_v4[[#This Row],[Mã khách]],DB_25[Mã sản phẩm],KH_26_OPT4_KTQT_v4[[#This Row],[Mã sản phẩm]])</f>
        <v>756615057.7163893</v>
      </c>
      <c r="BR64" s="19">
        <f ca="1">KH_26_OPT4_KTQT_v4[[#This Row],[DT-EXW-KH26]]-KH_26_OPT4_KTQT_v4[[#This Row],[DT-EXW-DB25]]</f>
        <v>25478384942.283611</v>
      </c>
      <c r="BS64" s="21">
        <f ca="1">IFERROR(KH_26_OPT4_KTQT_v4[[#This Row],[DT-EXW-+/-]]/KH_26_OPT4_KTQT_v4[[#This Row],[DT-EXW-DB25]],0)</f>
        <v>33.674171142168795</v>
      </c>
      <c r="BT64" s="139"/>
      <c r="BU64" s="57"/>
      <c r="BV64" s="51"/>
      <c r="BW64" s="47">
        <f>IF(KH_26_OPT4_KTQT_v4[[#This Row],[CPHH-%-SL]]="Dthu",KH_26_OPT4_KTQT_v4[[#This Row],[%HH]]*KH_26_OPT4_KTQT_v4[[#This Row],[DT-EXW-01]],KH_26_OPT4_KTQT_v4[[#This Row],[HH-SL]]*KH_26_OPT4_KTQT_v4[[#This Row],[SL-01]])</f>
        <v>0</v>
      </c>
      <c r="BX64" s="47">
        <f>IF(KH_26_OPT4_KTQT_v4[[#This Row],[CPHH-%-SL]]="Dthu",KH_26_OPT4_KTQT_v4[[#This Row],[%HH]]*KH_26_OPT4_KTQT_v4[[#This Row],[DT-EXW-02]],KH_26_OPT4_KTQT_v4[[#This Row],[HH-SL]]*KH_26_OPT4_KTQT_v4[[#This Row],[SL-02]])</f>
        <v>0</v>
      </c>
      <c r="BY64" s="47">
        <f>IF(KH_26_OPT4_KTQT_v4[[#This Row],[CPHH-%-SL]]="Dthu",KH_26_OPT4_KTQT_v4[[#This Row],[%HH]]*KH_26_OPT4_KTQT_v4[[#This Row],[DT-EXW-03]],KH_26_OPT4_KTQT_v4[[#This Row],[HH-SL]]*KH_26_OPT4_KTQT_v4[[#This Row],[SL-03]])</f>
        <v>0</v>
      </c>
      <c r="BZ64" s="47">
        <f>IF(KH_26_OPT4_KTQT_v4[[#This Row],[CPHH-%-SL]]="Dthu",KH_26_OPT4_KTQT_v4[[#This Row],[%HH]]*KH_26_OPT4_KTQT_v4[[#This Row],[DT-EXW-04]],KH_26_OPT4_KTQT_v4[[#This Row],[HH-SL]]*KH_26_OPT4_KTQT_v4[[#This Row],[SL-04]])</f>
        <v>0</v>
      </c>
      <c r="CA64" s="47">
        <f>IF(KH_26_OPT4_KTQT_v4[[#This Row],[CPHH-%-SL]]="Dthu",KH_26_OPT4_KTQT_v4[[#This Row],[%HH]]*KH_26_OPT4_KTQT_v4[[#This Row],[DT-EXW-05]],KH_26_OPT4_KTQT_v4[[#This Row],[HH-SL]]*KH_26_OPT4_KTQT_v4[[#This Row],[SL-05]])</f>
        <v>0</v>
      </c>
      <c r="CB64" s="47">
        <f>IF(KH_26_OPT4_KTQT_v4[[#This Row],[CPHH-%-SL]]="Dthu",KH_26_OPT4_KTQT_v4[[#This Row],[%HH]]*KH_26_OPT4_KTQT_v4[[#This Row],[DT-EXW-06]],KH_26_OPT4_KTQT_v4[[#This Row],[HH-SL]]*KH_26_OPT4_KTQT_v4[[#This Row],[SL-06]])</f>
        <v>0</v>
      </c>
      <c r="CC64" s="47">
        <f>IF(KH_26_OPT4_KTQT_v4[[#This Row],[CPHH-%-SL]]="Dthu",KH_26_OPT4_KTQT_v4[[#This Row],[%HH]]*KH_26_OPT4_KTQT_v4[[#This Row],[DT-EXW-07]],KH_26_OPT4_KTQT_v4[[#This Row],[HH-SL]]*KH_26_OPT4_KTQT_v4[[#This Row],[SL-07]])</f>
        <v>0</v>
      </c>
      <c r="CD64" s="47">
        <f>IF(KH_26_OPT4_KTQT_v4[[#This Row],[CPHH-%-SL]]="Dthu",KH_26_OPT4_KTQT_v4[[#This Row],[%HH]]*KH_26_OPT4_KTQT_v4[[#This Row],[DT-EXW-08]],KH_26_OPT4_KTQT_v4[[#This Row],[HH-SL]]*KH_26_OPT4_KTQT_v4[[#This Row],[SL-08]])</f>
        <v>0</v>
      </c>
      <c r="CE64" s="47">
        <f>IF(KH_26_OPT4_KTQT_v4[[#This Row],[CPHH-%-SL]]="Dthu",KH_26_OPT4_KTQT_v4[[#This Row],[%HH]]*KH_26_OPT4_KTQT_v4[[#This Row],[DT-EXW-09]],KH_26_OPT4_KTQT_v4[[#This Row],[HH-SL]]*KH_26_OPT4_KTQT_v4[[#This Row],[SL-09]])</f>
        <v>0</v>
      </c>
      <c r="CF64" s="47">
        <f>IF(KH_26_OPT4_KTQT_v4[[#This Row],[CPHH-%-SL]]="Dthu",KH_26_OPT4_KTQT_v4[[#This Row],[%HH]]*KH_26_OPT4_KTQT_v4[[#This Row],[DT-EXW-10]],KH_26_OPT4_KTQT_v4[[#This Row],[HH-SL]]*KH_26_OPT4_KTQT_v4[[#This Row],[SL-10]])</f>
        <v>0</v>
      </c>
      <c r="CG64" s="47">
        <f>IF(KH_26_OPT4_KTQT_v4[[#This Row],[CPHH-%-SL]]="Dthu",KH_26_OPT4_KTQT_v4[[#This Row],[%HH]]*KH_26_OPT4_KTQT_v4[[#This Row],[DT-EXW-11]],KH_26_OPT4_KTQT_v4[[#This Row],[HH-SL]]*KH_26_OPT4_KTQT_v4[[#This Row],[SL-11]])</f>
        <v>0</v>
      </c>
      <c r="CH64" s="47">
        <f>IF(KH_26_OPT4_KTQT_v4[[#This Row],[CPHH-%-SL]]="Dthu",KH_26_OPT4_KTQT_v4[[#This Row],[%HH]]*KH_26_OPT4_KTQT_v4[[#This Row],[DT-EXW-12]],KH_26_OPT4_KTQT_v4[[#This Row],[HH-SL]]*KH_26_OPT4_KTQT_v4[[#This Row],[SL-12]])</f>
        <v>0</v>
      </c>
      <c r="CI64" s="47">
        <f ca="1">SUM(KH_26_OPT4_KTQT_v4[[#This Row],[CPHH-01]:[CPHH-12]])</f>
        <v>0</v>
      </c>
      <c r="CJ64" s="47" cm="1">
        <f t="array" ref="CJ64">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64" s="19">
        <f ca="1">SUM(KH_26_OPT4_KTQT_v4[[#This Row],[ĐGVCNĐ-KXK]:[ĐGVCCT-KXK]])</f>
        <v>4384545.4545454551</v>
      </c>
      <c r="CL64" s="47" cm="1">
        <f t="array" ref="CL64">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530000</v>
      </c>
      <c r="CM64" s="47" cm="1">
        <f t="array" ref="CM64">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3854545.4545454551</v>
      </c>
      <c r="CN64" s="47">
        <f ca="1">(KH_26_OPT4_KTQT_v4[[#This Row],[ĐGVC-KNĐ]]+KH_26_OPT4_KTQT_v4[[#This Row],[ĐGVC-KXK]])*KH_26_OPT4_KTQT_v4[[#This Row],[SL-01]]</f>
        <v>289380000.00000006</v>
      </c>
      <c r="CO64" s="47">
        <f ca="1">(KH_26_OPT4_KTQT_v4[[#This Row],[ĐGVC-KNĐ]]+KH_26_OPT4_KTQT_v4[[#This Row],[ĐGVC-KXK]])*KH_26_OPT4_KTQT_v4[[#This Row],[SL-02]]</f>
        <v>289380000.00000006</v>
      </c>
      <c r="CP64" s="47">
        <f ca="1">(KH_26_OPT4_KTQT_v4[[#This Row],[ĐGVC-KNĐ]]+KH_26_OPT4_KTQT_v4[[#This Row],[ĐGVC-KXK]])*KH_26_OPT4_KTQT_v4[[#This Row],[SL-03]]</f>
        <v>289380000.00000006</v>
      </c>
      <c r="CQ64" s="47">
        <f ca="1">(KH_26_OPT4_KTQT_v4[[#This Row],[ĐGVC-KNĐ]]+KH_26_OPT4_KTQT_v4[[#This Row],[ĐGVC-KXK]])*KH_26_OPT4_KTQT_v4[[#This Row],[SL-04]]</f>
        <v>289380000.00000006</v>
      </c>
      <c r="CR64" s="47">
        <f ca="1">(KH_26_OPT4_KTQT_v4[[#This Row],[ĐGVC-KNĐ]]+KH_26_OPT4_KTQT_v4[[#This Row],[ĐGVC-KXK]])*KH_26_OPT4_KTQT_v4[[#This Row],[SL-05]]</f>
        <v>289380000.00000006</v>
      </c>
      <c r="CS64" s="47">
        <f ca="1">(KH_26_OPT4_KTQT_v4[[#This Row],[ĐGVC-KNĐ]]+KH_26_OPT4_KTQT_v4[[#This Row],[ĐGVC-KXK]])*KH_26_OPT4_KTQT_v4[[#This Row],[SL-06]]</f>
        <v>289380000.00000006</v>
      </c>
      <c r="CT64" s="47">
        <f ca="1">(KH_26_OPT4_KTQT_v4[[#This Row],[ĐGVC-KNĐ]]+KH_26_OPT4_KTQT_v4[[#This Row],[ĐGVC-KXK]])*KH_26_OPT4_KTQT_v4[[#This Row],[SL-07]]</f>
        <v>289380000.00000006</v>
      </c>
      <c r="CU64" s="47">
        <f ca="1">(KH_26_OPT4_KTQT_v4[[#This Row],[ĐGVC-KNĐ]]+KH_26_OPT4_KTQT_v4[[#This Row],[ĐGVC-KXK]])*KH_26_OPT4_KTQT_v4[[#This Row],[SL-08]]</f>
        <v>289380000.00000006</v>
      </c>
      <c r="CV64" s="47">
        <f ca="1">(KH_26_OPT4_KTQT_v4[[#This Row],[ĐGVC-KNĐ]]+KH_26_OPT4_KTQT_v4[[#This Row],[ĐGVC-KXK]])*KH_26_OPT4_KTQT_v4[[#This Row],[SL-09]]</f>
        <v>289380000.00000006</v>
      </c>
      <c r="CW64" s="47">
        <f ca="1">(KH_26_OPT4_KTQT_v4[[#This Row],[ĐGVC-KNĐ]]+KH_26_OPT4_KTQT_v4[[#This Row],[ĐGVC-KXK]])*KH_26_OPT4_KTQT_v4[[#This Row],[SL-10]]</f>
        <v>289380000.00000006</v>
      </c>
      <c r="CX64" s="47">
        <f ca="1">(KH_26_OPT4_KTQT_v4[[#This Row],[ĐGVC-KNĐ]]+KH_26_OPT4_KTQT_v4[[#This Row],[ĐGVC-KXK]])*KH_26_OPT4_KTQT_v4[[#This Row],[SL-11]]</f>
        <v>289380000.00000006</v>
      </c>
      <c r="CY64" s="47">
        <f ca="1">(KH_26_OPT4_KTQT_v4[[#This Row],[ĐGVC-KNĐ]]+KH_26_OPT4_KTQT_v4[[#This Row],[ĐGVC-KXK]])*KH_26_OPT4_KTQT_v4[[#This Row],[SL-12]]</f>
        <v>289380000.00000006</v>
      </c>
      <c r="CZ64" s="47">
        <f ca="1">SUM(KH_26_OPT4_KTQT_v4[[#This Row],[CPVC-01]:[CPVC-12]])</f>
        <v>3472560000.0000005</v>
      </c>
      <c r="DA64" s="124">
        <f ca="1">KH_26_OPT4_KTQT_v4[[#This Row],[DT-EXW-01]]+KH_26_OPT4_KTQT_v4[[#This Row],[CPVC-01]]+KH_26_OPT4_KTQT_v4[[#This Row],[CPHH-01]]</f>
        <v>2475630000</v>
      </c>
      <c r="DB64" s="47">
        <f ca="1">KH_26_OPT4_KTQT_v4[[#This Row],[DT-EXW-02]]+KH_26_OPT4_KTQT_v4[[#This Row],[CPVC-02]]+KH_26_OPT4_KTQT_v4[[#This Row],[CPHH-02]]</f>
        <v>2475630000</v>
      </c>
      <c r="DC64" s="47">
        <f ca="1">KH_26_OPT4_KTQT_v4[[#This Row],[DT-EXW-03]]+KH_26_OPT4_KTQT_v4[[#This Row],[CPVC-03]]+KH_26_OPT4_KTQT_v4[[#This Row],[CPHH-03]]</f>
        <v>2475630000</v>
      </c>
      <c r="DD64" s="47">
        <f ca="1">KH_26_OPT4_KTQT_v4[[#This Row],[DT-EXW-04]]+KH_26_OPT4_KTQT_v4[[#This Row],[CPVC-04]]+KH_26_OPT4_KTQT_v4[[#This Row],[CPHH-04]]</f>
        <v>2475630000</v>
      </c>
      <c r="DE64" s="47">
        <f ca="1">KH_26_OPT4_KTQT_v4[[#This Row],[DT-EXW-05]]+KH_26_OPT4_KTQT_v4[[#This Row],[CPVC-05]]+KH_26_OPT4_KTQT_v4[[#This Row],[CPHH-05]]</f>
        <v>2475630000</v>
      </c>
      <c r="DF64" s="47">
        <f ca="1">KH_26_OPT4_KTQT_v4[[#This Row],[DT-EXW-06]]+KH_26_OPT4_KTQT_v4[[#This Row],[CPVC-06]]+KH_26_OPT4_KTQT_v4[[#This Row],[CPHH-06]]</f>
        <v>2475630000</v>
      </c>
      <c r="DG64" s="47">
        <f ca="1">KH_26_OPT4_KTQT_v4[[#This Row],[DT-EXW-07]]+KH_26_OPT4_KTQT_v4[[#This Row],[CPVC-07]]+KH_26_OPT4_KTQT_v4[[#This Row],[CPHH-07]]</f>
        <v>2475630000</v>
      </c>
      <c r="DH64" s="47">
        <f ca="1">KH_26_OPT4_KTQT_v4[[#This Row],[DT-EXW-08]]+KH_26_OPT4_KTQT_v4[[#This Row],[CPVC-08]]+KH_26_OPT4_KTQT_v4[[#This Row],[CPHH-08]]</f>
        <v>2475630000</v>
      </c>
      <c r="DI64" s="47">
        <f ca="1">KH_26_OPT4_KTQT_v4[[#This Row],[DT-EXW-09]]+KH_26_OPT4_KTQT_v4[[#This Row],[CPVC-09]]+KH_26_OPT4_KTQT_v4[[#This Row],[CPHH-09]]</f>
        <v>2475630000</v>
      </c>
      <c r="DJ64" s="47">
        <f ca="1">KH_26_OPT4_KTQT_v4[[#This Row],[DT-EXW-10]]+KH_26_OPT4_KTQT_v4[[#This Row],[CPVC-10]]+KH_26_OPT4_KTQT_v4[[#This Row],[CPHH-10]]</f>
        <v>2475630000</v>
      </c>
      <c r="DK64" s="47">
        <f ca="1">KH_26_OPT4_KTQT_v4[[#This Row],[DT-EXW-11]]+KH_26_OPT4_KTQT_v4[[#This Row],[CPVC-11]]+KH_26_OPT4_KTQT_v4[[#This Row],[CPHH-11]]</f>
        <v>2475630000</v>
      </c>
      <c r="DL64" s="47">
        <f ca="1">KH_26_OPT4_KTQT_v4[[#This Row],[DT-EXW-12]]+KH_26_OPT4_KTQT_v4[[#This Row],[CPVC-12]]+KH_26_OPT4_KTQT_v4[[#This Row],[CPHH-12]]</f>
        <v>2475630000</v>
      </c>
      <c r="DM64" s="47">
        <f ca="1">SUM(KH_26_OPT4_KTQT_v4[[#This Row],[DT-01]:[DT-12]])</f>
        <v>29707560000</v>
      </c>
      <c r="DN64" s="7"/>
      <c r="DO64" s="7"/>
      <c r="DP64" s="125"/>
      <c r="DQ64" s="136"/>
      <c r="DR64" s="132">
        <f>IFERROR(KH_26_OPT4_KTQT_v4[[#This Row],[DT-EXW-01]]*KH_26_OPT4_KTQT_v4[[#This Row],[%CPDP]],0)</f>
        <v>0</v>
      </c>
      <c r="DS64" s="132">
        <f>IFERROR(KH_26_OPT4_KTQT_v4[[#This Row],[DT-EXW-02]]*KH_26_OPT4_KTQT_v4[[#This Row],[%CPDP]],0)</f>
        <v>0</v>
      </c>
      <c r="DT64" s="132">
        <f>IFERROR(KH_26_OPT4_KTQT_v4[[#This Row],[DT-EXW-03]]*KH_26_OPT4_KTQT_v4[[#This Row],[%CPDP]],0)</f>
        <v>0</v>
      </c>
      <c r="DU64" s="132">
        <f>IFERROR(KH_26_OPT4_KTQT_v4[[#This Row],[DT-EXW-04]]*KH_26_OPT4_KTQT_v4[[#This Row],[%CPDP]],0)</f>
        <v>0</v>
      </c>
      <c r="DV64" s="132">
        <f>IFERROR(KH_26_OPT4_KTQT_v4[[#This Row],[DT-EXW-05]]*KH_26_OPT4_KTQT_v4[[#This Row],[%CPDP]],0)</f>
        <v>0</v>
      </c>
      <c r="DW64" s="132">
        <f>IFERROR(KH_26_OPT4_KTQT_v4[[#This Row],[DT-EXW-06]]*KH_26_OPT4_KTQT_v4[[#This Row],[%CPDP]],0)</f>
        <v>0</v>
      </c>
      <c r="DX64" s="132">
        <f>IFERROR(KH_26_OPT4_KTQT_v4[[#This Row],[DT-EXW-07]]*KH_26_OPT4_KTQT_v4[[#This Row],[%CPDP]],0)</f>
        <v>0</v>
      </c>
      <c r="DY64" s="132">
        <f>IFERROR(KH_26_OPT4_KTQT_v4[[#This Row],[DT-EXW-08]]*KH_26_OPT4_KTQT_v4[[#This Row],[%CPDP]],0)</f>
        <v>0</v>
      </c>
      <c r="DZ64" s="132">
        <f>IFERROR(KH_26_OPT4_KTQT_v4[[#This Row],[DT-EXW-09]]*KH_26_OPT4_KTQT_v4[[#This Row],[%CPDP]],0)</f>
        <v>0</v>
      </c>
      <c r="EA64" s="132">
        <f>IFERROR(KH_26_OPT4_KTQT_v4[[#This Row],[DT-EXW-10]]*KH_26_OPT4_KTQT_v4[[#This Row],[%CPDP]],0)</f>
        <v>0</v>
      </c>
      <c r="EB64" s="132">
        <f>IFERROR(KH_26_OPT4_KTQT_v4[[#This Row],[DT-EXW-11]]*KH_26_OPT4_KTQT_v4[[#This Row],[%CPDP]],0)</f>
        <v>0</v>
      </c>
      <c r="EC64" s="132">
        <f>IFERROR(KH_26_OPT4_KTQT_v4[[#This Row],[DT-EXW-12]]*KH_26_OPT4_KTQT_v4[[#This Row],[%CPDP]],0)</f>
        <v>0</v>
      </c>
      <c r="ED64" s="131">
        <f ca="1">SUM(KH_26_OPT4_KTQT_v4[[#This Row],[CPDP-01]:[CPDP-12]])</f>
        <v>0</v>
      </c>
    </row>
    <row r="65" spans="1:134" ht="14.65" hidden="1" customHeight="1" x14ac:dyDescent="0.35">
      <c r="A65" s="18">
        <v>60</v>
      </c>
      <c r="B65" s="71" t="s">
        <v>115</v>
      </c>
      <c r="C65" s="18" t="str">
        <f>IFERROR(_xlfn.XLOOKUP(KH_26_OPT4_KTQT_v4[[#This Row],[Salesman]],MD_Salesman[Salesman],MD_Salesman[SalesManager]),"")</f>
        <v>Quốc Anh</v>
      </c>
      <c r="D65" s="72" t="str">
        <f>IFERROR(INDEX(MD_Customer[Mã khách],MATCH(KH_26_OPT4_KTQT_v4[[#This Row],[Tên khách]],MD_Customer[Tên khách-rút gọn],0)),"")</f>
        <v>200381</v>
      </c>
      <c r="E65" s="7" t="str">
        <f>IFERROR(INDEX(MD_Customer[Parent Account],MATCH(KH_26_OPT4_KTQT_v4[[#This Row],[Tên khách]],MD_Customer[Tên khách-rút gọn],0)),"")</f>
        <v>ITD Polyresin</v>
      </c>
      <c r="F65" s="35" t="s">
        <v>131</v>
      </c>
      <c r="G65" s="7" t="str">
        <f>IFERROR(INDEX(MD_Customer[Phân loại],MATCH(KH_26_OPT4_KTQT_v4[[#This Row],[Tên khách]],MD_Customer[Tên khách-rút gọn],0)),"")</f>
        <v>Hiện hữu</v>
      </c>
      <c r="H65" s="7" t="str">
        <f>IFERROR(INDEX(MD_Customer[Kênh bán hàng],MATCH(KH_26_OPT4_KTQT_v4[[#This Row],[Tên khách]],MD_Customer[Tên khách-rút gọn],0)),"")</f>
        <v>Xuất khẩu</v>
      </c>
      <c r="I65" s="35" t="s">
        <v>309</v>
      </c>
      <c r="J65" s="7" t="str">
        <f>IFERROR(INDEX(MD_Destination[Nước],MATCH(KH_26_OPT4_KTQT_v4[[#This Row],[Địa điểm đến]],MD_Destination[Địa điểm đến],0)),"")</f>
        <v>Hy lạp</v>
      </c>
      <c r="K65" s="7" t="str">
        <f>IFERROR(INDEX(MD_Destination[Khu vực],MATCH(KH_26_OPT4_KTQT_v4[[#This Row],[Địa điểm đến]],MD_Destination[Địa điểm đến],0)),"")</f>
        <v>Châu Âu</v>
      </c>
      <c r="L65" s="35" t="s">
        <v>278</v>
      </c>
      <c r="M65" s="7" t="str">
        <f>IFERROR(INDEX(MD_SKU[Mã SKU],MATCH(KH_26_OPT4_KTQT_v4[[#This Row],[Tên sản phẩm]],MD_SKU[Tên SKU-rút gọn],0)),"")</f>
        <v>110000359</v>
      </c>
      <c r="N65" s="35" t="s">
        <v>468</v>
      </c>
      <c r="O65" s="7" t="str">
        <f>IFERROR(INDEX(MD_SKU[Ngành hàng],MATCH(KH_26_OPT4_KTQT_v4[[#This Row],[Tên sản phẩm]],MD_SKU[Tên SKU-rút gọn],0)),"")</f>
        <v>rPET</v>
      </c>
      <c r="P65" s="7" t="str">
        <f>IFERROR(INDEX(MD_SKU[Nhóm ngành],MATCH(KH_26_OPT4_KTQT_v4[[#This Row],[Tên sản phẩm]],MD_SKU[Tên SKU-rút gọn],0)),"")</f>
        <v>Hạt PET</v>
      </c>
      <c r="Q65" s="7" t="str">
        <f>IFERROR(
   IF(INDEX(MD_SKU[IV/IM],MATCH(KH_26_OPT4_KTQT_v4[[#This Row],[Tên sản phẩm]],MD_SKU[Tên SKU-rút gọn],0))=0,
      "",
      INDEX(MD_SKU[IV/IM],MATCH(KH_26_OPT4_KTQT_v4[[#This Row],[Tên sản phẩm]],MD_SKU[Tên SKU-rút gọn],0))
   ),
"")</f>
        <v>0.70 ± 0.02</v>
      </c>
      <c r="R65" s="44">
        <f>IFERROR(INDEX(MD_SKU[Application],MATCH(KH_26_OPT4_KTQT_v4[[#This Row],[Tên sản phẩm]],MD_SKU[Tên SKU-rút gọn],0)),"")</f>
        <v>0</v>
      </c>
      <c r="S65" s="7" t="str">
        <f>IFERROR(INDEX(MD_SKU[Phân loại],MATCH(KH_26_OPT4_KTQT_v4[[#This Row],[Tên sản phẩm]],MD_SKU[Tên SKU-rút gọn],0)),"")</f>
        <v>Cũ</v>
      </c>
      <c r="T65" s="7" t="s">
        <v>131</v>
      </c>
      <c r="U65" s="157" t="s">
        <v>1508</v>
      </c>
      <c r="V65" s="70">
        <v>0.8</v>
      </c>
      <c r="W65" s="33"/>
      <c r="X65" s="33">
        <v>44</v>
      </c>
      <c r="Y65" s="33"/>
      <c r="Z65" s="33">
        <v>44</v>
      </c>
      <c r="AA65" s="33"/>
      <c r="AB65" s="33">
        <v>44</v>
      </c>
      <c r="AC65" s="33"/>
      <c r="AD65" s="33">
        <v>44</v>
      </c>
      <c r="AE65" s="33"/>
      <c r="AF65" s="33">
        <v>44</v>
      </c>
      <c r="AG65" s="33"/>
      <c r="AH65" s="33"/>
      <c r="AI65" s="47">
        <f ca="1">SUM(KH_26_OPT4_KTQT_v4[[#This Row],[SL-01]:[SL-12]])</f>
        <v>220</v>
      </c>
      <c r="AJ65" s="47">
        <f ca="1">SUMIFS(DB_25[SL-DB25],DB_25[Mã khách],KH_26_OPT4_KTQT_v4[[#This Row],[Mã khách]],DB_25[Mã sản phẩm],KH_26_OPT4_KTQT_v4[[#This Row],[Mã sản phẩm]])</f>
        <v>176</v>
      </c>
      <c r="AK65" s="20">
        <f ca="1">KH_26_OPT4_KTQT_v4[[#This Row],[SL-KH26]]-KH_26_OPT4_KTQT_v4[[#This Row],[SL-DB25]]</f>
        <v>44</v>
      </c>
      <c r="AL65" s="21">
        <f ca="1">IFERROR(KH_26_OPT4_KTQT_v4[[#This Row],[SL-+/-]]/KH_26_OPT4_KTQT_v4[[#This Row],[SL-DB25]],0)</f>
        <v>0.25</v>
      </c>
      <c r="AM65" s="51">
        <v>970</v>
      </c>
      <c r="AN65" s="51">
        <v>970</v>
      </c>
      <c r="AO65" s="51">
        <v>970</v>
      </c>
      <c r="AP65" s="51">
        <v>970</v>
      </c>
      <c r="AQ65" s="51">
        <v>970</v>
      </c>
      <c r="AR65" s="51">
        <v>970</v>
      </c>
      <c r="AS65" s="51">
        <v>970</v>
      </c>
      <c r="AT65" s="51">
        <v>970</v>
      </c>
      <c r="AU65" s="51">
        <v>970</v>
      </c>
      <c r="AV65" s="51">
        <v>970</v>
      </c>
      <c r="AW65" s="51">
        <v>970</v>
      </c>
      <c r="AX65" s="51">
        <v>970</v>
      </c>
      <c r="AY65" s="23">
        <v>970</v>
      </c>
      <c r="AZ65" s="7"/>
      <c r="BA65" s="24">
        <f>KH_26_OPT4_KTQT_v4[[#This Row],[GB-DB25]]-KH_26_OPT4_KTQT_v4[[#This Row],[GB-KH25]]</f>
        <v>970</v>
      </c>
      <c r="BB65" s="21">
        <f>IFERROR(KH_26_OPT4_KTQT_v4[[#This Row],[GB-+/-]]/KH_26_OPT4_KTQT_v4[[#This Row],[GB-KH25]],0)</f>
        <v>0</v>
      </c>
      <c r="BC65" s="21"/>
      <c r="BD65" s="47">
        <f>KH_26_OPT4_KTQT_v4[[#This Row],[SL-01]]*KH_26_OPT4_KTQT_v4[[#This Row],[GB-01]]*EXR</f>
        <v>0</v>
      </c>
      <c r="BE65" s="47">
        <f>KH_26_OPT4_KTQT_v4[[#This Row],[SL-02]]*KH_26_OPT4_KTQT_v4[[#This Row],[GB-02]]*EXR</f>
        <v>1131020000</v>
      </c>
      <c r="BF65" s="47">
        <f>KH_26_OPT4_KTQT_v4[[#This Row],[SL-03]]*KH_26_OPT4_KTQT_v4[[#This Row],[GB-03]]*EXR</f>
        <v>0</v>
      </c>
      <c r="BG65" s="47">
        <f>KH_26_OPT4_KTQT_v4[[#This Row],[SL-04]]*KH_26_OPT4_KTQT_v4[[#This Row],[GB-04]]*EXR</f>
        <v>1131020000</v>
      </c>
      <c r="BH65" s="47">
        <f>KH_26_OPT4_KTQT_v4[[#This Row],[SL-05]]*KH_26_OPT4_KTQT_v4[[#This Row],[GB-05]]*EXR</f>
        <v>0</v>
      </c>
      <c r="BI65" s="47">
        <f>KH_26_OPT4_KTQT_v4[[#This Row],[SL-06]]*KH_26_OPT4_KTQT_v4[[#This Row],[GB-06]]*EXR</f>
        <v>1131020000</v>
      </c>
      <c r="BJ65" s="47">
        <f>KH_26_OPT4_KTQT_v4[[#This Row],[SL-07]]*KH_26_OPT4_KTQT_v4[[#This Row],[GB-07]]*EXR</f>
        <v>0</v>
      </c>
      <c r="BK65" s="47">
        <f>KH_26_OPT4_KTQT_v4[[#This Row],[SL-08]]*KH_26_OPT4_KTQT_v4[[#This Row],[GB-08]]*EXR</f>
        <v>1131020000</v>
      </c>
      <c r="BL65" s="47">
        <f>KH_26_OPT4_KTQT_v4[[#This Row],[SL-09]]*KH_26_OPT4_KTQT_v4[[#This Row],[GB-09]]*EXR</f>
        <v>0</v>
      </c>
      <c r="BM65" s="47">
        <f>KH_26_OPT4_KTQT_v4[[#This Row],[SL-10]]*KH_26_OPT4_KTQT_v4[[#This Row],[GB-10]]*EXR</f>
        <v>1131020000</v>
      </c>
      <c r="BN65" s="47">
        <f>KH_26_OPT4_KTQT_v4[[#This Row],[SL-11]]*KH_26_OPT4_KTQT_v4[[#This Row],[GB-11]]*EXR</f>
        <v>0</v>
      </c>
      <c r="BO65" s="47">
        <f>KH_26_OPT4_KTQT_v4[[#This Row],[SL-12]]*KH_26_OPT4_KTQT_v4[[#This Row],[GB-12]]*EXR</f>
        <v>0</v>
      </c>
      <c r="BP65" s="47">
        <f ca="1">SUM(KH_26_OPT4_KTQT_v4[[#This Row],[DT-EXW-01]:[DT-EXW-12]])</f>
        <v>5655100000</v>
      </c>
      <c r="BQ65" s="47">
        <f ca="1">SUMIFS(DB_25[DT-DB25],DB_25[Mã khách],KH_26_OPT4_KTQT_v4[[#This Row],[Mã khách]],DB_25[Mã sản phẩm],KH_26_OPT4_KTQT_v4[[#This Row],[Mã sản phẩm]])</f>
        <v>5056628619.1207333</v>
      </c>
      <c r="BR65" s="47">
        <f ca="1">KH_26_OPT4_KTQT_v4[[#This Row],[DT-EXW-KH26]]-KH_26_OPT4_KTQT_v4[[#This Row],[DT-EXW-DB25]]</f>
        <v>598471380.87926674</v>
      </c>
      <c r="BS65" s="21">
        <f ca="1">IFERROR(KH_26_OPT4_KTQT_v4[[#This Row],[DT-EXW-+/-]]/KH_26_OPT4_KTQT_v4[[#This Row],[DT-EXW-DB25]],0)</f>
        <v>0.11835383334584919</v>
      </c>
      <c r="BT65" s="139"/>
      <c r="BU65" s="57"/>
      <c r="BV65" s="51"/>
      <c r="BW65" s="47">
        <f>IF(KH_26_OPT4_KTQT_v4[[#This Row],[CPHH-%-SL]]="Dthu",KH_26_OPT4_KTQT_v4[[#This Row],[%HH]]*KH_26_OPT4_KTQT_v4[[#This Row],[DT-EXW-01]],KH_26_OPT4_KTQT_v4[[#This Row],[HH-SL]]*KH_26_OPT4_KTQT_v4[[#This Row],[SL-01]])</f>
        <v>0</v>
      </c>
      <c r="BX65" s="47">
        <f>IF(KH_26_OPT4_KTQT_v4[[#This Row],[CPHH-%-SL]]="Dthu",KH_26_OPT4_KTQT_v4[[#This Row],[%HH]]*KH_26_OPT4_KTQT_v4[[#This Row],[DT-EXW-02]],KH_26_OPT4_KTQT_v4[[#This Row],[HH-SL]]*KH_26_OPT4_KTQT_v4[[#This Row],[SL-02]])</f>
        <v>0</v>
      </c>
      <c r="BY65" s="47">
        <f>IF(KH_26_OPT4_KTQT_v4[[#This Row],[CPHH-%-SL]]="Dthu",KH_26_OPT4_KTQT_v4[[#This Row],[%HH]]*KH_26_OPT4_KTQT_v4[[#This Row],[DT-EXW-03]],KH_26_OPT4_KTQT_v4[[#This Row],[HH-SL]]*KH_26_OPT4_KTQT_v4[[#This Row],[SL-03]])</f>
        <v>0</v>
      </c>
      <c r="BZ65" s="47">
        <f>IF(KH_26_OPT4_KTQT_v4[[#This Row],[CPHH-%-SL]]="Dthu",KH_26_OPT4_KTQT_v4[[#This Row],[%HH]]*KH_26_OPT4_KTQT_v4[[#This Row],[DT-EXW-04]],KH_26_OPT4_KTQT_v4[[#This Row],[HH-SL]]*KH_26_OPT4_KTQT_v4[[#This Row],[SL-04]])</f>
        <v>0</v>
      </c>
      <c r="CA65" s="47">
        <f>IF(KH_26_OPT4_KTQT_v4[[#This Row],[CPHH-%-SL]]="Dthu",KH_26_OPT4_KTQT_v4[[#This Row],[%HH]]*KH_26_OPT4_KTQT_v4[[#This Row],[DT-EXW-05]],KH_26_OPT4_KTQT_v4[[#This Row],[HH-SL]]*KH_26_OPT4_KTQT_v4[[#This Row],[SL-05]])</f>
        <v>0</v>
      </c>
      <c r="CB65" s="47">
        <f>IF(KH_26_OPT4_KTQT_v4[[#This Row],[CPHH-%-SL]]="Dthu",KH_26_OPT4_KTQT_v4[[#This Row],[%HH]]*KH_26_OPT4_KTQT_v4[[#This Row],[DT-EXW-06]],KH_26_OPT4_KTQT_v4[[#This Row],[HH-SL]]*KH_26_OPT4_KTQT_v4[[#This Row],[SL-06]])</f>
        <v>0</v>
      </c>
      <c r="CC65" s="47">
        <f>IF(KH_26_OPT4_KTQT_v4[[#This Row],[CPHH-%-SL]]="Dthu",KH_26_OPT4_KTQT_v4[[#This Row],[%HH]]*KH_26_OPT4_KTQT_v4[[#This Row],[DT-EXW-07]],KH_26_OPT4_KTQT_v4[[#This Row],[HH-SL]]*KH_26_OPT4_KTQT_v4[[#This Row],[SL-07]])</f>
        <v>0</v>
      </c>
      <c r="CD65" s="47">
        <f>IF(KH_26_OPT4_KTQT_v4[[#This Row],[CPHH-%-SL]]="Dthu",KH_26_OPT4_KTQT_v4[[#This Row],[%HH]]*KH_26_OPT4_KTQT_v4[[#This Row],[DT-EXW-08]],KH_26_OPT4_KTQT_v4[[#This Row],[HH-SL]]*KH_26_OPT4_KTQT_v4[[#This Row],[SL-08]])</f>
        <v>0</v>
      </c>
      <c r="CE65" s="47">
        <f>IF(KH_26_OPT4_KTQT_v4[[#This Row],[CPHH-%-SL]]="Dthu",KH_26_OPT4_KTQT_v4[[#This Row],[%HH]]*KH_26_OPT4_KTQT_v4[[#This Row],[DT-EXW-09]],KH_26_OPT4_KTQT_v4[[#This Row],[HH-SL]]*KH_26_OPT4_KTQT_v4[[#This Row],[SL-09]])</f>
        <v>0</v>
      </c>
      <c r="CF65" s="47">
        <f>IF(KH_26_OPT4_KTQT_v4[[#This Row],[CPHH-%-SL]]="Dthu",KH_26_OPT4_KTQT_v4[[#This Row],[%HH]]*KH_26_OPT4_KTQT_v4[[#This Row],[DT-EXW-10]],KH_26_OPT4_KTQT_v4[[#This Row],[HH-SL]]*KH_26_OPT4_KTQT_v4[[#This Row],[SL-10]])</f>
        <v>0</v>
      </c>
      <c r="CG65" s="47">
        <f>IF(KH_26_OPT4_KTQT_v4[[#This Row],[CPHH-%-SL]]="Dthu",KH_26_OPT4_KTQT_v4[[#This Row],[%HH]]*KH_26_OPT4_KTQT_v4[[#This Row],[DT-EXW-11]],KH_26_OPT4_KTQT_v4[[#This Row],[HH-SL]]*KH_26_OPT4_KTQT_v4[[#This Row],[SL-11]])</f>
        <v>0</v>
      </c>
      <c r="CH65" s="47">
        <f>IF(KH_26_OPT4_KTQT_v4[[#This Row],[CPHH-%-SL]]="Dthu",KH_26_OPT4_KTQT_v4[[#This Row],[%HH]]*KH_26_OPT4_KTQT_v4[[#This Row],[DT-EXW-12]],KH_26_OPT4_KTQT_v4[[#This Row],[HH-SL]]*KH_26_OPT4_KTQT_v4[[#This Row],[SL-12]])</f>
        <v>0</v>
      </c>
      <c r="CI65" s="47">
        <f ca="1">SUM(KH_26_OPT4_KTQT_v4[[#This Row],[CPHH-01]:[CPHH-12]])</f>
        <v>0</v>
      </c>
      <c r="CJ65" s="47" cm="1">
        <f t="array" ref="CJ65">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65" s="19">
        <f ca="1">SUM(KH_26_OPT4_KTQT_v4[[#This Row],[ĐGVCNĐ-KXK]:[ĐGVCCT-KXK]])</f>
        <v>530000</v>
      </c>
      <c r="CL65" s="47" cm="1">
        <f t="array" ref="CL65">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530000</v>
      </c>
      <c r="CM65" s="47" cm="1">
        <f t="array" ref="CM65">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65" s="47">
        <f ca="1">(KH_26_OPT4_KTQT_v4[[#This Row],[ĐGVC-KNĐ]]+KH_26_OPT4_KTQT_v4[[#This Row],[ĐGVC-KXK]])*KH_26_OPT4_KTQT_v4[[#This Row],[SL-01]]</f>
        <v>0</v>
      </c>
      <c r="CO65" s="47">
        <f ca="1">(KH_26_OPT4_KTQT_v4[[#This Row],[ĐGVC-KNĐ]]+KH_26_OPT4_KTQT_v4[[#This Row],[ĐGVC-KXK]])*KH_26_OPT4_KTQT_v4[[#This Row],[SL-02]]</f>
        <v>23320000</v>
      </c>
      <c r="CP65" s="47">
        <f ca="1">(KH_26_OPT4_KTQT_v4[[#This Row],[ĐGVC-KNĐ]]+KH_26_OPT4_KTQT_v4[[#This Row],[ĐGVC-KXK]])*KH_26_OPT4_KTQT_v4[[#This Row],[SL-03]]</f>
        <v>0</v>
      </c>
      <c r="CQ65" s="47">
        <f ca="1">(KH_26_OPT4_KTQT_v4[[#This Row],[ĐGVC-KNĐ]]+KH_26_OPT4_KTQT_v4[[#This Row],[ĐGVC-KXK]])*KH_26_OPT4_KTQT_v4[[#This Row],[SL-04]]</f>
        <v>23320000</v>
      </c>
      <c r="CR65" s="47">
        <f ca="1">(KH_26_OPT4_KTQT_v4[[#This Row],[ĐGVC-KNĐ]]+KH_26_OPT4_KTQT_v4[[#This Row],[ĐGVC-KXK]])*KH_26_OPT4_KTQT_v4[[#This Row],[SL-05]]</f>
        <v>0</v>
      </c>
      <c r="CS65" s="47">
        <f ca="1">(KH_26_OPT4_KTQT_v4[[#This Row],[ĐGVC-KNĐ]]+KH_26_OPT4_KTQT_v4[[#This Row],[ĐGVC-KXK]])*KH_26_OPT4_KTQT_v4[[#This Row],[SL-06]]</f>
        <v>23320000</v>
      </c>
      <c r="CT65" s="47">
        <f ca="1">(KH_26_OPT4_KTQT_v4[[#This Row],[ĐGVC-KNĐ]]+KH_26_OPT4_KTQT_v4[[#This Row],[ĐGVC-KXK]])*KH_26_OPT4_KTQT_v4[[#This Row],[SL-07]]</f>
        <v>0</v>
      </c>
      <c r="CU65" s="47">
        <f ca="1">(KH_26_OPT4_KTQT_v4[[#This Row],[ĐGVC-KNĐ]]+KH_26_OPT4_KTQT_v4[[#This Row],[ĐGVC-KXK]])*KH_26_OPT4_KTQT_v4[[#This Row],[SL-08]]</f>
        <v>23320000</v>
      </c>
      <c r="CV65" s="47">
        <f ca="1">(KH_26_OPT4_KTQT_v4[[#This Row],[ĐGVC-KNĐ]]+KH_26_OPT4_KTQT_v4[[#This Row],[ĐGVC-KXK]])*KH_26_OPT4_KTQT_v4[[#This Row],[SL-09]]</f>
        <v>0</v>
      </c>
      <c r="CW65" s="47">
        <f ca="1">(KH_26_OPT4_KTQT_v4[[#This Row],[ĐGVC-KNĐ]]+KH_26_OPT4_KTQT_v4[[#This Row],[ĐGVC-KXK]])*KH_26_OPT4_KTQT_v4[[#This Row],[SL-10]]</f>
        <v>23320000</v>
      </c>
      <c r="CX65" s="47">
        <f ca="1">(KH_26_OPT4_KTQT_v4[[#This Row],[ĐGVC-KNĐ]]+KH_26_OPT4_KTQT_v4[[#This Row],[ĐGVC-KXK]])*KH_26_OPT4_KTQT_v4[[#This Row],[SL-11]]</f>
        <v>0</v>
      </c>
      <c r="CY65" s="47">
        <f ca="1">(KH_26_OPT4_KTQT_v4[[#This Row],[ĐGVC-KNĐ]]+KH_26_OPT4_KTQT_v4[[#This Row],[ĐGVC-KXK]])*KH_26_OPT4_KTQT_v4[[#This Row],[SL-12]]</f>
        <v>0</v>
      </c>
      <c r="CZ65" s="47">
        <f ca="1">SUM(KH_26_OPT4_KTQT_v4[[#This Row],[CPVC-01]:[CPVC-12]])</f>
        <v>116600000</v>
      </c>
      <c r="DA65" s="124">
        <f ca="1">KH_26_OPT4_KTQT_v4[[#This Row],[DT-EXW-01]]+KH_26_OPT4_KTQT_v4[[#This Row],[CPVC-01]]+KH_26_OPT4_KTQT_v4[[#This Row],[CPHH-01]]</f>
        <v>0</v>
      </c>
      <c r="DB65" s="47">
        <f ca="1">KH_26_OPT4_KTQT_v4[[#This Row],[DT-EXW-02]]+KH_26_OPT4_KTQT_v4[[#This Row],[CPVC-02]]+KH_26_OPT4_KTQT_v4[[#This Row],[CPHH-02]]</f>
        <v>1154340000</v>
      </c>
      <c r="DC65" s="47">
        <f ca="1">KH_26_OPT4_KTQT_v4[[#This Row],[DT-EXW-03]]+KH_26_OPT4_KTQT_v4[[#This Row],[CPVC-03]]+KH_26_OPT4_KTQT_v4[[#This Row],[CPHH-03]]</f>
        <v>0</v>
      </c>
      <c r="DD65" s="47">
        <f ca="1">KH_26_OPT4_KTQT_v4[[#This Row],[DT-EXW-04]]+KH_26_OPT4_KTQT_v4[[#This Row],[CPVC-04]]+KH_26_OPT4_KTQT_v4[[#This Row],[CPHH-04]]</f>
        <v>1154340000</v>
      </c>
      <c r="DE65" s="47">
        <f ca="1">KH_26_OPT4_KTQT_v4[[#This Row],[DT-EXW-05]]+KH_26_OPT4_KTQT_v4[[#This Row],[CPVC-05]]+KH_26_OPT4_KTQT_v4[[#This Row],[CPHH-05]]</f>
        <v>0</v>
      </c>
      <c r="DF65" s="47">
        <f ca="1">KH_26_OPT4_KTQT_v4[[#This Row],[DT-EXW-06]]+KH_26_OPT4_KTQT_v4[[#This Row],[CPVC-06]]+KH_26_OPT4_KTQT_v4[[#This Row],[CPHH-06]]</f>
        <v>1154340000</v>
      </c>
      <c r="DG65" s="47">
        <f ca="1">KH_26_OPT4_KTQT_v4[[#This Row],[DT-EXW-07]]+KH_26_OPT4_KTQT_v4[[#This Row],[CPVC-07]]+KH_26_OPT4_KTQT_v4[[#This Row],[CPHH-07]]</f>
        <v>0</v>
      </c>
      <c r="DH65" s="47">
        <f ca="1">KH_26_OPT4_KTQT_v4[[#This Row],[DT-EXW-08]]+KH_26_OPT4_KTQT_v4[[#This Row],[CPVC-08]]+KH_26_OPT4_KTQT_v4[[#This Row],[CPHH-08]]</f>
        <v>1154340000</v>
      </c>
      <c r="DI65" s="47">
        <f ca="1">KH_26_OPT4_KTQT_v4[[#This Row],[DT-EXW-09]]+KH_26_OPT4_KTQT_v4[[#This Row],[CPVC-09]]+KH_26_OPT4_KTQT_v4[[#This Row],[CPHH-09]]</f>
        <v>0</v>
      </c>
      <c r="DJ65" s="47">
        <f ca="1">KH_26_OPT4_KTQT_v4[[#This Row],[DT-EXW-10]]+KH_26_OPT4_KTQT_v4[[#This Row],[CPVC-10]]+KH_26_OPT4_KTQT_v4[[#This Row],[CPHH-10]]</f>
        <v>1154340000</v>
      </c>
      <c r="DK65" s="47">
        <f ca="1">KH_26_OPT4_KTQT_v4[[#This Row],[DT-EXW-11]]+KH_26_OPT4_KTQT_v4[[#This Row],[CPVC-11]]+KH_26_OPT4_KTQT_v4[[#This Row],[CPHH-11]]</f>
        <v>0</v>
      </c>
      <c r="DL65" s="47">
        <f ca="1">KH_26_OPT4_KTQT_v4[[#This Row],[DT-EXW-12]]+KH_26_OPT4_KTQT_v4[[#This Row],[CPVC-12]]+KH_26_OPT4_KTQT_v4[[#This Row],[CPHH-12]]</f>
        <v>0</v>
      </c>
      <c r="DM65" s="47">
        <f ca="1">SUM(KH_26_OPT4_KTQT_v4[[#This Row],[DT-01]:[DT-12]])</f>
        <v>5771700000</v>
      </c>
      <c r="DN65" s="7"/>
      <c r="DO65" s="7"/>
      <c r="DP65" s="125"/>
      <c r="DQ65" s="136"/>
      <c r="DR65" s="132">
        <f>IFERROR(KH_26_OPT4_KTQT_v4[[#This Row],[DT-EXW-01]]*KH_26_OPT4_KTQT_v4[[#This Row],[%CPDP]],0)</f>
        <v>0</v>
      </c>
      <c r="DS65" s="132">
        <f>IFERROR(KH_26_OPT4_KTQT_v4[[#This Row],[DT-EXW-02]]*KH_26_OPT4_KTQT_v4[[#This Row],[%CPDP]],0)</f>
        <v>0</v>
      </c>
      <c r="DT65" s="132">
        <f>IFERROR(KH_26_OPT4_KTQT_v4[[#This Row],[DT-EXW-03]]*KH_26_OPT4_KTQT_v4[[#This Row],[%CPDP]],0)</f>
        <v>0</v>
      </c>
      <c r="DU65" s="132">
        <f>IFERROR(KH_26_OPT4_KTQT_v4[[#This Row],[DT-EXW-04]]*KH_26_OPT4_KTQT_v4[[#This Row],[%CPDP]],0)</f>
        <v>0</v>
      </c>
      <c r="DV65" s="132">
        <f>IFERROR(KH_26_OPT4_KTQT_v4[[#This Row],[DT-EXW-05]]*KH_26_OPT4_KTQT_v4[[#This Row],[%CPDP]],0)</f>
        <v>0</v>
      </c>
      <c r="DW65" s="132">
        <f>IFERROR(KH_26_OPT4_KTQT_v4[[#This Row],[DT-EXW-06]]*KH_26_OPT4_KTQT_v4[[#This Row],[%CPDP]],0)</f>
        <v>0</v>
      </c>
      <c r="DX65" s="132">
        <f>IFERROR(KH_26_OPT4_KTQT_v4[[#This Row],[DT-EXW-07]]*KH_26_OPT4_KTQT_v4[[#This Row],[%CPDP]],0)</f>
        <v>0</v>
      </c>
      <c r="DY65" s="132">
        <f>IFERROR(KH_26_OPT4_KTQT_v4[[#This Row],[DT-EXW-08]]*KH_26_OPT4_KTQT_v4[[#This Row],[%CPDP]],0)</f>
        <v>0</v>
      </c>
      <c r="DZ65" s="132">
        <f>IFERROR(KH_26_OPT4_KTQT_v4[[#This Row],[DT-EXW-09]]*KH_26_OPT4_KTQT_v4[[#This Row],[%CPDP]],0)</f>
        <v>0</v>
      </c>
      <c r="EA65" s="132">
        <f>IFERROR(KH_26_OPT4_KTQT_v4[[#This Row],[DT-EXW-10]]*KH_26_OPT4_KTQT_v4[[#This Row],[%CPDP]],0)</f>
        <v>0</v>
      </c>
      <c r="EB65" s="132">
        <f>IFERROR(KH_26_OPT4_KTQT_v4[[#This Row],[DT-EXW-11]]*KH_26_OPT4_KTQT_v4[[#This Row],[%CPDP]],0)</f>
        <v>0</v>
      </c>
      <c r="EC65" s="132">
        <f>IFERROR(KH_26_OPT4_KTQT_v4[[#This Row],[DT-EXW-12]]*KH_26_OPT4_KTQT_v4[[#This Row],[%CPDP]],0)</f>
        <v>0</v>
      </c>
      <c r="ED65" s="131">
        <f ca="1">SUM(KH_26_OPT4_KTQT_v4[[#This Row],[CPDP-01]:[CPDP-12]])</f>
        <v>0</v>
      </c>
    </row>
    <row r="66" spans="1:134" ht="14.65" hidden="1" customHeight="1" x14ac:dyDescent="0.35">
      <c r="A66" s="18">
        <v>61</v>
      </c>
      <c r="B66" s="71" t="s">
        <v>104</v>
      </c>
      <c r="C66" s="18" t="str">
        <f>IFERROR(_xlfn.XLOOKUP(KH_26_OPT4_KTQT_v4[[#This Row],[Salesman]],MD_Salesman[Salesman],MD_Salesman[SalesManager]),"")</f>
        <v>Quốc Anh</v>
      </c>
      <c r="D66" s="72" t="str">
        <f>IFERROR(INDEX(MD_Customer[Mã khách],MATCH(KH_26_OPT4_KTQT_v4[[#This Row],[Tên khách]],MD_Customer[Tên khách-rút gọn],0)),"")</f>
        <v>200367</v>
      </c>
      <c r="E66" s="7" t="str">
        <f>IFERROR(INDEX(MD_Customer[Parent Account],MATCH(KH_26_OPT4_KTQT_v4[[#This Row],[Tên khách]],MD_Customer[Tên khách-rút gọn],0)),"")</f>
        <v>MAS CO.LTD</v>
      </c>
      <c r="F66" s="35" t="s">
        <v>132</v>
      </c>
      <c r="G66" s="7" t="str">
        <f>IFERROR(INDEX(MD_Customer[Phân loại],MATCH(KH_26_OPT4_KTQT_v4[[#This Row],[Tên khách]],MD_Customer[Tên khách-rút gọn],0)),"")</f>
        <v>Hiện hữu</v>
      </c>
      <c r="H66" s="7" t="str">
        <f>IFERROR(INDEX(MD_Customer[Kênh bán hàng],MATCH(KH_26_OPT4_KTQT_v4[[#This Row],[Tên khách]],MD_Customer[Tên khách-rút gọn],0)),"")</f>
        <v>Xuất khẩu</v>
      </c>
      <c r="I66" s="35" t="s">
        <v>311</v>
      </c>
      <c r="J66" s="7" t="str">
        <f>IFERROR(INDEX(MD_Destination[Nước],MATCH(KH_26_OPT4_KTQT_v4[[#This Row],[Địa điểm đến]],MD_Destination[Địa điểm đến],0)),"")</f>
        <v>Bồ Đào Nha</v>
      </c>
      <c r="K66" s="7" t="str">
        <f>IFERROR(INDEX(MD_Destination[Khu vực],MATCH(KH_26_OPT4_KTQT_v4[[#This Row],[Địa điểm đến]],MD_Destination[Địa điểm đến],0)),"")</f>
        <v>Châu Âu</v>
      </c>
      <c r="L66" s="35" t="s">
        <v>278</v>
      </c>
      <c r="M66" s="7" t="str">
        <f>IFERROR(INDEX(MD_SKU[Mã SKU],MATCH(KH_26_OPT4_KTQT_v4[[#This Row],[Tên sản phẩm]],MD_SKU[Tên SKU-rút gọn],0)),"")</f>
        <v>110000355</v>
      </c>
      <c r="N66" s="35" t="s">
        <v>469</v>
      </c>
      <c r="O66" s="7" t="str">
        <f>IFERROR(INDEX(MD_SKU[Ngành hàng],MATCH(KH_26_OPT4_KTQT_v4[[#This Row],[Tên sản phẩm]],MD_SKU[Tên SKU-rút gọn],0)),"")</f>
        <v>rPET</v>
      </c>
      <c r="P66" s="7" t="str">
        <f>IFERROR(INDEX(MD_SKU[Nhóm ngành],MATCH(KH_26_OPT4_KTQT_v4[[#This Row],[Tên sản phẩm]],MD_SKU[Tên SKU-rút gọn],0)),"")</f>
        <v>Hạt PET</v>
      </c>
      <c r="Q66" s="7" t="str">
        <f>IFERROR(
   IF(INDEX(MD_SKU[IV/IM],MATCH(KH_26_OPT4_KTQT_v4[[#This Row],[Tên sản phẩm]],MD_SKU[Tên SKU-rút gọn],0))=0,
      "",
      INDEX(MD_SKU[IV/IM],MATCH(KH_26_OPT4_KTQT_v4[[#This Row],[Tên sản phẩm]],MD_SKU[Tên SKU-rút gọn],0))
   ),
"")</f>
        <v>0.80 ± 0.02</v>
      </c>
      <c r="R66" s="44">
        <f>IFERROR(INDEX(MD_SKU[Application],MATCH(KH_26_OPT4_KTQT_v4[[#This Row],[Tên sản phẩm]],MD_SKU[Tên SKU-rút gọn],0)),"")</f>
        <v>0</v>
      </c>
      <c r="S66" s="7" t="str">
        <f>IFERROR(INDEX(MD_SKU[Phân loại],MATCH(KH_26_OPT4_KTQT_v4[[#This Row],[Tên sản phẩm]],MD_SKU[Tên SKU-rút gọn],0)),"")</f>
        <v>Cũ</v>
      </c>
      <c r="T66" s="7" t="s">
        <v>132</v>
      </c>
      <c r="U66" s="7" t="s">
        <v>1508</v>
      </c>
      <c r="V66" s="70">
        <v>0.8</v>
      </c>
      <c r="W66" s="33">
        <v>44</v>
      </c>
      <c r="X66" s="33"/>
      <c r="Y66" s="33"/>
      <c r="Z66" s="33">
        <v>44</v>
      </c>
      <c r="AA66" s="33"/>
      <c r="AB66" s="33"/>
      <c r="AC66" s="33">
        <v>44</v>
      </c>
      <c r="AD66" s="33"/>
      <c r="AE66" s="33"/>
      <c r="AF66" s="33">
        <v>44</v>
      </c>
      <c r="AG66" s="33"/>
      <c r="AH66" s="33"/>
      <c r="AI66" s="47">
        <f ca="1">SUM(KH_26_OPT4_KTQT_v4[[#This Row],[SL-01]:[SL-12]])</f>
        <v>176</v>
      </c>
      <c r="AJ66" s="47">
        <f ca="1">SUMIFS(DB_25[SL-DB25],DB_25[Mã khách],KH_26_OPT4_KTQT_v4[[#This Row],[Mã khách]],DB_25[Mã sản phẩm],KH_26_OPT4_KTQT_v4[[#This Row],[Mã sản phẩm]])</f>
        <v>264</v>
      </c>
      <c r="AK66" s="20">
        <f ca="1">KH_26_OPT4_KTQT_v4[[#This Row],[SL-KH26]]-KH_26_OPT4_KTQT_v4[[#This Row],[SL-DB25]]</f>
        <v>-88</v>
      </c>
      <c r="AL66" s="21">
        <f ca="1">IFERROR(KH_26_OPT4_KTQT_v4[[#This Row],[SL-+/-]]/KH_26_OPT4_KTQT_v4[[#This Row],[SL-DB25]],0)</f>
        <v>-0.33333333333333331</v>
      </c>
      <c r="AM66" s="51">
        <v>1200</v>
      </c>
      <c r="AN66" s="51">
        <v>1200</v>
      </c>
      <c r="AO66" s="51">
        <v>1200</v>
      </c>
      <c r="AP66" s="51">
        <v>1200</v>
      </c>
      <c r="AQ66" s="51">
        <v>1200</v>
      </c>
      <c r="AR66" s="51">
        <v>1200</v>
      </c>
      <c r="AS66" s="51">
        <v>1200</v>
      </c>
      <c r="AT66" s="51">
        <v>1200</v>
      </c>
      <c r="AU66" s="51">
        <v>1200</v>
      </c>
      <c r="AV66" s="51">
        <v>1200</v>
      </c>
      <c r="AW66" s="51">
        <v>1200</v>
      </c>
      <c r="AX66" s="51">
        <v>1200</v>
      </c>
      <c r="AY66" s="23">
        <v>1200</v>
      </c>
      <c r="AZ66" s="7"/>
      <c r="BA66" s="24">
        <f>KH_26_OPT4_KTQT_v4[[#This Row],[GB-DB25]]-KH_26_OPT4_KTQT_v4[[#This Row],[GB-KH25]]</f>
        <v>1200</v>
      </c>
      <c r="BB66" s="21">
        <f>IFERROR(KH_26_OPT4_KTQT_v4[[#This Row],[GB-+/-]]/KH_26_OPT4_KTQT_v4[[#This Row],[GB-KH25]],0)</f>
        <v>0</v>
      </c>
      <c r="BC66" s="21" t="s">
        <v>534</v>
      </c>
      <c r="BD66" s="47">
        <f>KH_26_OPT4_KTQT_v4[[#This Row],[SL-01]]*KH_26_OPT4_KTQT_v4[[#This Row],[GB-01]]*EXR</f>
        <v>1399200000</v>
      </c>
      <c r="BE66" s="47">
        <f>KH_26_OPT4_KTQT_v4[[#This Row],[SL-02]]*KH_26_OPT4_KTQT_v4[[#This Row],[GB-02]]*EXR</f>
        <v>0</v>
      </c>
      <c r="BF66" s="47">
        <f>KH_26_OPT4_KTQT_v4[[#This Row],[SL-03]]*KH_26_OPT4_KTQT_v4[[#This Row],[GB-03]]*EXR</f>
        <v>0</v>
      </c>
      <c r="BG66" s="47">
        <f>KH_26_OPT4_KTQT_v4[[#This Row],[SL-04]]*KH_26_OPT4_KTQT_v4[[#This Row],[GB-04]]*EXR</f>
        <v>1399200000</v>
      </c>
      <c r="BH66" s="47">
        <f>KH_26_OPT4_KTQT_v4[[#This Row],[SL-05]]*KH_26_OPT4_KTQT_v4[[#This Row],[GB-05]]*EXR</f>
        <v>0</v>
      </c>
      <c r="BI66" s="47">
        <f>KH_26_OPT4_KTQT_v4[[#This Row],[SL-06]]*KH_26_OPT4_KTQT_v4[[#This Row],[GB-06]]*EXR</f>
        <v>0</v>
      </c>
      <c r="BJ66" s="47">
        <f>KH_26_OPT4_KTQT_v4[[#This Row],[SL-07]]*KH_26_OPT4_KTQT_v4[[#This Row],[GB-07]]*EXR</f>
        <v>1399200000</v>
      </c>
      <c r="BK66" s="47">
        <f>KH_26_OPT4_KTQT_v4[[#This Row],[SL-08]]*KH_26_OPT4_KTQT_v4[[#This Row],[GB-08]]*EXR</f>
        <v>0</v>
      </c>
      <c r="BL66" s="47">
        <f>KH_26_OPT4_KTQT_v4[[#This Row],[SL-09]]*KH_26_OPT4_KTQT_v4[[#This Row],[GB-09]]*EXR</f>
        <v>0</v>
      </c>
      <c r="BM66" s="47">
        <f>KH_26_OPT4_KTQT_v4[[#This Row],[SL-10]]*KH_26_OPT4_KTQT_v4[[#This Row],[GB-10]]*EXR</f>
        <v>1399200000</v>
      </c>
      <c r="BN66" s="47">
        <f>KH_26_OPT4_KTQT_v4[[#This Row],[SL-11]]*KH_26_OPT4_KTQT_v4[[#This Row],[GB-11]]*EXR</f>
        <v>0</v>
      </c>
      <c r="BO66" s="47">
        <f>KH_26_OPT4_KTQT_v4[[#This Row],[SL-12]]*KH_26_OPT4_KTQT_v4[[#This Row],[GB-12]]*EXR</f>
        <v>0</v>
      </c>
      <c r="BP66" s="47">
        <f ca="1">SUM(KH_26_OPT4_KTQT_v4[[#This Row],[DT-EXW-01]:[DT-EXW-12]])</f>
        <v>5596800000</v>
      </c>
      <c r="BQ66" s="47">
        <f ca="1">SUMIFS(DB_25[DT-DB25],DB_25[Mã khách],KH_26_OPT4_KTQT_v4[[#This Row],[Mã khách]],DB_25[Mã sản phẩm],KH_26_OPT4_KTQT_v4[[#This Row],[Mã sản phẩm]])</f>
        <v>8550359388.9032822</v>
      </c>
      <c r="BR66" s="47">
        <f ca="1">KH_26_OPT4_KTQT_v4[[#This Row],[DT-EXW-KH26]]-KH_26_OPT4_KTQT_v4[[#This Row],[DT-EXW-DB25]]</f>
        <v>-2953559388.9032822</v>
      </c>
      <c r="BS66" s="21">
        <f ca="1">IFERROR(KH_26_OPT4_KTQT_v4[[#This Row],[DT-EXW-+/-]]/KH_26_OPT4_KTQT_v4[[#This Row],[DT-EXW-DB25]],0)</f>
        <v>-0.3454310227867653</v>
      </c>
      <c r="BT66" s="139"/>
      <c r="BU66" s="57"/>
      <c r="BV66" s="51"/>
      <c r="BW66" s="47">
        <f>IF(KH_26_OPT4_KTQT_v4[[#This Row],[CPHH-%-SL]]="Dthu",KH_26_OPT4_KTQT_v4[[#This Row],[%HH]]*KH_26_OPT4_KTQT_v4[[#This Row],[DT-EXW-01]],KH_26_OPT4_KTQT_v4[[#This Row],[HH-SL]]*KH_26_OPT4_KTQT_v4[[#This Row],[SL-01]])</f>
        <v>0</v>
      </c>
      <c r="BX66" s="47">
        <f>IF(KH_26_OPT4_KTQT_v4[[#This Row],[CPHH-%-SL]]="Dthu",KH_26_OPT4_KTQT_v4[[#This Row],[%HH]]*KH_26_OPT4_KTQT_v4[[#This Row],[DT-EXW-02]],KH_26_OPT4_KTQT_v4[[#This Row],[HH-SL]]*KH_26_OPT4_KTQT_v4[[#This Row],[SL-02]])</f>
        <v>0</v>
      </c>
      <c r="BY66" s="47">
        <f>IF(KH_26_OPT4_KTQT_v4[[#This Row],[CPHH-%-SL]]="Dthu",KH_26_OPT4_KTQT_v4[[#This Row],[%HH]]*KH_26_OPT4_KTQT_v4[[#This Row],[DT-EXW-03]],KH_26_OPT4_KTQT_v4[[#This Row],[HH-SL]]*KH_26_OPT4_KTQT_v4[[#This Row],[SL-03]])</f>
        <v>0</v>
      </c>
      <c r="BZ66" s="47">
        <f>IF(KH_26_OPT4_KTQT_v4[[#This Row],[CPHH-%-SL]]="Dthu",KH_26_OPT4_KTQT_v4[[#This Row],[%HH]]*KH_26_OPT4_KTQT_v4[[#This Row],[DT-EXW-04]],KH_26_OPT4_KTQT_v4[[#This Row],[HH-SL]]*KH_26_OPT4_KTQT_v4[[#This Row],[SL-04]])</f>
        <v>0</v>
      </c>
      <c r="CA66" s="47">
        <f>IF(KH_26_OPT4_KTQT_v4[[#This Row],[CPHH-%-SL]]="Dthu",KH_26_OPT4_KTQT_v4[[#This Row],[%HH]]*KH_26_OPT4_KTQT_v4[[#This Row],[DT-EXW-05]],KH_26_OPT4_KTQT_v4[[#This Row],[HH-SL]]*KH_26_OPT4_KTQT_v4[[#This Row],[SL-05]])</f>
        <v>0</v>
      </c>
      <c r="CB66" s="47">
        <f>IF(KH_26_OPT4_KTQT_v4[[#This Row],[CPHH-%-SL]]="Dthu",KH_26_OPT4_KTQT_v4[[#This Row],[%HH]]*KH_26_OPT4_KTQT_v4[[#This Row],[DT-EXW-06]],KH_26_OPT4_KTQT_v4[[#This Row],[HH-SL]]*KH_26_OPT4_KTQT_v4[[#This Row],[SL-06]])</f>
        <v>0</v>
      </c>
      <c r="CC66" s="47">
        <f>IF(KH_26_OPT4_KTQT_v4[[#This Row],[CPHH-%-SL]]="Dthu",KH_26_OPT4_KTQT_v4[[#This Row],[%HH]]*KH_26_OPT4_KTQT_v4[[#This Row],[DT-EXW-07]],KH_26_OPT4_KTQT_v4[[#This Row],[HH-SL]]*KH_26_OPT4_KTQT_v4[[#This Row],[SL-07]])</f>
        <v>0</v>
      </c>
      <c r="CD66" s="47">
        <f>IF(KH_26_OPT4_KTQT_v4[[#This Row],[CPHH-%-SL]]="Dthu",KH_26_OPT4_KTQT_v4[[#This Row],[%HH]]*KH_26_OPT4_KTQT_v4[[#This Row],[DT-EXW-08]],KH_26_OPT4_KTQT_v4[[#This Row],[HH-SL]]*KH_26_OPT4_KTQT_v4[[#This Row],[SL-08]])</f>
        <v>0</v>
      </c>
      <c r="CE66" s="47">
        <f>IF(KH_26_OPT4_KTQT_v4[[#This Row],[CPHH-%-SL]]="Dthu",KH_26_OPT4_KTQT_v4[[#This Row],[%HH]]*KH_26_OPT4_KTQT_v4[[#This Row],[DT-EXW-09]],KH_26_OPT4_KTQT_v4[[#This Row],[HH-SL]]*KH_26_OPT4_KTQT_v4[[#This Row],[SL-09]])</f>
        <v>0</v>
      </c>
      <c r="CF66" s="47">
        <f>IF(KH_26_OPT4_KTQT_v4[[#This Row],[CPHH-%-SL]]="Dthu",KH_26_OPT4_KTQT_v4[[#This Row],[%HH]]*KH_26_OPT4_KTQT_v4[[#This Row],[DT-EXW-10]],KH_26_OPT4_KTQT_v4[[#This Row],[HH-SL]]*KH_26_OPT4_KTQT_v4[[#This Row],[SL-10]])</f>
        <v>0</v>
      </c>
      <c r="CG66" s="47">
        <f>IF(KH_26_OPT4_KTQT_v4[[#This Row],[CPHH-%-SL]]="Dthu",KH_26_OPT4_KTQT_v4[[#This Row],[%HH]]*KH_26_OPT4_KTQT_v4[[#This Row],[DT-EXW-11]],KH_26_OPT4_KTQT_v4[[#This Row],[HH-SL]]*KH_26_OPT4_KTQT_v4[[#This Row],[SL-11]])</f>
        <v>0</v>
      </c>
      <c r="CH66" s="47">
        <f>IF(KH_26_OPT4_KTQT_v4[[#This Row],[CPHH-%-SL]]="Dthu",KH_26_OPT4_KTQT_v4[[#This Row],[%HH]]*KH_26_OPT4_KTQT_v4[[#This Row],[DT-EXW-12]],KH_26_OPT4_KTQT_v4[[#This Row],[HH-SL]]*KH_26_OPT4_KTQT_v4[[#This Row],[SL-12]])</f>
        <v>0</v>
      </c>
      <c r="CI66" s="47">
        <f ca="1">SUM(KH_26_OPT4_KTQT_v4[[#This Row],[CPHH-01]:[CPHH-12]])</f>
        <v>0</v>
      </c>
      <c r="CJ66" s="47" cm="1">
        <f t="array" ref="CJ66">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66" s="19">
        <f ca="1">SUM(KH_26_OPT4_KTQT_v4[[#This Row],[ĐGVCNĐ-KXK]:[ĐGVCCT-KXK]])</f>
        <v>530000</v>
      </c>
      <c r="CL66" s="47" cm="1">
        <f t="array" ref="CL66">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530000</v>
      </c>
      <c r="CM66" s="47" cm="1">
        <f t="array" ref="CM66">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66" s="47">
        <f ca="1">(KH_26_OPT4_KTQT_v4[[#This Row],[ĐGVC-KNĐ]]+KH_26_OPT4_KTQT_v4[[#This Row],[ĐGVC-KXK]])*KH_26_OPT4_KTQT_v4[[#This Row],[SL-01]]</f>
        <v>23320000</v>
      </c>
      <c r="CO66" s="47">
        <f ca="1">(KH_26_OPT4_KTQT_v4[[#This Row],[ĐGVC-KNĐ]]+KH_26_OPT4_KTQT_v4[[#This Row],[ĐGVC-KXK]])*KH_26_OPT4_KTQT_v4[[#This Row],[SL-02]]</f>
        <v>0</v>
      </c>
      <c r="CP66" s="47">
        <f ca="1">(KH_26_OPT4_KTQT_v4[[#This Row],[ĐGVC-KNĐ]]+KH_26_OPT4_KTQT_v4[[#This Row],[ĐGVC-KXK]])*KH_26_OPT4_KTQT_v4[[#This Row],[SL-03]]</f>
        <v>0</v>
      </c>
      <c r="CQ66" s="47">
        <f ca="1">(KH_26_OPT4_KTQT_v4[[#This Row],[ĐGVC-KNĐ]]+KH_26_OPT4_KTQT_v4[[#This Row],[ĐGVC-KXK]])*KH_26_OPT4_KTQT_v4[[#This Row],[SL-04]]</f>
        <v>23320000</v>
      </c>
      <c r="CR66" s="47">
        <f ca="1">(KH_26_OPT4_KTQT_v4[[#This Row],[ĐGVC-KNĐ]]+KH_26_OPT4_KTQT_v4[[#This Row],[ĐGVC-KXK]])*KH_26_OPT4_KTQT_v4[[#This Row],[SL-05]]</f>
        <v>0</v>
      </c>
      <c r="CS66" s="47">
        <f ca="1">(KH_26_OPT4_KTQT_v4[[#This Row],[ĐGVC-KNĐ]]+KH_26_OPT4_KTQT_v4[[#This Row],[ĐGVC-KXK]])*KH_26_OPT4_KTQT_v4[[#This Row],[SL-06]]</f>
        <v>0</v>
      </c>
      <c r="CT66" s="47">
        <f ca="1">(KH_26_OPT4_KTQT_v4[[#This Row],[ĐGVC-KNĐ]]+KH_26_OPT4_KTQT_v4[[#This Row],[ĐGVC-KXK]])*KH_26_OPT4_KTQT_v4[[#This Row],[SL-07]]</f>
        <v>23320000</v>
      </c>
      <c r="CU66" s="47">
        <f ca="1">(KH_26_OPT4_KTQT_v4[[#This Row],[ĐGVC-KNĐ]]+KH_26_OPT4_KTQT_v4[[#This Row],[ĐGVC-KXK]])*KH_26_OPT4_KTQT_v4[[#This Row],[SL-08]]</f>
        <v>0</v>
      </c>
      <c r="CV66" s="47">
        <f ca="1">(KH_26_OPT4_KTQT_v4[[#This Row],[ĐGVC-KNĐ]]+KH_26_OPT4_KTQT_v4[[#This Row],[ĐGVC-KXK]])*KH_26_OPT4_KTQT_v4[[#This Row],[SL-09]]</f>
        <v>0</v>
      </c>
      <c r="CW66" s="47">
        <f ca="1">(KH_26_OPT4_KTQT_v4[[#This Row],[ĐGVC-KNĐ]]+KH_26_OPT4_KTQT_v4[[#This Row],[ĐGVC-KXK]])*KH_26_OPT4_KTQT_v4[[#This Row],[SL-10]]</f>
        <v>23320000</v>
      </c>
      <c r="CX66" s="47">
        <f ca="1">(KH_26_OPT4_KTQT_v4[[#This Row],[ĐGVC-KNĐ]]+KH_26_OPT4_KTQT_v4[[#This Row],[ĐGVC-KXK]])*KH_26_OPT4_KTQT_v4[[#This Row],[SL-11]]</f>
        <v>0</v>
      </c>
      <c r="CY66" s="47">
        <f ca="1">(KH_26_OPT4_KTQT_v4[[#This Row],[ĐGVC-KNĐ]]+KH_26_OPT4_KTQT_v4[[#This Row],[ĐGVC-KXK]])*KH_26_OPT4_KTQT_v4[[#This Row],[SL-12]]</f>
        <v>0</v>
      </c>
      <c r="CZ66" s="47">
        <f ca="1">SUM(KH_26_OPT4_KTQT_v4[[#This Row],[CPVC-01]:[CPVC-12]])</f>
        <v>93280000</v>
      </c>
      <c r="DA66" s="124">
        <f ca="1">KH_26_OPT4_KTQT_v4[[#This Row],[DT-EXW-01]]+KH_26_OPT4_KTQT_v4[[#This Row],[CPVC-01]]+KH_26_OPT4_KTQT_v4[[#This Row],[CPHH-01]]</f>
        <v>1422520000</v>
      </c>
      <c r="DB66" s="47">
        <f ca="1">KH_26_OPT4_KTQT_v4[[#This Row],[DT-EXW-02]]+KH_26_OPT4_KTQT_v4[[#This Row],[CPVC-02]]+KH_26_OPT4_KTQT_v4[[#This Row],[CPHH-02]]</f>
        <v>0</v>
      </c>
      <c r="DC66" s="47">
        <f ca="1">KH_26_OPT4_KTQT_v4[[#This Row],[DT-EXW-03]]+KH_26_OPT4_KTQT_v4[[#This Row],[CPVC-03]]+KH_26_OPT4_KTQT_v4[[#This Row],[CPHH-03]]</f>
        <v>0</v>
      </c>
      <c r="DD66" s="47">
        <f ca="1">KH_26_OPT4_KTQT_v4[[#This Row],[DT-EXW-04]]+KH_26_OPT4_KTQT_v4[[#This Row],[CPVC-04]]+KH_26_OPT4_KTQT_v4[[#This Row],[CPHH-04]]</f>
        <v>1422520000</v>
      </c>
      <c r="DE66" s="47">
        <f ca="1">KH_26_OPT4_KTQT_v4[[#This Row],[DT-EXW-05]]+KH_26_OPT4_KTQT_v4[[#This Row],[CPVC-05]]+KH_26_OPT4_KTQT_v4[[#This Row],[CPHH-05]]</f>
        <v>0</v>
      </c>
      <c r="DF66" s="47">
        <f ca="1">KH_26_OPT4_KTQT_v4[[#This Row],[DT-EXW-06]]+KH_26_OPT4_KTQT_v4[[#This Row],[CPVC-06]]+KH_26_OPT4_KTQT_v4[[#This Row],[CPHH-06]]</f>
        <v>0</v>
      </c>
      <c r="DG66" s="47">
        <f ca="1">KH_26_OPT4_KTQT_v4[[#This Row],[DT-EXW-07]]+KH_26_OPT4_KTQT_v4[[#This Row],[CPVC-07]]+KH_26_OPT4_KTQT_v4[[#This Row],[CPHH-07]]</f>
        <v>1422520000</v>
      </c>
      <c r="DH66" s="47">
        <f ca="1">KH_26_OPT4_KTQT_v4[[#This Row],[DT-EXW-08]]+KH_26_OPT4_KTQT_v4[[#This Row],[CPVC-08]]+KH_26_OPT4_KTQT_v4[[#This Row],[CPHH-08]]</f>
        <v>0</v>
      </c>
      <c r="DI66" s="47">
        <f ca="1">KH_26_OPT4_KTQT_v4[[#This Row],[DT-EXW-09]]+KH_26_OPT4_KTQT_v4[[#This Row],[CPVC-09]]+KH_26_OPT4_KTQT_v4[[#This Row],[CPHH-09]]</f>
        <v>0</v>
      </c>
      <c r="DJ66" s="47">
        <f ca="1">KH_26_OPT4_KTQT_v4[[#This Row],[DT-EXW-10]]+KH_26_OPT4_KTQT_v4[[#This Row],[CPVC-10]]+KH_26_OPT4_KTQT_v4[[#This Row],[CPHH-10]]</f>
        <v>1422520000</v>
      </c>
      <c r="DK66" s="47">
        <f ca="1">KH_26_OPT4_KTQT_v4[[#This Row],[DT-EXW-11]]+KH_26_OPT4_KTQT_v4[[#This Row],[CPVC-11]]+KH_26_OPT4_KTQT_v4[[#This Row],[CPHH-11]]</f>
        <v>0</v>
      </c>
      <c r="DL66" s="47">
        <f ca="1">KH_26_OPT4_KTQT_v4[[#This Row],[DT-EXW-12]]+KH_26_OPT4_KTQT_v4[[#This Row],[CPVC-12]]+KH_26_OPT4_KTQT_v4[[#This Row],[CPHH-12]]</f>
        <v>0</v>
      </c>
      <c r="DM66" s="47">
        <f ca="1">SUM(KH_26_OPT4_KTQT_v4[[#This Row],[DT-01]:[DT-12]])</f>
        <v>5690080000</v>
      </c>
      <c r="DN66" s="7"/>
      <c r="DO66" s="7"/>
      <c r="DP66" s="125"/>
      <c r="DQ66" s="136">
        <v>0.1</v>
      </c>
      <c r="DR66" s="132">
        <f>IFERROR(KH_26_OPT4_KTQT_v4[[#This Row],[DT-EXW-01]]*KH_26_OPT4_KTQT_v4[[#This Row],[%CPDP]],0)</f>
        <v>139920000</v>
      </c>
      <c r="DS66" s="132">
        <f>IFERROR(KH_26_OPT4_KTQT_v4[[#This Row],[DT-EXW-02]]*KH_26_OPT4_KTQT_v4[[#This Row],[%CPDP]],0)</f>
        <v>0</v>
      </c>
      <c r="DT66" s="132">
        <f>IFERROR(KH_26_OPT4_KTQT_v4[[#This Row],[DT-EXW-03]]*KH_26_OPT4_KTQT_v4[[#This Row],[%CPDP]],0)</f>
        <v>0</v>
      </c>
      <c r="DU66" s="132">
        <f>IFERROR(KH_26_OPT4_KTQT_v4[[#This Row],[DT-EXW-04]]*KH_26_OPT4_KTQT_v4[[#This Row],[%CPDP]],0)</f>
        <v>139920000</v>
      </c>
      <c r="DV66" s="132">
        <f>IFERROR(KH_26_OPT4_KTQT_v4[[#This Row],[DT-EXW-05]]*KH_26_OPT4_KTQT_v4[[#This Row],[%CPDP]],0)</f>
        <v>0</v>
      </c>
      <c r="DW66" s="132">
        <f>IFERROR(KH_26_OPT4_KTQT_v4[[#This Row],[DT-EXW-06]]*KH_26_OPT4_KTQT_v4[[#This Row],[%CPDP]],0)</f>
        <v>0</v>
      </c>
      <c r="DX66" s="132">
        <f>IFERROR(KH_26_OPT4_KTQT_v4[[#This Row],[DT-EXW-07]]*KH_26_OPT4_KTQT_v4[[#This Row],[%CPDP]],0)</f>
        <v>139920000</v>
      </c>
      <c r="DY66" s="132">
        <f>IFERROR(KH_26_OPT4_KTQT_v4[[#This Row],[DT-EXW-08]]*KH_26_OPT4_KTQT_v4[[#This Row],[%CPDP]],0)</f>
        <v>0</v>
      </c>
      <c r="DZ66" s="132">
        <f>IFERROR(KH_26_OPT4_KTQT_v4[[#This Row],[DT-EXW-09]]*KH_26_OPT4_KTQT_v4[[#This Row],[%CPDP]],0)</f>
        <v>0</v>
      </c>
      <c r="EA66" s="132">
        <f>IFERROR(KH_26_OPT4_KTQT_v4[[#This Row],[DT-EXW-10]]*KH_26_OPT4_KTQT_v4[[#This Row],[%CPDP]],0)</f>
        <v>139920000</v>
      </c>
      <c r="EB66" s="132">
        <f>IFERROR(KH_26_OPT4_KTQT_v4[[#This Row],[DT-EXW-11]]*KH_26_OPT4_KTQT_v4[[#This Row],[%CPDP]],0)</f>
        <v>0</v>
      </c>
      <c r="EC66" s="132">
        <f>IFERROR(KH_26_OPT4_KTQT_v4[[#This Row],[DT-EXW-12]]*KH_26_OPT4_KTQT_v4[[#This Row],[%CPDP]],0)</f>
        <v>0</v>
      </c>
      <c r="ED66" s="131">
        <f ca="1">SUM(KH_26_OPT4_KTQT_v4[[#This Row],[CPDP-01]:[CPDP-12]])</f>
        <v>559680000</v>
      </c>
    </row>
    <row r="67" spans="1:134" ht="14.65" hidden="1" customHeight="1" x14ac:dyDescent="0.35">
      <c r="A67" s="18">
        <v>62</v>
      </c>
      <c r="B67" s="71" t="s">
        <v>115</v>
      </c>
      <c r="C67" s="18" t="str">
        <f>IFERROR(_xlfn.XLOOKUP(KH_26_OPT4_KTQT_v4[[#This Row],[Salesman]],MD_Salesman[Salesman],MD_Salesman[SalesManager]),"")</f>
        <v>Quốc Anh</v>
      </c>
      <c r="D67" s="72" t="str">
        <f>IFERROR(INDEX(MD_Customer[Mã khách],MATCH(KH_26_OPT4_KTQT_v4[[#This Row],[Tên khách]],MD_Customer[Tên khách-rút gọn],0)),"")</f>
        <v>200374</v>
      </c>
      <c r="E67" s="7" t="str">
        <f>IFERROR(INDEX(MD_Customer[Parent Account],MATCH(KH_26_OPT4_KTQT_v4[[#This Row],[Tên khách]],MD_Customer[Tên khách-rút gọn],0)),"")</f>
        <v>POLYCAD</v>
      </c>
      <c r="F67" s="35" t="s">
        <v>133</v>
      </c>
      <c r="G67" s="7" t="str">
        <f>IFERROR(INDEX(MD_Customer[Phân loại],MATCH(KH_26_OPT4_KTQT_v4[[#This Row],[Tên khách]],MD_Customer[Tên khách-rút gọn],0)),"")</f>
        <v>Hiện hữu</v>
      </c>
      <c r="H67" s="7" t="str">
        <f>IFERROR(INDEX(MD_Customer[Kênh bán hàng],MATCH(KH_26_OPT4_KTQT_v4[[#This Row],[Tên khách]],MD_Customer[Tên khách-rút gọn],0)),"")</f>
        <v>Xuất khẩu</v>
      </c>
      <c r="I67" s="35" t="s">
        <v>312</v>
      </c>
      <c r="J67" s="7" t="str">
        <f>IFERROR(INDEX(MD_Destination[Nước],MATCH(KH_26_OPT4_KTQT_v4[[#This Row],[Địa điểm đến]],MD_Destination[Địa điểm đến],0)),"")</f>
        <v>Israel</v>
      </c>
      <c r="K67" s="7" t="str">
        <f>IFERROR(INDEX(MD_Destination[Khu vực],MATCH(KH_26_OPT4_KTQT_v4[[#This Row],[Địa điểm đến]],MD_Destination[Địa điểm đến],0)),"")</f>
        <v>Châu Á</v>
      </c>
      <c r="L67" s="35" t="s">
        <v>285</v>
      </c>
      <c r="M67" s="7" t="str">
        <f>IFERROR(INDEX(MD_SKU[Mã SKU],MATCH(KH_26_OPT4_KTQT_v4[[#This Row],[Tên sản phẩm]],MD_SKU[Tên SKU-rút gọn],0)),"")</f>
        <v>110000355</v>
      </c>
      <c r="N67" s="35" t="s">
        <v>469</v>
      </c>
      <c r="O67" s="7" t="str">
        <f>IFERROR(INDEX(MD_SKU[Ngành hàng],MATCH(KH_26_OPT4_KTQT_v4[[#This Row],[Tên sản phẩm]],MD_SKU[Tên SKU-rút gọn],0)),"")</f>
        <v>rPET</v>
      </c>
      <c r="P67" s="7" t="str">
        <f>IFERROR(INDEX(MD_SKU[Nhóm ngành],MATCH(KH_26_OPT4_KTQT_v4[[#This Row],[Tên sản phẩm]],MD_SKU[Tên SKU-rút gọn],0)),"")</f>
        <v>Hạt PET</v>
      </c>
      <c r="Q67" s="7" t="str">
        <f>IFERROR(
   IF(INDEX(MD_SKU[IV/IM],MATCH(KH_26_OPT4_KTQT_v4[[#This Row],[Tên sản phẩm]],MD_SKU[Tên SKU-rút gọn],0))=0,
      "",
      INDEX(MD_SKU[IV/IM],MATCH(KH_26_OPT4_KTQT_v4[[#This Row],[Tên sản phẩm]],MD_SKU[Tên SKU-rút gọn],0))
   ),
"")</f>
        <v>0.80 ± 0.02</v>
      </c>
      <c r="R67" s="44">
        <f>IFERROR(INDEX(MD_SKU[Application],MATCH(KH_26_OPT4_KTQT_v4[[#This Row],[Tên sản phẩm]],MD_SKU[Tên SKU-rút gọn],0)),"")</f>
        <v>0</v>
      </c>
      <c r="S67" s="7" t="str">
        <f>IFERROR(INDEX(MD_SKU[Phân loại],MATCH(KH_26_OPT4_KTQT_v4[[#This Row],[Tên sản phẩm]],MD_SKU[Tên SKU-rút gọn],0)),"")</f>
        <v>Cũ</v>
      </c>
      <c r="T67" s="7" t="s">
        <v>133</v>
      </c>
      <c r="U67" s="7" t="s">
        <v>1508</v>
      </c>
      <c r="V67" s="70">
        <v>0.8</v>
      </c>
      <c r="W67" s="33"/>
      <c r="X67" s="33">
        <v>44</v>
      </c>
      <c r="Y67" s="33"/>
      <c r="Z67" s="33"/>
      <c r="AA67" s="33">
        <v>44</v>
      </c>
      <c r="AB67" s="33"/>
      <c r="AC67" s="33"/>
      <c r="AD67" s="33">
        <v>44</v>
      </c>
      <c r="AE67" s="33"/>
      <c r="AF67" s="33"/>
      <c r="AG67" s="33">
        <v>44</v>
      </c>
      <c r="AH67" s="33"/>
      <c r="AI67" s="47">
        <f ca="1">SUM(KH_26_OPT4_KTQT_v4[[#This Row],[SL-01]:[SL-12]])</f>
        <v>176</v>
      </c>
      <c r="AJ67" s="47">
        <f ca="1">SUMIFS(DB_25[SL-DB25],DB_25[Mã khách],KH_26_OPT4_KTQT_v4[[#This Row],[Mã khách]],DB_25[Mã sản phẩm],KH_26_OPT4_KTQT_v4[[#This Row],[Mã sản phẩm]])</f>
        <v>66</v>
      </c>
      <c r="AK67" s="20">
        <f ca="1">KH_26_OPT4_KTQT_v4[[#This Row],[SL-KH26]]-KH_26_OPT4_KTQT_v4[[#This Row],[SL-DB25]]</f>
        <v>110</v>
      </c>
      <c r="AL67" s="21">
        <f ca="1">IFERROR(KH_26_OPT4_KTQT_v4[[#This Row],[SL-+/-]]/KH_26_OPT4_KTQT_v4[[#This Row],[SL-DB25]],0)</f>
        <v>1.6666666666666667</v>
      </c>
      <c r="AM67" s="51">
        <v>1200</v>
      </c>
      <c r="AN67" s="51">
        <v>1200</v>
      </c>
      <c r="AO67" s="51">
        <v>1200</v>
      </c>
      <c r="AP67" s="51">
        <v>1200</v>
      </c>
      <c r="AQ67" s="51">
        <v>1200</v>
      </c>
      <c r="AR67" s="51">
        <v>1200</v>
      </c>
      <c r="AS67" s="51">
        <v>1200</v>
      </c>
      <c r="AT67" s="51">
        <v>1200</v>
      </c>
      <c r="AU67" s="51">
        <v>1200</v>
      </c>
      <c r="AV67" s="51">
        <v>1200</v>
      </c>
      <c r="AW67" s="51">
        <v>1200</v>
      </c>
      <c r="AX67" s="51">
        <v>1200</v>
      </c>
      <c r="AY67" s="23">
        <v>1200</v>
      </c>
      <c r="AZ67" s="7"/>
      <c r="BA67" s="24">
        <f>KH_26_OPT4_KTQT_v4[[#This Row],[GB-DB25]]-KH_26_OPT4_KTQT_v4[[#This Row],[GB-KH25]]</f>
        <v>1200</v>
      </c>
      <c r="BB67" s="21">
        <f>IFERROR(KH_26_OPT4_KTQT_v4[[#This Row],[GB-+/-]]/KH_26_OPT4_KTQT_v4[[#This Row],[GB-KH25]],0)</f>
        <v>0</v>
      </c>
      <c r="BC67" s="21"/>
      <c r="BD67" s="47">
        <f>KH_26_OPT4_KTQT_v4[[#This Row],[SL-01]]*KH_26_OPT4_KTQT_v4[[#This Row],[GB-01]]*EXR</f>
        <v>0</v>
      </c>
      <c r="BE67" s="47">
        <f>KH_26_OPT4_KTQT_v4[[#This Row],[SL-02]]*KH_26_OPT4_KTQT_v4[[#This Row],[GB-02]]*EXR</f>
        <v>1399200000</v>
      </c>
      <c r="BF67" s="47">
        <f>KH_26_OPT4_KTQT_v4[[#This Row],[SL-03]]*KH_26_OPT4_KTQT_v4[[#This Row],[GB-03]]*EXR</f>
        <v>0</v>
      </c>
      <c r="BG67" s="47">
        <f>KH_26_OPT4_KTQT_v4[[#This Row],[SL-04]]*KH_26_OPT4_KTQT_v4[[#This Row],[GB-04]]*EXR</f>
        <v>0</v>
      </c>
      <c r="BH67" s="47">
        <f>KH_26_OPT4_KTQT_v4[[#This Row],[SL-05]]*KH_26_OPT4_KTQT_v4[[#This Row],[GB-05]]*EXR</f>
        <v>1399200000</v>
      </c>
      <c r="BI67" s="47">
        <f>KH_26_OPT4_KTQT_v4[[#This Row],[SL-06]]*KH_26_OPT4_KTQT_v4[[#This Row],[GB-06]]*EXR</f>
        <v>0</v>
      </c>
      <c r="BJ67" s="47">
        <f>KH_26_OPT4_KTQT_v4[[#This Row],[SL-07]]*KH_26_OPT4_KTQT_v4[[#This Row],[GB-07]]*EXR</f>
        <v>0</v>
      </c>
      <c r="BK67" s="47">
        <f>KH_26_OPT4_KTQT_v4[[#This Row],[SL-08]]*KH_26_OPT4_KTQT_v4[[#This Row],[GB-08]]*EXR</f>
        <v>1399200000</v>
      </c>
      <c r="BL67" s="47">
        <f>KH_26_OPT4_KTQT_v4[[#This Row],[SL-09]]*KH_26_OPT4_KTQT_v4[[#This Row],[GB-09]]*EXR</f>
        <v>0</v>
      </c>
      <c r="BM67" s="47">
        <f>KH_26_OPT4_KTQT_v4[[#This Row],[SL-10]]*KH_26_OPT4_KTQT_v4[[#This Row],[GB-10]]*EXR</f>
        <v>0</v>
      </c>
      <c r="BN67" s="47">
        <f>KH_26_OPT4_KTQT_v4[[#This Row],[SL-11]]*KH_26_OPT4_KTQT_v4[[#This Row],[GB-11]]*EXR</f>
        <v>1399200000</v>
      </c>
      <c r="BO67" s="47">
        <f>KH_26_OPT4_KTQT_v4[[#This Row],[SL-12]]*KH_26_OPT4_KTQT_v4[[#This Row],[GB-12]]*EXR</f>
        <v>0</v>
      </c>
      <c r="BP67" s="47">
        <f ca="1">SUM(KH_26_OPT4_KTQT_v4[[#This Row],[DT-EXW-01]:[DT-EXW-12]])</f>
        <v>5596800000</v>
      </c>
      <c r="BQ67" s="47">
        <f ca="1">SUMIFS(DB_25[DT-DB25],DB_25[Mã khách],KH_26_OPT4_KTQT_v4[[#This Row],[Mã khách]],DB_25[Mã sản phẩm],KH_26_OPT4_KTQT_v4[[#This Row],[Mã sản phẩm]])</f>
        <v>2143745069.8846154</v>
      </c>
      <c r="BR67" s="47">
        <f ca="1">KH_26_OPT4_KTQT_v4[[#This Row],[DT-EXW-KH26]]-KH_26_OPT4_KTQT_v4[[#This Row],[DT-EXW-DB25]]</f>
        <v>3453054930.1153846</v>
      </c>
      <c r="BS67" s="21">
        <f ca="1">IFERROR(KH_26_OPT4_KTQT_v4[[#This Row],[DT-EXW-+/-]]/KH_26_OPT4_KTQT_v4[[#This Row],[DT-EXW-DB25]],0)</f>
        <v>1.6107581907121267</v>
      </c>
      <c r="BT67" s="139"/>
      <c r="BU67" s="57"/>
      <c r="BV67" s="51"/>
      <c r="BW67" s="47">
        <f>IF(KH_26_OPT4_KTQT_v4[[#This Row],[CPHH-%-SL]]="Dthu",KH_26_OPT4_KTQT_v4[[#This Row],[%HH]]*KH_26_OPT4_KTQT_v4[[#This Row],[DT-EXW-01]],KH_26_OPT4_KTQT_v4[[#This Row],[HH-SL]]*KH_26_OPT4_KTQT_v4[[#This Row],[SL-01]])</f>
        <v>0</v>
      </c>
      <c r="BX67" s="47">
        <f>IF(KH_26_OPT4_KTQT_v4[[#This Row],[CPHH-%-SL]]="Dthu",KH_26_OPT4_KTQT_v4[[#This Row],[%HH]]*KH_26_OPT4_KTQT_v4[[#This Row],[DT-EXW-02]],KH_26_OPT4_KTQT_v4[[#This Row],[HH-SL]]*KH_26_OPT4_KTQT_v4[[#This Row],[SL-02]])</f>
        <v>0</v>
      </c>
      <c r="BY67" s="47">
        <f>IF(KH_26_OPT4_KTQT_v4[[#This Row],[CPHH-%-SL]]="Dthu",KH_26_OPT4_KTQT_v4[[#This Row],[%HH]]*KH_26_OPT4_KTQT_v4[[#This Row],[DT-EXW-03]],KH_26_OPT4_KTQT_v4[[#This Row],[HH-SL]]*KH_26_OPT4_KTQT_v4[[#This Row],[SL-03]])</f>
        <v>0</v>
      </c>
      <c r="BZ67" s="47">
        <f>IF(KH_26_OPT4_KTQT_v4[[#This Row],[CPHH-%-SL]]="Dthu",KH_26_OPT4_KTQT_v4[[#This Row],[%HH]]*KH_26_OPT4_KTQT_v4[[#This Row],[DT-EXW-04]],KH_26_OPT4_KTQT_v4[[#This Row],[HH-SL]]*KH_26_OPT4_KTQT_v4[[#This Row],[SL-04]])</f>
        <v>0</v>
      </c>
      <c r="CA67" s="47">
        <f>IF(KH_26_OPT4_KTQT_v4[[#This Row],[CPHH-%-SL]]="Dthu",KH_26_OPT4_KTQT_v4[[#This Row],[%HH]]*KH_26_OPT4_KTQT_v4[[#This Row],[DT-EXW-05]],KH_26_OPT4_KTQT_v4[[#This Row],[HH-SL]]*KH_26_OPT4_KTQT_v4[[#This Row],[SL-05]])</f>
        <v>0</v>
      </c>
      <c r="CB67" s="47">
        <f>IF(KH_26_OPT4_KTQT_v4[[#This Row],[CPHH-%-SL]]="Dthu",KH_26_OPT4_KTQT_v4[[#This Row],[%HH]]*KH_26_OPT4_KTQT_v4[[#This Row],[DT-EXW-06]],KH_26_OPT4_KTQT_v4[[#This Row],[HH-SL]]*KH_26_OPT4_KTQT_v4[[#This Row],[SL-06]])</f>
        <v>0</v>
      </c>
      <c r="CC67" s="47">
        <f>IF(KH_26_OPT4_KTQT_v4[[#This Row],[CPHH-%-SL]]="Dthu",KH_26_OPT4_KTQT_v4[[#This Row],[%HH]]*KH_26_OPT4_KTQT_v4[[#This Row],[DT-EXW-07]],KH_26_OPT4_KTQT_v4[[#This Row],[HH-SL]]*KH_26_OPT4_KTQT_v4[[#This Row],[SL-07]])</f>
        <v>0</v>
      </c>
      <c r="CD67" s="47">
        <f>IF(KH_26_OPT4_KTQT_v4[[#This Row],[CPHH-%-SL]]="Dthu",KH_26_OPT4_KTQT_v4[[#This Row],[%HH]]*KH_26_OPT4_KTQT_v4[[#This Row],[DT-EXW-08]],KH_26_OPT4_KTQT_v4[[#This Row],[HH-SL]]*KH_26_OPT4_KTQT_v4[[#This Row],[SL-08]])</f>
        <v>0</v>
      </c>
      <c r="CE67" s="47">
        <f>IF(KH_26_OPT4_KTQT_v4[[#This Row],[CPHH-%-SL]]="Dthu",KH_26_OPT4_KTQT_v4[[#This Row],[%HH]]*KH_26_OPT4_KTQT_v4[[#This Row],[DT-EXW-09]],KH_26_OPT4_KTQT_v4[[#This Row],[HH-SL]]*KH_26_OPT4_KTQT_v4[[#This Row],[SL-09]])</f>
        <v>0</v>
      </c>
      <c r="CF67" s="47">
        <f>IF(KH_26_OPT4_KTQT_v4[[#This Row],[CPHH-%-SL]]="Dthu",KH_26_OPT4_KTQT_v4[[#This Row],[%HH]]*KH_26_OPT4_KTQT_v4[[#This Row],[DT-EXW-10]],KH_26_OPT4_KTQT_v4[[#This Row],[HH-SL]]*KH_26_OPT4_KTQT_v4[[#This Row],[SL-10]])</f>
        <v>0</v>
      </c>
      <c r="CG67" s="47">
        <f>IF(KH_26_OPT4_KTQT_v4[[#This Row],[CPHH-%-SL]]="Dthu",KH_26_OPT4_KTQT_v4[[#This Row],[%HH]]*KH_26_OPT4_KTQT_v4[[#This Row],[DT-EXW-11]],KH_26_OPT4_KTQT_v4[[#This Row],[HH-SL]]*KH_26_OPT4_KTQT_v4[[#This Row],[SL-11]])</f>
        <v>0</v>
      </c>
      <c r="CH67" s="47">
        <f>IF(KH_26_OPT4_KTQT_v4[[#This Row],[CPHH-%-SL]]="Dthu",KH_26_OPT4_KTQT_v4[[#This Row],[%HH]]*KH_26_OPT4_KTQT_v4[[#This Row],[DT-EXW-12]],KH_26_OPT4_KTQT_v4[[#This Row],[HH-SL]]*KH_26_OPT4_KTQT_v4[[#This Row],[SL-12]])</f>
        <v>0</v>
      </c>
      <c r="CI67" s="47">
        <f ca="1">SUM(KH_26_OPT4_KTQT_v4[[#This Row],[CPHH-01]:[CPHH-12]])</f>
        <v>0</v>
      </c>
      <c r="CJ67" s="47" cm="1">
        <f t="array" ref="CJ67">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67" s="19">
        <f ca="1">SUM(KH_26_OPT4_KTQT_v4[[#This Row],[ĐGVCNĐ-KXK]:[ĐGVCCT-KXK]])</f>
        <v>4143636.3636363638</v>
      </c>
      <c r="CL67" s="47" cm="1">
        <f t="array" ref="CL67">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530000</v>
      </c>
      <c r="CM67" s="47" cm="1">
        <f t="array" ref="CM67">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3613636.3636363638</v>
      </c>
      <c r="CN67" s="47">
        <f ca="1">(KH_26_OPT4_KTQT_v4[[#This Row],[ĐGVC-KNĐ]]+KH_26_OPT4_KTQT_v4[[#This Row],[ĐGVC-KXK]])*KH_26_OPT4_KTQT_v4[[#This Row],[SL-01]]</f>
        <v>0</v>
      </c>
      <c r="CO67" s="47">
        <f ca="1">(KH_26_OPT4_KTQT_v4[[#This Row],[ĐGVC-KNĐ]]+KH_26_OPT4_KTQT_v4[[#This Row],[ĐGVC-KXK]])*KH_26_OPT4_KTQT_v4[[#This Row],[SL-02]]</f>
        <v>182320000</v>
      </c>
      <c r="CP67" s="47">
        <f ca="1">(KH_26_OPT4_KTQT_v4[[#This Row],[ĐGVC-KNĐ]]+KH_26_OPT4_KTQT_v4[[#This Row],[ĐGVC-KXK]])*KH_26_OPT4_KTQT_v4[[#This Row],[SL-03]]</f>
        <v>0</v>
      </c>
      <c r="CQ67" s="47">
        <f ca="1">(KH_26_OPT4_KTQT_v4[[#This Row],[ĐGVC-KNĐ]]+KH_26_OPT4_KTQT_v4[[#This Row],[ĐGVC-KXK]])*KH_26_OPT4_KTQT_v4[[#This Row],[SL-04]]</f>
        <v>0</v>
      </c>
      <c r="CR67" s="47">
        <f ca="1">(KH_26_OPT4_KTQT_v4[[#This Row],[ĐGVC-KNĐ]]+KH_26_OPT4_KTQT_v4[[#This Row],[ĐGVC-KXK]])*KH_26_OPT4_KTQT_v4[[#This Row],[SL-05]]</f>
        <v>182320000</v>
      </c>
      <c r="CS67" s="47">
        <f ca="1">(KH_26_OPT4_KTQT_v4[[#This Row],[ĐGVC-KNĐ]]+KH_26_OPT4_KTQT_v4[[#This Row],[ĐGVC-KXK]])*KH_26_OPT4_KTQT_v4[[#This Row],[SL-06]]</f>
        <v>0</v>
      </c>
      <c r="CT67" s="47">
        <f ca="1">(KH_26_OPT4_KTQT_v4[[#This Row],[ĐGVC-KNĐ]]+KH_26_OPT4_KTQT_v4[[#This Row],[ĐGVC-KXK]])*KH_26_OPT4_KTQT_v4[[#This Row],[SL-07]]</f>
        <v>0</v>
      </c>
      <c r="CU67" s="47">
        <f ca="1">(KH_26_OPT4_KTQT_v4[[#This Row],[ĐGVC-KNĐ]]+KH_26_OPT4_KTQT_v4[[#This Row],[ĐGVC-KXK]])*KH_26_OPT4_KTQT_v4[[#This Row],[SL-08]]</f>
        <v>182320000</v>
      </c>
      <c r="CV67" s="47">
        <f ca="1">(KH_26_OPT4_KTQT_v4[[#This Row],[ĐGVC-KNĐ]]+KH_26_OPT4_KTQT_v4[[#This Row],[ĐGVC-KXK]])*KH_26_OPT4_KTQT_v4[[#This Row],[SL-09]]</f>
        <v>0</v>
      </c>
      <c r="CW67" s="47">
        <f ca="1">(KH_26_OPT4_KTQT_v4[[#This Row],[ĐGVC-KNĐ]]+KH_26_OPT4_KTQT_v4[[#This Row],[ĐGVC-KXK]])*KH_26_OPT4_KTQT_v4[[#This Row],[SL-10]]</f>
        <v>0</v>
      </c>
      <c r="CX67" s="47">
        <f ca="1">(KH_26_OPT4_KTQT_v4[[#This Row],[ĐGVC-KNĐ]]+KH_26_OPT4_KTQT_v4[[#This Row],[ĐGVC-KXK]])*KH_26_OPT4_KTQT_v4[[#This Row],[SL-11]]</f>
        <v>182320000</v>
      </c>
      <c r="CY67" s="47">
        <f ca="1">(KH_26_OPT4_KTQT_v4[[#This Row],[ĐGVC-KNĐ]]+KH_26_OPT4_KTQT_v4[[#This Row],[ĐGVC-KXK]])*KH_26_OPT4_KTQT_v4[[#This Row],[SL-12]]</f>
        <v>0</v>
      </c>
      <c r="CZ67" s="47">
        <f ca="1">SUM(KH_26_OPT4_KTQT_v4[[#This Row],[CPVC-01]:[CPVC-12]])</f>
        <v>729280000</v>
      </c>
      <c r="DA67" s="124">
        <f ca="1">KH_26_OPT4_KTQT_v4[[#This Row],[DT-EXW-01]]+KH_26_OPT4_KTQT_v4[[#This Row],[CPVC-01]]+KH_26_OPT4_KTQT_v4[[#This Row],[CPHH-01]]</f>
        <v>0</v>
      </c>
      <c r="DB67" s="47">
        <f ca="1">KH_26_OPT4_KTQT_v4[[#This Row],[DT-EXW-02]]+KH_26_OPT4_KTQT_v4[[#This Row],[CPVC-02]]+KH_26_OPT4_KTQT_v4[[#This Row],[CPHH-02]]</f>
        <v>1581520000</v>
      </c>
      <c r="DC67" s="47">
        <f ca="1">KH_26_OPT4_KTQT_v4[[#This Row],[DT-EXW-03]]+KH_26_OPT4_KTQT_v4[[#This Row],[CPVC-03]]+KH_26_OPT4_KTQT_v4[[#This Row],[CPHH-03]]</f>
        <v>0</v>
      </c>
      <c r="DD67" s="47">
        <f ca="1">KH_26_OPT4_KTQT_v4[[#This Row],[DT-EXW-04]]+KH_26_OPT4_KTQT_v4[[#This Row],[CPVC-04]]+KH_26_OPT4_KTQT_v4[[#This Row],[CPHH-04]]</f>
        <v>0</v>
      </c>
      <c r="DE67" s="47">
        <f ca="1">KH_26_OPT4_KTQT_v4[[#This Row],[DT-EXW-05]]+KH_26_OPT4_KTQT_v4[[#This Row],[CPVC-05]]+KH_26_OPT4_KTQT_v4[[#This Row],[CPHH-05]]</f>
        <v>1581520000</v>
      </c>
      <c r="DF67" s="47">
        <f ca="1">KH_26_OPT4_KTQT_v4[[#This Row],[DT-EXW-06]]+KH_26_OPT4_KTQT_v4[[#This Row],[CPVC-06]]+KH_26_OPT4_KTQT_v4[[#This Row],[CPHH-06]]</f>
        <v>0</v>
      </c>
      <c r="DG67" s="47">
        <f ca="1">KH_26_OPT4_KTQT_v4[[#This Row],[DT-EXW-07]]+KH_26_OPT4_KTQT_v4[[#This Row],[CPVC-07]]+KH_26_OPT4_KTQT_v4[[#This Row],[CPHH-07]]</f>
        <v>0</v>
      </c>
      <c r="DH67" s="47">
        <f ca="1">KH_26_OPT4_KTQT_v4[[#This Row],[DT-EXW-08]]+KH_26_OPT4_KTQT_v4[[#This Row],[CPVC-08]]+KH_26_OPT4_KTQT_v4[[#This Row],[CPHH-08]]</f>
        <v>1581520000</v>
      </c>
      <c r="DI67" s="47">
        <f ca="1">KH_26_OPT4_KTQT_v4[[#This Row],[DT-EXW-09]]+KH_26_OPT4_KTQT_v4[[#This Row],[CPVC-09]]+KH_26_OPT4_KTQT_v4[[#This Row],[CPHH-09]]</f>
        <v>0</v>
      </c>
      <c r="DJ67" s="47">
        <f ca="1">KH_26_OPT4_KTQT_v4[[#This Row],[DT-EXW-10]]+KH_26_OPT4_KTQT_v4[[#This Row],[CPVC-10]]+KH_26_OPT4_KTQT_v4[[#This Row],[CPHH-10]]</f>
        <v>0</v>
      </c>
      <c r="DK67" s="47">
        <f ca="1">KH_26_OPT4_KTQT_v4[[#This Row],[DT-EXW-11]]+KH_26_OPT4_KTQT_v4[[#This Row],[CPVC-11]]+KH_26_OPT4_KTQT_v4[[#This Row],[CPHH-11]]</f>
        <v>1581520000</v>
      </c>
      <c r="DL67" s="47">
        <f ca="1">KH_26_OPT4_KTQT_v4[[#This Row],[DT-EXW-12]]+KH_26_OPT4_KTQT_v4[[#This Row],[CPVC-12]]+KH_26_OPT4_KTQT_v4[[#This Row],[CPHH-12]]</f>
        <v>0</v>
      </c>
      <c r="DM67" s="47">
        <f ca="1">SUM(KH_26_OPT4_KTQT_v4[[#This Row],[DT-01]:[DT-12]])</f>
        <v>6326080000</v>
      </c>
      <c r="DN67" s="7"/>
      <c r="DO67" s="7"/>
      <c r="DP67" s="125"/>
      <c r="DQ67" s="136"/>
      <c r="DR67" s="132">
        <f>IFERROR(KH_26_OPT4_KTQT_v4[[#This Row],[DT-EXW-01]]*KH_26_OPT4_KTQT_v4[[#This Row],[%CPDP]],0)</f>
        <v>0</v>
      </c>
      <c r="DS67" s="132">
        <f>IFERROR(KH_26_OPT4_KTQT_v4[[#This Row],[DT-EXW-02]]*KH_26_OPT4_KTQT_v4[[#This Row],[%CPDP]],0)</f>
        <v>0</v>
      </c>
      <c r="DT67" s="132">
        <f>IFERROR(KH_26_OPT4_KTQT_v4[[#This Row],[DT-EXW-03]]*KH_26_OPT4_KTQT_v4[[#This Row],[%CPDP]],0)</f>
        <v>0</v>
      </c>
      <c r="DU67" s="132">
        <f>IFERROR(KH_26_OPT4_KTQT_v4[[#This Row],[DT-EXW-04]]*KH_26_OPT4_KTQT_v4[[#This Row],[%CPDP]],0)</f>
        <v>0</v>
      </c>
      <c r="DV67" s="132">
        <f>IFERROR(KH_26_OPT4_KTQT_v4[[#This Row],[DT-EXW-05]]*KH_26_OPT4_KTQT_v4[[#This Row],[%CPDP]],0)</f>
        <v>0</v>
      </c>
      <c r="DW67" s="132">
        <f>IFERROR(KH_26_OPT4_KTQT_v4[[#This Row],[DT-EXW-06]]*KH_26_OPT4_KTQT_v4[[#This Row],[%CPDP]],0)</f>
        <v>0</v>
      </c>
      <c r="DX67" s="132">
        <f>IFERROR(KH_26_OPT4_KTQT_v4[[#This Row],[DT-EXW-07]]*KH_26_OPT4_KTQT_v4[[#This Row],[%CPDP]],0)</f>
        <v>0</v>
      </c>
      <c r="DY67" s="132">
        <f>IFERROR(KH_26_OPT4_KTQT_v4[[#This Row],[DT-EXW-08]]*KH_26_OPT4_KTQT_v4[[#This Row],[%CPDP]],0)</f>
        <v>0</v>
      </c>
      <c r="DZ67" s="132">
        <f>IFERROR(KH_26_OPT4_KTQT_v4[[#This Row],[DT-EXW-09]]*KH_26_OPT4_KTQT_v4[[#This Row],[%CPDP]],0)</f>
        <v>0</v>
      </c>
      <c r="EA67" s="132">
        <f>IFERROR(KH_26_OPT4_KTQT_v4[[#This Row],[DT-EXW-10]]*KH_26_OPT4_KTQT_v4[[#This Row],[%CPDP]],0)</f>
        <v>0</v>
      </c>
      <c r="EB67" s="132">
        <f>IFERROR(KH_26_OPT4_KTQT_v4[[#This Row],[DT-EXW-11]]*KH_26_OPT4_KTQT_v4[[#This Row],[%CPDP]],0)</f>
        <v>0</v>
      </c>
      <c r="EC67" s="132">
        <f>IFERROR(KH_26_OPT4_KTQT_v4[[#This Row],[DT-EXW-12]]*KH_26_OPT4_KTQT_v4[[#This Row],[%CPDP]],0)</f>
        <v>0</v>
      </c>
      <c r="ED67" s="131">
        <f ca="1">SUM(KH_26_OPT4_KTQT_v4[[#This Row],[CPDP-01]:[CPDP-12]])</f>
        <v>0</v>
      </c>
    </row>
    <row r="68" spans="1:134" ht="14.65" hidden="1" customHeight="1" x14ac:dyDescent="0.35">
      <c r="A68" s="18">
        <v>63</v>
      </c>
      <c r="B68" s="71" t="s">
        <v>115</v>
      </c>
      <c r="C68" s="18" t="str">
        <f>IFERROR(_xlfn.XLOOKUP(KH_26_OPT4_KTQT_v4[[#This Row],[Salesman]],MD_Salesman[Salesman],MD_Salesman[SalesManager]),"")</f>
        <v>Quốc Anh</v>
      </c>
      <c r="D68" s="72" t="str">
        <f>IFERROR(INDEX(MD_Customer[Mã khách],MATCH(KH_26_OPT4_KTQT_v4[[#This Row],[Tên khách]],MD_Customer[Tên khách-rút gọn],0)),"")</f>
        <v>105339</v>
      </c>
      <c r="E68" s="7" t="str">
        <f>IFERROR(INDEX(MD_Customer[Parent Account],MATCH(KH_26_OPT4_KTQT_v4[[#This Row],[Tên khách]],MD_Customer[Tên khách-rút gọn],0)),"")</f>
        <v>HUY THÀNH</v>
      </c>
      <c r="F68" s="35" t="s">
        <v>57</v>
      </c>
      <c r="G68" s="7" t="str">
        <f>IFERROR(INDEX(MD_Customer[Phân loại],MATCH(KH_26_OPT4_KTQT_v4[[#This Row],[Tên khách]],MD_Customer[Tên khách-rút gọn],0)),"")</f>
        <v>Hiện hữu</v>
      </c>
      <c r="H68" s="7" t="str">
        <f>IFERROR(INDEX(MD_Customer[Kênh bán hàng],MATCH(KH_26_OPT4_KTQT_v4[[#This Row],[Tên khách]],MD_Customer[Tên khách-rút gọn],0)),"")</f>
        <v>Nội địa</v>
      </c>
      <c r="I68" s="35" t="s">
        <v>258</v>
      </c>
      <c r="J68" s="7" t="str">
        <f>IFERROR(INDEX(MD_Destination[Nước],MATCH(KH_26_OPT4_KTQT_v4[[#This Row],[Địa điểm đến]],MD_Destination[Địa điểm đến],0)),"")</f>
        <v>Việt Nam</v>
      </c>
      <c r="K68" s="7" t="str">
        <f>IFERROR(INDEX(MD_Destination[Khu vực],MATCH(KH_26_OPT4_KTQT_v4[[#This Row],[Địa điểm đến]],MD_Destination[Địa điểm đến],0)),"")</f>
        <v>Châu Á</v>
      </c>
      <c r="L68" s="35" t="s">
        <v>262</v>
      </c>
      <c r="M68" s="7" t="str">
        <f>IFERROR(INDEX(MD_SKU[Mã SKU],MATCH(KH_26_OPT4_KTQT_v4[[#This Row],[Tên sản phẩm]],MD_SKU[Tên SKU-rút gọn],0)),"")</f>
        <v>110000366</v>
      </c>
      <c r="N68" s="35" t="s">
        <v>461</v>
      </c>
      <c r="O68" s="7" t="str">
        <f>IFERROR(INDEX(MD_SKU[Ngành hàng],MATCH(KH_26_OPT4_KTQT_v4[[#This Row],[Tên sản phẩm]],MD_SKU[Tên SKU-rút gọn],0)),"")</f>
        <v>rHDPE ép</v>
      </c>
      <c r="P68" s="7" t="str">
        <f>IFERROR(INDEX(MD_SKU[Nhóm ngành],MATCH(KH_26_OPT4_KTQT_v4[[#This Row],[Tên sản phẩm]],MD_SKU[Tên SKU-rút gọn],0)),"")</f>
        <v>Hạt HD ép</v>
      </c>
      <c r="Q68" s="7" t="str">
        <f>IFERROR(
   IF(INDEX(MD_SKU[IV/IM],MATCH(KH_26_OPT4_KTQT_v4[[#This Row],[Tên sản phẩm]],MD_SKU[Tên SKU-rút gọn],0))=0,
      "",
      INDEX(MD_SKU[IV/IM],MATCH(KH_26_OPT4_KTQT_v4[[#This Row],[Tên sản phẩm]],MD_SKU[Tên SKU-rút gọn],0))
   ),
"")</f>
        <v/>
      </c>
      <c r="R68" s="44">
        <f>IFERROR(INDEX(MD_SKU[Application],MATCH(KH_26_OPT4_KTQT_v4[[#This Row],[Tên sản phẩm]],MD_SKU[Tên SKU-rút gọn],0)),"")</f>
        <v>0</v>
      </c>
      <c r="S68" s="7" t="str">
        <f>IFERROR(INDEX(MD_SKU[Phân loại],MATCH(KH_26_OPT4_KTQT_v4[[#This Row],[Tên sản phẩm]],MD_SKU[Tên SKU-rút gọn],0)),"")</f>
        <v>Cũ</v>
      </c>
      <c r="T68" s="7" t="s">
        <v>57</v>
      </c>
      <c r="U68" s="7" t="s">
        <v>1508</v>
      </c>
      <c r="V68" s="70">
        <v>0.8</v>
      </c>
      <c r="W68" s="33"/>
      <c r="X68" s="33"/>
      <c r="Y68" s="33"/>
      <c r="Z68" s="33"/>
      <c r="AA68" s="33"/>
      <c r="AB68" s="33"/>
      <c r="AC68" s="33"/>
      <c r="AD68" s="33"/>
      <c r="AE68" s="33"/>
      <c r="AF68" s="33"/>
      <c r="AG68" s="33"/>
      <c r="AH68" s="33"/>
      <c r="AI68" s="47">
        <f ca="1">SUM(KH_26_OPT4_KTQT_v4[[#This Row],[SL-01]:[SL-12]])</f>
        <v>0</v>
      </c>
      <c r="AJ68" s="47">
        <f ca="1">SUMIFS(DB_25[SL-DB25],DB_25[Mã khách],KH_26_OPT4_KTQT_v4[[#This Row],[Mã khách]],DB_25[Mã sản phẩm],KH_26_OPT4_KTQT_v4[[#This Row],[Mã sản phẩm]])</f>
        <v>157.5</v>
      </c>
      <c r="AK68" s="20">
        <f ca="1">KH_26_OPT4_KTQT_v4[[#This Row],[SL-KH26]]-KH_26_OPT4_KTQT_v4[[#This Row],[SL-DB25]]</f>
        <v>-157.5</v>
      </c>
      <c r="AL68" s="21">
        <f ca="1">IFERROR(KH_26_OPT4_KTQT_v4[[#This Row],[SL-+/-]]/KH_26_OPT4_KTQT_v4[[#This Row],[SL-DB25]],0)</f>
        <v>-1</v>
      </c>
      <c r="AM68" s="51">
        <v>695</v>
      </c>
      <c r="AN68" s="51">
        <v>695</v>
      </c>
      <c r="AO68" s="51">
        <v>695</v>
      </c>
      <c r="AP68" s="51">
        <v>695</v>
      </c>
      <c r="AQ68" s="51">
        <v>695</v>
      </c>
      <c r="AR68" s="51">
        <v>695</v>
      </c>
      <c r="AS68" s="51">
        <v>695</v>
      </c>
      <c r="AT68" s="51">
        <v>695</v>
      </c>
      <c r="AU68" s="51">
        <v>695</v>
      </c>
      <c r="AV68" s="51">
        <v>695</v>
      </c>
      <c r="AW68" s="51">
        <v>695</v>
      </c>
      <c r="AX68" s="51">
        <v>695</v>
      </c>
      <c r="AY68" s="23">
        <v>695</v>
      </c>
      <c r="AZ68" s="7"/>
      <c r="BA68" s="24">
        <f>KH_26_OPT4_KTQT_v4[[#This Row],[GB-DB25]]-KH_26_OPT4_KTQT_v4[[#This Row],[GB-KH25]]</f>
        <v>695</v>
      </c>
      <c r="BB68" s="21">
        <f>IFERROR(KH_26_OPT4_KTQT_v4[[#This Row],[GB-+/-]]/KH_26_OPT4_KTQT_v4[[#This Row],[GB-KH25]],0)</f>
        <v>0</v>
      </c>
      <c r="BC68" s="21"/>
      <c r="BD68" s="47">
        <f>KH_26_OPT4_KTQT_v4[[#This Row],[SL-01]]*KH_26_OPT4_KTQT_v4[[#This Row],[GB-01]]*EXR</f>
        <v>0</v>
      </c>
      <c r="BE68" s="47">
        <f>KH_26_OPT4_KTQT_v4[[#This Row],[SL-02]]*KH_26_OPT4_KTQT_v4[[#This Row],[GB-02]]*EXR</f>
        <v>0</v>
      </c>
      <c r="BF68" s="47">
        <f>KH_26_OPT4_KTQT_v4[[#This Row],[SL-03]]*KH_26_OPT4_KTQT_v4[[#This Row],[GB-03]]*EXR</f>
        <v>0</v>
      </c>
      <c r="BG68" s="47">
        <f>KH_26_OPT4_KTQT_v4[[#This Row],[SL-04]]*KH_26_OPT4_KTQT_v4[[#This Row],[GB-04]]*EXR</f>
        <v>0</v>
      </c>
      <c r="BH68" s="47">
        <f>KH_26_OPT4_KTQT_v4[[#This Row],[SL-05]]*KH_26_OPT4_KTQT_v4[[#This Row],[GB-05]]*EXR</f>
        <v>0</v>
      </c>
      <c r="BI68" s="47">
        <f>KH_26_OPT4_KTQT_v4[[#This Row],[SL-06]]*KH_26_OPT4_KTQT_v4[[#This Row],[GB-06]]*EXR</f>
        <v>0</v>
      </c>
      <c r="BJ68" s="47">
        <f>KH_26_OPT4_KTQT_v4[[#This Row],[SL-07]]*KH_26_OPT4_KTQT_v4[[#This Row],[GB-07]]*EXR</f>
        <v>0</v>
      </c>
      <c r="BK68" s="47">
        <f>KH_26_OPT4_KTQT_v4[[#This Row],[SL-08]]*KH_26_OPT4_KTQT_v4[[#This Row],[GB-08]]*EXR</f>
        <v>0</v>
      </c>
      <c r="BL68" s="47">
        <f>KH_26_OPT4_KTQT_v4[[#This Row],[SL-09]]*KH_26_OPT4_KTQT_v4[[#This Row],[GB-09]]*EXR</f>
        <v>0</v>
      </c>
      <c r="BM68" s="47">
        <f>KH_26_OPT4_KTQT_v4[[#This Row],[SL-10]]*KH_26_OPT4_KTQT_v4[[#This Row],[GB-10]]*EXR</f>
        <v>0</v>
      </c>
      <c r="BN68" s="47">
        <f>KH_26_OPT4_KTQT_v4[[#This Row],[SL-11]]*KH_26_OPT4_KTQT_v4[[#This Row],[GB-11]]*EXR</f>
        <v>0</v>
      </c>
      <c r="BO68" s="47">
        <f>KH_26_OPT4_KTQT_v4[[#This Row],[SL-12]]*KH_26_OPT4_KTQT_v4[[#This Row],[GB-12]]*EXR</f>
        <v>0</v>
      </c>
      <c r="BP68" s="47">
        <f ca="1">SUM(KH_26_OPT4_KTQT_v4[[#This Row],[DT-EXW-01]:[DT-EXW-12]])</f>
        <v>0</v>
      </c>
      <c r="BQ68" s="47">
        <f ca="1">SUMIFS(DB_25[DT-DB25],DB_25[Mã khách],KH_26_OPT4_KTQT_v4[[#This Row],[Mã khách]],DB_25[Mã sản phẩm],KH_26_OPT4_KTQT_v4[[#This Row],[Mã sản phẩm]])</f>
        <v>2542934139.5032921</v>
      </c>
      <c r="BR68" s="47">
        <f ca="1">KH_26_OPT4_KTQT_v4[[#This Row],[DT-EXW-KH26]]-KH_26_OPT4_KTQT_v4[[#This Row],[DT-EXW-DB25]]</f>
        <v>-2542934139.5032921</v>
      </c>
      <c r="BS68" s="21">
        <f ca="1">IFERROR(KH_26_OPT4_KTQT_v4[[#This Row],[DT-EXW-+/-]]/KH_26_OPT4_KTQT_v4[[#This Row],[DT-EXW-DB25]],0)</f>
        <v>-1</v>
      </c>
      <c r="BT68" s="139" t="s">
        <v>536</v>
      </c>
      <c r="BU68" s="57"/>
      <c r="BV68" s="51">
        <v>1000000</v>
      </c>
      <c r="BW68" s="47">
        <f>IF(KH_26_OPT4_KTQT_v4[[#This Row],[CPHH-%-SL]]="Dthu",KH_26_OPT4_KTQT_v4[[#This Row],[%HH]]*KH_26_OPT4_KTQT_v4[[#This Row],[DT-EXW-01]],KH_26_OPT4_KTQT_v4[[#This Row],[HH-SL]]*KH_26_OPT4_KTQT_v4[[#This Row],[SL-01]])</f>
        <v>0</v>
      </c>
      <c r="BX68" s="47">
        <f>IF(KH_26_OPT4_KTQT_v4[[#This Row],[CPHH-%-SL]]="Dthu",KH_26_OPT4_KTQT_v4[[#This Row],[%HH]]*KH_26_OPT4_KTQT_v4[[#This Row],[DT-EXW-02]],KH_26_OPT4_KTQT_v4[[#This Row],[HH-SL]]*KH_26_OPT4_KTQT_v4[[#This Row],[SL-02]])</f>
        <v>0</v>
      </c>
      <c r="BY68" s="47">
        <f>IF(KH_26_OPT4_KTQT_v4[[#This Row],[CPHH-%-SL]]="Dthu",KH_26_OPT4_KTQT_v4[[#This Row],[%HH]]*KH_26_OPT4_KTQT_v4[[#This Row],[DT-EXW-03]],KH_26_OPT4_KTQT_v4[[#This Row],[HH-SL]]*KH_26_OPT4_KTQT_v4[[#This Row],[SL-03]])</f>
        <v>0</v>
      </c>
      <c r="BZ68" s="47">
        <f>IF(KH_26_OPT4_KTQT_v4[[#This Row],[CPHH-%-SL]]="Dthu",KH_26_OPT4_KTQT_v4[[#This Row],[%HH]]*KH_26_OPT4_KTQT_v4[[#This Row],[DT-EXW-04]],KH_26_OPT4_KTQT_v4[[#This Row],[HH-SL]]*KH_26_OPT4_KTQT_v4[[#This Row],[SL-04]])</f>
        <v>0</v>
      </c>
      <c r="CA68" s="47">
        <f>IF(KH_26_OPT4_KTQT_v4[[#This Row],[CPHH-%-SL]]="Dthu",KH_26_OPT4_KTQT_v4[[#This Row],[%HH]]*KH_26_OPT4_KTQT_v4[[#This Row],[DT-EXW-05]],KH_26_OPT4_KTQT_v4[[#This Row],[HH-SL]]*KH_26_OPT4_KTQT_v4[[#This Row],[SL-05]])</f>
        <v>0</v>
      </c>
      <c r="CB68" s="47">
        <f>IF(KH_26_OPT4_KTQT_v4[[#This Row],[CPHH-%-SL]]="Dthu",KH_26_OPT4_KTQT_v4[[#This Row],[%HH]]*KH_26_OPT4_KTQT_v4[[#This Row],[DT-EXW-06]],KH_26_OPT4_KTQT_v4[[#This Row],[HH-SL]]*KH_26_OPT4_KTQT_v4[[#This Row],[SL-06]])</f>
        <v>0</v>
      </c>
      <c r="CC68" s="47">
        <f>IF(KH_26_OPT4_KTQT_v4[[#This Row],[CPHH-%-SL]]="Dthu",KH_26_OPT4_KTQT_v4[[#This Row],[%HH]]*KH_26_OPT4_KTQT_v4[[#This Row],[DT-EXW-07]],KH_26_OPT4_KTQT_v4[[#This Row],[HH-SL]]*KH_26_OPT4_KTQT_v4[[#This Row],[SL-07]])</f>
        <v>0</v>
      </c>
      <c r="CD68" s="47">
        <f>IF(KH_26_OPT4_KTQT_v4[[#This Row],[CPHH-%-SL]]="Dthu",KH_26_OPT4_KTQT_v4[[#This Row],[%HH]]*KH_26_OPT4_KTQT_v4[[#This Row],[DT-EXW-08]],KH_26_OPT4_KTQT_v4[[#This Row],[HH-SL]]*KH_26_OPT4_KTQT_v4[[#This Row],[SL-08]])</f>
        <v>0</v>
      </c>
      <c r="CE68" s="47">
        <f>IF(KH_26_OPT4_KTQT_v4[[#This Row],[CPHH-%-SL]]="Dthu",KH_26_OPT4_KTQT_v4[[#This Row],[%HH]]*KH_26_OPT4_KTQT_v4[[#This Row],[DT-EXW-09]],KH_26_OPT4_KTQT_v4[[#This Row],[HH-SL]]*KH_26_OPT4_KTQT_v4[[#This Row],[SL-09]])</f>
        <v>0</v>
      </c>
      <c r="CF68" s="47">
        <f>IF(KH_26_OPT4_KTQT_v4[[#This Row],[CPHH-%-SL]]="Dthu",KH_26_OPT4_KTQT_v4[[#This Row],[%HH]]*KH_26_OPT4_KTQT_v4[[#This Row],[DT-EXW-10]],KH_26_OPT4_KTQT_v4[[#This Row],[HH-SL]]*KH_26_OPT4_KTQT_v4[[#This Row],[SL-10]])</f>
        <v>0</v>
      </c>
      <c r="CG68" s="47">
        <f>IF(KH_26_OPT4_KTQT_v4[[#This Row],[CPHH-%-SL]]="Dthu",KH_26_OPT4_KTQT_v4[[#This Row],[%HH]]*KH_26_OPT4_KTQT_v4[[#This Row],[DT-EXW-11]],KH_26_OPT4_KTQT_v4[[#This Row],[HH-SL]]*KH_26_OPT4_KTQT_v4[[#This Row],[SL-11]])</f>
        <v>0</v>
      </c>
      <c r="CH68" s="47">
        <f>IF(KH_26_OPT4_KTQT_v4[[#This Row],[CPHH-%-SL]]="Dthu",KH_26_OPT4_KTQT_v4[[#This Row],[%HH]]*KH_26_OPT4_KTQT_v4[[#This Row],[DT-EXW-12]],KH_26_OPT4_KTQT_v4[[#This Row],[HH-SL]]*KH_26_OPT4_KTQT_v4[[#This Row],[SL-12]])</f>
        <v>0</v>
      </c>
      <c r="CI68" s="47">
        <f ca="1">SUM(KH_26_OPT4_KTQT_v4[[#This Row],[CPHH-01]:[CPHH-12]])</f>
        <v>0</v>
      </c>
      <c r="CJ68" s="47" cm="1">
        <f t="array" ref="CJ68">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68" s="19">
        <f ca="1">SUM(KH_26_OPT4_KTQT_v4[[#This Row],[ĐGVCNĐ-KXK]:[ĐGVCCT-KXK]])</f>
        <v>0</v>
      </c>
      <c r="CL68" s="47" cm="1">
        <f t="array" ref="CL68">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68" s="47" cm="1">
        <f t="array" ref="CM68">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68" s="47">
        <f ca="1">(KH_26_OPT4_KTQT_v4[[#This Row],[ĐGVC-KNĐ]]+KH_26_OPT4_KTQT_v4[[#This Row],[ĐGVC-KXK]])*KH_26_OPT4_KTQT_v4[[#This Row],[SL-01]]</f>
        <v>0</v>
      </c>
      <c r="CO68" s="47">
        <f ca="1">(KH_26_OPT4_KTQT_v4[[#This Row],[ĐGVC-KNĐ]]+KH_26_OPT4_KTQT_v4[[#This Row],[ĐGVC-KXK]])*KH_26_OPT4_KTQT_v4[[#This Row],[SL-02]]</f>
        <v>0</v>
      </c>
      <c r="CP68" s="47">
        <f ca="1">(KH_26_OPT4_KTQT_v4[[#This Row],[ĐGVC-KNĐ]]+KH_26_OPT4_KTQT_v4[[#This Row],[ĐGVC-KXK]])*KH_26_OPT4_KTQT_v4[[#This Row],[SL-03]]</f>
        <v>0</v>
      </c>
      <c r="CQ68" s="47">
        <f ca="1">(KH_26_OPT4_KTQT_v4[[#This Row],[ĐGVC-KNĐ]]+KH_26_OPT4_KTQT_v4[[#This Row],[ĐGVC-KXK]])*KH_26_OPT4_KTQT_v4[[#This Row],[SL-04]]</f>
        <v>0</v>
      </c>
      <c r="CR68" s="47">
        <f ca="1">(KH_26_OPT4_KTQT_v4[[#This Row],[ĐGVC-KNĐ]]+KH_26_OPT4_KTQT_v4[[#This Row],[ĐGVC-KXK]])*KH_26_OPT4_KTQT_v4[[#This Row],[SL-05]]</f>
        <v>0</v>
      </c>
      <c r="CS68" s="47">
        <f ca="1">(KH_26_OPT4_KTQT_v4[[#This Row],[ĐGVC-KNĐ]]+KH_26_OPT4_KTQT_v4[[#This Row],[ĐGVC-KXK]])*KH_26_OPT4_KTQT_v4[[#This Row],[SL-06]]</f>
        <v>0</v>
      </c>
      <c r="CT68" s="47">
        <f ca="1">(KH_26_OPT4_KTQT_v4[[#This Row],[ĐGVC-KNĐ]]+KH_26_OPT4_KTQT_v4[[#This Row],[ĐGVC-KXK]])*KH_26_OPT4_KTQT_v4[[#This Row],[SL-07]]</f>
        <v>0</v>
      </c>
      <c r="CU68" s="47">
        <f ca="1">(KH_26_OPT4_KTQT_v4[[#This Row],[ĐGVC-KNĐ]]+KH_26_OPT4_KTQT_v4[[#This Row],[ĐGVC-KXK]])*KH_26_OPT4_KTQT_v4[[#This Row],[SL-08]]</f>
        <v>0</v>
      </c>
      <c r="CV68" s="47">
        <f ca="1">(KH_26_OPT4_KTQT_v4[[#This Row],[ĐGVC-KNĐ]]+KH_26_OPT4_KTQT_v4[[#This Row],[ĐGVC-KXK]])*KH_26_OPT4_KTQT_v4[[#This Row],[SL-09]]</f>
        <v>0</v>
      </c>
      <c r="CW68" s="47">
        <f ca="1">(KH_26_OPT4_KTQT_v4[[#This Row],[ĐGVC-KNĐ]]+KH_26_OPT4_KTQT_v4[[#This Row],[ĐGVC-KXK]])*KH_26_OPT4_KTQT_v4[[#This Row],[SL-10]]</f>
        <v>0</v>
      </c>
      <c r="CX68" s="47">
        <f ca="1">(KH_26_OPT4_KTQT_v4[[#This Row],[ĐGVC-KNĐ]]+KH_26_OPT4_KTQT_v4[[#This Row],[ĐGVC-KXK]])*KH_26_OPT4_KTQT_v4[[#This Row],[SL-11]]</f>
        <v>0</v>
      </c>
      <c r="CY68" s="47">
        <f ca="1">(KH_26_OPT4_KTQT_v4[[#This Row],[ĐGVC-KNĐ]]+KH_26_OPT4_KTQT_v4[[#This Row],[ĐGVC-KXK]])*KH_26_OPT4_KTQT_v4[[#This Row],[SL-12]]</f>
        <v>0</v>
      </c>
      <c r="CZ68" s="47">
        <f ca="1">SUM(KH_26_OPT4_KTQT_v4[[#This Row],[CPVC-01]:[CPVC-12]])</f>
        <v>0</v>
      </c>
      <c r="DA68" s="124">
        <f ca="1">KH_26_OPT4_KTQT_v4[[#This Row],[DT-EXW-01]]+KH_26_OPT4_KTQT_v4[[#This Row],[CPVC-01]]+KH_26_OPT4_KTQT_v4[[#This Row],[CPHH-01]]</f>
        <v>0</v>
      </c>
      <c r="DB68" s="47">
        <f ca="1">KH_26_OPT4_KTQT_v4[[#This Row],[DT-EXW-02]]+KH_26_OPT4_KTQT_v4[[#This Row],[CPVC-02]]+KH_26_OPT4_KTQT_v4[[#This Row],[CPHH-02]]</f>
        <v>0</v>
      </c>
      <c r="DC68" s="47">
        <f ca="1">KH_26_OPT4_KTQT_v4[[#This Row],[DT-EXW-03]]+KH_26_OPT4_KTQT_v4[[#This Row],[CPVC-03]]+KH_26_OPT4_KTQT_v4[[#This Row],[CPHH-03]]</f>
        <v>0</v>
      </c>
      <c r="DD68" s="47">
        <f ca="1">KH_26_OPT4_KTQT_v4[[#This Row],[DT-EXW-04]]+KH_26_OPT4_KTQT_v4[[#This Row],[CPVC-04]]+KH_26_OPT4_KTQT_v4[[#This Row],[CPHH-04]]</f>
        <v>0</v>
      </c>
      <c r="DE68" s="47">
        <f ca="1">KH_26_OPT4_KTQT_v4[[#This Row],[DT-EXW-05]]+KH_26_OPT4_KTQT_v4[[#This Row],[CPVC-05]]+KH_26_OPT4_KTQT_v4[[#This Row],[CPHH-05]]</f>
        <v>0</v>
      </c>
      <c r="DF68" s="47">
        <f ca="1">KH_26_OPT4_KTQT_v4[[#This Row],[DT-EXW-06]]+KH_26_OPT4_KTQT_v4[[#This Row],[CPVC-06]]+KH_26_OPT4_KTQT_v4[[#This Row],[CPHH-06]]</f>
        <v>0</v>
      </c>
      <c r="DG68" s="47">
        <f ca="1">KH_26_OPT4_KTQT_v4[[#This Row],[DT-EXW-07]]+KH_26_OPT4_KTQT_v4[[#This Row],[CPVC-07]]+KH_26_OPT4_KTQT_v4[[#This Row],[CPHH-07]]</f>
        <v>0</v>
      </c>
      <c r="DH68" s="47">
        <f ca="1">KH_26_OPT4_KTQT_v4[[#This Row],[DT-EXW-08]]+KH_26_OPT4_KTQT_v4[[#This Row],[CPVC-08]]+KH_26_OPT4_KTQT_v4[[#This Row],[CPHH-08]]</f>
        <v>0</v>
      </c>
      <c r="DI68" s="47">
        <f ca="1">KH_26_OPT4_KTQT_v4[[#This Row],[DT-EXW-09]]+KH_26_OPT4_KTQT_v4[[#This Row],[CPVC-09]]+KH_26_OPT4_KTQT_v4[[#This Row],[CPHH-09]]</f>
        <v>0</v>
      </c>
      <c r="DJ68" s="47">
        <f ca="1">KH_26_OPT4_KTQT_v4[[#This Row],[DT-EXW-10]]+KH_26_OPT4_KTQT_v4[[#This Row],[CPVC-10]]+KH_26_OPT4_KTQT_v4[[#This Row],[CPHH-10]]</f>
        <v>0</v>
      </c>
      <c r="DK68" s="47">
        <f ca="1">KH_26_OPT4_KTQT_v4[[#This Row],[DT-EXW-11]]+KH_26_OPT4_KTQT_v4[[#This Row],[CPVC-11]]+KH_26_OPT4_KTQT_v4[[#This Row],[CPHH-11]]</f>
        <v>0</v>
      </c>
      <c r="DL68" s="47">
        <f ca="1">KH_26_OPT4_KTQT_v4[[#This Row],[DT-EXW-12]]+KH_26_OPT4_KTQT_v4[[#This Row],[CPVC-12]]+KH_26_OPT4_KTQT_v4[[#This Row],[CPHH-12]]</f>
        <v>0</v>
      </c>
      <c r="DM68" s="47">
        <f ca="1">SUM(KH_26_OPT4_KTQT_v4[[#This Row],[DT-01]:[DT-12]])</f>
        <v>0</v>
      </c>
      <c r="DN68" s="7"/>
      <c r="DO68" s="7"/>
      <c r="DP68" s="125"/>
      <c r="DQ68" s="136"/>
      <c r="DR68" s="132">
        <f>IFERROR(KH_26_OPT4_KTQT_v4[[#This Row],[DT-EXW-01]]*KH_26_OPT4_KTQT_v4[[#This Row],[%CPDP]],0)</f>
        <v>0</v>
      </c>
      <c r="DS68" s="132">
        <f>IFERROR(KH_26_OPT4_KTQT_v4[[#This Row],[DT-EXW-02]]*KH_26_OPT4_KTQT_v4[[#This Row],[%CPDP]],0)</f>
        <v>0</v>
      </c>
      <c r="DT68" s="132">
        <f>IFERROR(KH_26_OPT4_KTQT_v4[[#This Row],[DT-EXW-03]]*KH_26_OPT4_KTQT_v4[[#This Row],[%CPDP]],0)</f>
        <v>0</v>
      </c>
      <c r="DU68" s="132">
        <f>IFERROR(KH_26_OPT4_KTQT_v4[[#This Row],[DT-EXW-04]]*KH_26_OPT4_KTQT_v4[[#This Row],[%CPDP]],0)</f>
        <v>0</v>
      </c>
      <c r="DV68" s="132">
        <f>IFERROR(KH_26_OPT4_KTQT_v4[[#This Row],[DT-EXW-05]]*KH_26_OPT4_KTQT_v4[[#This Row],[%CPDP]],0)</f>
        <v>0</v>
      </c>
      <c r="DW68" s="132">
        <f>IFERROR(KH_26_OPT4_KTQT_v4[[#This Row],[DT-EXW-06]]*KH_26_OPT4_KTQT_v4[[#This Row],[%CPDP]],0)</f>
        <v>0</v>
      </c>
      <c r="DX68" s="132">
        <f>IFERROR(KH_26_OPT4_KTQT_v4[[#This Row],[DT-EXW-07]]*KH_26_OPT4_KTQT_v4[[#This Row],[%CPDP]],0)</f>
        <v>0</v>
      </c>
      <c r="DY68" s="132">
        <f>IFERROR(KH_26_OPT4_KTQT_v4[[#This Row],[DT-EXW-08]]*KH_26_OPT4_KTQT_v4[[#This Row],[%CPDP]],0)</f>
        <v>0</v>
      </c>
      <c r="DZ68" s="132">
        <f>IFERROR(KH_26_OPT4_KTQT_v4[[#This Row],[DT-EXW-09]]*KH_26_OPT4_KTQT_v4[[#This Row],[%CPDP]],0)</f>
        <v>0</v>
      </c>
      <c r="EA68" s="132">
        <f>IFERROR(KH_26_OPT4_KTQT_v4[[#This Row],[DT-EXW-10]]*KH_26_OPT4_KTQT_v4[[#This Row],[%CPDP]],0)</f>
        <v>0</v>
      </c>
      <c r="EB68" s="132">
        <f>IFERROR(KH_26_OPT4_KTQT_v4[[#This Row],[DT-EXW-11]]*KH_26_OPT4_KTQT_v4[[#This Row],[%CPDP]],0)</f>
        <v>0</v>
      </c>
      <c r="EC68" s="132">
        <f>IFERROR(KH_26_OPT4_KTQT_v4[[#This Row],[DT-EXW-12]]*KH_26_OPT4_KTQT_v4[[#This Row],[%CPDP]],0)</f>
        <v>0</v>
      </c>
      <c r="ED68" s="131">
        <f ca="1">SUM(KH_26_OPT4_KTQT_v4[[#This Row],[CPDP-01]:[CPDP-12]])</f>
        <v>0</v>
      </c>
    </row>
    <row r="69" spans="1:134" ht="14.65" hidden="1" customHeight="1" x14ac:dyDescent="0.35">
      <c r="A69" s="18">
        <v>64</v>
      </c>
      <c r="B69" s="71" t="s">
        <v>95</v>
      </c>
      <c r="C69" s="18" t="str">
        <f>IFERROR(_xlfn.XLOOKUP(KH_26_OPT4_KTQT_v4[[#This Row],[Salesman]],MD_Salesman[Salesman],MD_Salesman[SalesManager]),"")</f>
        <v>Cường</v>
      </c>
      <c r="D69" s="72" t="str">
        <f>IFERROR(INDEX(MD_Customer[Mã khách],MATCH(KH_26_OPT4_KTQT_v4[[#This Row],[Tên khách]],MD_Customer[Tên khách-rút gọn],0)),"")</f>
        <v>105263</v>
      </c>
      <c r="E69" s="7" t="str">
        <f>IFERROR(INDEX(MD_Customer[Parent Account],MATCH(KH_26_OPT4_KTQT_v4[[#This Row],[Tên khách]],MD_Customer[Tên khách-rút gọn],0)),"")</f>
        <v>Unilever</v>
      </c>
      <c r="F69" s="35" t="s">
        <v>478</v>
      </c>
      <c r="G69" s="7" t="str">
        <f>IFERROR(INDEX(MD_Customer[Phân loại],MATCH(KH_26_OPT4_KTQT_v4[[#This Row],[Tên khách]],MD_Customer[Tên khách-rút gọn],0)),"")</f>
        <v>Hiện hữu</v>
      </c>
      <c r="H69" s="7" t="str">
        <f>IFERROR(INDEX(MD_Customer[Kênh bán hàng],MATCH(KH_26_OPT4_KTQT_v4[[#This Row],[Tên khách]],MD_Customer[Tên khách-rút gọn],0)),"")</f>
        <v>Nội địa</v>
      </c>
      <c r="I69" s="35" t="s">
        <v>258</v>
      </c>
      <c r="J69" s="7" t="str">
        <f>IFERROR(INDEX(MD_Destination[Nước],MATCH(KH_26_OPT4_KTQT_v4[[#This Row],[Địa điểm đến]],MD_Destination[Địa điểm đến],0)),"")</f>
        <v>Việt Nam</v>
      </c>
      <c r="K69" s="7" t="str">
        <f>IFERROR(INDEX(MD_Destination[Khu vực],MATCH(KH_26_OPT4_KTQT_v4[[#This Row],[Địa điểm đến]],MD_Destination[Địa điểm đến],0)),"")</f>
        <v>Châu Á</v>
      </c>
      <c r="L69" s="35" t="s">
        <v>262</v>
      </c>
      <c r="M69" s="7" t="str">
        <f>IFERROR(INDEX(MD_SKU[Mã SKU],MATCH(KH_26_OPT4_KTQT_v4[[#This Row],[Tên sản phẩm]],MD_SKU[Tên SKU-rút gọn],0)),"")</f>
        <v>110000354</v>
      </c>
      <c r="N69" s="35" t="s">
        <v>456</v>
      </c>
      <c r="O69" s="7" t="str">
        <f>IFERROR(INDEX(MD_SKU[Ngành hàng],MATCH(KH_26_OPT4_KTQT_v4[[#This Row],[Tên sản phẩm]],MD_SKU[Tên SKU-rút gọn],0)),"")</f>
        <v>rPET</v>
      </c>
      <c r="P69" s="7" t="str">
        <f>IFERROR(INDEX(MD_SKU[Nhóm ngành],MATCH(KH_26_OPT4_KTQT_v4[[#This Row],[Tên sản phẩm]],MD_SKU[Tên SKU-rút gọn],0)),"")</f>
        <v>Hạt PET</v>
      </c>
      <c r="Q69" s="7" t="str">
        <f>IFERROR(
   IF(INDEX(MD_SKU[IV/IM],MATCH(KH_26_OPT4_KTQT_v4[[#This Row],[Tên sản phẩm]],MD_SKU[Tên SKU-rút gọn],0))=0,
      "",
      INDEX(MD_SKU[IV/IM],MATCH(KH_26_OPT4_KTQT_v4[[#This Row],[Tên sản phẩm]],MD_SKU[Tên SKU-rút gọn],0))
   ),
"")</f>
        <v>0.78 ± 0.02</v>
      </c>
      <c r="R69" s="44">
        <f>IFERROR(INDEX(MD_SKU[Application],MATCH(KH_26_OPT4_KTQT_v4[[#This Row],[Tên sản phẩm]],MD_SKU[Tên SKU-rút gọn],0)),"")</f>
        <v>0</v>
      </c>
      <c r="S69" s="7" t="str">
        <f>IFERROR(INDEX(MD_SKU[Phân loại],MATCH(KH_26_OPT4_KTQT_v4[[#This Row],[Tên sản phẩm]],MD_SKU[Tên SKU-rút gọn],0)),"")</f>
        <v>Cũ</v>
      </c>
      <c r="T69" s="7" t="s">
        <v>5</v>
      </c>
      <c r="U69" s="7" t="s">
        <v>1508</v>
      </c>
      <c r="V69" s="70">
        <v>0.8</v>
      </c>
      <c r="W69" s="33">
        <v>11</v>
      </c>
      <c r="X69" s="33">
        <v>11</v>
      </c>
      <c r="Y69" s="33">
        <v>11</v>
      </c>
      <c r="Z69" s="33">
        <v>11</v>
      </c>
      <c r="AA69" s="33">
        <v>11</v>
      </c>
      <c r="AB69" s="33">
        <v>11</v>
      </c>
      <c r="AC69" s="33">
        <v>11</v>
      </c>
      <c r="AD69" s="33">
        <v>11</v>
      </c>
      <c r="AE69" s="33">
        <v>11</v>
      </c>
      <c r="AF69" s="33">
        <v>11</v>
      </c>
      <c r="AG69" s="33">
        <v>11</v>
      </c>
      <c r="AH69" s="33">
        <v>11</v>
      </c>
      <c r="AI69" s="47">
        <f ca="1">SUM(KH_26_OPT4_KTQT_v4[[#This Row],[SL-01]:[SL-12]])</f>
        <v>132</v>
      </c>
      <c r="AJ69" s="47">
        <f ca="1">SUMIFS(DB_25[SL-DB25],DB_25[Mã khách],KH_26_OPT4_KTQT_v4[[#This Row],[Mã khách]],DB_25[Mã sản phẩm],KH_26_OPT4_KTQT_v4[[#This Row],[Mã sản phẩm]])</f>
        <v>126.5</v>
      </c>
      <c r="AK69" s="20">
        <f ca="1">KH_26_OPT4_KTQT_v4[[#This Row],[SL-KH26]]-KH_26_OPT4_KTQT_v4[[#This Row],[SL-DB25]]</f>
        <v>5.5</v>
      </c>
      <c r="AL69" s="21">
        <f ca="1">IFERROR(KH_26_OPT4_KTQT_v4[[#This Row],[SL-+/-]]/KH_26_OPT4_KTQT_v4[[#This Row],[SL-DB25]],0)</f>
        <v>4.3478260869565216E-2</v>
      </c>
      <c r="AM69" s="51">
        <f t="shared" ref="AM69:AX69" si="8">1217+33</f>
        <v>1250</v>
      </c>
      <c r="AN69" s="51">
        <f t="shared" si="8"/>
        <v>1250</v>
      </c>
      <c r="AO69" s="51">
        <f t="shared" si="8"/>
        <v>1250</v>
      </c>
      <c r="AP69" s="51">
        <f t="shared" si="8"/>
        <v>1250</v>
      </c>
      <c r="AQ69" s="51">
        <f t="shared" si="8"/>
        <v>1250</v>
      </c>
      <c r="AR69" s="51">
        <f t="shared" si="8"/>
        <v>1250</v>
      </c>
      <c r="AS69" s="51">
        <f t="shared" si="8"/>
        <v>1250</v>
      </c>
      <c r="AT69" s="51">
        <f t="shared" si="8"/>
        <v>1250</v>
      </c>
      <c r="AU69" s="51">
        <f t="shared" si="8"/>
        <v>1250</v>
      </c>
      <c r="AV69" s="51">
        <f t="shared" si="8"/>
        <v>1250</v>
      </c>
      <c r="AW69" s="51">
        <f t="shared" si="8"/>
        <v>1250</v>
      </c>
      <c r="AX69" s="51">
        <f t="shared" si="8"/>
        <v>1250</v>
      </c>
      <c r="AY69" s="23">
        <v>1183</v>
      </c>
      <c r="AZ69" s="7"/>
      <c r="BA69" s="24">
        <f>KH_26_OPT4_KTQT_v4[[#This Row],[GB-DB25]]-KH_26_OPT4_KTQT_v4[[#This Row],[GB-KH25]]</f>
        <v>1183</v>
      </c>
      <c r="BB69" s="21">
        <f>IFERROR(KH_26_OPT4_KTQT_v4[[#This Row],[GB-+/-]]/KH_26_OPT4_KTQT_v4[[#This Row],[GB-KH25]],0)</f>
        <v>0</v>
      </c>
      <c r="BC69" s="21"/>
      <c r="BD69" s="47">
        <f>KH_26_OPT4_KTQT_v4[[#This Row],[SL-01]]*KH_26_OPT4_KTQT_v4[[#This Row],[GB-01]]*EXR</f>
        <v>364375000</v>
      </c>
      <c r="BE69" s="47">
        <f>KH_26_OPT4_KTQT_v4[[#This Row],[SL-02]]*KH_26_OPT4_KTQT_v4[[#This Row],[GB-02]]*EXR</f>
        <v>364375000</v>
      </c>
      <c r="BF69" s="47">
        <f>KH_26_OPT4_KTQT_v4[[#This Row],[SL-03]]*KH_26_OPT4_KTQT_v4[[#This Row],[GB-03]]*EXR</f>
        <v>364375000</v>
      </c>
      <c r="BG69" s="47">
        <f>KH_26_OPT4_KTQT_v4[[#This Row],[SL-04]]*KH_26_OPT4_KTQT_v4[[#This Row],[GB-04]]*EXR</f>
        <v>364375000</v>
      </c>
      <c r="BH69" s="47">
        <f>KH_26_OPT4_KTQT_v4[[#This Row],[SL-05]]*KH_26_OPT4_KTQT_v4[[#This Row],[GB-05]]*EXR</f>
        <v>364375000</v>
      </c>
      <c r="BI69" s="47">
        <f>KH_26_OPT4_KTQT_v4[[#This Row],[SL-06]]*KH_26_OPT4_KTQT_v4[[#This Row],[GB-06]]*EXR</f>
        <v>364375000</v>
      </c>
      <c r="BJ69" s="47">
        <f>KH_26_OPT4_KTQT_v4[[#This Row],[SL-07]]*KH_26_OPT4_KTQT_v4[[#This Row],[GB-07]]*EXR</f>
        <v>364375000</v>
      </c>
      <c r="BK69" s="47">
        <f>KH_26_OPT4_KTQT_v4[[#This Row],[SL-08]]*KH_26_OPT4_KTQT_v4[[#This Row],[GB-08]]*EXR</f>
        <v>364375000</v>
      </c>
      <c r="BL69" s="47">
        <f>KH_26_OPT4_KTQT_v4[[#This Row],[SL-09]]*KH_26_OPT4_KTQT_v4[[#This Row],[GB-09]]*EXR</f>
        <v>364375000</v>
      </c>
      <c r="BM69" s="47">
        <f>KH_26_OPT4_KTQT_v4[[#This Row],[SL-10]]*KH_26_OPT4_KTQT_v4[[#This Row],[GB-10]]*EXR</f>
        <v>364375000</v>
      </c>
      <c r="BN69" s="47">
        <f>KH_26_OPT4_KTQT_v4[[#This Row],[SL-11]]*KH_26_OPT4_KTQT_v4[[#This Row],[GB-11]]*EXR</f>
        <v>364375000</v>
      </c>
      <c r="BO69" s="47">
        <f>KH_26_OPT4_KTQT_v4[[#This Row],[SL-12]]*KH_26_OPT4_KTQT_v4[[#This Row],[GB-12]]*EXR</f>
        <v>364375000</v>
      </c>
      <c r="BP69" s="47">
        <f ca="1">SUM(KH_26_OPT4_KTQT_v4[[#This Row],[DT-EXW-01]:[DT-EXW-12]])</f>
        <v>4372500000</v>
      </c>
      <c r="BQ69" s="47">
        <f ca="1">SUMIFS(DB_25[DT-DB25],DB_25[Mã khách],KH_26_OPT4_KTQT_v4[[#This Row],[Mã khách]],DB_25[Mã sản phẩm],KH_26_OPT4_KTQT_v4[[#This Row],[Mã sản phẩm]])</f>
        <v>3028354230.621685</v>
      </c>
      <c r="BR69" s="47">
        <f ca="1">KH_26_OPT4_KTQT_v4[[#This Row],[DT-EXW-KH26]]-KH_26_OPT4_KTQT_v4[[#This Row],[DT-EXW-DB25]]</f>
        <v>1344145769.378315</v>
      </c>
      <c r="BS69" s="21">
        <f ca="1">IFERROR(KH_26_OPT4_KTQT_v4[[#This Row],[DT-EXW-+/-]]/KH_26_OPT4_KTQT_v4[[#This Row],[DT-EXW-DB25]],0)</f>
        <v>0.44385354784020026</v>
      </c>
      <c r="BT69" s="139"/>
      <c r="BU69" s="57"/>
      <c r="BV69" s="51"/>
      <c r="BW69" s="47">
        <f>IF(KH_26_OPT4_KTQT_v4[[#This Row],[CPHH-%-SL]]="Dthu",KH_26_OPT4_KTQT_v4[[#This Row],[%HH]]*KH_26_OPT4_KTQT_v4[[#This Row],[DT-EXW-01]],KH_26_OPT4_KTQT_v4[[#This Row],[HH-SL]]*KH_26_OPT4_KTQT_v4[[#This Row],[SL-01]])</f>
        <v>0</v>
      </c>
      <c r="BX69" s="47">
        <f>IF(KH_26_OPT4_KTQT_v4[[#This Row],[CPHH-%-SL]]="Dthu",KH_26_OPT4_KTQT_v4[[#This Row],[%HH]]*KH_26_OPT4_KTQT_v4[[#This Row],[DT-EXW-02]],KH_26_OPT4_KTQT_v4[[#This Row],[HH-SL]]*KH_26_OPT4_KTQT_v4[[#This Row],[SL-02]])</f>
        <v>0</v>
      </c>
      <c r="BY69" s="47">
        <f>IF(KH_26_OPT4_KTQT_v4[[#This Row],[CPHH-%-SL]]="Dthu",KH_26_OPT4_KTQT_v4[[#This Row],[%HH]]*KH_26_OPT4_KTQT_v4[[#This Row],[DT-EXW-03]],KH_26_OPT4_KTQT_v4[[#This Row],[HH-SL]]*KH_26_OPT4_KTQT_v4[[#This Row],[SL-03]])</f>
        <v>0</v>
      </c>
      <c r="BZ69" s="47">
        <f>IF(KH_26_OPT4_KTQT_v4[[#This Row],[CPHH-%-SL]]="Dthu",KH_26_OPT4_KTQT_v4[[#This Row],[%HH]]*KH_26_OPT4_KTQT_v4[[#This Row],[DT-EXW-04]],KH_26_OPT4_KTQT_v4[[#This Row],[HH-SL]]*KH_26_OPT4_KTQT_v4[[#This Row],[SL-04]])</f>
        <v>0</v>
      </c>
      <c r="CA69" s="47">
        <f>IF(KH_26_OPT4_KTQT_v4[[#This Row],[CPHH-%-SL]]="Dthu",KH_26_OPT4_KTQT_v4[[#This Row],[%HH]]*KH_26_OPT4_KTQT_v4[[#This Row],[DT-EXW-05]],KH_26_OPT4_KTQT_v4[[#This Row],[HH-SL]]*KH_26_OPT4_KTQT_v4[[#This Row],[SL-05]])</f>
        <v>0</v>
      </c>
      <c r="CB69" s="47">
        <f>IF(KH_26_OPT4_KTQT_v4[[#This Row],[CPHH-%-SL]]="Dthu",KH_26_OPT4_KTQT_v4[[#This Row],[%HH]]*KH_26_OPT4_KTQT_v4[[#This Row],[DT-EXW-06]],KH_26_OPT4_KTQT_v4[[#This Row],[HH-SL]]*KH_26_OPT4_KTQT_v4[[#This Row],[SL-06]])</f>
        <v>0</v>
      </c>
      <c r="CC69" s="47">
        <f>IF(KH_26_OPT4_KTQT_v4[[#This Row],[CPHH-%-SL]]="Dthu",KH_26_OPT4_KTQT_v4[[#This Row],[%HH]]*KH_26_OPT4_KTQT_v4[[#This Row],[DT-EXW-07]],KH_26_OPT4_KTQT_v4[[#This Row],[HH-SL]]*KH_26_OPT4_KTQT_v4[[#This Row],[SL-07]])</f>
        <v>0</v>
      </c>
      <c r="CD69" s="47">
        <f>IF(KH_26_OPT4_KTQT_v4[[#This Row],[CPHH-%-SL]]="Dthu",KH_26_OPT4_KTQT_v4[[#This Row],[%HH]]*KH_26_OPT4_KTQT_v4[[#This Row],[DT-EXW-08]],KH_26_OPT4_KTQT_v4[[#This Row],[HH-SL]]*KH_26_OPT4_KTQT_v4[[#This Row],[SL-08]])</f>
        <v>0</v>
      </c>
      <c r="CE69" s="47">
        <f>IF(KH_26_OPT4_KTQT_v4[[#This Row],[CPHH-%-SL]]="Dthu",KH_26_OPT4_KTQT_v4[[#This Row],[%HH]]*KH_26_OPT4_KTQT_v4[[#This Row],[DT-EXW-09]],KH_26_OPT4_KTQT_v4[[#This Row],[HH-SL]]*KH_26_OPT4_KTQT_v4[[#This Row],[SL-09]])</f>
        <v>0</v>
      </c>
      <c r="CF69" s="47">
        <f>IF(KH_26_OPT4_KTQT_v4[[#This Row],[CPHH-%-SL]]="Dthu",KH_26_OPT4_KTQT_v4[[#This Row],[%HH]]*KH_26_OPT4_KTQT_v4[[#This Row],[DT-EXW-10]],KH_26_OPT4_KTQT_v4[[#This Row],[HH-SL]]*KH_26_OPT4_KTQT_v4[[#This Row],[SL-10]])</f>
        <v>0</v>
      </c>
      <c r="CG69" s="47">
        <f>IF(KH_26_OPT4_KTQT_v4[[#This Row],[CPHH-%-SL]]="Dthu",KH_26_OPT4_KTQT_v4[[#This Row],[%HH]]*KH_26_OPT4_KTQT_v4[[#This Row],[DT-EXW-11]],KH_26_OPT4_KTQT_v4[[#This Row],[HH-SL]]*KH_26_OPT4_KTQT_v4[[#This Row],[SL-11]])</f>
        <v>0</v>
      </c>
      <c r="CH69" s="47">
        <f>IF(KH_26_OPT4_KTQT_v4[[#This Row],[CPHH-%-SL]]="Dthu",KH_26_OPT4_KTQT_v4[[#This Row],[%HH]]*KH_26_OPT4_KTQT_v4[[#This Row],[DT-EXW-12]],KH_26_OPT4_KTQT_v4[[#This Row],[HH-SL]]*KH_26_OPT4_KTQT_v4[[#This Row],[SL-12]])</f>
        <v>0</v>
      </c>
      <c r="CI69" s="47">
        <f ca="1">SUM(KH_26_OPT4_KTQT_v4[[#This Row],[CPHH-01]:[CPHH-12]])</f>
        <v>0</v>
      </c>
      <c r="CJ69" s="47" cm="1">
        <f t="array" ref="CJ69">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69" s="19">
        <f ca="1">SUM(KH_26_OPT4_KTQT_v4[[#This Row],[ĐGVCNĐ-KXK]:[ĐGVCCT-KXK]])</f>
        <v>0</v>
      </c>
      <c r="CL69" s="47" cm="1">
        <f t="array" ref="CL69">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69" s="47" cm="1">
        <f t="array" ref="CM69">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69" s="47">
        <f ca="1">(KH_26_OPT4_KTQT_v4[[#This Row],[ĐGVC-KNĐ]]+KH_26_OPT4_KTQT_v4[[#This Row],[ĐGVC-KXK]])*KH_26_OPT4_KTQT_v4[[#This Row],[SL-01]]</f>
        <v>0</v>
      </c>
      <c r="CO69" s="47">
        <f ca="1">(KH_26_OPT4_KTQT_v4[[#This Row],[ĐGVC-KNĐ]]+KH_26_OPT4_KTQT_v4[[#This Row],[ĐGVC-KXK]])*KH_26_OPT4_KTQT_v4[[#This Row],[SL-02]]</f>
        <v>0</v>
      </c>
      <c r="CP69" s="47">
        <f ca="1">(KH_26_OPT4_KTQT_v4[[#This Row],[ĐGVC-KNĐ]]+KH_26_OPT4_KTQT_v4[[#This Row],[ĐGVC-KXK]])*KH_26_OPT4_KTQT_v4[[#This Row],[SL-03]]</f>
        <v>0</v>
      </c>
      <c r="CQ69" s="47">
        <f ca="1">(KH_26_OPT4_KTQT_v4[[#This Row],[ĐGVC-KNĐ]]+KH_26_OPT4_KTQT_v4[[#This Row],[ĐGVC-KXK]])*KH_26_OPT4_KTQT_v4[[#This Row],[SL-04]]</f>
        <v>0</v>
      </c>
      <c r="CR69" s="47">
        <f ca="1">(KH_26_OPT4_KTQT_v4[[#This Row],[ĐGVC-KNĐ]]+KH_26_OPT4_KTQT_v4[[#This Row],[ĐGVC-KXK]])*KH_26_OPT4_KTQT_v4[[#This Row],[SL-05]]</f>
        <v>0</v>
      </c>
      <c r="CS69" s="47">
        <f ca="1">(KH_26_OPT4_KTQT_v4[[#This Row],[ĐGVC-KNĐ]]+KH_26_OPT4_KTQT_v4[[#This Row],[ĐGVC-KXK]])*KH_26_OPT4_KTQT_v4[[#This Row],[SL-06]]</f>
        <v>0</v>
      </c>
      <c r="CT69" s="47">
        <f ca="1">(KH_26_OPT4_KTQT_v4[[#This Row],[ĐGVC-KNĐ]]+KH_26_OPT4_KTQT_v4[[#This Row],[ĐGVC-KXK]])*KH_26_OPT4_KTQT_v4[[#This Row],[SL-07]]</f>
        <v>0</v>
      </c>
      <c r="CU69" s="47">
        <f ca="1">(KH_26_OPT4_KTQT_v4[[#This Row],[ĐGVC-KNĐ]]+KH_26_OPT4_KTQT_v4[[#This Row],[ĐGVC-KXK]])*KH_26_OPT4_KTQT_v4[[#This Row],[SL-08]]</f>
        <v>0</v>
      </c>
      <c r="CV69" s="47">
        <f ca="1">(KH_26_OPT4_KTQT_v4[[#This Row],[ĐGVC-KNĐ]]+KH_26_OPT4_KTQT_v4[[#This Row],[ĐGVC-KXK]])*KH_26_OPT4_KTQT_v4[[#This Row],[SL-09]]</f>
        <v>0</v>
      </c>
      <c r="CW69" s="47">
        <f ca="1">(KH_26_OPT4_KTQT_v4[[#This Row],[ĐGVC-KNĐ]]+KH_26_OPT4_KTQT_v4[[#This Row],[ĐGVC-KXK]])*KH_26_OPT4_KTQT_v4[[#This Row],[SL-10]]</f>
        <v>0</v>
      </c>
      <c r="CX69" s="47">
        <f ca="1">(KH_26_OPT4_KTQT_v4[[#This Row],[ĐGVC-KNĐ]]+KH_26_OPT4_KTQT_v4[[#This Row],[ĐGVC-KXK]])*KH_26_OPT4_KTQT_v4[[#This Row],[SL-11]]</f>
        <v>0</v>
      </c>
      <c r="CY69" s="47">
        <f ca="1">(KH_26_OPT4_KTQT_v4[[#This Row],[ĐGVC-KNĐ]]+KH_26_OPT4_KTQT_v4[[#This Row],[ĐGVC-KXK]])*KH_26_OPT4_KTQT_v4[[#This Row],[SL-12]]</f>
        <v>0</v>
      </c>
      <c r="CZ69" s="47">
        <f ca="1">SUM(KH_26_OPT4_KTQT_v4[[#This Row],[CPVC-01]:[CPVC-12]])</f>
        <v>0</v>
      </c>
      <c r="DA69" s="124">
        <f ca="1">KH_26_OPT4_KTQT_v4[[#This Row],[DT-EXW-01]]+KH_26_OPT4_KTQT_v4[[#This Row],[CPVC-01]]+KH_26_OPT4_KTQT_v4[[#This Row],[CPHH-01]]</f>
        <v>364375000</v>
      </c>
      <c r="DB69" s="47">
        <f ca="1">KH_26_OPT4_KTQT_v4[[#This Row],[DT-EXW-02]]+KH_26_OPT4_KTQT_v4[[#This Row],[CPVC-02]]+KH_26_OPT4_KTQT_v4[[#This Row],[CPHH-02]]</f>
        <v>364375000</v>
      </c>
      <c r="DC69" s="47">
        <f ca="1">KH_26_OPT4_KTQT_v4[[#This Row],[DT-EXW-03]]+KH_26_OPT4_KTQT_v4[[#This Row],[CPVC-03]]+KH_26_OPT4_KTQT_v4[[#This Row],[CPHH-03]]</f>
        <v>364375000</v>
      </c>
      <c r="DD69" s="47">
        <f ca="1">KH_26_OPT4_KTQT_v4[[#This Row],[DT-EXW-04]]+KH_26_OPT4_KTQT_v4[[#This Row],[CPVC-04]]+KH_26_OPT4_KTQT_v4[[#This Row],[CPHH-04]]</f>
        <v>364375000</v>
      </c>
      <c r="DE69" s="47">
        <f ca="1">KH_26_OPT4_KTQT_v4[[#This Row],[DT-EXW-05]]+KH_26_OPT4_KTQT_v4[[#This Row],[CPVC-05]]+KH_26_OPT4_KTQT_v4[[#This Row],[CPHH-05]]</f>
        <v>364375000</v>
      </c>
      <c r="DF69" s="47">
        <f ca="1">KH_26_OPT4_KTQT_v4[[#This Row],[DT-EXW-06]]+KH_26_OPT4_KTQT_v4[[#This Row],[CPVC-06]]+KH_26_OPT4_KTQT_v4[[#This Row],[CPHH-06]]</f>
        <v>364375000</v>
      </c>
      <c r="DG69" s="47">
        <f ca="1">KH_26_OPT4_KTQT_v4[[#This Row],[DT-EXW-07]]+KH_26_OPT4_KTQT_v4[[#This Row],[CPVC-07]]+KH_26_OPT4_KTQT_v4[[#This Row],[CPHH-07]]</f>
        <v>364375000</v>
      </c>
      <c r="DH69" s="47">
        <f ca="1">KH_26_OPT4_KTQT_v4[[#This Row],[DT-EXW-08]]+KH_26_OPT4_KTQT_v4[[#This Row],[CPVC-08]]+KH_26_OPT4_KTQT_v4[[#This Row],[CPHH-08]]</f>
        <v>364375000</v>
      </c>
      <c r="DI69" s="47">
        <f ca="1">KH_26_OPT4_KTQT_v4[[#This Row],[DT-EXW-09]]+KH_26_OPT4_KTQT_v4[[#This Row],[CPVC-09]]+KH_26_OPT4_KTQT_v4[[#This Row],[CPHH-09]]</f>
        <v>364375000</v>
      </c>
      <c r="DJ69" s="47">
        <f ca="1">KH_26_OPT4_KTQT_v4[[#This Row],[DT-EXW-10]]+KH_26_OPT4_KTQT_v4[[#This Row],[CPVC-10]]+KH_26_OPT4_KTQT_v4[[#This Row],[CPHH-10]]</f>
        <v>364375000</v>
      </c>
      <c r="DK69" s="47">
        <f ca="1">KH_26_OPT4_KTQT_v4[[#This Row],[DT-EXW-11]]+KH_26_OPT4_KTQT_v4[[#This Row],[CPVC-11]]+KH_26_OPT4_KTQT_v4[[#This Row],[CPHH-11]]</f>
        <v>364375000</v>
      </c>
      <c r="DL69" s="47">
        <f ca="1">KH_26_OPT4_KTQT_v4[[#This Row],[DT-EXW-12]]+KH_26_OPT4_KTQT_v4[[#This Row],[CPVC-12]]+KH_26_OPT4_KTQT_v4[[#This Row],[CPHH-12]]</f>
        <v>364375000</v>
      </c>
      <c r="DM69" s="47">
        <f ca="1">SUM(KH_26_OPT4_KTQT_v4[[#This Row],[DT-01]:[DT-12]])</f>
        <v>4372500000</v>
      </c>
      <c r="DN69" s="7"/>
      <c r="DO69" s="7"/>
      <c r="DP69" s="125"/>
      <c r="DQ69" s="136"/>
      <c r="DR69" s="132">
        <f>IFERROR(KH_26_OPT4_KTQT_v4[[#This Row],[DT-EXW-01]]*KH_26_OPT4_KTQT_v4[[#This Row],[%CPDP]],0)</f>
        <v>0</v>
      </c>
      <c r="DS69" s="132">
        <f>IFERROR(KH_26_OPT4_KTQT_v4[[#This Row],[DT-EXW-02]]*KH_26_OPT4_KTQT_v4[[#This Row],[%CPDP]],0)</f>
        <v>0</v>
      </c>
      <c r="DT69" s="132">
        <f>IFERROR(KH_26_OPT4_KTQT_v4[[#This Row],[DT-EXW-03]]*KH_26_OPT4_KTQT_v4[[#This Row],[%CPDP]],0)</f>
        <v>0</v>
      </c>
      <c r="DU69" s="132">
        <f>IFERROR(KH_26_OPT4_KTQT_v4[[#This Row],[DT-EXW-04]]*KH_26_OPT4_KTQT_v4[[#This Row],[%CPDP]],0)</f>
        <v>0</v>
      </c>
      <c r="DV69" s="132">
        <f>IFERROR(KH_26_OPT4_KTQT_v4[[#This Row],[DT-EXW-05]]*KH_26_OPT4_KTQT_v4[[#This Row],[%CPDP]],0)</f>
        <v>0</v>
      </c>
      <c r="DW69" s="132">
        <f>IFERROR(KH_26_OPT4_KTQT_v4[[#This Row],[DT-EXW-06]]*KH_26_OPT4_KTQT_v4[[#This Row],[%CPDP]],0)</f>
        <v>0</v>
      </c>
      <c r="DX69" s="132">
        <f>IFERROR(KH_26_OPT4_KTQT_v4[[#This Row],[DT-EXW-07]]*KH_26_OPT4_KTQT_v4[[#This Row],[%CPDP]],0)</f>
        <v>0</v>
      </c>
      <c r="DY69" s="132">
        <f>IFERROR(KH_26_OPT4_KTQT_v4[[#This Row],[DT-EXW-08]]*KH_26_OPT4_KTQT_v4[[#This Row],[%CPDP]],0)</f>
        <v>0</v>
      </c>
      <c r="DZ69" s="132">
        <f>IFERROR(KH_26_OPT4_KTQT_v4[[#This Row],[DT-EXW-09]]*KH_26_OPT4_KTQT_v4[[#This Row],[%CPDP]],0)</f>
        <v>0</v>
      </c>
      <c r="EA69" s="132">
        <f>IFERROR(KH_26_OPT4_KTQT_v4[[#This Row],[DT-EXW-10]]*KH_26_OPT4_KTQT_v4[[#This Row],[%CPDP]],0)</f>
        <v>0</v>
      </c>
      <c r="EB69" s="132">
        <f>IFERROR(KH_26_OPT4_KTQT_v4[[#This Row],[DT-EXW-11]]*KH_26_OPT4_KTQT_v4[[#This Row],[%CPDP]],0)</f>
        <v>0</v>
      </c>
      <c r="EC69" s="132">
        <f>IFERROR(KH_26_OPT4_KTQT_v4[[#This Row],[DT-EXW-12]]*KH_26_OPT4_KTQT_v4[[#This Row],[%CPDP]],0)</f>
        <v>0</v>
      </c>
      <c r="ED69" s="131">
        <f ca="1">SUM(KH_26_OPT4_KTQT_v4[[#This Row],[CPDP-01]:[CPDP-12]])</f>
        <v>0</v>
      </c>
    </row>
    <row r="70" spans="1:134" ht="14.65" hidden="1" customHeight="1" x14ac:dyDescent="0.35">
      <c r="A70" s="18">
        <v>65</v>
      </c>
      <c r="B70" s="71" t="s">
        <v>95</v>
      </c>
      <c r="C70" s="18" t="str">
        <f>IFERROR(_xlfn.XLOOKUP(KH_26_OPT4_KTQT_v4[[#This Row],[Salesman]],MD_Salesman[Salesman],MD_Salesman[SalesManager]),"")</f>
        <v>Cường</v>
      </c>
      <c r="D70" s="72" t="str">
        <f>IFERROR(INDEX(MD_Customer[Mã khách],MATCH(KH_26_OPT4_KTQT_v4[[#This Row],[Tên khách]],MD_Customer[Tên khách-rút gọn],0)),"")</f>
        <v>105306</v>
      </c>
      <c r="E70" s="7" t="str">
        <f>IFERROR(INDEX(MD_Customer[Parent Account],MATCH(KH_26_OPT4_KTQT_v4[[#This Row],[Tên khách]],MD_Customer[Tên khách-rút gọn],0)),"")</f>
        <v>Tân Lập Thành</v>
      </c>
      <c r="F70" s="35" t="s">
        <v>270</v>
      </c>
      <c r="G70" s="7" t="str">
        <f>IFERROR(INDEX(MD_Customer[Phân loại],MATCH(KH_26_OPT4_KTQT_v4[[#This Row],[Tên khách]],MD_Customer[Tên khách-rút gọn],0)),"")</f>
        <v>Hiện hữu</v>
      </c>
      <c r="H70" s="7" t="str">
        <f>IFERROR(INDEX(MD_Customer[Kênh bán hàng],MATCH(KH_26_OPT4_KTQT_v4[[#This Row],[Tên khách]],MD_Customer[Tên khách-rút gọn],0)),"")</f>
        <v>Nội địa</v>
      </c>
      <c r="I70" s="35" t="s">
        <v>261</v>
      </c>
      <c r="J70" s="7" t="str">
        <f>IFERROR(INDEX(MD_Destination[Nước],MATCH(KH_26_OPT4_KTQT_v4[[#This Row],[Địa điểm đến]],MD_Destination[Địa điểm đến],0)),"")</f>
        <v>Việt Nam</v>
      </c>
      <c r="K70" s="7" t="str">
        <f>IFERROR(INDEX(MD_Destination[Khu vực],MATCH(KH_26_OPT4_KTQT_v4[[#This Row],[Địa điểm đến]],MD_Destination[Địa điểm đến],0)),"")</f>
        <v>Châu Á</v>
      </c>
      <c r="L70" s="35" t="s">
        <v>262</v>
      </c>
      <c r="M70" s="7" t="str">
        <f>IFERROR(INDEX(MD_SKU[Mã SKU],MATCH(KH_26_OPT4_KTQT_v4[[#This Row],[Tên sản phẩm]],MD_SKU[Tên SKU-rút gọn],0)),"")</f>
        <v>110000354</v>
      </c>
      <c r="N70" s="35" t="s">
        <v>456</v>
      </c>
      <c r="O70" s="7" t="str">
        <f>IFERROR(INDEX(MD_SKU[Ngành hàng],MATCH(KH_26_OPT4_KTQT_v4[[#This Row],[Tên sản phẩm]],MD_SKU[Tên SKU-rút gọn],0)),"")</f>
        <v>rPET</v>
      </c>
      <c r="P70" s="7" t="str">
        <f>IFERROR(INDEX(MD_SKU[Nhóm ngành],MATCH(KH_26_OPT4_KTQT_v4[[#This Row],[Tên sản phẩm]],MD_SKU[Tên SKU-rút gọn],0)),"")</f>
        <v>Hạt PET</v>
      </c>
      <c r="Q70" s="7" t="str">
        <f>IFERROR(
   IF(INDEX(MD_SKU[IV/IM],MATCH(KH_26_OPT4_KTQT_v4[[#This Row],[Tên sản phẩm]],MD_SKU[Tên SKU-rút gọn],0))=0,
      "",
      INDEX(MD_SKU[IV/IM],MATCH(KH_26_OPT4_KTQT_v4[[#This Row],[Tên sản phẩm]],MD_SKU[Tên SKU-rút gọn],0))
   ),
"")</f>
        <v>0.78 ± 0.02</v>
      </c>
      <c r="R70" s="44">
        <f>IFERROR(INDEX(MD_SKU[Application],MATCH(KH_26_OPT4_KTQT_v4[[#This Row],[Tên sản phẩm]],MD_SKU[Tên SKU-rút gọn],0)),"")</f>
        <v>0</v>
      </c>
      <c r="S70" s="7" t="str">
        <f>IFERROR(INDEX(MD_SKU[Phân loại],MATCH(KH_26_OPT4_KTQT_v4[[#This Row],[Tên sản phẩm]],MD_SKU[Tên SKU-rút gọn],0)),"")</f>
        <v>Cũ</v>
      </c>
      <c r="T70" s="180" t="s">
        <v>102</v>
      </c>
      <c r="U70" s="7" t="s">
        <v>1508</v>
      </c>
      <c r="V70" s="70">
        <v>0.8</v>
      </c>
      <c r="W70" s="33"/>
      <c r="X70" s="33">
        <v>22</v>
      </c>
      <c r="Y70" s="33"/>
      <c r="Z70" s="33">
        <v>22</v>
      </c>
      <c r="AA70" s="33"/>
      <c r="AB70" s="33">
        <v>22</v>
      </c>
      <c r="AC70" s="33"/>
      <c r="AD70" s="33">
        <v>22</v>
      </c>
      <c r="AE70" s="33"/>
      <c r="AF70" s="33">
        <v>22</v>
      </c>
      <c r="AG70" s="33"/>
      <c r="AH70" s="33">
        <v>22</v>
      </c>
      <c r="AI70" s="47">
        <f ca="1">SUM(KH_26_OPT4_KTQT_v4[[#This Row],[SL-01]:[SL-12]])</f>
        <v>132</v>
      </c>
      <c r="AJ70" s="47">
        <f ca="1">SUMIFS(DB_25[SL-DB25],DB_25[Mã khách],KH_26_OPT4_KTQT_v4[[#This Row],[Mã khách]],DB_25[Mã sản phẩm],KH_26_OPT4_KTQT_v4[[#This Row],[Mã sản phẩm]])</f>
        <v>88</v>
      </c>
      <c r="AK70" s="20">
        <f ca="1">KH_26_OPT4_KTQT_v4[[#This Row],[SL-KH26]]-KH_26_OPT4_KTQT_v4[[#This Row],[SL-DB25]]</f>
        <v>44</v>
      </c>
      <c r="AL70" s="21">
        <f ca="1">IFERROR(KH_26_OPT4_KTQT_v4[[#This Row],[SL-+/-]]/KH_26_OPT4_KTQT_v4[[#This Row],[SL-DB25]],0)</f>
        <v>0.5</v>
      </c>
      <c r="AM70" s="51">
        <v>1150</v>
      </c>
      <c r="AN70" s="51">
        <v>1150</v>
      </c>
      <c r="AO70" s="51">
        <v>1150</v>
      </c>
      <c r="AP70" s="51">
        <v>1150</v>
      </c>
      <c r="AQ70" s="51">
        <v>1150</v>
      </c>
      <c r="AR70" s="51">
        <v>1150</v>
      </c>
      <c r="AS70" s="51">
        <v>1150</v>
      </c>
      <c r="AT70" s="51">
        <v>1150</v>
      </c>
      <c r="AU70" s="51">
        <v>1150</v>
      </c>
      <c r="AV70" s="51">
        <v>1150</v>
      </c>
      <c r="AW70" s="51">
        <v>1150</v>
      </c>
      <c r="AX70" s="51">
        <v>1150</v>
      </c>
      <c r="AY70" s="23">
        <v>1150</v>
      </c>
      <c r="AZ70" s="7"/>
      <c r="BA70" s="24">
        <f>KH_26_OPT4_KTQT_v4[[#This Row],[GB-DB25]]-KH_26_OPT4_KTQT_v4[[#This Row],[GB-KH25]]</f>
        <v>1150</v>
      </c>
      <c r="BB70" s="21">
        <f>IFERROR(KH_26_OPT4_KTQT_v4[[#This Row],[GB-+/-]]/KH_26_OPT4_KTQT_v4[[#This Row],[GB-KH25]],0)</f>
        <v>0</v>
      </c>
      <c r="BC70" s="21"/>
      <c r="BD70" s="47">
        <f>KH_26_OPT4_KTQT_v4[[#This Row],[SL-01]]*KH_26_OPT4_KTQT_v4[[#This Row],[GB-01]]*EXR</f>
        <v>0</v>
      </c>
      <c r="BE70" s="47">
        <f>KH_26_OPT4_KTQT_v4[[#This Row],[SL-02]]*KH_26_OPT4_KTQT_v4[[#This Row],[GB-02]]*EXR</f>
        <v>670450000</v>
      </c>
      <c r="BF70" s="47">
        <f>KH_26_OPT4_KTQT_v4[[#This Row],[SL-03]]*KH_26_OPT4_KTQT_v4[[#This Row],[GB-03]]*EXR</f>
        <v>0</v>
      </c>
      <c r="BG70" s="47">
        <f>KH_26_OPT4_KTQT_v4[[#This Row],[SL-04]]*KH_26_OPT4_KTQT_v4[[#This Row],[GB-04]]*EXR</f>
        <v>670450000</v>
      </c>
      <c r="BH70" s="47">
        <f>KH_26_OPT4_KTQT_v4[[#This Row],[SL-05]]*KH_26_OPT4_KTQT_v4[[#This Row],[GB-05]]*EXR</f>
        <v>0</v>
      </c>
      <c r="BI70" s="47">
        <f>KH_26_OPT4_KTQT_v4[[#This Row],[SL-06]]*KH_26_OPT4_KTQT_v4[[#This Row],[GB-06]]*EXR</f>
        <v>670450000</v>
      </c>
      <c r="BJ70" s="47">
        <f>KH_26_OPT4_KTQT_v4[[#This Row],[SL-07]]*KH_26_OPT4_KTQT_v4[[#This Row],[GB-07]]*EXR</f>
        <v>0</v>
      </c>
      <c r="BK70" s="47">
        <f>KH_26_OPT4_KTQT_v4[[#This Row],[SL-08]]*KH_26_OPT4_KTQT_v4[[#This Row],[GB-08]]*EXR</f>
        <v>670450000</v>
      </c>
      <c r="BL70" s="47">
        <f>KH_26_OPT4_KTQT_v4[[#This Row],[SL-09]]*KH_26_OPT4_KTQT_v4[[#This Row],[GB-09]]*EXR</f>
        <v>0</v>
      </c>
      <c r="BM70" s="47">
        <f>KH_26_OPT4_KTQT_v4[[#This Row],[SL-10]]*KH_26_OPT4_KTQT_v4[[#This Row],[GB-10]]*EXR</f>
        <v>670450000</v>
      </c>
      <c r="BN70" s="47">
        <f>KH_26_OPT4_KTQT_v4[[#This Row],[SL-11]]*KH_26_OPT4_KTQT_v4[[#This Row],[GB-11]]*EXR</f>
        <v>0</v>
      </c>
      <c r="BO70" s="47">
        <f>KH_26_OPT4_KTQT_v4[[#This Row],[SL-12]]*KH_26_OPT4_KTQT_v4[[#This Row],[GB-12]]*EXR</f>
        <v>670450000</v>
      </c>
      <c r="BP70" s="47">
        <f ca="1">SUM(KH_26_OPT4_KTQT_v4[[#This Row],[DT-EXW-01]:[DT-EXW-12]])</f>
        <v>4022700000</v>
      </c>
      <c r="BQ70" s="47">
        <f ca="1">SUMIFS(DB_25[DT-DB25],DB_25[Mã khách],KH_26_OPT4_KTQT_v4[[#This Row],[Mã khách]],DB_25[Mã sản phẩm],KH_26_OPT4_KTQT_v4[[#This Row],[Mã sản phẩm]])</f>
        <v>2873806531.3575301</v>
      </c>
      <c r="BR70" s="47">
        <f ca="1">KH_26_OPT4_KTQT_v4[[#This Row],[DT-EXW-KH26]]-KH_26_OPT4_KTQT_v4[[#This Row],[DT-EXW-DB25]]</f>
        <v>1148893468.6424699</v>
      </c>
      <c r="BS70" s="21">
        <f ca="1">IFERROR(KH_26_OPT4_KTQT_v4[[#This Row],[DT-EXW-+/-]]/KH_26_OPT4_KTQT_v4[[#This Row],[DT-EXW-DB25]],0)</f>
        <v>0.39978107645950511</v>
      </c>
      <c r="BT70" s="139"/>
      <c r="BU70" s="57"/>
      <c r="BV70" s="51"/>
      <c r="BW70" s="47">
        <f>IF(KH_26_OPT4_KTQT_v4[[#This Row],[CPHH-%-SL]]="Dthu",KH_26_OPT4_KTQT_v4[[#This Row],[%HH]]*KH_26_OPT4_KTQT_v4[[#This Row],[DT-EXW-01]],KH_26_OPT4_KTQT_v4[[#This Row],[HH-SL]]*KH_26_OPT4_KTQT_v4[[#This Row],[SL-01]])</f>
        <v>0</v>
      </c>
      <c r="BX70" s="47">
        <f>IF(KH_26_OPT4_KTQT_v4[[#This Row],[CPHH-%-SL]]="Dthu",KH_26_OPT4_KTQT_v4[[#This Row],[%HH]]*KH_26_OPT4_KTQT_v4[[#This Row],[DT-EXW-02]],KH_26_OPT4_KTQT_v4[[#This Row],[HH-SL]]*KH_26_OPT4_KTQT_v4[[#This Row],[SL-02]])</f>
        <v>0</v>
      </c>
      <c r="BY70" s="47">
        <f>IF(KH_26_OPT4_KTQT_v4[[#This Row],[CPHH-%-SL]]="Dthu",KH_26_OPT4_KTQT_v4[[#This Row],[%HH]]*KH_26_OPT4_KTQT_v4[[#This Row],[DT-EXW-03]],KH_26_OPT4_KTQT_v4[[#This Row],[HH-SL]]*KH_26_OPT4_KTQT_v4[[#This Row],[SL-03]])</f>
        <v>0</v>
      </c>
      <c r="BZ70" s="47">
        <f>IF(KH_26_OPT4_KTQT_v4[[#This Row],[CPHH-%-SL]]="Dthu",KH_26_OPT4_KTQT_v4[[#This Row],[%HH]]*KH_26_OPT4_KTQT_v4[[#This Row],[DT-EXW-04]],KH_26_OPT4_KTQT_v4[[#This Row],[HH-SL]]*KH_26_OPT4_KTQT_v4[[#This Row],[SL-04]])</f>
        <v>0</v>
      </c>
      <c r="CA70" s="47">
        <f>IF(KH_26_OPT4_KTQT_v4[[#This Row],[CPHH-%-SL]]="Dthu",KH_26_OPT4_KTQT_v4[[#This Row],[%HH]]*KH_26_OPT4_KTQT_v4[[#This Row],[DT-EXW-05]],KH_26_OPT4_KTQT_v4[[#This Row],[HH-SL]]*KH_26_OPT4_KTQT_v4[[#This Row],[SL-05]])</f>
        <v>0</v>
      </c>
      <c r="CB70" s="47">
        <f>IF(KH_26_OPT4_KTQT_v4[[#This Row],[CPHH-%-SL]]="Dthu",KH_26_OPT4_KTQT_v4[[#This Row],[%HH]]*KH_26_OPT4_KTQT_v4[[#This Row],[DT-EXW-06]],KH_26_OPT4_KTQT_v4[[#This Row],[HH-SL]]*KH_26_OPT4_KTQT_v4[[#This Row],[SL-06]])</f>
        <v>0</v>
      </c>
      <c r="CC70" s="47">
        <f>IF(KH_26_OPT4_KTQT_v4[[#This Row],[CPHH-%-SL]]="Dthu",KH_26_OPT4_KTQT_v4[[#This Row],[%HH]]*KH_26_OPT4_KTQT_v4[[#This Row],[DT-EXW-07]],KH_26_OPT4_KTQT_v4[[#This Row],[HH-SL]]*KH_26_OPT4_KTQT_v4[[#This Row],[SL-07]])</f>
        <v>0</v>
      </c>
      <c r="CD70" s="47">
        <f>IF(KH_26_OPT4_KTQT_v4[[#This Row],[CPHH-%-SL]]="Dthu",KH_26_OPT4_KTQT_v4[[#This Row],[%HH]]*KH_26_OPT4_KTQT_v4[[#This Row],[DT-EXW-08]],KH_26_OPT4_KTQT_v4[[#This Row],[HH-SL]]*KH_26_OPT4_KTQT_v4[[#This Row],[SL-08]])</f>
        <v>0</v>
      </c>
      <c r="CE70" s="47">
        <f>IF(KH_26_OPT4_KTQT_v4[[#This Row],[CPHH-%-SL]]="Dthu",KH_26_OPT4_KTQT_v4[[#This Row],[%HH]]*KH_26_OPT4_KTQT_v4[[#This Row],[DT-EXW-09]],KH_26_OPT4_KTQT_v4[[#This Row],[HH-SL]]*KH_26_OPT4_KTQT_v4[[#This Row],[SL-09]])</f>
        <v>0</v>
      </c>
      <c r="CF70" s="47">
        <f>IF(KH_26_OPT4_KTQT_v4[[#This Row],[CPHH-%-SL]]="Dthu",KH_26_OPT4_KTQT_v4[[#This Row],[%HH]]*KH_26_OPT4_KTQT_v4[[#This Row],[DT-EXW-10]],KH_26_OPT4_KTQT_v4[[#This Row],[HH-SL]]*KH_26_OPT4_KTQT_v4[[#This Row],[SL-10]])</f>
        <v>0</v>
      </c>
      <c r="CG70" s="47">
        <f>IF(KH_26_OPT4_KTQT_v4[[#This Row],[CPHH-%-SL]]="Dthu",KH_26_OPT4_KTQT_v4[[#This Row],[%HH]]*KH_26_OPT4_KTQT_v4[[#This Row],[DT-EXW-11]],KH_26_OPT4_KTQT_v4[[#This Row],[HH-SL]]*KH_26_OPT4_KTQT_v4[[#This Row],[SL-11]])</f>
        <v>0</v>
      </c>
      <c r="CH70" s="47">
        <f>IF(KH_26_OPT4_KTQT_v4[[#This Row],[CPHH-%-SL]]="Dthu",KH_26_OPT4_KTQT_v4[[#This Row],[%HH]]*KH_26_OPT4_KTQT_v4[[#This Row],[DT-EXW-12]],KH_26_OPT4_KTQT_v4[[#This Row],[HH-SL]]*KH_26_OPT4_KTQT_v4[[#This Row],[SL-12]])</f>
        <v>0</v>
      </c>
      <c r="CI70" s="47">
        <f ca="1">SUM(KH_26_OPT4_KTQT_v4[[#This Row],[CPHH-01]:[CPHH-12]])</f>
        <v>0</v>
      </c>
      <c r="CJ70" s="47" cm="1">
        <f t="array" ref="CJ70">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70" s="19">
        <f ca="1">SUM(KH_26_OPT4_KTQT_v4[[#This Row],[ĐGVCNĐ-KXK]:[ĐGVCCT-KXK]])</f>
        <v>0</v>
      </c>
      <c r="CL70" s="47" cm="1">
        <f t="array" ref="CL70">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70" s="47" cm="1">
        <f t="array" ref="CM70">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70" s="47">
        <f ca="1">(KH_26_OPT4_KTQT_v4[[#This Row],[ĐGVC-KNĐ]]+KH_26_OPT4_KTQT_v4[[#This Row],[ĐGVC-KXK]])*KH_26_OPT4_KTQT_v4[[#This Row],[SL-01]]</f>
        <v>0</v>
      </c>
      <c r="CO70" s="47">
        <f ca="1">(KH_26_OPT4_KTQT_v4[[#This Row],[ĐGVC-KNĐ]]+KH_26_OPT4_KTQT_v4[[#This Row],[ĐGVC-KXK]])*KH_26_OPT4_KTQT_v4[[#This Row],[SL-02]]</f>
        <v>0</v>
      </c>
      <c r="CP70" s="47">
        <f ca="1">(KH_26_OPT4_KTQT_v4[[#This Row],[ĐGVC-KNĐ]]+KH_26_OPT4_KTQT_v4[[#This Row],[ĐGVC-KXK]])*KH_26_OPT4_KTQT_v4[[#This Row],[SL-03]]</f>
        <v>0</v>
      </c>
      <c r="CQ70" s="47">
        <f ca="1">(KH_26_OPT4_KTQT_v4[[#This Row],[ĐGVC-KNĐ]]+KH_26_OPT4_KTQT_v4[[#This Row],[ĐGVC-KXK]])*KH_26_OPT4_KTQT_v4[[#This Row],[SL-04]]</f>
        <v>0</v>
      </c>
      <c r="CR70" s="47">
        <f ca="1">(KH_26_OPT4_KTQT_v4[[#This Row],[ĐGVC-KNĐ]]+KH_26_OPT4_KTQT_v4[[#This Row],[ĐGVC-KXK]])*KH_26_OPT4_KTQT_v4[[#This Row],[SL-05]]</f>
        <v>0</v>
      </c>
      <c r="CS70" s="47">
        <f ca="1">(KH_26_OPT4_KTQT_v4[[#This Row],[ĐGVC-KNĐ]]+KH_26_OPT4_KTQT_v4[[#This Row],[ĐGVC-KXK]])*KH_26_OPT4_KTQT_v4[[#This Row],[SL-06]]</f>
        <v>0</v>
      </c>
      <c r="CT70" s="47">
        <f ca="1">(KH_26_OPT4_KTQT_v4[[#This Row],[ĐGVC-KNĐ]]+KH_26_OPT4_KTQT_v4[[#This Row],[ĐGVC-KXK]])*KH_26_OPT4_KTQT_v4[[#This Row],[SL-07]]</f>
        <v>0</v>
      </c>
      <c r="CU70" s="47">
        <f ca="1">(KH_26_OPT4_KTQT_v4[[#This Row],[ĐGVC-KNĐ]]+KH_26_OPT4_KTQT_v4[[#This Row],[ĐGVC-KXK]])*KH_26_OPT4_KTQT_v4[[#This Row],[SL-08]]</f>
        <v>0</v>
      </c>
      <c r="CV70" s="47">
        <f ca="1">(KH_26_OPT4_KTQT_v4[[#This Row],[ĐGVC-KNĐ]]+KH_26_OPT4_KTQT_v4[[#This Row],[ĐGVC-KXK]])*KH_26_OPT4_KTQT_v4[[#This Row],[SL-09]]</f>
        <v>0</v>
      </c>
      <c r="CW70" s="47">
        <f ca="1">(KH_26_OPT4_KTQT_v4[[#This Row],[ĐGVC-KNĐ]]+KH_26_OPT4_KTQT_v4[[#This Row],[ĐGVC-KXK]])*KH_26_OPT4_KTQT_v4[[#This Row],[SL-10]]</f>
        <v>0</v>
      </c>
      <c r="CX70" s="47">
        <f ca="1">(KH_26_OPT4_KTQT_v4[[#This Row],[ĐGVC-KNĐ]]+KH_26_OPT4_KTQT_v4[[#This Row],[ĐGVC-KXK]])*KH_26_OPT4_KTQT_v4[[#This Row],[SL-11]]</f>
        <v>0</v>
      </c>
      <c r="CY70" s="47">
        <f ca="1">(KH_26_OPT4_KTQT_v4[[#This Row],[ĐGVC-KNĐ]]+KH_26_OPT4_KTQT_v4[[#This Row],[ĐGVC-KXK]])*KH_26_OPT4_KTQT_v4[[#This Row],[SL-12]]</f>
        <v>0</v>
      </c>
      <c r="CZ70" s="47">
        <f ca="1">SUM(KH_26_OPT4_KTQT_v4[[#This Row],[CPVC-01]:[CPVC-12]])</f>
        <v>0</v>
      </c>
      <c r="DA70" s="124">
        <f ca="1">KH_26_OPT4_KTQT_v4[[#This Row],[DT-EXW-01]]+KH_26_OPT4_KTQT_v4[[#This Row],[CPVC-01]]+KH_26_OPT4_KTQT_v4[[#This Row],[CPHH-01]]</f>
        <v>0</v>
      </c>
      <c r="DB70" s="47">
        <f ca="1">KH_26_OPT4_KTQT_v4[[#This Row],[DT-EXW-02]]+KH_26_OPT4_KTQT_v4[[#This Row],[CPVC-02]]+KH_26_OPT4_KTQT_v4[[#This Row],[CPHH-02]]</f>
        <v>670450000</v>
      </c>
      <c r="DC70" s="47">
        <f ca="1">KH_26_OPT4_KTQT_v4[[#This Row],[DT-EXW-03]]+KH_26_OPT4_KTQT_v4[[#This Row],[CPVC-03]]+KH_26_OPT4_KTQT_v4[[#This Row],[CPHH-03]]</f>
        <v>0</v>
      </c>
      <c r="DD70" s="47">
        <f ca="1">KH_26_OPT4_KTQT_v4[[#This Row],[DT-EXW-04]]+KH_26_OPT4_KTQT_v4[[#This Row],[CPVC-04]]+KH_26_OPT4_KTQT_v4[[#This Row],[CPHH-04]]</f>
        <v>670450000</v>
      </c>
      <c r="DE70" s="47">
        <f ca="1">KH_26_OPT4_KTQT_v4[[#This Row],[DT-EXW-05]]+KH_26_OPT4_KTQT_v4[[#This Row],[CPVC-05]]+KH_26_OPT4_KTQT_v4[[#This Row],[CPHH-05]]</f>
        <v>0</v>
      </c>
      <c r="DF70" s="47">
        <f ca="1">KH_26_OPT4_KTQT_v4[[#This Row],[DT-EXW-06]]+KH_26_OPT4_KTQT_v4[[#This Row],[CPVC-06]]+KH_26_OPT4_KTQT_v4[[#This Row],[CPHH-06]]</f>
        <v>670450000</v>
      </c>
      <c r="DG70" s="47">
        <f ca="1">KH_26_OPT4_KTQT_v4[[#This Row],[DT-EXW-07]]+KH_26_OPT4_KTQT_v4[[#This Row],[CPVC-07]]+KH_26_OPT4_KTQT_v4[[#This Row],[CPHH-07]]</f>
        <v>0</v>
      </c>
      <c r="DH70" s="47">
        <f ca="1">KH_26_OPT4_KTQT_v4[[#This Row],[DT-EXW-08]]+KH_26_OPT4_KTQT_v4[[#This Row],[CPVC-08]]+KH_26_OPT4_KTQT_v4[[#This Row],[CPHH-08]]</f>
        <v>670450000</v>
      </c>
      <c r="DI70" s="47">
        <f ca="1">KH_26_OPT4_KTQT_v4[[#This Row],[DT-EXW-09]]+KH_26_OPT4_KTQT_v4[[#This Row],[CPVC-09]]+KH_26_OPT4_KTQT_v4[[#This Row],[CPHH-09]]</f>
        <v>0</v>
      </c>
      <c r="DJ70" s="47">
        <f ca="1">KH_26_OPT4_KTQT_v4[[#This Row],[DT-EXW-10]]+KH_26_OPT4_KTQT_v4[[#This Row],[CPVC-10]]+KH_26_OPT4_KTQT_v4[[#This Row],[CPHH-10]]</f>
        <v>670450000</v>
      </c>
      <c r="DK70" s="47">
        <f ca="1">KH_26_OPT4_KTQT_v4[[#This Row],[DT-EXW-11]]+KH_26_OPT4_KTQT_v4[[#This Row],[CPVC-11]]+KH_26_OPT4_KTQT_v4[[#This Row],[CPHH-11]]</f>
        <v>0</v>
      </c>
      <c r="DL70" s="47">
        <f ca="1">KH_26_OPT4_KTQT_v4[[#This Row],[DT-EXW-12]]+KH_26_OPT4_KTQT_v4[[#This Row],[CPVC-12]]+KH_26_OPT4_KTQT_v4[[#This Row],[CPHH-12]]</f>
        <v>670450000</v>
      </c>
      <c r="DM70" s="47">
        <f ca="1">SUM(KH_26_OPT4_KTQT_v4[[#This Row],[DT-01]:[DT-12]])</f>
        <v>4022700000</v>
      </c>
      <c r="DN70" s="7"/>
      <c r="DO70" s="7"/>
      <c r="DP70" s="125"/>
      <c r="DQ70" s="136"/>
      <c r="DR70" s="132">
        <f>IFERROR(KH_26_OPT4_KTQT_v4[[#This Row],[DT-EXW-01]]*KH_26_OPT4_KTQT_v4[[#This Row],[%CPDP]],0)</f>
        <v>0</v>
      </c>
      <c r="DS70" s="132">
        <f>IFERROR(KH_26_OPT4_KTQT_v4[[#This Row],[DT-EXW-02]]*KH_26_OPT4_KTQT_v4[[#This Row],[%CPDP]],0)</f>
        <v>0</v>
      </c>
      <c r="DT70" s="132">
        <f>IFERROR(KH_26_OPT4_KTQT_v4[[#This Row],[DT-EXW-03]]*KH_26_OPT4_KTQT_v4[[#This Row],[%CPDP]],0)</f>
        <v>0</v>
      </c>
      <c r="DU70" s="132">
        <f>IFERROR(KH_26_OPT4_KTQT_v4[[#This Row],[DT-EXW-04]]*KH_26_OPT4_KTQT_v4[[#This Row],[%CPDP]],0)</f>
        <v>0</v>
      </c>
      <c r="DV70" s="132">
        <f>IFERROR(KH_26_OPT4_KTQT_v4[[#This Row],[DT-EXW-05]]*KH_26_OPT4_KTQT_v4[[#This Row],[%CPDP]],0)</f>
        <v>0</v>
      </c>
      <c r="DW70" s="132">
        <f>IFERROR(KH_26_OPT4_KTQT_v4[[#This Row],[DT-EXW-06]]*KH_26_OPT4_KTQT_v4[[#This Row],[%CPDP]],0)</f>
        <v>0</v>
      </c>
      <c r="DX70" s="132">
        <f>IFERROR(KH_26_OPT4_KTQT_v4[[#This Row],[DT-EXW-07]]*KH_26_OPT4_KTQT_v4[[#This Row],[%CPDP]],0)</f>
        <v>0</v>
      </c>
      <c r="DY70" s="132">
        <f>IFERROR(KH_26_OPT4_KTQT_v4[[#This Row],[DT-EXW-08]]*KH_26_OPT4_KTQT_v4[[#This Row],[%CPDP]],0)</f>
        <v>0</v>
      </c>
      <c r="DZ70" s="132">
        <f>IFERROR(KH_26_OPT4_KTQT_v4[[#This Row],[DT-EXW-09]]*KH_26_OPT4_KTQT_v4[[#This Row],[%CPDP]],0)</f>
        <v>0</v>
      </c>
      <c r="EA70" s="132">
        <f>IFERROR(KH_26_OPT4_KTQT_v4[[#This Row],[DT-EXW-10]]*KH_26_OPT4_KTQT_v4[[#This Row],[%CPDP]],0)</f>
        <v>0</v>
      </c>
      <c r="EB70" s="132">
        <f>IFERROR(KH_26_OPT4_KTQT_v4[[#This Row],[DT-EXW-11]]*KH_26_OPT4_KTQT_v4[[#This Row],[%CPDP]],0)</f>
        <v>0</v>
      </c>
      <c r="EC70" s="132">
        <f>IFERROR(KH_26_OPT4_KTQT_v4[[#This Row],[DT-EXW-12]]*KH_26_OPT4_KTQT_v4[[#This Row],[%CPDP]],0)</f>
        <v>0</v>
      </c>
      <c r="ED70" s="131">
        <f ca="1">SUM(KH_26_OPT4_KTQT_v4[[#This Row],[CPDP-01]:[CPDP-12]])</f>
        <v>0</v>
      </c>
    </row>
    <row r="71" spans="1:134" ht="14.65" hidden="1" customHeight="1" x14ac:dyDescent="0.35">
      <c r="A71" s="18">
        <v>66</v>
      </c>
      <c r="B71" s="71" t="s">
        <v>115</v>
      </c>
      <c r="C71" s="18" t="str">
        <f>IFERROR(_xlfn.XLOOKUP(KH_26_OPT4_KTQT_v4[[#This Row],[Salesman]],MD_Salesman[Salesman],MD_Salesman[SalesManager]),"")</f>
        <v>Quốc Anh</v>
      </c>
      <c r="D71" s="72" t="str">
        <f>IFERROR(INDEX(MD_Customer[Mã khách],MATCH(KH_26_OPT4_KTQT_v4[[#This Row],[Tên khách]],MD_Customer[Tên khách-rút gọn],0)),"")</f>
        <v>105323</v>
      </c>
      <c r="E71" s="7" t="str">
        <f>IFERROR(INDEX(MD_Customer[Parent Account],MATCH(KH_26_OPT4_KTQT_v4[[#This Row],[Tên khách]],MD_Customer[Tên khách-rút gọn],0)),"")</f>
        <v>ĐẠI LỤC</v>
      </c>
      <c r="F71" s="35" t="s">
        <v>26</v>
      </c>
      <c r="G71" s="7" t="str">
        <f>IFERROR(INDEX(MD_Customer[Phân loại],MATCH(KH_26_OPT4_KTQT_v4[[#This Row],[Tên khách]],MD_Customer[Tên khách-rút gọn],0)),"")</f>
        <v>Hiện hữu</v>
      </c>
      <c r="H71" s="7" t="str">
        <f>IFERROR(INDEX(MD_Customer[Kênh bán hàng],MATCH(KH_26_OPT4_KTQT_v4[[#This Row],[Tên khách]],MD_Customer[Tên khách-rút gọn],0)),"")</f>
        <v>Nội địa</v>
      </c>
      <c r="I71" s="35" t="s">
        <v>261</v>
      </c>
      <c r="J71" s="7" t="str">
        <f>IFERROR(INDEX(MD_Destination[Nước],MATCH(KH_26_OPT4_KTQT_v4[[#This Row],[Địa điểm đến]],MD_Destination[Địa điểm đến],0)),"")</f>
        <v>Việt Nam</v>
      </c>
      <c r="K71" s="7" t="str">
        <f>IFERROR(INDEX(MD_Destination[Khu vực],MATCH(KH_26_OPT4_KTQT_v4[[#This Row],[Địa điểm đến]],MD_Destination[Địa điểm đến],0)),"")</f>
        <v>Châu Á</v>
      </c>
      <c r="L71" s="35" t="s">
        <v>262</v>
      </c>
      <c r="M71" s="7" t="str">
        <f>IFERROR(INDEX(MD_SKU[Mã SKU],MATCH(KH_26_OPT4_KTQT_v4[[#This Row],[Tên sản phẩm]],MD_SKU[Tên SKU-rút gọn],0)),"")</f>
        <v>110000436</v>
      </c>
      <c r="N71" s="35" t="s">
        <v>484</v>
      </c>
      <c r="O71" s="7" t="str">
        <f>IFERROR(INDEX(MD_SKU[Ngành hàng],MATCH(KH_26_OPT4_KTQT_v4[[#This Row],[Tên sản phẩm]],MD_SKU[Tên SKU-rút gọn],0)),"")</f>
        <v>Xơ sợi</v>
      </c>
      <c r="P71" s="7" t="str">
        <f>IFERROR(INDEX(MD_SKU[Nhóm ngành],MATCH(KH_26_OPT4_KTQT_v4[[#This Row],[Tên sản phẩm]],MD_SKU[Tên SKU-rút gọn],0)),"")</f>
        <v>Hạt Xơ sợi</v>
      </c>
      <c r="Q71" s="7" t="str">
        <f>IFERROR(
   IF(INDEX(MD_SKU[IV/IM],MATCH(KH_26_OPT4_KTQT_v4[[#This Row],[Tên sản phẩm]],MD_SKU[Tên SKU-rút gọn],0))=0,
      "",
      INDEX(MD_SKU[IV/IM],MATCH(KH_26_OPT4_KTQT_v4[[#This Row],[Tên sản phẩm]],MD_SKU[Tên SKU-rút gọn],0))
   ),
"")</f>
        <v>0.55 ± 0.05</v>
      </c>
      <c r="R71" s="44">
        <f>IFERROR(INDEX(MD_SKU[Application],MATCH(KH_26_OPT4_KTQT_v4[[#This Row],[Tên sản phẩm]],MD_SKU[Tên SKU-rút gọn],0)),"")</f>
        <v>0</v>
      </c>
      <c r="S71" s="7" t="str">
        <f>IFERROR(INDEX(MD_SKU[Phân loại],MATCH(KH_26_OPT4_KTQT_v4[[#This Row],[Tên sản phẩm]],MD_SKU[Tên SKU-rút gọn],0)),"")</f>
        <v>Cũ</v>
      </c>
      <c r="T71" s="7" t="s">
        <v>26</v>
      </c>
      <c r="U71" s="157" t="s">
        <v>1508</v>
      </c>
      <c r="V71" s="70">
        <v>0.8</v>
      </c>
      <c r="W71" s="33"/>
      <c r="X71" s="33"/>
      <c r="Y71" s="33"/>
      <c r="Z71" s="33"/>
      <c r="AA71" s="33"/>
      <c r="AB71" s="33"/>
      <c r="AC71" s="33"/>
      <c r="AD71" s="33"/>
      <c r="AE71" s="33"/>
      <c r="AF71" s="33"/>
      <c r="AG71" s="33"/>
      <c r="AH71" s="33"/>
      <c r="AI71" s="47">
        <f ca="1">SUM(KH_26_OPT4_KTQT_v4[[#This Row],[SL-01]:[SL-12]])</f>
        <v>0</v>
      </c>
      <c r="AJ71" s="47">
        <f ca="1">SUMIFS(DB_25[SL-DB25],DB_25[Mã khách],KH_26_OPT4_KTQT_v4[[#This Row],[Mã khách]],DB_25[Mã sản phẩm],KH_26_OPT4_KTQT_v4[[#This Row],[Mã sản phẩm]])</f>
        <v>11</v>
      </c>
      <c r="AK71" s="20">
        <f ca="1">KH_26_OPT4_KTQT_v4[[#This Row],[SL-KH26]]-KH_26_OPT4_KTQT_v4[[#This Row],[SL-DB25]]</f>
        <v>-11</v>
      </c>
      <c r="AL71" s="21">
        <f ca="1">IFERROR(KH_26_OPT4_KTQT_v4[[#This Row],[SL-+/-]]/KH_26_OPT4_KTQT_v4[[#This Row],[SL-DB25]],0)</f>
        <v>-1</v>
      </c>
      <c r="AM71" s="51">
        <v>640</v>
      </c>
      <c r="AN71" s="51">
        <v>632</v>
      </c>
      <c r="AO71" s="51">
        <v>624</v>
      </c>
      <c r="AP71" s="51">
        <v>616</v>
      </c>
      <c r="AQ71" s="51">
        <v>608</v>
      </c>
      <c r="AR71" s="51">
        <v>600</v>
      </c>
      <c r="AS71" s="51">
        <v>592</v>
      </c>
      <c r="AT71" s="51">
        <v>584</v>
      </c>
      <c r="AU71" s="51">
        <v>576</v>
      </c>
      <c r="AV71" s="51">
        <v>568</v>
      </c>
      <c r="AW71" s="51">
        <v>560</v>
      </c>
      <c r="AX71" s="51">
        <v>552</v>
      </c>
      <c r="AY71" s="23">
        <v>596</v>
      </c>
      <c r="AZ71" s="7"/>
      <c r="BA71" s="24">
        <f>KH_26_OPT4_KTQT_v4[[#This Row],[GB-DB25]]-KH_26_OPT4_KTQT_v4[[#This Row],[GB-KH25]]</f>
        <v>596</v>
      </c>
      <c r="BB71" s="21">
        <f>IFERROR(KH_26_OPT4_KTQT_v4[[#This Row],[GB-+/-]]/KH_26_OPT4_KTQT_v4[[#This Row],[GB-KH25]],0)</f>
        <v>0</v>
      </c>
      <c r="BC71" s="21"/>
      <c r="BD71" s="47">
        <f>KH_26_OPT4_KTQT_v4[[#This Row],[SL-01]]*KH_26_OPT4_KTQT_v4[[#This Row],[GB-01]]*EXR</f>
        <v>0</v>
      </c>
      <c r="BE71" s="47">
        <f>KH_26_OPT4_KTQT_v4[[#This Row],[SL-02]]*KH_26_OPT4_KTQT_v4[[#This Row],[GB-02]]*EXR</f>
        <v>0</v>
      </c>
      <c r="BF71" s="47">
        <f>KH_26_OPT4_KTQT_v4[[#This Row],[SL-03]]*KH_26_OPT4_KTQT_v4[[#This Row],[GB-03]]*EXR</f>
        <v>0</v>
      </c>
      <c r="BG71" s="47">
        <f>KH_26_OPT4_KTQT_v4[[#This Row],[SL-04]]*KH_26_OPT4_KTQT_v4[[#This Row],[GB-04]]*EXR</f>
        <v>0</v>
      </c>
      <c r="BH71" s="47">
        <f>KH_26_OPT4_KTQT_v4[[#This Row],[SL-05]]*KH_26_OPT4_KTQT_v4[[#This Row],[GB-05]]*EXR</f>
        <v>0</v>
      </c>
      <c r="BI71" s="47">
        <f>KH_26_OPT4_KTQT_v4[[#This Row],[SL-06]]*KH_26_OPT4_KTQT_v4[[#This Row],[GB-06]]*EXR</f>
        <v>0</v>
      </c>
      <c r="BJ71" s="47">
        <f>KH_26_OPT4_KTQT_v4[[#This Row],[SL-07]]*KH_26_OPT4_KTQT_v4[[#This Row],[GB-07]]*EXR</f>
        <v>0</v>
      </c>
      <c r="BK71" s="47">
        <f>KH_26_OPT4_KTQT_v4[[#This Row],[SL-08]]*KH_26_OPT4_KTQT_v4[[#This Row],[GB-08]]*EXR</f>
        <v>0</v>
      </c>
      <c r="BL71" s="47">
        <f>KH_26_OPT4_KTQT_v4[[#This Row],[SL-09]]*KH_26_OPT4_KTQT_v4[[#This Row],[GB-09]]*EXR</f>
        <v>0</v>
      </c>
      <c r="BM71" s="47">
        <f>KH_26_OPT4_KTQT_v4[[#This Row],[SL-10]]*KH_26_OPT4_KTQT_v4[[#This Row],[GB-10]]*EXR</f>
        <v>0</v>
      </c>
      <c r="BN71" s="47">
        <f>KH_26_OPT4_KTQT_v4[[#This Row],[SL-11]]*KH_26_OPT4_KTQT_v4[[#This Row],[GB-11]]*EXR</f>
        <v>0</v>
      </c>
      <c r="BO71" s="47">
        <f>KH_26_OPT4_KTQT_v4[[#This Row],[SL-12]]*KH_26_OPT4_KTQT_v4[[#This Row],[GB-12]]*EXR</f>
        <v>0</v>
      </c>
      <c r="BP71" s="47">
        <f ca="1">SUM(KH_26_OPT4_KTQT_v4[[#This Row],[DT-EXW-01]:[DT-EXW-12]])</f>
        <v>0</v>
      </c>
      <c r="BQ71" s="47">
        <f ca="1">SUMIFS(DB_25[DT-DB25],DB_25[Mã khách],KH_26_OPT4_KTQT_v4[[#This Row],[Mã khách]],DB_25[Mã sản phẩm],KH_26_OPT4_KTQT_v4[[#This Row],[Mã sản phẩm]])</f>
        <v>193210018.66353852</v>
      </c>
      <c r="BR71" s="47">
        <f ca="1">KH_26_OPT4_KTQT_v4[[#This Row],[DT-EXW-KH26]]-KH_26_OPT4_KTQT_v4[[#This Row],[DT-EXW-DB25]]</f>
        <v>-193210018.66353852</v>
      </c>
      <c r="BS71" s="21">
        <f ca="1">IFERROR(KH_26_OPT4_KTQT_v4[[#This Row],[DT-EXW-+/-]]/KH_26_OPT4_KTQT_v4[[#This Row],[DT-EXW-DB25]],0)</f>
        <v>-1</v>
      </c>
      <c r="BT71" s="139"/>
      <c r="BU71" s="57"/>
      <c r="BV71" s="51"/>
      <c r="BW71" s="47">
        <f>IF(KH_26_OPT4_KTQT_v4[[#This Row],[CPHH-%-SL]]="Dthu",KH_26_OPT4_KTQT_v4[[#This Row],[%HH]]*KH_26_OPT4_KTQT_v4[[#This Row],[DT-EXW-01]],KH_26_OPT4_KTQT_v4[[#This Row],[HH-SL]]*KH_26_OPT4_KTQT_v4[[#This Row],[SL-01]])</f>
        <v>0</v>
      </c>
      <c r="BX71" s="47">
        <f>IF(KH_26_OPT4_KTQT_v4[[#This Row],[CPHH-%-SL]]="Dthu",KH_26_OPT4_KTQT_v4[[#This Row],[%HH]]*KH_26_OPT4_KTQT_v4[[#This Row],[DT-EXW-02]],KH_26_OPT4_KTQT_v4[[#This Row],[HH-SL]]*KH_26_OPT4_KTQT_v4[[#This Row],[SL-02]])</f>
        <v>0</v>
      </c>
      <c r="BY71" s="47">
        <f>IF(KH_26_OPT4_KTQT_v4[[#This Row],[CPHH-%-SL]]="Dthu",KH_26_OPT4_KTQT_v4[[#This Row],[%HH]]*KH_26_OPT4_KTQT_v4[[#This Row],[DT-EXW-03]],KH_26_OPT4_KTQT_v4[[#This Row],[HH-SL]]*KH_26_OPT4_KTQT_v4[[#This Row],[SL-03]])</f>
        <v>0</v>
      </c>
      <c r="BZ71" s="47">
        <f>IF(KH_26_OPT4_KTQT_v4[[#This Row],[CPHH-%-SL]]="Dthu",KH_26_OPT4_KTQT_v4[[#This Row],[%HH]]*KH_26_OPT4_KTQT_v4[[#This Row],[DT-EXW-04]],KH_26_OPT4_KTQT_v4[[#This Row],[HH-SL]]*KH_26_OPT4_KTQT_v4[[#This Row],[SL-04]])</f>
        <v>0</v>
      </c>
      <c r="CA71" s="47">
        <f>IF(KH_26_OPT4_KTQT_v4[[#This Row],[CPHH-%-SL]]="Dthu",KH_26_OPT4_KTQT_v4[[#This Row],[%HH]]*KH_26_OPT4_KTQT_v4[[#This Row],[DT-EXW-05]],KH_26_OPT4_KTQT_v4[[#This Row],[HH-SL]]*KH_26_OPT4_KTQT_v4[[#This Row],[SL-05]])</f>
        <v>0</v>
      </c>
      <c r="CB71" s="47">
        <f>IF(KH_26_OPT4_KTQT_v4[[#This Row],[CPHH-%-SL]]="Dthu",KH_26_OPT4_KTQT_v4[[#This Row],[%HH]]*KH_26_OPT4_KTQT_v4[[#This Row],[DT-EXW-06]],KH_26_OPT4_KTQT_v4[[#This Row],[HH-SL]]*KH_26_OPT4_KTQT_v4[[#This Row],[SL-06]])</f>
        <v>0</v>
      </c>
      <c r="CC71" s="47">
        <f>IF(KH_26_OPT4_KTQT_v4[[#This Row],[CPHH-%-SL]]="Dthu",KH_26_OPT4_KTQT_v4[[#This Row],[%HH]]*KH_26_OPT4_KTQT_v4[[#This Row],[DT-EXW-07]],KH_26_OPT4_KTQT_v4[[#This Row],[HH-SL]]*KH_26_OPT4_KTQT_v4[[#This Row],[SL-07]])</f>
        <v>0</v>
      </c>
      <c r="CD71" s="47">
        <f>IF(KH_26_OPT4_KTQT_v4[[#This Row],[CPHH-%-SL]]="Dthu",KH_26_OPT4_KTQT_v4[[#This Row],[%HH]]*KH_26_OPT4_KTQT_v4[[#This Row],[DT-EXW-08]],KH_26_OPT4_KTQT_v4[[#This Row],[HH-SL]]*KH_26_OPT4_KTQT_v4[[#This Row],[SL-08]])</f>
        <v>0</v>
      </c>
      <c r="CE71" s="47">
        <f>IF(KH_26_OPT4_KTQT_v4[[#This Row],[CPHH-%-SL]]="Dthu",KH_26_OPT4_KTQT_v4[[#This Row],[%HH]]*KH_26_OPT4_KTQT_v4[[#This Row],[DT-EXW-09]],KH_26_OPT4_KTQT_v4[[#This Row],[HH-SL]]*KH_26_OPT4_KTQT_v4[[#This Row],[SL-09]])</f>
        <v>0</v>
      </c>
      <c r="CF71" s="47">
        <f>IF(KH_26_OPT4_KTQT_v4[[#This Row],[CPHH-%-SL]]="Dthu",KH_26_OPT4_KTQT_v4[[#This Row],[%HH]]*KH_26_OPT4_KTQT_v4[[#This Row],[DT-EXW-10]],KH_26_OPT4_KTQT_v4[[#This Row],[HH-SL]]*KH_26_OPT4_KTQT_v4[[#This Row],[SL-10]])</f>
        <v>0</v>
      </c>
      <c r="CG71" s="47">
        <f>IF(KH_26_OPT4_KTQT_v4[[#This Row],[CPHH-%-SL]]="Dthu",KH_26_OPT4_KTQT_v4[[#This Row],[%HH]]*KH_26_OPT4_KTQT_v4[[#This Row],[DT-EXW-11]],KH_26_OPT4_KTQT_v4[[#This Row],[HH-SL]]*KH_26_OPT4_KTQT_v4[[#This Row],[SL-11]])</f>
        <v>0</v>
      </c>
      <c r="CH71" s="47">
        <f>IF(KH_26_OPT4_KTQT_v4[[#This Row],[CPHH-%-SL]]="Dthu",KH_26_OPT4_KTQT_v4[[#This Row],[%HH]]*KH_26_OPT4_KTQT_v4[[#This Row],[DT-EXW-12]],KH_26_OPT4_KTQT_v4[[#This Row],[HH-SL]]*KH_26_OPT4_KTQT_v4[[#This Row],[SL-12]])</f>
        <v>0</v>
      </c>
      <c r="CI71" s="47">
        <f ca="1">SUM(KH_26_OPT4_KTQT_v4[[#This Row],[CPHH-01]:[CPHH-12]])</f>
        <v>0</v>
      </c>
      <c r="CJ71" s="47" cm="1">
        <f t="array" ref="CJ71">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71" s="19">
        <f ca="1">SUM(KH_26_OPT4_KTQT_v4[[#This Row],[ĐGVCNĐ-KXK]:[ĐGVCCT-KXK]])</f>
        <v>0</v>
      </c>
      <c r="CL71" s="47" cm="1">
        <f t="array" ref="CL71">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71" s="47" cm="1">
        <f t="array" ref="CM71">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71" s="47">
        <f ca="1">(KH_26_OPT4_KTQT_v4[[#This Row],[ĐGVC-KNĐ]]+KH_26_OPT4_KTQT_v4[[#This Row],[ĐGVC-KXK]])*KH_26_OPT4_KTQT_v4[[#This Row],[SL-01]]</f>
        <v>0</v>
      </c>
      <c r="CO71" s="47">
        <f ca="1">(KH_26_OPT4_KTQT_v4[[#This Row],[ĐGVC-KNĐ]]+KH_26_OPT4_KTQT_v4[[#This Row],[ĐGVC-KXK]])*KH_26_OPT4_KTQT_v4[[#This Row],[SL-02]]</f>
        <v>0</v>
      </c>
      <c r="CP71" s="47">
        <f ca="1">(KH_26_OPT4_KTQT_v4[[#This Row],[ĐGVC-KNĐ]]+KH_26_OPT4_KTQT_v4[[#This Row],[ĐGVC-KXK]])*KH_26_OPT4_KTQT_v4[[#This Row],[SL-03]]</f>
        <v>0</v>
      </c>
      <c r="CQ71" s="47">
        <f ca="1">(KH_26_OPT4_KTQT_v4[[#This Row],[ĐGVC-KNĐ]]+KH_26_OPT4_KTQT_v4[[#This Row],[ĐGVC-KXK]])*KH_26_OPT4_KTQT_v4[[#This Row],[SL-04]]</f>
        <v>0</v>
      </c>
      <c r="CR71" s="47">
        <f ca="1">(KH_26_OPT4_KTQT_v4[[#This Row],[ĐGVC-KNĐ]]+KH_26_OPT4_KTQT_v4[[#This Row],[ĐGVC-KXK]])*KH_26_OPT4_KTQT_v4[[#This Row],[SL-05]]</f>
        <v>0</v>
      </c>
      <c r="CS71" s="47">
        <f ca="1">(KH_26_OPT4_KTQT_v4[[#This Row],[ĐGVC-KNĐ]]+KH_26_OPT4_KTQT_v4[[#This Row],[ĐGVC-KXK]])*KH_26_OPT4_KTQT_v4[[#This Row],[SL-06]]</f>
        <v>0</v>
      </c>
      <c r="CT71" s="47">
        <f ca="1">(KH_26_OPT4_KTQT_v4[[#This Row],[ĐGVC-KNĐ]]+KH_26_OPT4_KTQT_v4[[#This Row],[ĐGVC-KXK]])*KH_26_OPT4_KTQT_v4[[#This Row],[SL-07]]</f>
        <v>0</v>
      </c>
      <c r="CU71" s="47">
        <f ca="1">(KH_26_OPT4_KTQT_v4[[#This Row],[ĐGVC-KNĐ]]+KH_26_OPT4_KTQT_v4[[#This Row],[ĐGVC-KXK]])*KH_26_OPT4_KTQT_v4[[#This Row],[SL-08]]</f>
        <v>0</v>
      </c>
      <c r="CV71" s="47">
        <f ca="1">(KH_26_OPT4_KTQT_v4[[#This Row],[ĐGVC-KNĐ]]+KH_26_OPT4_KTQT_v4[[#This Row],[ĐGVC-KXK]])*KH_26_OPT4_KTQT_v4[[#This Row],[SL-09]]</f>
        <v>0</v>
      </c>
      <c r="CW71" s="47">
        <f ca="1">(KH_26_OPT4_KTQT_v4[[#This Row],[ĐGVC-KNĐ]]+KH_26_OPT4_KTQT_v4[[#This Row],[ĐGVC-KXK]])*KH_26_OPT4_KTQT_v4[[#This Row],[SL-10]]</f>
        <v>0</v>
      </c>
      <c r="CX71" s="47">
        <f ca="1">(KH_26_OPT4_KTQT_v4[[#This Row],[ĐGVC-KNĐ]]+KH_26_OPT4_KTQT_v4[[#This Row],[ĐGVC-KXK]])*KH_26_OPT4_KTQT_v4[[#This Row],[SL-11]]</f>
        <v>0</v>
      </c>
      <c r="CY71" s="47">
        <f ca="1">(KH_26_OPT4_KTQT_v4[[#This Row],[ĐGVC-KNĐ]]+KH_26_OPT4_KTQT_v4[[#This Row],[ĐGVC-KXK]])*KH_26_OPT4_KTQT_v4[[#This Row],[SL-12]]</f>
        <v>0</v>
      </c>
      <c r="CZ71" s="47">
        <f ca="1">SUM(KH_26_OPT4_KTQT_v4[[#This Row],[CPVC-01]:[CPVC-12]])</f>
        <v>0</v>
      </c>
      <c r="DA71" s="124">
        <f ca="1">KH_26_OPT4_KTQT_v4[[#This Row],[DT-EXW-01]]+KH_26_OPT4_KTQT_v4[[#This Row],[CPVC-01]]+KH_26_OPT4_KTQT_v4[[#This Row],[CPHH-01]]</f>
        <v>0</v>
      </c>
      <c r="DB71" s="47">
        <f ca="1">KH_26_OPT4_KTQT_v4[[#This Row],[DT-EXW-02]]+KH_26_OPT4_KTQT_v4[[#This Row],[CPVC-02]]+KH_26_OPT4_KTQT_v4[[#This Row],[CPHH-02]]</f>
        <v>0</v>
      </c>
      <c r="DC71" s="47">
        <f ca="1">KH_26_OPT4_KTQT_v4[[#This Row],[DT-EXW-03]]+KH_26_OPT4_KTQT_v4[[#This Row],[CPVC-03]]+KH_26_OPT4_KTQT_v4[[#This Row],[CPHH-03]]</f>
        <v>0</v>
      </c>
      <c r="DD71" s="47">
        <f ca="1">KH_26_OPT4_KTQT_v4[[#This Row],[DT-EXW-04]]+KH_26_OPT4_KTQT_v4[[#This Row],[CPVC-04]]+KH_26_OPT4_KTQT_v4[[#This Row],[CPHH-04]]</f>
        <v>0</v>
      </c>
      <c r="DE71" s="47">
        <f ca="1">KH_26_OPT4_KTQT_v4[[#This Row],[DT-EXW-05]]+KH_26_OPT4_KTQT_v4[[#This Row],[CPVC-05]]+KH_26_OPT4_KTQT_v4[[#This Row],[CPHH-05]]</f>
        <v>0</v>
      </c>
      <c r="DF71" s="47">
        <f ca="1">KH_26_OPT4_KTQT_v4[[#This Row],[DT-EXW-06]]+KH_26_OPT4_KTQT_v4[[#This Row],[CPVC-06]]+KH_26_OPT4_KTQT_v4[[#This Row],[CPHH-06]]</f>
        <v>0</v>
      </c>
      <c r="DG71" s="47">
        <f ca="1">KH_26_OPT4_KTQT_v4[[#This Row],[DT-EXW-07]]+KH_26_OPT4_KTQT_v4[[#This Row],[CPVC-07]]+KH_26_OPT4_KTQT_v4[[#This Row],[CPHH-07]]</f>
        <v>0</v>
      </c>
      <c r="DH71" s="47">
        <f ca="1">KH_26_OPT4_KTQT_v4[[#This Row],[DT-EXW-08]]+KH_26_OPT4_KTQT_v4[[#This Row],[CPVC-08]]+KH_26_OPT4_KTQT_v4[[#This Row],[CPHH-08]]</f>
        <v>0</v>
      </c>
      <c r="DI71" s="47">
        <f ca="1">KH_26_OPT4_KTQT_v4[[#This Row],[DT-EXW-09]]+KH_26_OPT4_KTQT_v4[[#This Row],[CPVC-09]]+KH_26_OPT4_KTQT_v4[[#This Row],[CPHH-09]]</f>
        <v>0</v>
      </c>
      <c r="DJ71" s="47">
        <f ca="1">KH_26_OPT4_KTQT_v4[[#This Row],[DT-EXW-10]]+KH_26_OPT4_KTQT_v4[[#This Row],[CPVC-10]]+KH_26_OPT4_KTQT_v4[[#This Row],[CPHH-10]]</f>
        <v>0</v>
      </c>
      <c r="DK71" s="47">
        <f ca="1">KH_26_OPT4_KTQT_v4[[#This Row],[DT-EXW-11]]+KH_26_OPT4_KTQT_v4[[#This Row],[CPVC-11]]+KH_26_OPT4_KTQT_v4[[#This Row],[CPHH-11]]</f>
        <v>0</v>
      </c>
      <c r="DL71" s="47">
        <f ca="1">KH_26_OPT4_KTQT_v4[[#This Row],[DT-EXW-12]]+KH_26_OPT4_KTQT_v4[[#This Row],[CPVC-12]]+KH_26_OPT4_KTQT_v4[[#This Row],[CPHH-12]]</f>
        <v>0</v>
      </c>
      <c r="DM71" s="47">
        <f ca="1">SUM(KH_26_OPT4_KTQT_v4[[#This Row],[DT-01]:[DT-12]])</f>
        <v>0</v>
      </c>
      <c r="DN71" s="7"/>
      <c r="DO71" s="7"/>
      <c r="DP71" s="125"/>
      <c r="DQ71" s="136"/>
      <c r="DR71" s="132">
        <f>IFERROR(KH_26_OPT4_KTQT_v4[[#This Row],[DT-EXW-01]]*KH_26_OPT4_KTQT_v4[[#This Row],[%CPDP]],0)</f>
        <v>0</v>
      </c>
      <c r="DS71" s="132">
        <f>IFERROR(KH_26_OPT4_KTQT_v4[[#This Row],[DT-EXW-02]]*KH_26_OPT4_KTQT_v4[[#This Row],[%CPDP]],0)</f>
        <v>0</v>
      </c>
      <c r="DT71" s="132">
        <f>IFERROR(KH_26_OPT4_KTQT_v4[[#This Row],[DT-EXW-03]]*KH_26_OPT4_KTQT_v4[[#This Row],[%CPDP]],0)</f>
        <v>0</v>
      </c>
      <c r="DU71" s="132">
        <f>IFERROR(KH_26_OPT4_KTQT_v4[[#This Row],[DT-EXW-04]]*KH_26_OPT4_KTQT_v4[[#This Row],[%CPDP]],0)</f>
        <v>0</v>
      </c>
      <c r="DV71" s="132">
        <f>IFERROR(KH_26_OPT4_KTQT_v4[[#This Row],[DT-EXW-05]]*KH_26_OPT4_KTQT_v4[[#This Row],[%CPDP]],0)</f>
        <v>0</v>
      </c>
      <c r="DW71" s="132">
        <f>IFERROR(KH_26_OPT4_KTQT_v4[[#This Row],[DT-EXW-06]]*KH_26_OPT4_KTQT_v4[[#This Row],[%CPDP]],0)</f>
        <v>0</v>
      </c>
      <c r="DX71" s="132">
        <f>IFERROR(KH_26_OPT4_KTQT_v4[[#This Row],[DT-EXW-07]]*KH_26_OPT4_KTQT_v4[[#This Row],[%CPDP]],0)</f>
        <v>0</v>
      </c>
      <c r="DY71" s="132">
        <f>IFERROR(KH_26_OPT4_KTQT_v4[[#This Row],[DT-EXW-08]]*KH_26_OPT4_KTQT_v4[[#This Row],[%CPDP]],0)</f>
        <v>0</v>
      </c>
      <c r="DZ71" s="132">
        <f>IFERROR(KH_26_OPT4_KTQT_v4[[#This Row],[DT-EXW-09]]*KH_26_OPT4_KTQT_v4[[#This Row],[%CPDP]],0)</f>
        <v>0</v>
      </c>
      <c r="EA71" s="132">
        <f>IFERROR(KH_26_OPT4_KTQT_v4[[#This Row],[DT-EXW-10]]*KH_26_OPT4_KTQT_v4[[#This Row],[%CPDP]],0)</f>
        <v>0</v>
      </c>
      <c r="EB71" s="132">
        <f>IFERROR(KH_26_OPT4_KTQT_v4[[#This Row],[DT-EXW-11]]*KH_26_OPT4_KTQT_v4[[#This Row],[%CPDP]],0)</f>
        <v>0</v>
      </c>
      <c r="EC71" s="132">
        <f>IFERROR(KH_26_OPT4_KTQT_v4[[#This Row],[DT-EXW-12]]*KH_26_OPT4_KTQT_v4[[#This Row],[%CPDP]],0)</f>
        <v>0</v>
      </c>
      <c r="ED71" s="131">
        <f ca="1">SUM(KH_26_OPT4_KTQT_v4[[#This Row],[CPDP-01]:[CPDP-12]])</f>
        <v>0</v>
      </c>
    </row>
    <row r="72" spans="1:134" ht="14.65" hidden="1" customHeight="1" x14ac:dyDescent="0.35">
      <c r="A72" s="18">
        <v>67</v>
      </c>
      <c r="B72" s="71" t="s">
        <v>115</v>
      </c>
      <c r="C72" s="18" t="str">
        <f>IFERROR(_xlfn.XLOOKUP(KH_26_OPT4_KTQT_v4[[#This Row],[Salesman]],MD_Salesman[Salesman],MD_Salesman[SalesManager]),"")</f>
        <v>Quốc Anh</v>
      </c>
      <c r="D72" s="72" t="str">
        <f>IFERROR(INDEX(MD_Customer[Mã khách],MATCH(KH_26_OPT4_KTQT_v4[[#This Row],[Tên khách]],MD_Customer[Tên khách-rút gọn],0)),"")</f>
        <v>105359</v>
      </c>
      <c r="E72" s="7" t="str">
        <f>IFERROR(INDEX(MD_Customer[Parent Account],MATCH(KH_26_OPT4_KTQT_v4[[#This Row],[Tên khách]],MD_Customer[Tên khách-rút gọn],0)),"")</f>
        <v>THẠC HƯƠNG</v>
      </c>
      <c r="F72" s="35" t="s">
        <v>54</v>
      </c>
      <c r="G72" s="7" t="str">
        <f>IFERROR(INDEX(MD_Customer[Phân loại],MATCH(KH_26_OPT4_KTQT_v4[[#This Row],[Tên khách]],MD_Customer[Tên khách-rút gọn],0)),"")</f>
        <v>Hiện hữu</v>
      </c>
      <c r="H72" s="7" t="str">
        <f>IFERROR(INDEX(MD_Customer[Kênh bán hàng],MATCH(KH_26_OPT4_KTQT_v4[[#This Row],[Tên khách]],MD_Customer[Tên khách-rút gọn],0)),"")</f>
        <v>Nội địa</v>
      </c>
      <c r="I72" s="35" t="s">
        <v>268</v>
      </c>
      <c r="J72" s="7" t="str">
        <f>IFERROR(INDEX(MD_Destination[Nước],MATCH(KH_26_OPT4_KTQT_v4[[#This Row],[Địa điểm đến]],MD_Destination[Địa điểm đến],0)),"")</f>
        <v>Việt Nam</v>
      </c>
      <c r="K72" s="7" t="str">
        <f>IFERROR(INDEX(MD_Destination[Khu vực],MATCH(KH_26_OPT4_KTQT_v4[[#This Row],[Địa điểm đến]],MD_Destination[Địa điểm đến],0)),"")</f>
        <v>Châu Á</v>
      </c>
      <c r="L72" s="35" t="s">
        <v>260</v>
      </c>
      <c r="M72" s="7" t="str">
        <f>IFERROR(INDEX(MD_SKU[Mã SKU],MATCH(KH_26_OPT4_KTQT_v4[[#This Row],[Tên sản phẩm]],MD_SKU[Tên SKU-rút gọn],0)),"")</f>
        <v>110000341</v>
      </c>
      <c r="N72" s="35" t="s">
        <v>486</v>
      </c>
      <c r="O72" s="7" t="str">
        <f>IFERROR(INDEX(MD_SKU[Ngành hàng],MATCH(KH_26_OPT4_KTQT_v4[[#This Row],[Tên sản phẩm]],MD_SKU[Tên SKU-rút gọn],0)),"")</f>
        <v>rHDPE thổi</v>
      </c>
      <c r="P72" s="7" t="str">
        <f>IFERROR(INDEX(MD_SKU[Nhóm ngành],MATCH(KH_26_OPT4_KTQT_v4[[#This Row],[Tên sản phẩm]],MD_SKU[Tên SKU-rút gọn],0)),"")</f>
        <v>Hạt HD thổi</v>
      </c>
      <c r="Q72" s="7" t="str">
        <f>IFERROR(
   IF(INDEX(MD_SKU[IV/IM],MATCH(KH_26_OPT4_KTQT_v4[[#This Row],[Tên sản phẩm]],MD_SKU[Tên SKU-rút gọn],0))=0,
      "",
      INDEX(MD_SKU[IV/IM],MATCH(KH_26_OPT4_KTQT_v4[[#This Row],[Tên sản phẩm]],MD_SKU[Tên SKU-rút gọn],0))
   ),
"")</f>
        <v/>
      </c>
      <c r="R72" s="44" t="str">
        <f>IFERROR(INDEX(MD_SKU[Application],MATCH(KH_26_OPT4_KTQT_v4[[#This Row],[Tên sản phẩm]],MD_SKU[Tên SKU-rút gọn],0)),"")</f>
        <v>THỔI ỐNG</v>
      </c>
      <c r="S72" s="7" t="str">
        <f>IFERROR(INDEX(MD_SKU[Phân loại],MATCH(KH_26_OPT4_KTQT_v4[[#This Row],[Tên sản phẩm]],MD_SKU[Tên SKU-rút gọn],0)),"")</f>
        <v>Cũ</v>
      </c>
      <c r="T72" s="7" t="s">
        <v>542</v>
      </c>
      <c r="U72" s="7" t="s">
        <v>1508</v>
      </c>
      <c r="V72" s="70">
        <v>0.8</v>
      </c>
      <c r="W72" s="33"/>
      <c r="X72" s="33"/>
      <c r="Y72" s="33"/>
      <c r="Z72" s="33"/>
      <c r="AA72" s="33"/>
      <c r="AB72" s="33"/>
      <c r="AC72" s="33"/>
      <c r="AD72" s="33"/>
      <c r="AE72" s="33"/>
      <c r="AF72" s="33"/>
      <c r="AG72" s="33"/>
      <c r="AH72" s="33"/>
      <c r="AI72" s="47">
        <f ca="1">SUM(KH_26_OPT4_KTQT_v4[[#This Row],[SL-01]:[SL-12]])</f>
        <v>0</v>
      </c>
      <c r="AJ72" s="47">
        <f ca="1">SUMIFS(DB_25[SL-DB25],DB_25[Mã khách],KH_26_OPT4_KTQT_v4[[#This Row],[Mã khách]],DB_25[Mã sản phẩm],KH_26_OPT4_KTQT_v4[[#This Row],[Mã sản phẩm]])</f>
        <v>1.375</v>
      </c>
      <c r="AK72" s="20">
        <f ca="1">KH_26_OPT4_KTQT_v4[[#This Row],[SL-KH26]]-KH_26_OPT4_KTQT_v4[[#This Row],[SL-DB25]]</f>
        <v>-1.375</v>
      </c>
      <c r="AL72" s="21">
        <f ca="1">IFERROR(KH_26_OPT4_KTQT_v4[[#This Row],[SL-+/-]]/KH_26_OPT4_KTQT_v4[[#This Row],[SL-DB25]],0)</f>
        <v>-1</v>
      </c>
      <c r="AM72" s="51">
        <v>600</v>
      </c>
      <c r="AN72" s="51">
        <v>600</v>
      </c>
      <c r="AO72" s="51">
        <v>600</v>
      </c>
      <c r="AP72" s="51">
        <v>600</v>
      </c>
      <c r="AQ72" s="51">
        <v>600</v>
      </c>
      <c r="AR72" s="51">
        <v>600</v>
      </c>
      <c r="AS72" s="51">
        <v>600</v>
      </c>
      <c r="AT72" s="51">
        <v>600</v>
      </c>
      <c r="AU72" s="51">
        <v>600</v>
      </c>
      <c r="AV72" s="51">
        <v>600</v>
      </c>
      <c r="AW72" s="51">
        <v>600</v>
      </c>
      <c r="AX72" s="51">
        <v>600</v>
      </c>
      <c r="AY72" s="23">
        <v>600</v>
      </c>
      <c r="AZ72" s="7"/>
      <c r="BA72" s="24">
        <f>KH_26_OPT4_KTQT_v4[[#This Row],[GB-DB25]]-KH_26_OPT4_KTQT_v4[[#This Row],[GB-KH25]]</f>
        <v>600</v>
      </c>
      <c r="BB72" s="21">
        <f>IFERROR(KH_26_OPT4_KTQT_v4[[#This Row],[GB-+/-]]/KH_26_OPT4_KTQT_v4[[#This Row],[GB-KH25]],0)</f>
        <v>0</v>
      </c>
      <c r="BC72" s="21"/>
      <c r="BD72" s="47">
        <f>KH_26_OPT4_KTQT_v4[[#This Row],[SL-01]]*KH_26_OPT4_KTQT_v4[[#This Row],[GB-01]]*EXR</f>
        <v>0</v>
      </c>
      <c r="BE72" s="47">
        <f>KH_26_OPT4_KTQT_v4[[#This Row],[SL-02]]*KH_26_OPT4_KTQT_v4[[#This Row],[GB-02]]*EXR</f>
        <v>0</v>
      </c>
      <c r="BF72" s="47">
        <f>KH_26_OPT4_KTQT_v4[[#This Row],[SL-03]]*KH_26_OPT4_KTQT_v4[[#This Row],[GB-03]]*EXR</f>
        <v>0</v>
      </c>
      <c r="BG72" s="47">
        <f>KH_26_OPT4_KTQT_v4[[#This Row],[SL-04]]*KH_26_OPT4_KTQT_v4[[#This Row],[GB-04]]*EXR</f>
        <v>0</v>
      </c>
      <c r="BH72" s="47">
        <f>KH_26_OPT4_KTQT_v4[[#This Row],[SL-05]]*KH_26_OPT4_KTQT_v4[[#This Row],[GB-05]]*EXR</f>
        <v>0</v>
      </c>
      <c r="BI72" s="47">
        <f>KH_26_OPT4_KTQT_v4[[#This Row],[SL-06]]*KH_26_OPT4_KTQT_v4[[#This Row],[GB-06]]*EXR</f>
        <v>0</v>
      </c>
      <c r="BJ72" s="47">
        <f>KH_26_OPT4_KTQT_v4[[#This Row],[SL-07]]*KH_26_OPT4_KTQT_v4[[#This Row],[GB-07]]*EXR</f>
        <v>0</v>
      </c>
      <c r="BK72" s="47">
        <f>KH_26_OPT4_KTQT_v4[[#This Row],[SL-08]]*KH_26_OPT4_KTQT_v4[[#This Row],[GB-08]]*EXR</f>
        <v>0</v>
      </c>
      <c r="BL72" s="47">
        <f>KH_26_OPT4_KTQT_v4[[#This Row],[SL-09]]*KH_26_OPT4_KTQT_v4[[#This Row],[GB-09]]*EXR</f>
        <v>0</v>
      </c>
      <c r="BM72" s="47">
        <f>KH_26_OPT4_KTQT_v4[[#This Row],[SL-10]]*KH_26_OPT4_KTQT_v4[[#This Row],[GB-10]]*EXR</f>
        <v>0</v>
      </c>
      <c r="BN72" s="47">
        <f>KH_26_OPT4_KTQT_v4[[#This Row],[SL-11]]*KH_26_OPT4_KTQT_v4[[#This Row],[GB-11]]*EXR</f>
        <v>0</v>
      </c>
      <c r="BO72" s="47">
        <f>KH_26_OPT4_KTQT_v4[[#This Row],[SL-12]]*KH_26_OPT4_KTQT_v4[[#This Row],[GB-12]]*EXR</f>
        <v>0</v>
      </c>
      <c r="BP72" s="47">
        <f ca="1">SUM(KH_26_OPT4_KTQT_v4[[#This Row],[DT-EXW-01]:[DT-EXW-12]])</f>
        <v>0</v>
      </c>
      <c r="BQ72" s="47">
        <f ca="1">SUMIFS(DB_25[DT-DB25],DB_25[Mã khách],KH_26_OPT4_KTQT_v4[[#This Row],[Mã khách]],DB_25[Mã sản phẩm],KH_26_OPT4_KTQT_v4[[#This Row],[Mã sản phẩm]])</f>
        <v>24750000</v>
      </c>
      <c r="BR72" s="47">
        <f ca="1">KH_26_OPT4_KTQT_v4[[#This Row],[DT-EXW-KH26]]-KH_26_OPT4_KTQT_v4[[#This Row],[DT-EXW-DB25]]</f>
        <v>-24750000</v>
      </c>
      <c r="BS72" s="21">
        <f ca="1">IFERROR(KH_26_OPT4_KTQT_v4[[#This Row],[DT-EXW-+/-]]/KH_26_OPT4_KTQT_v4[[#This Row],[DT-EXW-DB25]],0)</f>
        <v>-1</v>
      </c>
      <c r="BT72" s="139"/>
      <c r="BU72" s="57"/>
      <c r="BV72" s="51"/>
      <c r="BW72" s="47">
        <f>IF(KH_26_OPT4_KTQT_v4[[#This Row],[CPHH-%-SL]]="Dthu",KH_26_OPT4_KTQT_v4[[#This Row],[%HH]]*KH_26_OPT4_KTQT_v4[[#This Row],[DT-EXW-01]],KH_26_OPT4_KTQT_v4[[#This Row],[HH-SL]]*KH_26_OPT4_KTQT_v4[[#This Row],[SL-01]])</f>
        <v>0</v>
      </c>
      <c r="BX72" s="47">
        <f>IF(KH_26_OPT4_KTQT_v4[[#This Row],[CPHH-%-SL]]="Dthu",KH_26_OPT4_KTQT_v4[[#This Row],[%HH]]*KH_26_OPT4_KTQT_v4[[#This Row],[DT-EXW-02]],KH_26_OPT4_KTQT_v4[[#This Row],[HH-SL]]*KH_26_OPT4_KTQT_v4[[#This Row],[SL-02]])</f>
        <v>0</v>
      </c>
      <c r="BY72" s="47">
        <f>IF(KH_26_OPT4_KTQT_v4[[#This Row],[CPHH-%-SL]]="Dthu",KH_26_OPT4_KTQT_v4[[#This Row],[%HH]]*KH_26_OPT4_KTQT_v4[[#This Row],[DT-EXW-03]],KH_26_OPT4_KTQT_v4[[#This Row],[HH-SL]]*KH_26_OPT4_KTQT_v4[[#This Row],[SL-03]])</f>
        <v>0</v>
      </c>
      <c r="BZ72" s="47">
        <f>IF(KH_26_OPT4_KTQT_v4[[#This Row],[CPHH-%-SL]]="Dthu",KH_26_OPT4_KTQT_v4[[#This Row],[%HH]]*KH_26_OPT4_KTQT_v4[[#This Row],[DT-EXW-04]],KH_26_OPT4_KTQT_v4[[#This Row],[HH-SL]]*KH_26_OPT4_KTQT_v4[[#This Row],[SL-04]])</f>
        <v>0</v>
      </c>
      <c r="CA72" s="47">
        <f>IF(KH_26_OPT4_KTQT_v4[[#This Row],[CPHH-%-SL]]="Dthu",KH_26_OPT4_KTQT_v4[[#This Row],[%HH]]*KH_26_OPT4_KTQT_v4[[#This Row],[DT-EXW-05]],KH_26_OPT4_KTQT_v4[[#This Row],[HH-SL]]*KH_26_OPT4_KTQT_v4[[#This Row],[SL-05]])</f>
        <v>0</v>
      </c>
      <c r="CB72" s="47">
        <f>IF(KH_26_OPT4_KTQT_v4[[#This Row],[CPHH-%-SL]]="Dthu",KH_26_OPT4_KTQT_v4[[#This Row],[%HH]]*KH_26_OPT4_KTQT_v4[[#This Row],[DT-EXW-06]],KH_26_OPT4_KTQT_v4[[#This Row],[HH-SL]]*KH_26_OPT4_KTQT_v4[[#This Row],[SL-06]])</f>
        <v>0</v>
      </c>
      <c r="CC72" s="47">
        <f>IF(KH_26_OPT4_KTQT_v4[[#This Row],[CPHH-%-SL]]="Dthu",KH_26_OPT4_KTQT_v4[[#This Row],[%HH]]*KH_26_OPT4_KTQT_v4[[#This Row],[DT-EXW-07]],KH_26_OPT4_KTQT_v4[[#This Row],[HH-SL]]*KH_26_OPT4_KTQT_v4[[#This Row],[SL-07]])</f>
        <v>0</v>
      </c>
      <c r="CD72" s="47">
        <f>IF(KH_26_OPT4_KTQT_v4[[#This Row],[CPHH-%-SL]]="Dthu",KH_26_OPT4_KTQT_v4[[#This Row],[%HH]]*KH_26_OPT4_KTQT_v4[[#This Row],[DT-EXW-08]],KH_26_OPT4_KTQT_v4[[#This Row],[HH-SL]]*KH_26_OPT4_KTQT_v4[[#This Row],[SL-08]])</f>
        <v>0</v>
      </c>
      <c r="CE72" s="47">
        <f>IF(KH_26_OPT4_KTQT_v4[[#This Row],[CPHH-%-SL]]="Dthu",KH_26_OPT4_KTQT_v4[[#This Row],[%HH]]*KH_26_OPT4_KTQT_v4[[#This Row],[DT-EXW-09]],KH_26_OPT4_KTQT_v4[[#This Row],[HH-SL]]*KH_26_OPT4_KTQT_v4[[#This Row],[SL-09]])</f>
        <v>0</v>
      </c>
      <c r="CF72" s="47">
        <f>IF(KH_26_OPT4_KTQT_v4[[#This Row],[CPHH-%-SL]]="Dthu",KH_26_OPT4_KTQT_v4[[#This Row],[%HH]]*KH_26_OPT4_KTQT_v4[[#This Row],[DT-EXW-10]],KH_26_OPT4_KTQT_v4[[#This Row],[HH-SL]]*KH_26_OPT4_KTQT_v4[[#This Row],[SL-10]])</f>
        <v>0</v>
      </c>
      <c r="CG72" s="47">
        <f>IF(KH_26_OPT4_KTQT_v4[[#This Row],[CPHH-%-SL]]="Dthu",KH_26_OPT4_KTQT_v4[[#This Row],[%HH]]*KH_26_OPT4_KTQT_v4[[#This Row],[DT-EXW-11]],KH_26_OPT4_KTQT_v4[[#This Row],[HH-SL]]*KH_26_OPT4_KTQT_v4[[#This Row],[SL-11]])</f>
        <v>0</v>
      </c>
      <c r="CH72" s="47">
        <f>IF(KH_26_OPT4_KTQT_v4[[#This Row],[CPHH-%-SL]]="Dthu",KH_26_OPT4_KTQT_v4[[#This Row],[%HH]]*KH_26_OPT4_KTQT_v4[[#This Row],[DT-EXW-12]],KH_26_OPT4_KTQT_v4[[#This Row],[HH-SL]]*KH_26_OPT4_KTQT_v4[[#This Row],[SL-12]])</f>
        <v>0</v>
      </c>
      <c r="CI72" s="47">
        <f ca="1">SUM(KH_26_OPT4_KTQT_v4[[#This Row],[CPHH-01]:[CPHH-12]])</f>
        <v>0</v>
      </c>
      <c r="CJ72" s="47" cm="1">
        <f t="array" ref="CJ72">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72" s="19">
        <f ca="1">SUM(KH_26_OPT4_KTQT_v4[[#This Row],[ĐGVCNĐ-KXK]:[ĐGVCCT-KXK]])</f>
        <v>0</v>
      </c>
      <c r="CL72" s="47" cm="1">
        <f t="array" ref="CL72">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72" s="47" cm="1">
        <f t="array" ref="CM72">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72" s="47">
        <f ca="1">(KH_26_OPT4_KTQT_v4[[#This Row],[ĐGVC-KNĐ]]+KH_26_OPT4_KTQT_v4[[#This Row],[ĐGVC-KXK]])*KH_26_OPT4_KTQT_v4[[#This Row],[SL-01]]</f>
        <v>0</v>
      </c>
      <c r="CO72" s="47">
        <f ca="1">(KH_26_OPT4_KTQT_v4[[#This Row],[ĐGVC-KNĐ]]+KH_26_OPT4_KTQT_v4[[#This Row],[ĐGVC-KXK]])*KH_26_OPT4_KTQT_v4[[#This Row],[SL-02]]</f>
        <v>0</v>
      </c>
      <c r="CP72" s="47">
        <f ca="1">(KH_26_OPT4_KTQT_v4[[#This Row],[ĐGVC-KNĐ]]+KH_26_OPT4_KTQT_v4[[#This Row],[ĐGVC-KXK]])*KH_26_OPT4_KTQT_v4[[#This Row],[SL-03]]</f>
        <v>0</v>
      </c>
      <c r="CQ72" s="47">
        <f ca="1">(KH_26_OPT4_KTQT_v4[[#This Row],[ĐGVC-KNĐ]]+KH_26_OPT4_KTQT_v4[[#This Row],[ĐGVC-KXK]])*KH_26_OPT4_KTQT_v4[[#This Row],[SL-04]]</f>
        <v>0</v>
      </c>
      <c r="CR72" s="47">
        <f ca="1">(KH_26_OPT4_KTQT_v4[[#This Row],[ĐGVC-KNĐ]]+KH_26_OPT4_KTQT_v4[[#This Row],[ĐGVC-KXK]])*KH_26_OPT4_KTQT_v4[[#This Row],[SL-05]]</f>
        <v>0</v>
      </c>
      <c r="CS72" s="47">
        <f ca="1">(KH_26_OPT4_KTQT_v4[[#This Row],[ĐGVC-KNĐ]]+KH_26_OPT4_KTQT_v4[[#This Row],[ĐGVC-KXK]])*KH_26_OPT4_KTQT_v4[[#This Row],[SL-06]]</f>
        <v>0</v>
      </c>
      <c r="CT72" s="47">
        <f ca="1">(KH_26_OPT4_KTQT_v4[[#This Row],[ĐGVC-KNĐ]]+KH_26_OPT4_KTQT_v4[[#This Row],[ĐGVC-KXK]])*KH_26_OPT4_KTQT_v4[[#This Row],[SL-07]]</f>
        <v>0</v>
      </c>
      <c r="CU72" s="47">
        <f ca="1">(KH_26_OPT4_KTQT_v4[[#This Row],[ĐGVC-KNĐ]]+KH_26_OPT4_KTQT_v4[[#This Row],[ĐGVC-KXK]])*KH_26_OPT4_KTQT_v4[[#This Row],[SL-08]]</f>
        <v>0</v>
      </c>
      <c r="CV72" s="47">
        <f ca="1">(KH_26_OPT4_KTQT_v4[[#This Row],[ĐGVC-KNĐ]]+KH_26_OPT4_KTQT_v4[[#This Row],[ĐGVC-KXK]])*KH_26_OPT4_KTQT_v4[[#This Row],[SL-09]]</f>
        <v>0</v>
      </c>
      <c r="CW72" s="47">
        <f ca="1">(KH_26_OPT4_KTQT_v4[[#This Row],[ĐGVC-KNĐ]]+KH_26_OPT4_KTQT_v4[[#This Row],[ĐGVC-KXK]])*KH_26_OPT4_KTQT_v4[[#This Row],[SL-10]]</f>
        <v>0</v>
      </c>
      <c r="CX72" s="47">
        <f ca="1">(KH_26_OPT4_KTQT_v4[[#This Row],[ĐGVC-KNĐ]]+KH_26_OPT4_KTQT_v4[[#This Row],[ĐGVC-KXK]])*KH_26_OPT4_KTQT_v4[[#This Row],[SL-11]]</f>
        <v>0</v>
      </c>
      <c r="CY72" s="47">
        <f ca="1">(KH_26_OPT4_KTQT_v4[[#This Row],[ĐGVC-KNĐ]]+KH_26_OPT4_KTQT_v4[[#This Row],[ĐGVC-KXK]])*KH_26_OPT4_KTQT_v4[[#This Row],[SL-12]]</f>
        <v>0</v>
      </c>
      <c r="CZ72" s="47">
        <f ca="1">SUM(KH_26_OPT4_KTQT_v4[[#This Row],[CPVC-01]:[CPVC-12]])</f>
        <v>0</v>
      </c>
      <c r="DA72" s="124">
        <f ca="1">KH_26_OPT4_KTQT_v4[[#This Row],[DT-EXW-01]]+KH_26_OPT4_KTQT_v4[[#This Row],[CPVC-01]]+KH_26_OPT4_KTQT_v4[[#This Row],[CPHH-01]]</f>
        <v>0</v>
      </c>
      <c r="DB72" s="47">
        <f ca="1">KH_26_OPT4_KTQT_v4[[#This Row],[DT-EXW-02]]+KH_26_OPT4_KTQT_v4[[#This Row],[CPVC-02]]+KH_26_OPT4_KTQT_v4[[#This Row],[CPHH-02]]</f>
        <v>0</v>
      </c>
      <c r="DC72" s="47">
        <f ca="1">KH_26_OPT4_KTQT_v4[[#This Row],[DT-EXW-03]]+KH_26_OPT4_KTQT_v4[[#This Row],[CPVC-03]]+KH_26_OPT4_KTQT_v4[[#This Row],[CPHH-03]]</f>
        <v>0</v>
      </c>
      <c r="DD72" s="47">
        <f ca="1">KH_26_OPT4_KTQT_v4[[#This Row],[DT-EXW-04]]+KH_26_OPT4_KTQT_v4[[#This Row],[CPVC-04]]+KH_26_OPT4_KTQT_v4[[#This Row],[CPHH-04]]</f>
        <v>0</v>
      </c>
      <c r="DE72" s="47">
        <f ca="1">KH_26_OPT4_KTQT_v4[[#This Row],[DT-EXW-05]]+KH_26_OPT4_KTQT_v4[[#This Row],[CPVC-05]]+KH_26_OPT4_KTQT_v4[[#This Row],[CPHH-05]]</f>
        <v>0</v>
      </c>
      <c r="DF72" s="47">
        <f ca="1">KH_26_OPT4_KTQT_v4[[#This Row],[DT-EXW-06]]+KH_26_OPT4_KTQT_v4[[#This Row],[CPVC-06]]+KH_26_OPT4_KTQT_v4[[#This Row],[CPHH-06]]</f>
        <v>0</v>
      </c>
      <c r="DG72" s="47">
        <f ca="1">KH_26_OPT4_KTQT_v4[[#This Row],[DT-EXW-07]]+KH_26_OPT4_KTQT_v4[[#This Row],[CPVC-07]]+KH_26_OPT4_KTQT_v4[[#This Row],[CPHH-07]]</f>
        <v>0</v>
      </c>
      <c r="DH72" s="47">
        <f ca="1">KH_26_OPT4_KTQT_v4[[#This Row],[DT-EXW-08]]+KH_26_OPT4_KTQT_v4[[#This Row],[CPVC-08]]+KH_26_OPT4_KTQT_v4[[#This Row],[CPHH-08]]</f>
        <v>0</v>
      </c>
      <c r="DI72" s="47">
        <f ca="1">KH_26_OPT4_KTQT_v4[[#This Row],[DT-EXW-09]]+KH_26_OPT4_KTQT_v4[[#This Row],[CPVC-09]]+KH_26_OPT4_KTQT_v4[[#This Row],[CPHH-09]]</f>
        <v>0</v>
      </c>
      <c r="DJ72" s="47">
        <f ca="1">KH_26_OPT4_KTQT_v4[[#This Row],[DT-EXW-10]]+KH_26_OPT4_KTQT_v4[[#This Row],[CPVC-10]]+KH_26_OPT4_KTQT_v4[[#This Row],[CPHH-10]]</f>
        <v>0</v>
      </c>
      <c r="DK72" s="47">
        <f ca="1">KH_26_OPT4_KTQT_v4[[#This Row],[DT-EXW-11]]+KH_26_OPT4_KTQT_v4[[#This Row],[CPVC-11]]+KH_26_OPT4_KTQT_v4[[#This Row],[CPHH-11]]</f>
        <v>0</v>
      </c>
      <c r="DL72" s="47">
        <f ca="1">KH_26_OPT4_KTQT_v4[[#This Row],[DT-EXW-12]]+KH_26_OPT4_KTQT_v4[[#This Row],[CPVC-12]]+KH_26_OPT4_KTQT_v4[[#This Row],[CPHH-12]]</f>
        <v>0</v>
      </c>
      <c r="DM72" s="47">
        <f ca="1">SUM(KH_26_OPT4_KTQT_v4[[#This Row],[DT-01]:[DT-12]])</f>
        <v>0</v>
      </c>
      <c r="DN72" s="7"/>
      <c r="DO72" s="7"/>
      <c r="DP72" s="125"/>
      <c r="DQ72" s="136"/>
      <c r="DR72" s="132">
        <f>IFERROR(KH_26_OPT4_KTQT_v4[[#This Row],[DT-EXW-01]]*KH_26_OPT4_KTQT_v4[[#This Row],[%CPDP]],0)</f>
        <v>0</v>
      </c>
      <c r="DS72" s="132">
        <f>IFERROR(KH_26_OPT4_KTQT_v4[[#This Row],[DT-EXW-02]]*KH_26_OPT4_KTQT_v4[[#This Row],[%CPDP]],0)</f>
        <v>0</v>
      </c>
      <c r="DT72" s="132">
        <f>IFERROR(KH_26_OPT4_KTQT_v4[[#This Row],[DT-EXW-03]]*KH_26_OPT4_KTQT_v4[[#This Row],[%CPDP]],0)</f>
        <v>0</v>
      </c>
      <c r="DU72" s="132">
        <f>IFERROR(KH_26_OPT4_KTQT_v4[[#This Row],[DT-EXW-04]]*KH_26_OPT4_KTQT_v4[[#This Row],[%CPDP]],0)</f>
        <v>0</v>
      </c>
      <c r="DV72" s="132">
        <f>IFERROR(KH_26_OPT4_KTQT_v4[[#This Row],[DT-EXW-05]]*KH_26_OPT4_KTQT_v4[[#This Row],[%CPDP]],0)</f>
        <v>0</v>
      </c>
      <c r="DW72" s="132">
        <f>IFERROR(KH_26_OPT4_KTQT_v4[[#This Row],[DT-EXW-06]]*KH_26_OPT4_KTQT_v4[[#This Row],[%CPDP]],0)</f>
        <v>0</v>
      </c>
      <c r="DX72" s="132">
        <f>IFERROR(KH_26_OPT4_KTQT_v4[[#This Row],[DT-EXW-07]]*KH_26_OPT4_KTQT_v4[[#This Row],[%CPDP]],0)</f>
        <v>0</v>
      </c>
      <c r="DY72" s="132">
        <f>IFERROR(KH_26_OPT4_KTQT_v4[[#This Row],[DT-EXW-08]]*KH_26_OPT4_KTQT_v4[[#This Row],[%CPDP]],0)</f>
        <v>0</v>
      </c>
      <c r="DZ72" s="132">
        <f>IFERROR(KH_26_OPT4_KTQT_v4[[#This Row],[DT-EXW-09]]*KH_26_OPT4_KTQT_v4[[#This Row],[%CPDP]],0)</f>
        <v>0</v>
      </c>
      <c r="EA72" s="132">
        <f>IFERROR(KH_26_OPT4_KTQT_v4[[#This Row],[DT-EXW-10]]*KH_26_OPT4_KTQT_v4[[#This Row],[%CPDP]],0)</f>
        <v>0</v>
      </c>
      <c r="EB72" s="132">
        <f>IFERROR(KH_26_OPT4_KTQT_v4[[#This Row],[DT-EXW-11]]*KH_26_OPT4_KTQT_v4[[#This Row],[%CPDP]],0)</f>
        <v>0</v>
      </c>
      <c r="EC72" s="132">
        <f>IFERROR(KH_26_OPT4_KTQT_v4[[#This Row],[DT-EXW-12]]*KH_26_OPT4_KTQT_v4[[#This Row],[%CPDP]],0)</f>
        <v>0</v>
      </c>
      <c r="ED72" s="131">
        <f ca="1">SUM(KH_26_OPT4_KTQT_v4[[#This Row],[CPDP-01]:[CPDP-12]])</f>
        <v>0</v>
      </c>
    </row>
    <row r="73" spans="1:134" ht="14.65" hidden="1" customHeight="1" x14ac:dyDescent="0.35">
      <c r="A73" s="18">
        <v>68</v>
      </c>
      <c r="B73" s="71" t="s">
        <v>115</v>
      </c>
      <c r="C73" s="18" t="str">
        <f>IFERROR(_xlfn.XLOOKUP(KH_26_OPT4_KTQT_v4[[#This Row],[Salesman]],MD_Salesman[Salesman],MD_Salesman[SalesManager]),"")</f>
        <v>Quốc Anh</v>
      </c>
      <c r="D73" s="72" t="str">
        <f>IFERROR(INDEX(MD_Customer[Mã khách],MATCH(KH_26_OPT4_KTQT_v4[[#This Row],[Tên khách]],MD_Customer[Tên khách-rút gọn],0)),"")</f>
        <v>105364</v>
      </c>
      <c r="E73" s="7" t="str">
        <f>IFERROR(INDEX(MD_Customer[Parent Account],MATCH(KH_26_OPT4_KTQT_v4[[#This Row],[Tên khách]],MD_Customer[Tên khách-rút gọn],0)),"")</f>
        <v>NHỰA LỘC PHÁT</v>
      </c>
      <c r="F73" s="35" t="s">
        <v>25</v>
      </c>
      <c r="G73" s="7" t="str">
        <f>IFERROR(INDEX(MD_Customer[Phân loại],MATCH(KH_26_OPT4_KTQT_v4[[#This Row],[Tên khách]],MD_Customer[Tên khách-rút gọn],0)),"")</f>
        <v>Hiện hữu</v>
      </c>
      <c r="H73" s="7" t="str">
        <f>IFERROR(INDEX(MD_Customer[Kênh bán hàng],MATCH(KH_26_OPT4_KTQT_v4[[#This Row],[Tên khách]],MD_Customer[Tên khách-rút gọn],0)),"")</f>
        <v>Nội địa</v>
      </c>
      <c r="I73" s="35" t="s">
        <v>261</v>
      </c>
      <c r="J73" s="7" t="str">
        <f>IFERROR(INDEX(MD_Destination[Nước],MATCH(KH_26_OPT4_KTQT_v4[[#This Row],[Địa điểm đến]],MD_Destination[Địa điểm đến],0)),"")</f>
        <v>Việt Nam</v>
      </c>
      <c r="K73" s="7" t="str">
        <f>IFERROR(INDEX(MD_Destination[Khu vực],MATCH(KH_26_OPT4_KTQT_v4[[#This Row],[Địa điểm đến]],MD_Destination[Địa điểm đến],0)),"")</f>
        <v>Châu Á</v>
      </c>
      <c r="L73" s="35" t="s">
        <v>262</v>
      </c>
      <c r="M73" s="7" t="str">
        <f>IFERROR(INDEX(MD_SKU[Mã SKU],MATCH(KH_26_OPT4_KTQT_v4[[#This Row],[Tên sản phẩm]],MD_SKU[Tên SKU-rút gọn],0)),"")</f>
        <v>110000436</v>
      </c>
      <c r="N73" s="35" t="s">
        <v>484</v>
      </c>
      <c r="O73" s="7" t="str">
        <f>IFERROR(INDEX(MD_SKU[Ngành hàng],MATCH(KH_26_OPT4_KTQT_v4[[#This Row],[Tên sản phẩm]],MD_SKU[Tên SKU-rút gọn],0)),"")</f>
        <v>Xơ sợi</v>
      </c>
      <c r="P73" s="7" t="str">
        <f>IFERROR(INDEX(MD_SKU[Nhóm ngành],MATCH(KH_26_OPT4_KTQT_v4[[#This Row],[Tên sản phẩm]],MD_SKU[Tên SKU-rút gọn],0)),"")</f>
        <v>Hạt Xơ sợi</v>
      </c>
      <c r="Q73" s="7" t="str">
        <f>IFERROR(
   IF(INDEX(MD_SKU[IV/IM],MATCH(KH_26_OPT4_KTQT_v4[[#This Row],[Tên sản phẩm]],MD_SKU[Tên SKU-rút gọn],0))=0,
      "",
      INDEX(MD_SKU[IV/IM],MATCH(KH_26_OPT4_KTQT_v4[[#This Row],[Tên sản phẩm]],MD_SKU[Tên SKU-rút gọn],0))
   ),
"")</f>
        <v>0.55 ± 0.05</v>
      </c>
      <c r="R73" s="44">
        <f>IFERROR(INDEX(MD_SKU[Application],MATCH(KH_26_OPT4_KTQT_v4[[#This Row],[Tên sản phẩm]],MD_SKU[Tên SKU-rút gọn],0)),"")</f>
        <v>0</v>
      </c>
      <c r="S73" s="7" t="str">
        <f>IFERROR(INDEX(MD_SKU[Phân loại],MATCH(KH_26_OPT4_KTQT_v4[[#This Row],[Tên sản phẩm]],MD_SKU[Tên SKU-rút gọn],0)),"")</f>
        <v>Cũ</v>
      </c>
      <c r="T73" s="7" t="s">
        <v>25</v>
      </c>
      <c r="U73" s="157" t="s">
        <v>1508</v>
      </c>
      <c r="V73" s="70">
        <v>0.8</v>
      </c>
      <c r="W73" s="33"/>
      <c r="X73" s="33"/>
      <c r="Y73" s="33"/>
      <c r="Z73" s="33"/>
      <c r="AA73" s="33"/>
      <c r="AB73" s="33"/>
      <c r="AC73" s="33"/>
      <c r="AD73" s="33"/>
      <c r="AE73" s="33"/>
      <c r="AF73" s="33"/>
      <c r="AG73" s="33"/>
      <c r="AH73" s="33"/>
      <c r="AI73" s="47">
        <f ca="1">SUM(KH_26_OPT4_KTQT_v4[[#This Row],[SL-01]:[SL-12]])</f>
        <v>0</v>
      </c>
      <c r="AJ73" s="47">
        <f ca="1">SUMIFS(DB_25[SL-DB25],DB_25[Mã khách],KH_26_OPT4_KTQT_v4[[#This Row],[Mã khách]],DB_25[Mã sản phẩm],KH_26_OPT4_KTQT_v4[[#This Row],[Mã sản phẩm]])</f>
        <v>73.5</v>
      </c>
      <c r="AK73" s="20">
        <f ca="1">KH_26_OPT4_KTQT_v4[[#This Row],[SL-KH26]]-KH_26_OPT4_KTQT_v4[[#This Row],[SL-DB25]]</f>
        <v>-73.5</v>
      </c>
      <c r="AL73" s="21">
        <f ca="1">IFERROR(KH_26_OPT4_KTQT_v4[[#This Row],[SL-+/-]]/KH_26_OPT4_KTQT_v4[[#This Row],[SL-DB25]],0)</f>
        <v>-1</v>
      </c>
      <c r="AM73" s="51">
        <v>640</v>
      </c>
      <c r="AN73" s="51">
        <v>632</v>
      </c>
      <c r="AO73" s="51">
        <v>624</v>
      </c>
      <c r="AP73" s="51">
        <v>616</v>
      </c>
      <c r="AQ73" s="51">
        <v>608</v>
      </c>
      <c r="AR73" s="51">
        <v>600</v>
      </c>
      <c r="AS73" s="51">
        <v>592</v>
      </c>
      <c r="AT73" s="51">
        <v>584</v>
      </c>
      <c r="AU73" s="51">
        <v>576</v>
      </c>
      <c r="AV73" s="51">
        <v>568</v>
      </c>
      <c r="AW73" s="51">
        <v>560</v>
      </c>
      <c r="AX73" s="51">
        <v>552</v>
      </c>
      <c r="AY73" s="23">
        <v>596</v>
      </c>
      <c r="AZ73" s="7"/>
      <c r="BA73" s="24">
        <f>KH_26_OPT4_KTQT_v4[[#This Row],[GB-DB25]]-KH_26_OPT4_KTQT_v4[[#This Row],[GB-KH25]]</f>
        <v>596</v>
      </c>
      <c r="BB73" s="21">
        <f>IFERROR(KH_26_OPT4_KTQT_v4[[#This Row],[GB-+/-]]/KH_26_OPT4_KTQT_v4[[#This Row],[GB-KH25]],0)</f>
        <v>0</v>
      </c>
      <c r="BC73" s="21"/>
      <c r="BD73" s="47">
        <f>KH_26_OPT4_KTQT_v4[[#This Row],[SL-01]]*KH_26_OPT4_KTQT_v4[[#This Row],[GB-01]]*EXR</f>
        <v>0</v>
      </c>
      <c r="BE73" s="47">
        <f>KH_26_OPT4_KTQT_v4[[#This Row],[SL-02]]*KH_26_OPT4_KTQT_v4[[#This Row],[GB-02]]*EXR</f>
        <v>0</v>
      </c>
      <c r="BF73" s="47">
        <f>KH_26_OPT4_KTQT_v4[[#This Row],[SL-03]]*KH_26_OPT4_KTQT_v4[[#This Row],[GB-03]]*EXR</f>
        <v>0</v>
      </c>
      <c r="BG73" s="47">
        <f>KH_26_OPT4_KTQT_v4[[#This Row],[SL-04]]*KH_26_OPT4_KTQT_v4[[#This Row],[GB-04]]*EXR</f>
        <v>0</v>
      </c>
      <c r="BH73" s="47">
        <f>KH_26_OPT4_KTQT_v4[[#This Row],[SL-05]]*KH_26_OPT4_KTQT_v4[[#This Row],[GB-05]]*EXR</f>
        <v>0</v>
      </c>
      <c r="BI73" s="47">
        <f>KH_26_OPT4_KTQT_v4[[#This Row],[SL-06]]*KH_26_OPT4_KTQT_v4[[#This Row],[GB-06]]*EXR</f>
        <v>0</v>
      </c>
      <c r="BJ73" s="47">
        <f>KH_26_OPT4_KTQT_v4[[#This Row],[SL-07]]*KH_26_OPT4_KTQT_v4[[#This Row],[GB-07]]*EXR</f>
        <v>0</v>
      </c>
      <c r="BK73" s="47">
        <f>KH_26_OPT4_KTQT_v4[[#This Row],[SL-08]]*KH_26_OPT4_KTQT_v4[[#This Row],[GB-08]]*EXR</f>
        <v>0</v>
      </c>
      <c r="BL73" s="47">
        <f>KH_26_OPT4_KTQT_v4[[#This Row],[SL-09]]*KH_26_OPT4_KTQT_v4[[#This Row],[GB-09]]*EXR</f>
        <v>0</v>
      </c>
      <c r="BM73" s="47">
        <f>KH_26_OPT4_KTQT_v4[[#This Row],[SL-10]]*KH_26_OPT4_KTQT_v4[[#This Row],[GB-10]]*EXR</f>
        <v>0</v>
      </c>
      <c r="BN73" s="47">
        <f>KH_26_OPT4_KTQT_v4[[#This Row],[SL-11]]*KH_26_OPT4_KTQT_v4[[#This Row],[GB-11]]*EXR</f>
        <v>0</v>
      </c>
      <c r="BO73" s="47">
        <f>KH_26_OPT4_KTQT_v4[[#This Row],[SL-12]]*KH_26_OPT4_KTQT_v4[[#This Row],[GB-12]]*EXR</f>
        <v>0</v>
      </c>
      <c r="BP73" s="47">
        <f ca="1">SUM(KH_26_OPT4_KTQT_v4[[#This Row],[DT-EXW-01]:[DT-EXW-12]])</f>
        <v>0</v>
      </c>
      <c r="BQ73" s="47">
        <f ca="1">SUMIFS(DB_25[DT-DB25],DB_25[Mã khách],KH_26_OPT4_KTQT_v4[[#This Row],[Mã khách]],DB_25[Mã sản phẩm],KH_26_OPT4_KTQT_v4[[#This Row],[Mã sản phẩm]])</f>
        <v>630518364.57884574</v>
      </c>
      <c r="BR73" s="47">
        <f ca="1">KH_26_OPT4_KTQT_v4[[#This Row],[DT-EXW-KH26]]-KH_26_OPT4_KTQT_v4[[#This Row],[DT-EXW-DB25]]</f>
        <v>-630518364.57884574</v>
      </c>
      <c r="BS73" s="21">
        <f ca="1">IFERROR(KH_26_OPT4_KTQT_v4[[#This Row],[DT-EXW-+/-]]/KH_26_OPT4_KTQT_v4[[#This Row],[DT-EXW-DB25]],0)</f>
        <v>-1</v>
      </c>
      <c r="BT73" s="139"/>
      <c r="BU73" s="57"/>
      <c r="BV73" s="51"/>
      <c r="BW73" s="47">
        <f>IF(KH_26_OPT4_KTQT_v4[[#This Row],[CPHH-%-SL]]="Dthu",KH_26_OPT4_KTQT_v4[[#This Row],[%HH]]*KH_26_OPT4_KTQT_v4[[#This Row],[DT-EXW-01]],KH_26_OPT4_KTQT_v4[[#This Row],[HH-SL]]*KH_26_OPT4_KTQT_v4[[#This Row],[SL-01]])</f>
        <v>0</v>
      </c>
      <c r="BX73" s="47">
        <f>IF(KH_26_OPT4_KTQT_v4[[#This Row],[CPHH-%-SL]]="Dthu",KH_26_OPT4_KTQT_v4[[#This Row],[%HH]]*KH_26_OPT4_KTQT_v4[[#This Row],[DT-EXW-02]],KH_26_OPT4_KTQT_v4[[#This Row],[HH-SL]]*KH_26_OPT4_KTQT_v4[[#This Row],[SL-02]])</f>
        <v>0</v>
      </c>
      <c r="BY73" s="47">
        <f>IF(KH_26_OPT4_KTQT_v4[[#This Row],[CPHH-%-SL]]="Dthu",KH_26_OPT4_KTQT_v4[[#This Row],[%HH]]*KH_26_OPT4_KTQT_v4[[#This Row],[DT-EXW-03]],KH_26_OPT4_KTQT_v4[[#This Row],[HH-SL]]*KH_26_OPT4_KTQT_v4[[#This Row],[SL-03]])</f>
        <v>0</v>
      </c>
      <c r="BZ73" s="47">
        <f>IF(KH_26_OPT4_KTQT_v4[[#This Row],[CPHH-%-SL]]="Dthu",KH_26_OPT4_KTQT_v4[[#This Row],[%HH]]*KH_26_OPT4_KTQT_v4[[#This Row],[DT-EXW-04]],KH_26_OPT4_KTQT_v4[[#This Row],[HH-SL]]*KH_26_OPT4_KTQT_v4[[#This Row],[SL-04]])</f>
        <v>0</v>
      </c>
      <c r="CA73" s="47">
        <f>IF(KH_26_OPT4_KTQT_v4[[#This Row],[CPHH-%-SL]]="Dthu",KH_26_OPT4_KTQT_v4[[#This Row],[%HH]]*KH_26_OPT4_KTQT_v4[[#This Row],[DT-EXW-05]],KH_26_OPT4_KTQT_v4[[#This Row],[HH-SL]]*KH_26_OPT4_KTQT_v4[[#This Row],[SL-05]])</f>
        <v>0</v>
      </c>
      <c r="CB73" s="47">
        <f>IF(KH_26_OPT4_KTQT_v4[[#This Row],[CPHH-%-SL]]="Dthu",KH_26_OPT4_KTQT_v4[[#This Row],[%HH]]*KH_26_OPT4_KTQT_v4[[#This Row],[DT-EXW-06]],KH_26_OPT4_KTQT_v4[[#This Row],[HH-SL]]*KH_26_OPT4_KTQT_v4[[#This Row],[SL-06]])</f>
        <v>0</v>
      </c>
      <c r="CC73" s="47">
        <f>IF(KH_26_OPT4_KTQT_v4[[#This Row],[CPHH-%-SL]]="Dthu",KH_26_OPT4_KTQT_v4[[#This Row],[%HH]]*KH_26_OPT4_KTQT_v4[[#This Row],[DT-EXW-07]],KH_26_OPT4_KTQT_v4[[#This Row],[HH-SL]]*KH_26_OPT4_KTQT_v4[[#This Row],[SL-07]])</f>
        <v>0</v>
      </c>
      <c r="CD73" s="47">
        <f>IF(KH_26_OPT4_KTQT_v4[[#This Row],[CPHH-%-SL]]="Dthu",KH_26_OPT4_KTQT_v4[[#This Row],[%HH]]*KH_26_OPT4_KTQT_v4[[#This Row],[DT-EXW-08]],KH_26_OPT4_KTQT_v4[[#This Row],[HH-SL]]*KH_26_OPT4_KTQT_v4[[#This Row],[SL-08]])</f>
        <v>0</v>
      </c>
      <c r="CE73" s="47">
        <f>IF(KH_26_OPT4_KTQT_v4[[#This Row],[CPHH-%-SL]]="Dthu",KH_26_OPT4_KTQT_v4[[#This Row],[%HH]]*KH_26_OPT4_KTQT_v4[[#This Row],[DT-EXW-09]],KH_26_OPT4_KTQT_v4[[#This Row],[HH-SL]]*KH_26_OPT4_KTQT_v4[[#This Row],[SL-09]])</f>
        <v>0</v>
      </c>
      <c r="CF73" s="47">
        <f>IF(KH_26_OPT4_KTQT_v4[[#This Row],[CPHH-%-SL]]="Dthu",KH_26_OPT4_KTQT_v4[[#This Row],[%HH]]*KH_26_OPT4_KTQT_v4[[#This Row],[DT-EXW-10]],KH_26_OPT4_KTQT_v4[[#This Row],[HH-SL]]*KH_26_OPT4_KTQT_v4[[#This Row],[SL-10]])</f>
        <v>0</v>
      </c>
      <c r="CG73" s="47">
        <f>IF(KH_26_OPT4_KTQT_v4[[#This Row],[CPHH-%-SL]]="Dthu",KH_26_OPT4_KTQT_v4[[#This Row],[%HH]]*KH_26_OPT4_KTQT_v4[[#This Row],[DT-EXW-11]],KH_26_OPT4_KTQT_v4[[#This Row],[HH-SL]]*KH_26_OPT4_KTQT_v4[[#This Row],[SL-11]])</f>
        <v>0</v>
      </c>
      <c r="CH73" s="47">
        <f>IF(KH_26_OPT4_KTQT_v4[[#This Row],[CPHH-%-SL]]="Dthu",KH_26_OPT4_KTQT_v4[[#This Row],[%HH]]*KH_26_OPT4_KTQT_v4[[#This Row],[DT-EXW-12]],KH_26_OPT4_KTQT_v4[[#This Row],[HH-SL]]*KH_26_OPT4_KTQT_v4[[#This Row],[SL-12]])</f>
        <v>0</v>
      </c>
      <c r="CI73" s="47">
        <f ca="1">SUM(KH_26_OPT4_KTQT_v4[[#This Row],[CPHH-01]:[CPHH-12]])</f>
        <v>0</v>
      </c>
      <c r="CJ73" s="47" cm="1">
        <f t="array" ref="CJ73">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73" s="19">
        <f ca="1">SUM(KH_26_OPT4_KTQT_v4[[#This Row],[ĐGVCNĐ-KXK]:[ĐGVCCT-KXK]])</f>
        <v>0</v>
      </c>
      <c r="CL73" s="47" cm="1">
        <f t="array" ref="CL73">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73" s="47" cm="1">
        <f t="array" ref="CM73">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73" s="47">
        <f ca="1">(KH_26_OPT4_KTQT_v4[[#This Row],[ĐGVC-KNĐ]]+KH_26_OPT4_KTQT_v4[[#This Row],[ĐGVC-KXK]])*KH_26_OPT4_KTQT_v4[[#This Row],[SL-01]]</f>
        <v>0</v>
      </c>
      <c r="CO73" s="47">
        <f ca="1">(KH_26_OPT4_KTQT_v4[[#This Row],[ĐGVC-KNĐ]]+KH_26_OPT4_KTQT_v4[[#This Row],[ĐGVC-KXK]])*KH_26_OPT4_KTQT_v4[[#This Row],[SL-02]]</f>
        <v>0</v>
      </c>
      <c r="CP73" s="47">
        <f ca="1">(KH_26_OPT4_KTQT_v4[[#This Row],[ĐGVC-KNĐ]]+KH_26_OPT4_KTQT_v4[[#This Row],[ĐGVC-KXK]])*KH_26_OPT4_KTQT_v4[[#This Row],[SL-03]]</f>
        <v>0</v>
      </c>
      <c r="CQ73" s="47">
        <f ca="1">(KH_26_OPT4_KTQT_v4[[#This Row],[ĐGVC-KNĐ]]+KH_26_OPT4_KTQT_v4[[#This Row],[ĐGVC-KXK]])*KH_26_OPT4_KTQT_v4[[#This Row],[SL-04]]</f>
        <v>0</v>
      </c>
      <c r="CR73" s="47">
        <f ca="1">(KH_26_OPT4_KTQT_v4[[#This Row],[ĐGVC-KNĐ]]+KH_26_OPT4_KTQT_v4[[#This Row],[ĐGVC-KXK]])*KH_26_OPT4_KTQT_v4[[#This Row],[SL-05]]</f>
        <v>0</v>
      </c>
      <c r="CS73" s="47">
        <f ca="1">(KH_26_OPT4_KTQT_v4[[#This Row],[ĐGVC-KNĐ]]+KH_26_OPT4_KTQT_v4[[#This Row],[ĐGVC-KXK]])*KH_26_OPT4_KTQT_v4[[#This Row],[SL-06]]</f>
        <v>0</v>
      </c>
      <c r="CT73" s="47">
        <f ca="1">(KH_26_OPT4_KTQT_v4[[#This Row],[ĐGVC-KNĐ]]+KH_26_OPT4_KTQT_v4[[#This Row],[ĐGVC-KXK]])*KH_26_OPT4_KTQT_v4[[#This Row],[SL-07]]</f>
        <v>0</v>
      </c>
      <c r="CU73" s="47">
        <f ca="1">(KH_26_OPT4_KTQT_v4[[#This Row],[ĐGVC-KNĐ]]+KH_26_OPT4_KTQT_v4[[#This Row],[ĐGVC-KXK]])*KH_26_OPT4_KTQT_v4[[#This Row],[SL-08]]</f>
        <v>0</v>
      </c>
      <c r="CV73" s="47">
        <f ca="1">(KH_26_OPT4_KTQT_v4[[#This Row],[ĐGVC-KNĐ]]+KH_26_OPT4_KTQT_v4[[#This Row],[ĐGVC-KXK]])*KH_26_OPT4_KTQT_v4[[#This Row],[SL-09]]</f>
        <v>0</v>
      </c>
      <c r="CW73" s="47">
        <f ca="1">(KH_26_OPT4_KTQT_v4[[#This Row],[ĐGVC-KNĐ]]+KH_26_OPT4_KTQT_v4[[#This Row],[ĐGVC-KXK]])*KH_26_OPT4_KTQT_v4[[#This Row],[SL-10]]</f>
        <v>0</v>
      </c>
      <c r="CX73" s="47">
        <f ca="1">(KH_26_OPT4_KTQT_v4[[#This Row],[ĐGVC-KNĐ]]+KH_26_OPT4_KTQT_v4[[#This Row],[ĐGVC-KXK]])*KH_26_OPT4_KTQT_v4[[#This Row],[SL-11]]</f>
        <v>0</v>
      </c>
      <c r="CY73" s="47">
        <f ca="1">(KH_26_OPT4_KTQT_v4[[#This Row],[ĐGVC-KNĐ]]+KH_26_OPT4_KTQT_v4[[#This Row],[ĐGVC-KXK]])*KH_26_OPT4_KTQT_v4[[#This Row],[SL-12]]</f>
        <v>0</v>
      </c>
      <c r="CZ73" s="47">
        <f ca="1">SUM(KH_26_OPT4_KTQT_v4[[#This Row],[CPVC-01]:[CPVC-12]])</f>
        <v>0</v>
      </c>
      <c r="DA73" s="124">
        <f ca="1">KH_26_OPT4_KTQT_v4[[#This Row],[DT-EXW-01]]+KH_26_OPT4_KTQT_v4[[#This Row],[CPVC-01]]+KH_26_OPT4_KTQT_v4[[#This Row],[CPHH-01]]</f>
        <v>0</v>
      </c>
      <c r="DB73" s="47">
        <f ca="1">KH_26_OPT4_KTQT_v4[[#This Row],[DT-EXW-02]]+KH_26_OPT4_KTQT_v4[[#This Row],[CPVC-02]]+KH_26_OPT4_KTQT_v4[[#This Row],[CPHH-02]]</f>
        <v>0</v>
      </c>
      <c r="DC73" s="47">
        <f ca="1">KH_26_OPT4_KTQT_v4[[#This Row],[DT-EXW-03]]+KH_26_OPT4_KTQT_v4[[#This Row],[CPVC-03]]+KH_26_OPT4_KTQT_v4[[#This Row],[CPHH-03]]</f>
        <v>0</v>
      </c>
      <c r="DD73" s="47">
        <f ca="1">KH_26_OPT4_KTQT_v4[[#This Row],[DT-EXW-04]]+KH_26_OPT4_KTQT_v4[[#This Row],[CPVC-04]]+KH_26_OPT4_KTQT_v4[[#This Row],[CPHH-04]]</f>
        <v>0</v>
      </c>
      <c r="DE73" s="47">
        <f ca="1">KH_26_OPT4_KTQT_v4[[#This Row],[DT-EXW-05]]+KH_26_OPT4_KTQT_v4[[#This Row],[CPVC-05]]+KH_26_OPT4_KTQT_v4[[#This Row],[CPHH-05]]</f>
        <v>0</v>
      </c>
      <c r="DF73" s="47">
        <f ca="1">KH_26_OPT4_KTQT_v4[[#This Row],[DT-EXW-06]]+KH_26_OPT4_KTQT_v4[[#This Row],[CPVC-06]]+KH_26_OPT4_KTQT_v4[[#This Row],[CPHH-06]]</f>
        <v>0</v>
      </c>
      <c r="DG73" s="47">
        <f ca="1">KH_26_OPT4_KTQT_v4[[#This Row],[DT-EXW-07]]+KH_26_OPT4_KTQT_v4[[#This Row],[CPVC-07]]+KH_26_OPT4_KTQT_v4[[#This Row],[CPHH-07]]</f>
        <v>0</v>
      </c>
      <c r="DH73" s="47">
        <f ca="1">KH_26_OPT4_KTQT_v4[[#This Row],[DT-EXW-08]]+KH_26_OPT4_KTQT_v4[[#This Row],[CPVC-08]]+KH_26_OPT4_KTQT_v4[[#This Row],[CPHH-08]]</f>
        <v>0</v>
      </c>
      <c r="DI73" s="47">
        <f ca="1">KH_26_OPT4_KTQT_v4[[#This Row],[DT-EXW-09]]+KH_26_OPT4_KTQT_v4[[#This Row],[CPVC-09]]+KH_26_OPT4_KTQT_v4[[#This Row],[CPHH-09]]</f>
        <v>0</v>
      </c>
      <c r="DJ73" s="47">
        <f ca="1">KH_26_OPT4_KTQT_v4[[#This Row],[DT-EXW-10]]+KH_26_OPT4_KTQT_v4[[#This Row],[CPVC-10]]+KH_26_OPT4_KTQT_v4[[#This Row],[CPHH-10]]</f>
        <v>0</v>
      </c>
      <c r="DK73" s="47">
        <f ca="1">KH_26_OPT4_KTQT_v4[[#This Row],[DT-EXW-11]]+KH_26_OPT4_KTQT_v4[[#This Row],[CPVC-11]]+KH_26_OPT4_KTQT_v4[[#This Row],[CPHH-11]]</f>
        <v>0</v>
      </c>
      <c r="DL73" s="47">
        <f ca="1">KH_26_OPT4_KTQT_v4[[#This Row],[DT-EXW-12]]+KH_26_OPT4_KTQT_v4[[#This Row],[CPVC-12]]+KH_26_OPT4_KTQT_v4[[#This Row],[CPHH-12]]</f>
        <v>0</v>
      </c>
      <c r="DM73" s="47">
        <f ca="1">SUM(KH_26_OPT4_KTQT_v4[[#This Row],[DT-01]:[DT-12]])</f>
        <v>0</v>
      </c>
      <c r="DN73" s="7"/>
      <c r="DO73" s="7"/>
      <c r="DP73" s="125"/>
      <c r="DQ73" s="136"/>
      <c r="DR73" s="132">
        <f>IFERROR(KH_26_OPT4_KTQT_v4[[#This Row],[DT-EXW-01]]*KH_26_OPT4_KTQT_v4[[#This Row],[%CPDP]],0)</f>
        <v>0</v>
      </c>
      <c r="DS73" s="132">
        <f>IFERROR(KH_26_OPT4_KTQT_v4[[#This Row],[DT-EXW-02]]*KH_26_OPT4_KTQT_v4[[#This Row],[%CPDP]],0)</f>
        <v>0</v>
      </c>
      <c r="DT73" s="132">
        <f>IFERROR(KH_26_OPT4_KTQT_v4[[#This Row],[DT-EXW-03]]*KH_26_OPT4_KTQT_v4[[#This Row],[%CPDP]],0)</f>
        <v>0</v>
      </c>
      <c r="DU73" s="132">
        <f>IFERROR(KH_26_OPT4_KTQT_v4[[#This Row],[DT-EXW-04]]*KH_26_OPT4_KTQT_v4[[#This Row],[%CPDP]],0)</f>
        <v>0</v>
      </c>
      <c r="DV73" s="132">
        <f>IFERROR(KH_26_OPT4_KTQT_v4[[#This Row],[DT-EXW-05]]*KH_26_OPT4_KTQT_v4[[#This Row],[%CPDP]],0)</f>
        <v>0</v>
      </c>
      <c r="DW73" s="132">
        <f>IFERROR(KH_26_OPT4_KTQT_v4[[#This Row],[DT-EXW-06]]*KH_26_OPT4_KTQT_v4[[#This Row],[%CPDP]],0)</f>
        <v>0</v>
      </c>
      <c r="DX73" s="132">
        <f>IFERROR(KH_26_OPT4_KTQT_v4[[#This Row],[DT-EXW-07]]*KH_26_OPT4_KTQT_v4[[#This Row],[%CPDP]],0)</f>
        <v>0</v>
      </c>
      <c r="DY73" s="132">
        <f>IFERROR(KH_26_OPT4_KTQT_v4[[#This Row],[DT-EXW-08]]*KH_26_OPT4_KTQT_v4[[#This Row],[%CPDP]],0)</f>
        <v>0</v>
      </c>
      <c r="DZ73" s="132">
        <f>IFERROR(KH_26_OPT4_KTQT_v4[[#This Row],[DT-EXW-09]]*KH_26_OPT4_KTQT_v4[[#This Row],[%CPDP]],0)</f>
        <v>0</v>
      </c>
      <c r="EA73" s="132">
        <f>IFERROR(KH_26_OPT4_KTQT_v4[[#This Row],[DT-EXW-10]]*KH_26_OPT4_KTQT_v4[[#This Row],[%CPDP]],0)</f>
        <v>0</v>
      </c>
      <c r="EB73" s="132">
        <f>IFERROR(KH_26_OPT4_KTQT_v4[[#This Row],[DT-EXW-11]]*KH_26_OPT4_KTQT_v4[[#This Row],[%CPDP]],0)</f>
        <v>0</v>
      </c>
      <c r="EC73" s="132">
        <f>IFERROR(KH_26_OPT4_KTQT_v4[[#This Row],[DT-EXW-12]]*KH_26_OPT4_KTQT_v4[[#This Row],[%CPDP]],0)</f>
        <v>0</v>
      </c>
      <c r="ED73" s="131">
        <f ca="1">SUM(KH_26_OPT4_KTQT_v4[[#This Row],[CPDP-01]:[CPDP-12]])</f>
        <v>0</v>
      </c>
    </row>
    <row r="74" spans="1:134" ht="14.65" hidden="1" customHeight="1" x14ac:dyDescent="0.35">
      <c r="A74" s="18">
        <v>69</v>
      </c>
      <c r="B74" s="71" t="s">
        <v>115</v>
      </c>
      <c r="C74" s="18" t="str">
        <f>IFERROR(_xlfn.XLOOKUP(KH_26_OPT4_KTQT_v4[[#This Row],[Salesman]],MD_Salesman[Salesman],MD_Salesman[SalesManager]),"")</f>
        <v>Quốc Anh</v>
      </c>
      <c r="D74" s="72" t="str">
        <f>IFERROR(INDEX(MD_Customer[Mã khách],MATCH(KH_26_OPT4_KTQT_v4[[#This Row],[Tên khách]],MD_Customer[Tên khách-rút gọn],0)),"")</f>
        <v>200330</v>
      </c>
      <c r="E74" s="7" t="str">
        <f>IFERROR(INDEX(MD_Customer[Parent Account],MATCH(KH_26_OPT4_KTQT_v4[[#This Row],[Tên khách]],MD_Customer[Tên khách-rút gọn],0)),"")</f>
        <v>Fega</v>
      </c>
      <c r="F74" s="35" t="s">
        <v>125</v>
      </c>
      <c r="G74" s="7" t="str">
        <f>IFERROR(INDEX(MD_Customer[Phân loại],MATCH(KH_26_OPT4_KTQT_v4[[#This Row],[Tên khách]],MD_Customer[Tên khách-rút gọn],0)),"")</f>
        <v>Hiện hữu</v>
      </c>
      <c r="H74" s="7" t="str">
        <f>IFERROR(INDEX(MD_Customer[Kênh bán hàng],MATCH(KH_26_OPT4_KTQT_v4[[#This Row],[Tên khách]],MD_Customer[Tên khách-rút gọn],0)),"")</f>
        <v>Xuất khẩu</v>
      </c>
      <c r="I74" s="35" t="s">
        <v>309</v>
      </c>
      <c r="J74" s="7" t="str">
        <f>IFERROR(INDEX(MD_Destination[Nước],MATCH(KH_26_OPT4_KTQT_v4[[#This Row],[Địa điểm đến]],MD_Destination[Địa điểm đến],0)),"")</f>
        <v>Hy lạp</v>
      </c>
      <c r="K74" s="7" t="str">
        <f>IFERROR(INDEX(MD_Destination[Khu vực],MATCH(KH_26_OPT4_KTQT_v4[[#This Row],[Địa điểm đến]],MD_Destination[Địa điểm đến],0)),"")</f>
        <v>Châu Âu</v>
      </c>
      <c r="L74" s="35" t="s">
        <v>278</v>
      </c>
      <c r="M74" s="7" t="str">
        <f>IFERROR(INDEX(MD_SKU[Mã SKU],MATCH(KH_26_OPT4_KTQT_v4[[#This Row],[Tên sản phẩm]],MD_SKU[Tên SKU-rút gọn],0)),"")</f>
        <v>110000355</v>
      </c>
      <c r="N74" s="35" t="s">
        <v>469</v>
      </c>
      <c r="O74" s="7" t="str">
        <f>IFERROR(INDEX(MD_SKU[Ngành hàng],MATCH(KH_26_OPT4_KTQT_v4[[#This Row],[Tên sản phẩm]],MD_SKU[Tên SKU-rút gọn],0)),"")</f>
        <v>rPET</v>
      </c>
      <c r="P74" s="7" t="str">
        <f>IFERROR(INDEX(MD_SKU[Nhóm ngành],MATCH(KH_26_OPT4_KTQT_v4[[#This Row],[Tên sản phẩm]],MD_SKU[Tên SKU-rút gọn],0)),"")</f>
        <v>Hạt PET</v>
      </c>
      <c r="Q74" s="7" t="str">
        <f>IFERROR(
   IF(INDEX(MD_SKU[IV/IM],MATCH(KH_26_OPT4_KTQT_v4[[#This Row],[Tên sản phẩm]],MD_SKU[Tên SKU-rút gọn],0))=0,
      "",
      INDEX(MD_SKU[IV/IM],MATCH(KH_26_OPT4_KTQT_v4[[#This Row],[Tên sản phẩm]],MD_SKU[Tên SKU-rút gọn],0))
   ),
"")</f>
        <v>0.80 ± 0.02</v>
      </c>
      <c r="R74" s="44">
        <f>IFERROR(INDEX(MD_SKU[Application],MATCH(KH_26_OPT4_KTQT_v4[[#This Row],[Tên sản phẩm]],MD_SKU[Tên SKU-rút gọn],0)),"")</f>
        <v>0</v>
      </c>
      <c r="S74" s="7" t="str">
        <f>IFERROR(INDEX(MD_SKU[Phân loại],MATCH(KH_26_OPT4_KTQT_v4[[#This Row],[Tên sản phẩm]],MD_SKU[Tên SKU-rút gọn],0)),"")</f>
        <v>Cũ</v>
      </c>
      <c r="T74" s="7" t="s">
        <v>542</v>
      </c>
      <c r="U74" s="7" t="s">
        <v>1508</v>
      </c>
      <c r="V74" s="70">
        <v>0.8</v>
      </c>
      <c r="W74" s="7">
        <v>22</v>
      </c>
      <c r="X74" s="7"/>
      <c r="Y74" s="7">
        <v>22</v>
      </c>
      <c r="Z74" s="7"/>
      <c r="AA74" s="7">
        <v>22</v>
      </c>
      <c r="AB74" s="7"/>
      <c r="AC74" s="7">
        <v>22</v>
      </c>
      <c r="AD74" s="7"/>
      <c r="AE74" s="7">
        <v>22</v>
      </c>
      <c r="AF74" s="7"/>
      <c r="AG74" s="7">
        <v>22</v>
      </c>
      <c r="AH74" s="7"/>
      <c r="AI74" s="47">
        <f ca="1">SUM(KH_26_OPT4_KTQT_v4[[#This Row],[SL-01]:[SL-12]])</f>
        <v>132</v>
      </c>
      <c r="AJ74" s="47">
        <f ca="1">SUMIFS(DB_25[SL-DB25],DB_25[Mã khách],KH_26_OPT4_KTQT_v4[[#This Row],[Mã khách]],DB_25[Mã sản phẩm],KH_26_OPT4_KTQT_v4[[#This Row],[Mã sản phẩm]])</f>
        <v>66</v>
      </c>
      <c r="AK74" s="20">
        <f ca="1">KH_26_OPT4_KTQT_v4[[#This Row],[SL-KH26]]-KH_26_OPT4_KTQT_v4[[#This Row],[SL-DB25]]</f>
        <v>66</v>
      </c>
      <c r="AL74" s="21">
        <f ca="1">IFERROR(KH_26_OPT4_KTQT_v4[[#This Row],[SL-+/-]]/KH_26_OPT4_KTQT_v4[[#This Row],[SL-DB25]],0)</f>
        <v>1</v>
      </c>
      <c r="AM74" s="51">
        <v>1200</v>
      </c>
      <c r="AN74" s="51">
        <v>1200</v>
      </c>
      <c r="AO74" s="51">
        <v>1200</v>
      </c>
      <c r="AP74" s="51">
        <v>1200</v>
      </c>
      <c r="AQ74" s="51">
        <v>1200</v>
      </c>
      <c r="AR74" s="51">
        <v>1200</v>
      </c>
      <c r="AS74" s="51">
        <v>1200</v>
      </c>
      <c r="AT74" s="51">
        <v>1200</v>
      </c>
      <c r="AU74" s="51">
        <v>1200</v>
      </c>
      <c r="AV74" s="51">
        <v>1200</v>
      </c>
      <c r="AW74" s="51">
        <v>1200</v>
      </c>
      <c r="AX74" s="51">
        <v>1200</v>
      </c>
      <c r="AY74" s="23">
        <v>1200</v>
      </c>
      <c r="AZ74" s="7"/>
      <c r="BA74" s="24">
        <f>KH_26_OPT4_KTQT_v4[[#This Row],[GB-DB25]]-KH_26_OPT4_KTQT_v4[[#This Row],[GB-KH25]]</f>
        <v>1200</v>
      </c>
      <c r="BB74" s="21">
        <f>IFERROR(KH_26_OPT4_KTQT_v4[[#This Row],[GB-+/-]]/KH_26_OPT4_KTQT_v4[[#This Row],[GB-KH25]],0)</f>
        <v>0</v>
      </c>
      <c r="BC74" s="21" t="s">
        <v>534</v>
      </c>
      <c r="BD74" s="47">
        <f>KH_26_OPT4_KTQT_v4[[#This Row],[SL-01]]*KH_26_OPT4_KTQT_v4[[#This Row],[GB-01]]*EXR</f>
        <v>699600000</v>
      </c>
      <c r="BE74" s="47">
        <f>KH_26_OPT4_KTQT_v4[[#This Row],[SL-02]]*KH_26_OPT4_KTQT_v4[[#This Row],[GB-02]]*EXR</f>
        <v>0</v>
      </c>
      <c r="BF74" s="47">
        <f>KH_26_OPT4_KTQT_v4[[#This Row],[SL-03]]*KH_26_OPT4_KTQT_v4[[#This Row],[GB-03]]*EXR</f>
        <v>699600000</v>
      </c>
      <c r="BG74" s="47">
        <f>KH_26_OPT4_KTQT_v4[[#This Row],[SL-04]]*KH_26_OPT4_KTQT_v4[[#This Row],[GB-04]]*EXR</f>
        <v>0</v>
      </c>
      <c r="BH74" s="47">
        <f>KH_26_OPT4_KTQT_v4[[#This Row],[SL-05]]*KH_26_OPT4_KTQT_v4[[#This Row],[GB-05]]*EXR</f>
        <v>699600000</v>
      </c>
      <c r="BI74" s="47">
        <f>KH_26_OPT4_KTQT_v4[[#This Row],[SL-06]]*KH_26_OPT4_KTQT_v4[[#This Row],[GB-06]]*EXR</f>
        <v>0</v>
      </c>
      <c r="BJ74" s="47">
        <f>KH_26_OPT4_KTQT_v4[[#This Row],[SL-07]]*KH_26_OPT4_KTQT_v4[[#This Row],[GB-07]]*EXR</f>
        <v>699600000</v>
      </c>
      <c r="BK74" s="47">
        <f>KH_26_OPT4_KTQT_v4[[#This Row],[SL-08]]*KH_26_OPT4_KTQT_v4[[#This Row],[GB-08]]*EXR</f>
        <v>0</v>
      </c>
      <c r="BL74" s="47">
        <f>KH_26_OPT4_KTQT_v4[[#This Row],[SL-09]]*KH_26_OPT4_KTQT_v4[[#This Row],[GB-09]]*EXR</f>
        <v>699600000</v>
      </c>
      <c r="BM74" s="47">
        <f>KH_26_OPT4_KTQT_v4[[#This Row],[SL-10]]*KH_26_OPT4_KTQT_v4[[#This Row],[GB-10]]*EXR</f>
        <v>0</v>
      </c>
      <c r="BN74" s="47">
        <f>KH_26_OPT4_KTQT_v4[[#This Row],[SL-11]]*KH_26_OPT4_KTQT_v4[[#This Row],[GB-11]]*EXR</f>
        <v>699600000</v>
      </c>
      <c r="BO74" s="47">
        <f>KH_26_OPT4_KTQT_v4[[#This Row],[SL-12]]*KH_26_OPT4_KTQT_v4[[#This Row],[GB-12]]*EXR</f>
        <v>0</v>
      </c>
      <c r="BP74" s="47">
        <f ca="1">SUM(KH_26_OPT4_KTQT_v4[[#This Row],[DT-EXW-01]:[DT-EXW-12]])</f>
        <v>4197600000</v>
      </c>
      <c r="BQ74" s="47">
        <f ca="1">SUMIFS(DB_25[DT-DB25],DB_25[Mã khách],KH_26_OPT4_KTQT_v4[[#This Row],[Mã khách]],DB_25[Mã sản phẩm],KH_26_OPT4_KTQT_v4[[#This Row],[Mã sản phẩm]])</f>
        <v>714271281.5089649</v>
      </c>
      <c r="BR74" s="47">
        <f ca="1">KH_26_OPT4_KTQT_v4[[#This Row],[DT-EXW-KH26]]-KH_26_OPT4_KTQT_v4[[#This Row],[DT-EXW-DB25]]</f>
        <v>3483328718.491035</v>
      </c>
      <c r="BS74" s="21">
        <f ca="1">IFERROR(KH_26_OPT4_KTQT_v4[[#This Row],[DT-EXW-+/-]]/KH_26_OPT4_KTQT_v4[[#This Row],[DT-EXW-DB25]],0)</f>
        <v>4.8767587451257697</v>
      </c>
      <c r="BT74" s="139"/>
      <c r="BU74" s="57"/>
      <c r="BV74" s="51"/>
      <c r="BW74" s="47">
        <f>IF(KH_26_OPT4_KTQT_v4[[#This Row],[CPHH-%-SL]]="Dthu",KH_26_OPT4_KTQT_v4[[#This Row],[%HH]]*KH_26_OPT4_KTQT_v4[[#This Row],[DT-EXW-01]],KH_26_OPT4_KTQT_v4[[#This Row],[HH-SL]]*KH_26_OPT4_KTQT_v4[[#This Row],[SL-01]])</f>
        <v>0</v>
      </c>
      <c r="BX74" s="47">
        <f>IF(KH_26_OPT4_KTQT_v4[[#This Row],[CPHH-%-SL]]="Dthu",KH_26_OPT4_KTQT_v4[[#This Row],[%HH]]*KH_26_OPT4_KTQT_v4[[#This Row],[DT-EXW-02]],KH_26_OPT4_KTQT_v4[[#This Row],[HH-SL]]*KH_26_OPT4_KTQT_v4[[#This Row],[SL-02]])</f>
        <v>0</v>
      </c>
      <c r="BY74" s="47">
        <f>IF(KH_26_OPT4_KTQT_v4[[#This Row],[CPHH-%-SL]]="Dthu",KH_26_OPT4_KTQT_v4[[#This Row],[%HH]]*KH_26_OPT4_KTQT_v4[[#This Row],[DT-EXW-03]],KH_26_OPT4_KTQT_v4[[#This Row],[HH-SL]]*KH_26_OPT4_KTQT_v4[[#This Row],[SL-03]])</f>
        <v>0</v>
      </c>
      <c r="BZ74" s="47">
        <f>IF(KH_26_OPT4_KTQT_v4[[#This Row],[CPHH-%-SL]]="Dthu",KH_26_OPT4_KTQT_v4[[#This Row],[%HH]]*KH_26_OPT4_KTQT_v4[[#This Row],[DT-EXW-04]],KH_26_OPT4_KTQT_v4[[#This Row],[HH-SL]]*KH_26_OPT4_KTQT_v4[[#This Row],[SL-04]])</f>
        <v>0</v>
      </c>
      <c r="CA74" s="47">
        <f>IF(KH_26_OPT4_KTQT_v4[[#This Row],[CPHH-%-SL]]="Dthu",KH_26_OPT4_KTQT_v4[[#This Row],[%HH]]*KH_26_OPT4_KTQT_v4[[#This Row],[DT-EXW-05]],KH_26_OPT4_KTQT_v4[[#This Row],[HH-SL]]*KH_26_OPT4_KTQT_v4[[#This Row],[SL-05]])</f>
        <v>0</v>
      </c>
      <c r="CB74" s="47">
        <f>IF(KH_26_OPT4_KTQT_v4[[#This Row],[CPHH-%-SL]]="Dthu",KH_26_OPT4_KTQT_v4[[#This Row],[%HH]]*KH_26_OPT4_KTQT_v4[[#This Row],[DT-EXW-06]],KH_26_OPT4_KTQT_v4[[#This Row],[HH-SL]]*KH_26_OPT4_KTQT_v4[[#This Row],[SL-06]])</f>
        <v>0</v>
      </c>
      <c r="CC74" s="47">
        <f>IF(KH_26_OPT4_KTQT_v4[[#This Row],[CPHH-%-SL]]="Dthu",KH_26_OPT4_KTQT_v4[[#This Row],[%HH]]*KH_26_OPT4_KTQT_v4[[#This Row],[DT-EXW-07]],KH_26_OPT4_KTQT_v4[[#This Row],[HH-SL]]*KH_26_OPT4_KTQT_v4[[#This Row],[SL-07]])</f>
        <v>0</v>
      </c>
      <c r="CD74" s="47">
        <f>IF(KH_26_OPT4_KTQT_v4[[#This Row],[CPHH-%-SL]]="Dthu",KH_26_OPT4_KTQT_v4[[#This Row],[%HH]]*KH_26_OPT4_KTQT_v4[[#This Row],[DT-EXW-08]],KH_26_OPT4_KTQT_v4[[#This Row],[HH-SL]]*KH_26_OPT4_KTQT_v4[[#This Row],[SL-08]])</f>
        <v>0</v>
      </c>
      <c r="CE74" s="47">
        <f>IF(KH_26_OPT4_KTQT_v4[[#This Row],[CPHH-%-SL]]="Dthu",KH_26_OPT4_KTQT_v4[[#This Row],[%HH]]*KH_26_OPT4_KTQT_v4[[#This Row],[DT-EXW-09]],KH_26_OPT4_KTQT_v4[[#This Row],[HH-SL]]*KH_26_OPT4_KTQT_v4[[#This Row],[SL-09]])</f>
        <v>0</v>
      </c>
      <c r="CF74" s="47">
        <f>IF(KH_26_OPT4_KTQT_v4[[#This Row],[CPHH-%-SL]]="Dthu",KH_26_OPT4_KTQT_v4[[#This Row],[%HH]]*KH_26_OPT4_KTQT_v4[[#This Row],[DT-EXW-10]],KH_26_OPT4_KTQT_v4[[#This Row],[HH-SL]]*KH_26_OPT4_KTQT_v4[[#This Row],[SL-10]])</f>
        <v>0</v>
      </c>
      <c r="CG74" s="47">
        <f>IF(KH_26_OPT4_KTQT_v4[[#This Row],[CPHH-%-SL]]="Dthu",KH_26_OPT4_KTQT_v4[[#This Row],[%HH]]*KH_26_OPT4_KTQT_v4[[#This Row],[DT-EXW-11]],KH_26_OPT4_KTQT_v4[[#This Row],[HH-SL]]*KH_26_OPT4_KTQT_v4[[#This Row],[SL-11]])</f>
        <v>0</v>
      </c>
      <c r="CH74" s="47">
        <f>IF(KH_26_OPT4_KTQT_v4[[#This Row],[CPHH-%-SL]]="Dthu",KH_26_OPT4_KTQT_v4[[#This Row],[%HH]]*KH_26_OPT4_KTQT_v4[[#This Row],[DT-EXW-12]],KH_26_OPT4_KTQT_v4[[#This Row],[HH-SL]]*KH_26_OPT4_KTQT_v4[[#This Row],[SL-12]])</f>
        <v>0</v>
      </c>
      <c r="CI74" s="47">
        <f ca="1">SUM(KH_26_OPT4_KTQT_v4[[#This Row],[CPHH-01]:[CPHH-12]])</f>
        <v>0</v>
      </c>
      <c r="CJ74" s="47" cm="1">
        <f t="array" ref="CJ74">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74" s="19">
        <f ca="1">SUM(KH_26_OPT4_KTQT_v4[[#This Row],[ĐGVCNĐ-KXK]:[ĐGVCCT-KXK]])</f>
        <v>530000</v>
      </c>
      <c r="CL74" s="47" cm="1">
        <f t="array" ref="CL74">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530000</v>
      </c>
      <c r="CM74" s="47" cm="1">
        <f t="array" ref="CM74">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74" s="47">
        <f ca="1">(KH_26_OPT4_KTQT_v4[[#This Row],[ĐGVC-KNĐ]]+KH_26_OPT4_KTQT_v4[[#This Row],[ĐGVC-KXK]])*KH_26_OPT4_KTQT_v4[[#This Row],[SL-01]]</f>
        <v>11660000</v>
      </c>
      <c r="CO74" s="47">
        <f ca="1">(KH_26_OPT4_KTQT_v4[[#This Row],[ĐGVC-KNĐ]]+KH_26_OPT4_KTQT_v4[[#This Row],[ĐGVC-KXK]])*KH_26_OPT4_KTQT_v4[[#This Row],[SL-02]]</f>
        <v>0</v>
      </c>
      <c r="CP74" s="47">
        <f ca="1">(KH_26_OPT4_KTQT_v4[[#This Row],[ĐGVC-KNĐ]]+KH_26_OPT4_KTQT_v4[[#This Row],[ĐGVC-KXK]])*KH_26_OPT4_KTQT_v4[[#This Row],[SL-03]]</f>
        <v>11660000</v>
      </c>
      <c r="CQ74" s="47">
        <f ca="1">(KH_26_OPT4_KTQT_v4[[#This Row],[ĐGVC-KNĐ]]+KH_26_OPT4_KTQT_v4[[#This Row],[ĐGVC-KXK]])*KH_26_OPT4_KTQT_v4[[#This Row],[SL-04]]</f>
        <v>0</v>
      </c>
      <c r="CR74" s="47">
        <f ca="1">(KH_26_OPT4_KTQT_v4[[#This Row],[ĐGVC-KNĐ]]+KH_26_OPT4_KTQT_v4[[#This Row],[ĐGVC-KXK]])*KH_26_OPT4_KTQT_v4[[#This Row],[SL-05]]</f>
        <v>11660000</v>
      </c>
      <c r="CS74" s="47">
        <f ca="1">(KH_26_OPT4_KTQT_v4[[#This Row],[ĐGVC-KNĐ]]+KH_26_OPT4_KTQT_v4[[#This Row],[ĐGVC-KXK]])*KH_26_OPT4_KTQT_v4[[#This Row],[SL-06]]</f>
        <v>0</v>
      </c>
      <c r="CT74" s="47">
        <f ca="1">(KH_26_OPT4_KTQT_v4[[#This Row],[ĐGVC-KNĐ]]+KH_26_OPT4_KTQT_v4[[#This Row],[ĐGVC-KXK]])*KH_26_OPT4_KTQT_v4[[#This Row],[SL-07]]</f>
        <v>11660000</v>
      </c>
      <c r="CU74" s="47">
        <f ca="1">(KH_26_OPT4_KTQT_v4[[#This Row],[ĐGVC-KNĐ]]+KH_26_OPT4_KTQT_v4[[#This Row],[ĐGVC-KXK]])*KH_26_OPT4_KTQT_v4[[#This Row],[SL-08]]</f>
        <v>0</v>
      </c>
      <c r="CV74" s="47">
        <f ca="1">(KH_26_OPT4_KTQT_v4[[#This Row],[ĐGVC-KNĐ]]+KH_26_OPT4_KTQT_v4[[#This Row],[ĐGVC-KXK]])*KH_26_OPT4_KTQT_v4[[#This Row],[SL-09]]</f>
        <v>11660000</v>
      </c>
      <c r="CW74" s="47">
        <f ca="1">(KH_26_OPT4_KTQT_v4[[#This Row],[ĐGVC-KNĐ]]+KH_26_OPT4_KTQT_v4[[#This Row],[ĐGVC-KXK]])*KH_26_OPT4_KTQT_v4[[#This Row],[SL-10]]</f>
        <v>0</v>
      </c>
      <c r="CX74" s="47">
        <f ca="1">(KH_26_OPT4_KTQT_v4[[#This Row],[ĐGVC-KNĐ]]+KH_26_OPT4_KTQT_v4[[#This Row],[ĐGVC-KXK]])*KH_26_OPT4_KTQT_v4[[#This Row],[SL-11]]</f>
        <v>11660000</v>
      </c>
      <c r="CY74" s="47">
        <f ca="1">(KH_26_OPT4_KTQT_v4[[#This Row],[ĐGVC-KNĐ]]+KH_26_OPT4_KTQT_v4[[#This Row],[ĐGVC-KXK]])*KH_26_OPT4_KTQT_v4[[#This Row],[SL-12]]</f>
        <v>0</v>
      </c>
      <c r="CZ74" s="47">
        <f ca="1">SUM(KH_26_OPT4_KTQT_v4[[#This Row],[CPVC-01]:[CPVC-12]])</f>
        <v>69960000</v>
      </c>
      <c r="DA74" s="124">
        <f ca="1">KH_26_OPT4_KTQT_v4[[#This Row],[DT-EXW-01]]+KH_26_OPT4_KTQT_v4[[#This Row],[CPVC-01]]+KH_26_OPT4_KTQT_v4[[#This Row],[CPHH-01]]</f>
        <v>711260000</v>
      </c>
      <c r="DB74" s="47">
        <f ca="1">KH_26_OPT4_KTQT_v4[[#This Row],[DT-EXW-02]]+KH_26_OPT4_KTQT_v4[[#This Row],[CPVC-02]]+KH_26_OPT4_KTQT_v4[[#This Row],[CPHH-02]]</f>
        <v>0</v>
      </c>
      <c r="DC74" s="47">
        <f ca="1">KH_26_OPT4_KTQT_v4[[#This Row],[DT-EXW-03]]+KH_26_OPT4_KTQT_v4[[#This Row],[CPVC-03]]+KH_26_OPT4_KTQT_v4[[#This Row],[CPHH-03]]</f>
        <v>711260000</v>
      </c>
      <c r="DD74" s="47">
        <f ca="1">KH_26_OPT4_KTQT_v4[[#This Row],[DT-EXW-04]]+KH_26_OPT4_KTQT_v4[[#This Row],[CPVC-04]]+KH_26_OPT4_KTQT_v4[[#This Row],[CPHH-04]]</f>
        <v>0</v>
      </c>
      <c r="DE74" s="47">
        <f ca="1">KH_26_OPT4_KTQT_v4[[#This Row],[DT-EXW-05]]+KH_26_OPT4_KTQT_v4[[#This Row],[CPVC-05]]+KH_26_OPT4_KTQT_v4[[#This Row],[CPHH-05]]</f>
        <v>711260000</v>
      </c>
      <c r="DF74" s="47">
        <f ca="1">KH_26_OPT4_KTQT_v4[[#This Row],[DT-EXW-06]]+KH_26_OPT4_KTQT_v4[[#This Row],[CPVC-06]]+KH_26_OPT4_KTQT_v4[[#This Row],[CPHH-06]]</f>
        <v>0</v>
      </c>
      <c r="DG74" s="47">
        <f ca="1">KH_26_OPT4_KTQT_v4[[#This Row],[DT-EXW-07]]+KH_26_OPT4_KTQT_v4[[#This Row],[CPVC-07]]+KH_26_OPT4_KTQT_v4[[#This Row],[CPHH-07]]</f>
        <v>711260000</v>
      </c>
      <c r="DH74" s="47">
        <f ca="1">KH_26_OPT4_KTQT_v4[[#This Row],[DT-EXW-08]]+KH_26_OPT4_KTQT_v4[[#This Row],[CPVC-08]]+KH_26_OPT4_KTQT_v4[[#This Row],[CPHH-08]]</f>
        <v>0</v>
      </c>
      <c r="DI74" s="47">
        <f ca="1">KH_26_OPT4_KTQT_v4[[#This Row],[DT-EXW-09]]+KH_26_OPT4_KTQT_v4[[#This Row],[CPVC-09]]+KH_26_OPT4_KTQT_v4[[#This Row],[CPHH-09]]</f>
        <v>711260000</v>
      </c>
      <c r="DJ74" s="47">
        <f ca="1">KH_26_OPT4_KTQT_v4[[#This Row],[DT-EXW-10]]+KH_26_OPT4_KTQT_v4[[#This Row],[CPVC-10]]+KH_26_OPT4_KTQT_v4[[#This Row],[CPHH-10]]</f>
        <v>0</v>
      </c>
      <c r="DK74" s="47">
        <f ca="1">KH_26_OPT4_KTQT_v4[[#This Row],[DT-EXW-11]]+KH_26_OPT4_KTQT_v4[[#This Row],[CPVC-11]]+KH_26_OPT4_KTQT_v4[[#This Row],[CPHH-11]]</f>
        <v>711260000</v>
      </c>
      <c r="DL74" s="47">
        <f ca="1">KH_26_OPT4_KTQT_v4[[#This Row],[DT-EXW-12]]+KH_26_OPT4_KTQT_v4[[#This Row],[CPVC-12]]+KH_26_OPT4_KTQT_v4[[#This Row],[CPHH-12]]</f>
        <v>0</v>
      </c>
      <c r="DM74" s="47">
        <f ca="1">SUM(KH_26_OPT4_KTQT_v4[[#This Row],[DT-01]:[DT-12]])</f>
        <v>4267560000</v>
      </c>
      <c r="DN74" s="7"/>
      <c r="DO74" s="7"/>
      <c r="DP74" s="125"/>
      <c r="DQ74" s="136">
        <v>0.1</v>
      </c>
      <c r="DR74" s="132">
        <f>IFERROR(KH_26_OPT4_KTQT_v4[[#This Row],[DT-EXW-01]]*KH_26_OPT4_KTQT_v4[[#This Row],[%CPDP]],0)</f>
        <v>69960000</v>
      </c>
      <c r="DS74" s="132">
        <f>IFERROR(KH_26_OPT4_KTQT_v4[[#This Row],[DT-EXW-02]]*KH_26_OPT4_KTQT_v4[[#This Row],[%CPDP]],0)</f>
        <v>0</v>
      </c>
      <c r="DT74" s="132">
        <f>IFERROR(KH_26_OPT4_KTQT_v4[[#This Row],[DT-EXW-03]]*KH_26_OPT4_KTQT_v4[[#This Row],[%CPDP]],0)</f>
        <v>69960000</v>
      </c>
      <c r="DU74" s="132">
        <f>IFERROR(KH_26_OPT4_KTQT_v4[[#This Row],[DT-EXW-04]]*KH_26_OPT4_KTQT_v4[[#This Row],[%CPDP]],0)</f>
        <v>0</v>
      </c>
      <c r="DV74" s="132">
        <f>IFERROR(KH_26_OPT4_KTQT_v4[[#This Row],[DT-EXW-05]]*KH_26_OPT4_KTQT_v4[[#This Row],[%CPDP]],0)</f>
        <v>69960000</v>
      </c>
      <c r="DW74" s="132">
        <f>IFERROR(KH_26_OPT4_KTQT_v4[[#This Row],[DT-EXW-06]]*KH_26_OPT4_KTQT_v4[[#This Row],[%CPDP]],0)</f>
        <v>0</v>
      </c>
      <c r="DX74" s="132">
        <f>IFERROR(KH_26_OPT4_KTQT_v4[[#This Row],[DT-EXW-07]]*KH_26_OPT4_KTQT_v4[[#This Row],[%CPDP]],0)</f>
        <v>69960000</v>
      </c>
      <c r="DY74" s="132">
        <f>IFERROR(KH_26_OPT4_KTQT_v4[[#This Row],[DT-EXW-08]]*KH_26_OPT4_KTQT_v4[[#This Row],[%CPDP]],0)</f>
        <v>0</v>
      </c>
      <c r="DZ74" s="132">
        <f>IFERROR(KH_26_OPT4_KTQT_v4[[#This Row],[DT-EXW-09]]*KH_26_OPT4_KTQT_v4[[#This Row],[%CPDP]],0)</f>
        <v>69960000</v>
      </c>
      <c r="EA74" s="132">
        <f>IFERROR(KH_26_OPT4_KTQT_v4[[#This Row],[DT-EXW-10]]*KH_26_OPT4_KTQT_v4[[#This Row],[%CPDP]],0)</f>
        <v>0</v>
      </c>
      <c r="EB74" s="132">
        <f>IFERROR(KH_26_OPT4_KTQT_v4[[#This Row],[DT-EXW-11]]*KH_26_OPT4_KTQT_v4[[#This Row],[%CPDP]],0)</f>
        <v>69960000</v>
      </c>
      <c r="EC74" s="132">
        <f>IFERROR(KH_26_OPT4_KTQT_v4[[#This Row],[DT-EXW-12]]*KH_26_OPT4_KTQT_v4[[#This Row],[%CPDP]],0)</f>
        <v>0</v>
      </c>
      <c r="ED74" s="131">
        <f ca="1">SUM(KH_26_OPT4_KTQT_v4[[#This Row],[CPDP-01]:[CPDP-12]])</f>
        <v>419760000</v>
      </c>
    </row>
    <row r="75" spans="1:134" ht="14.65" hidden="1" customHeight="1" x14ac:dyDescent="0.35">
      <c r="A75" s="18">
        <v>70</v>
      </c>
      <c r="B75" s="71" t="s">
        <v>115</v>
      </c>
      <c r="C75" s="18" t="str">
        <f>IFERROR(_xlfn.XLOOKUP(KH_26_OPT4_KTQT_v4[[#This Row],[Salesman]],MD_Salesman[Salesman],MD_Salesman[SalesManager]),"")</f>
        <v>Quốc Anh</v>
      </c>
      <c r="D75" s="72" t="str">
        <f>IFERROR(INDEX(MD_Customer[Mã khách],MATCH(KH_26_OPT4_KTQT_v4[[#This Row],[Tên khách]],MD_Customer[Tên khách-rút gọn],0)),"")</f>
        <v>200330</v>
      </c>
      <c r="E75" s="7" t="str">
        <f>IFERROR(INDEX(MD_Customer[Parent Account],MATCH(KH_26_OPT4_KTQT_v4[[#This Row],[Tên khách]],MD_Customer[Tên khách-rút gọn],0)),"")</f>
        <v>Fega</v>
      </c>
      <c r="F75" s="35" t="s">
        <v>125</v>
      </c>
      <c r="G75" s="7" t="str">
        <f>IFERROR(INDEX(MD_Customer[Phân loại],MATCH(KH_26_OPT4_KTQT_v4[[#This Row],[Tên khách]],MD_Customer[Tên khách-rút gọn],0)),"")</f>
        <v>Hiện hữu</v>
      </c>
      <c r="H75" s="7" t="str">
        <f>IFERROR(INDEX(MD_Customer[Kênh bán hàng],MATCH(KH_26_OPT4_KTQT_v4[[#This Row],[Tên khách]],MD_Customer[Tên khách-rút gọn],0)),"")</f>
        <v>Xuất khẩu</v>
      </c>
      <c r="I75" s="35" t="s">
        <v>309</v>
      </c>
      <c r="J75" s="7" t="str">
        <f>IFERROR(INDEX(MD_Destination[Nước],MATCH(KH_26_OPT4_KTQT_v4[[#This Row],[Địa điểm đến]],MD_Destination[Địa điểm đến],0)),"")</f>
        <v>Hy lạp</v>
      </c>
      <c r="K75" s="7" t="str">
        <f>IFERROR(INDEX(MD_Destination[Khu vực],MATCH(KH_26_OPT4_KTQT_v4[[#This Row],[Địa điểm đến]],MD_Destination[Địa điểm đến],0)),"")</f>
        <v>Châu Âu</v>
      </c>
      <c r="L75" s="35" t="s">
        <v>278</v>
      </c>
      <c r="M75" s="7" t="str">
        <f>IFERROR(INDEX(MD_SKU[Mã SKU],MATCH(KH_26_OPT4_KTQT_v4[[#This Row],[Tên sản phẩm]],MD_SKU[Tên SKU-rút gọn],0)),"")</f>
        <v>110000359</v>
      </c>
      <c r="N75" s="35" t="s">
        <v>468</v>
      </c>
      <c r="O75" s="7" t="str">
        <f>IFERROR(INDEX(MD_SKU[Ngành hàng],MATCH(KH_26_OPT4_KTQT_v4[[#This Row],[Tên sản phẩm]],MD_SKU[Tên SKU-rút gọn],0)),"")</f>
        <v>rPET</v>
      </c>
      <c r="P75" s="7" t="str">
        <f>IFERROR(INDEX(MD_SKU[Nhóm ngành],MATCH(KH_26_OPT4_KTQT_v4[[#This Row],[Tên sản phẩm]],MD_SKU[Tên SKU-rút gọn],0)),"")</f>
        <v>Hạt PET</v>
      </c>
      <c r="Q75" s="7" t="str">
        <f>IFERROR(
   IF(INDEX(MD_SKU[IV/IM],MATCH(KH_26_OPT4_KTQT_v4[[#This Row],[Tên sản phẩm]],MD_SKU[Tên SKU-rút gọn],0))=0,
      "",
      INDEX(MD_SKU[IV/IM],MATCH(KH_26_OPT4_KTQT_v4[[#This Row],[Tên sản phẩm]],MD_SKU[Tên SKU-rút gọn],0))
   ),
"")</f>
        <v>0.70 ± 0.02</v>
      </c>
      <c r="R75" s="44">
        <f>IFERROR(INDEX(MD_SKU[Application],MATCH(KH_26_OPT4_KTQT_v4[[#This Row],[Tên sản phẩm]],MD_SKU[Tên SKU-rút gọn],0)),"")</f>
        <v>0</v>
      </c>
      <c r="S75" s="7" t="str">
        <f>IFERROR(INDEX(MD_SKU[Phân loại],MATCH(KH_26_OPT4_KTQT_v4[[#This Row],[Tên sản phẩm]],MD_SKU[Tên SKU-rút gọn],0)),"")</f>
        <v>Cũ</v>
      </c>
      <c r="T75" s="7" t="s">
        <v>125</v>
      </c>
      <c r="U75" s="157" t="s">
        <v>1508</v>
      </c>
      <c r="V75" s="70">
        <v>0.8</v>
      </c>
      <c r="W75" s="7"/>
      <c r="X75" s="33">
        <v>22</v>
      </c>
      <c r="Y75" s="33"/>
      <c r="Z75" s="33">
        <v>22</v>
      </c>
      <c r="AA75" s="33"/>
      <c r="AB75" s="33">
        <v>22</v>
      </c>
      <c r="AC75" s="33"/>
      <c r="AD75" s="33">
        <v>22</v>
      </c>
      <c r="AE75" s="33"/>
      <c r="AF75" s="33">
        <v>22</v>
      </c>
      <c r="AG75" s="33"/>
      <c r="AH75" s="33">
        <v>22</v>
      </c>
      <c r="AI75" s="47">
        <f ca="1">SUM(KH_26_OPT4_KTQT_v4[[#This Row],[SL-01]:[SL-12]])</f>
        <v>132</v>
      </c>
      <c r="AJ75" s="47">
        <f ca="1">SUMIFS(DB_25[SL-DB25],DB_25[Mã khách],KH_26_OPT4_KTQT_v4[[#This Row],[Mã khách]],DB_25[Mã sản phẩm],KH_26_OPT4_KTQT_v4[[#This Row],[Mã sản phẩm]])</f>
        <v>66</v>
      </c>
      <c r="AK75" s="20">
        <f ca="1">KH_26_OPT4_KTQT_v4[[#This Row],[SL-KH26]]-KH_26_OPT4_KTQT_v4[[#This Row],[SL-DB25]]</f>
        <v>66</v>
      </c>
      <c r="AL75" s="21">
        <f ca="1">IFERROR(KH_26_OPT4_KTQT_v4[[#This Row],[SL-+/-]]/KH_26_OPT4_KTQT_v4[[#This Row],[SL-DB25]],0)</f>
        <v>1</v>
      </c>
      <c r="AM75" s="51">
        <v>970</v>
      </c>
      <c r="AN75" s="51">
        <v>970</v>
      </c>
      <c r="AO75" s="51">
        <v>970</v>
      </c>
      <c r="AP75" s="51">
        <v>970</v>
      </c>
      <c r="AQ75" s="51">
        <v>970</v>
      </c>
      <c r="AR75" s="51">
        <v>970</v>
      </c>
      <c r="AS75" s="51">
        <v>970</v>
      </c>
      <c r="AT75" s="51">
        <v>970</v>
      </c>
      <c r="AU75" s="51">
        <v>970</v>
      </c>
      <c r="AV75" s="51">
        <v>970</v>
      </c>
      <c r="AW75" s="51">
        <v>970</v>
      </c>
      <c r="AX75" s="51">
        <v>970</v>
      </c>
      <c r="AY75" s="23">
        <v>970</v>
      </c>
      <c r="AZ75" s="7"/>
      <c r="BA75" s="24">
        <f>KH_26_OPT4_KTQT_v4[[#This Row],[GB-DB25]]-KH_26_OPT4_KTQT_v4[[#This Row],[GB-KH25]]</f>
        <v>970</v>
      </c>
      <c r="BB75" s="21">
        <f>IFERROR(KH_26_OPT4_KTQT_v4[[#This Row],[GB-+/-]]/KH_26_OPT4_KTQT_v4[[#This Row],[GB-KH25]],0)</f>
        <v>0</v>
      </c>
      <c r="BC75" s="21"/>
      <c r="BD75" s="47">
        <f>KH_26_OPT4_KTQT_v4[[#This Row],[SL-01]]*KH_26_OPT4_KTQT_v4[[#This Row],[GB-01]]*EXR</f>
        <v>0</v>
      </c>
      <c r="BE75" s="47">
        <f>KH_26_OPT4_KTQT_v4[[#This Row],[SL-02]]*KH_26_OPT4_KTQT_v4[[#This Row],[GB-02]]*EXR</f>
        <v>565510000</v>
      </c>
      <c r="BF75" s="47">
        <f>KH_26_OPT4_KTQT_v4[[#This Row],[SL-03]]*KH_26_OPT4_KTQT_v4[[#This Row],[GB-03]]*EXR</f>
        <v>0</v>
      </c>
      <c r="BG75" s="47">
        <f>KH_26_OPT4_KTQT_v4[[#This Row],[SL-04]]*KH_26_OPT4_KTQT_v4[[#This Row],[GB-04]]*EXR</f>
        <v>565510000</v>
      </c>
      <c r="BH75" s="47">
        <f>KH_26_OPT4_KTQT_v4[[#This Row],[SL-05]]*KH_26_OPT4_KTQT_v4[[#This Row],[GB-05]]*EXR</f>
        <v>0</v>
      </c>
      <c r="BI75" s="47">
        <f>KH_26_OPT4_KTQT_v4[[#This Row],[SL-06]]*KH_26_OPT4_KTQT_v4[[#This Row],[GB-06]]*EXR</f>
        <v>565510000</v>
      </c>
      <c r="BJ75" s="47">
        <f>KH_26_OPT4_KTQT_v4[[#This Row],[SL-07]]*KH_26_OPT4_KTQT_v4[[#This Row],[GB-07]]*EXR</f>
        <v>0</v>
      </c>
      <c r="BK75" s="47">
        <f>KH_26_OPT4_KTQT_v4[[#This Row],[SL-08]]*KH_26_OPT4_KTQT_v4[[#This Row],[GB-08]]*EXR</f>
        <v>565510000</v>
      </c>
      <c r="BL75" s="47">
        <f>KH_26_OPT4_KTQT_v4[[#This Row],[SL-09]]*KH_26_OPT4_KTQT_v4[[#This Row],[GB-09]]*EXR</f>
        <v>0</v>
      </c>
      <c r="BM75" s="47">
        <f>KH_26_OPT4_KTQT_v4[[#This Row],[SL-10]]*KH_26_OPT4_KTQT_v4[[#This Row],[GB-10]]*EXR</f>
        <v>565510000</v>
      </c>
      <c r="BN75" s="47">
        <f>KH_26_OPT4_KTQT_v4[[#This Row],[SL-11]]*KH_26_OPT4_KTQT_v4[[#This Row],[GB-11]]*EXR</f>
        <v>0</v>
      </c>
      <c r="BO75" s="47">
        <f>KH_26_OPT4_KTQT_v4[[#This Row],[SL-12]]*KH_26_OPT4_KTQT_v4[[#This Row],[GB-12]]*EXR</f>
        <v>565510000</v>
      </c>
      <c r="BP75" s="47">
        <f ca="1">SUM(KH_26_OPT4_KTQT_v4[[#This Row],[DT-EXW-01]:[DT-EXW-12]])</f>
        <v>3393060000</v>
      </c>
      <c r="BQ75" s="47">
        <f ca="1">SUMIFS(DB_25[DT-DB25],DB_25[Mã khách],KH_26_OPT4_KTQT_v4[[#This Row],[Mã khách]],DB_25[Mã sản phẩm],KH_26_OPT4_KTQT_v4[[#This Row],[Mã sản phẩm]])</f>
        <v>1884061196.2896633</v>
      </c>
      <c r="BR75" s="47">
        <f ca="1">KH_26_OPT4_KTQT_v4[[#This Row],[DT-EXW-KH26]]-KH_26_OPT4_KTQT_v4[[#This Row],[DT-EXW-DB25]]</f>
        <v>1508998803.7103367</v>
      </c>
      <c r="BS75" s="21">
        <f ca="1">IFERROR(KH_26_OPT4_KTQT_v4[[#This Row],[DT-EXW-+/-]]/KH_26_OPT4_KTQT_v4[[#This Row],[DT-EXW-DB25]],0)</f>
        <v>0.80092876318563966</v>
      </c>
      <c r="BT75" s="139"/>
      <c r="BU75" s="57"/>
      <c r="BV75" s="51"/>
      <c r="BW75" s="47">
        <f>IF(KH_26_OPT4_KTQT_v4[[#This Row],[CPHH-%-SL]]="Dthu",KH_26_OPT4_KTQT_v4[[#This Row],[%HH]]*KH_26_OPT4_KTQT_v4[[#This Row],[DT-EXW-01]],KH_26_OPT4_KTQT_v4[[#This Row],[HH-SL]]*KH_26_OPT4_KTQT_v4[[#This Row],[SL-01]])</f>
        <v>0</v>
      </c>
      <c r="BX75" s="47">
        <f>IF(KH_26_OPT4_KTQT_v4[[#This Row],[CPHH-%-SL]]="Dthu",KH_26_OPT4_KTQT_v4[[#This Row],[%HH]]*KH_26_OPT4_KTQT_v4[[#This Row],[DT-EXW-02]],KH_26_OPT4_KTQT_v4[[#This Row],[HH-SL]]*KH_26_OPT4_KTQT_v4[[#This Row],[SL-02]])</f>
        <v>0</v>
      </c>
      <c r="BY75" s="47">
        <f>IF(KH_26_OPT4_KTQT_v4[[#This Row],[CPHH-%-SL]]="Dthu",KH_26_OPT4_KTQT_v4[[#This Row],[%HH]]*KH_26_OPT4_KTQT_v4[[#This Row],[DT-EXW-03]],KH_26_OPT4_KTQT_v4[[#This Row],[HH-SL]]*KH_26_OPT4_KTQT_v4[[#This Row],[SL-03]])</f>
        <v>0</v>
      </c>
      <c r="BZ75" s="47">
        <f>IF(KH_26_OPT4_KTQT_v4[[#This Row],[CPHH-%-SL]]="Dthu",KH_26_OPT4_KTQT_v4[[#This Row],[%HH]]*KH_26_OPT4_KTQT_v4[[#This Row],[DT-EXW-04]],KH_26_OPT4_KTQT_v4[[#This Row],[HH-SL]]*KH_26_OPT4_KTQT_v4[[#This Row],[SL-04]])</f>
        <v>0</v>
      </c>
      <c r="CA75" s="47">
        <f>IF(KH_26_OPT4_KTQT_v4[[#This Row],[CPHH-%-SL]]="Dthu",KH_26_OPT4_KTQT_v4[[#This Row],[%HH]]*KH_26_OPT4_KTQT_v4[[#This Row],[DT-EXW-05]],KH_26_OPT4_KTQT_v4[[#This Row],[HH-SL]]*KH_26_OPT4_KTQT_v4[[#This Row],[SL-05]])</f>
        <v>0</v>
      </c>
      <c r="CB75" s="47">
        <f>IF(KH_26_OPT4_KTQT_v4[[#This Row],[CPHH-%-SL]]="Dthu",KH_26_OPT4_KTQT_v4[[#This Row],[%HH]]*KH_26_OPT4_KTQT_v4[[#This Row],[DT-EXW-06]],KH_26_OPT4_KTQT_v4[[#This Row],[HH-SL]]*KH_26_OPT4_KTQT_v4[[#This Row],[SL-06]])</f>
        <v>0</v>
      </c>
      <c r="CC75" s="47">
        <f>IF(KH_26_OPT4_KTQT_v4[[#This Row],[CPHH-%-SL]]="Dthu",KH_26_OPT4_KTQT_v4[[#This Row],[%HH]]*KH_26_OPT4_KTQT_v4[[#This Row],[DT-EXW-07]],KH_26_OPT4_KTQT_v4[[#This Row],[HH-SL]]*KH_26_OPT4_KTQT_v4[[#This Row],[SL-07]])</f>
        <v>0</v>
      </c>
      <c r="CD75" s="47">
        <f>IF(KH_26_OPT4_KTQT_v4[[#This Row],[CPHH-%-SL]]="Dthu",KH_26_OPT4_KTQT_v4[[#This Row],[%HH]]*KH_26_OPT4_KTQT_v4[[#This Row],[DT-EXW-08]],KH_26_OPT4_KTQT_v4[[#This Row],[HH-SL]]*KH_26_OPT4_KTQT_v4[[#This Row],[SL-08]])</f>
        <v>0</v>
      </c>
      <c r="CE75" s="47">
        <f>IF(KH_26_OPT4_KTQT_v4[[#This Row],[CPHH-%-SL]]="Dthu",KH_26_OPT4_KTQT_v4[[#This Row],[%HH]]*KH_26_OPT4_KTQT_v4[[#This Row],[DT-EXW-09]],KH_26_OPT4_KTQT_v4[[#This Row],[HH-SL]]*KH_26_OPT4_KTQT_v4[[#This Row],[SL-09]])</f>
        <v>0</v>
      </c>
      <c r="CF75" s="47">
        <f>IF(KH_26_OPT4_KTQT_v4[[#This Row],[CPHH-%-SL]]="Dthu",KH_26_OPT4_KTQT_v4[[#This Row],[%HH]]*KH_26_OPT4_KTQT_v4[[#This Row],[DT-EXW-10]],KH_26_OPT4_KTQT_v4[[#This Row],[HH-SL]]*KH_26_OPT4_KTQT_v4[[#This Row],[SL-10]])</f>
        <v>0</v>
      </c>
      <c r="CG75" s="47">
        <f>IF(KH_26_OPT4_KTQT_v4[[#This Row],[CPHH-%-SL]]="Dthu",KH_26_OPT4_KTQT_v4[[#This Row],[%HH]]*KH_26_OPT4_KTQT_v4[[#This Row],[DT-EXW-11]],KH_26_OPT4_KTQT_v4[[#This Row],[HH-SL]]*KH_26_OPT4_KTQT_v4[[#This Row],[SL-11]])</f>
        <v>0</v>
      </c>
      <c r="CH75" s="47">
        <f>IF(KH_26_OPT4_KTQT_v4[[#This Row],[CPHH-%-SL]]="Dthu",KH_26_OPT4_KTQT_v4[[#This Row],[%HH]]*KH_26_OPT4_KTQT_v4[[#This Row],[DT-EXW-12]],KH_26_OPT4_KTQT_v4[[#This Row],[HH-SL]]*KH_26_OPT4_KTQT_v4[[#This Row],[SL-12]])</f>
        <v>0</v>
      </c>
      <c r="CI75" s="47">
        <f ca="1">SUM(KH_26_OPT4_KTQT_v4[[#This Row],[CPHH-01]:[CPHH-12]])</f>
        <v>0</v>
      </c>
      <c r="CJ75" s="47" cm="1">
        <f t="array" ref="CJ75">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75" s="19">
        <f ca="1">SUM(KH_26_OPT4_KTQT_v4[[#This Row],[ĐGVCNĐ-KXK]:[ĐGVCCT-KXK]])</f>
        <v>530000</v>
      </c>
      <c r="CL75" s="47" cm="1">
        <f t="array" ref="CL75">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530000</v>
      </c>
      <c r="CM75" s="47" cm="1">
        <f t="array" ref="CM75">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75" s="47">
        <f ca="1">(KH_26_OPT4_KTQT_v4[[#This Row],[ĐGVC-KNĐ]]+KH_26_OPT4_KTQT_v4[[#This Row],[ĐGVC-KXK]])*KH_26_OPT4_KTQT_v4[[#This Row],[SL-01]]</f>
        <v>0</v>
      </c>
      <c r="CO75" s="47">
        <f ca="1">(KH_26_OPT4_KTQT_v4[[#This Row],[ĐGVC-KNĐ]]+KH_26_OPT4_KTQT_v4[[#This Row],[ĐGVC-KXK]])*KH_26_OPT4_KTQT_v4[[#This Row],[SL-02]]</f>
        <v>11660000</v>
      </c>
      <c r="CP75" s="47">
        <f ca="1">(KH_26_OPT4_KTQT_v4[[#This Row],[ĐGVC-KNĐ]]+KH_26_OPT4_KTQT_v4[[#This Row],[ĐGVC-KXK]])*KH_26_OPT4_KTQT_v4[[#This Row],[SL-03]]</f>
        <v>0</v>
      </c>
      <c r="CQ75" s="47">
        <f ca="1">(KH_26_OPT4_KTQT_v4[[#This Row],[ĐGVC-KNĐ]]+KH_26_OPT4_KTQT_v4[[#This Row],[ĐGVC-KXK]])*KH_26_OPT4_KTQT_v4[[#This Row],[SL-04]]</f>
        <v>11660000</v>
      </c>
      <c r="CR75" s="47">
        <f ca="1">(KH_26_OPT4_KTQT_v4[[#This Row],[ĐGVC-KNĐ]]+KH_26_OPT4_KTQT_v4[[#This Row],[ĐGVC-KXK]])*KH_26_OPT4_KTQT_v4[[#This Row],[SL-05]]</f>
        <v>0</v>
      </c>
      <c r="CS75" s="47">
        <f ca="1">(KH_26_OPT4_KTQT_v4[[#This Row],[ĐGVC-KNĐ]]+KH_26_OPT4_KTQT_v4[[#This Row],[ĐGVC-KXK]])*KH_26_OPT4_KTQT_v4[[#This Row],[SL-06]]</f>
        <v>11660000</v>
      </c>
      <c r="CT75" s="47">
        <f ca="1">(KH_26_OPT4_KTQT_v4[[#This Row],[ĐGVC-KNĐ]]+KH_26_OPT4_KTQT_v4[[#This Row],[ĐGVC-KXK]])*KH_26_OPT4_KTQT_v4[[#This Row],[SL-07]]</f>
        <v>0</v>
      </c>
      <c r="CU75" s="47">
        <f ca="1">(KH_26_OPT4_KTQT_v4[[#This Row],[ĐGVC-KNĐ]]+KH_26_OPT4_KTQT_v4[[#This Row],[ĐGVC-KXK]])*KH_26_OPT4_KTQT_v4[[#This Row],[SL-08]]</f>
        <v>11660000</v>
      </c>
      <c r="CV75" s="47">
        <f ca="1">(KH_26_OPT4_KTQT_v4[[#This Row],[ĐGVC-KNĐ]]+KH_26_OPT4_KTQT_v4[[#This Row],[ĐGVC-KXK]])*KH_26_OPT4_KTQT_v4[[#This Row],[SL-09]]</f>
        <v>0</v>
      </c>
      <c r="CW75" s="47">
        <f ca="1">(KH_26_OPT4_KTQT_v4[[#This Row],[ĐGVC-KNĐ]]+KH_26_OPT4_KTQT_v4[[#This Row],[ĐGVC-KXK]])*KH_26_OPT4_KTQT_v4[[#This Row],[SL-10]]</f>
        <v>11660000</v>
      </c>
      <c r="CX75" s="47">
        <f ca="1">(KH_26_OPT4_KTQT_v4[[#This Row],[ĐGVC-KNĐ]]+KH_26_OPT4_KTQT_v4[[#This Row],[ĐGVC-KXK]])*KH_26_OPT4_KTQT_v4[[#This Row],[SL-11]]</f>
        <v>0</v>
      </c>
      <c r="CY75" s="47">
        <f ca="1">(KH_26_OPT4_KTQT_v4[[#This Row],[ĐGVC-KNĐ]]+KH_26_OPT4_KTQT_v4[[#This Row],[ĐGVC-KXK]])*KH_26_OPT4_KTQT_v4[[#This Row],[SL-12]]</f>
        <v>11660000</v>
      </c>
      <c r="CZ75" s="47">
        <f ca="1">SUM(KH_26_OPT4_KTQT_v4[[#This Row],[CPVC-01]:[CPVC-12]])</f>
        <v>69960000</v>
      </c>
      <c r="DA75" s="124">
        <f ca="1">KH_26_OPT4_KTQT_v4[[#This Row],[DT-EXW-01]]+KH_26_OPT4_KTQT_v4[[#This Row],[CPVC-01]]+KH_26_OPT4_KTQT_v4[[#This Row],[CPHH-01]]</f>
        <v>0</v>
      </c>
      <c r="DB75" s="47">
        <f ca="1">KH_26_OPT4_KTQT_v4[[#This Row],[DT-EXW-02]]+KH_26_OPT4_KTQT_v4[[#This Row],[CPVC-02]]+KH_26_OPT4_KTQT_v4[[#This Row],[CPHH-02]]</f>
        <v>577170000</v>
      </c>
      <c r="DC75" s="47">
        <f ca="1">KH_26_OPT4_KTQT_v4[[#This Row],[DT-EXW-03]]+KH_26_OPT4_KTQT_v4[[#This Row],[CPVC-03]]+KH_26_OPT4_KTQT_v4[[#This Row],[CPHH-03]]</f>
        <v>0</v>
      </c>
      <c r="DD75" s="47">
        <f ca="1">KH_26_OPT4_KTQT_v4[[#This Row],[DT-EXW-04]]+KH_26_OPT4_KTQT_v4[[#This Row],[CPVC-04]]+KH_26_OPT4_KTQT_v4[[#This Row],[CPHH-04]]</f>
        <v>577170000</v>
      </c>
      <c r="DE75" s="47">
        <f ca="1">KH_26_OPT4_KTQT_v4[[#This Row],[DT-EXW-05]]+KH_26_OPT4_KTQT_v4[[#This Row],[CPVC-05]]+KH_26_OPT4_KTQT_v4[[#This Row],[CPHH-05]]</f>
        <v>0</v>
      </c>
      <c r="DF75" s="47">
        <f ca="1">KH_26_OPT4_KTQT_v4[[#This Row],[DT-EXW-06]]+KH_26_OPT4_KTQT_v4[[#This Row],[CPVC-06]]+KH_26_OPT4_KTQT_v4[[#This Row],[CPHH-06]]</f>
        <v>577170000</v>
      </c>
      <c r="DG75" s="47">
        <f ca="1">KH_26_OPT4_KTQT_v4[[#This Row],[DT-EXW-07]]+KH_26_OPT4_KTQT_v4[[#This Row],[CPVC-07]]+KH_26_OPT4_KTQT_v4[[#This Row],[CPHH-07]]</f>
        <v>0</v>
      </c>
      <c r="DH75" s="47">
        <f ca="1">KH_26_OPT4_KTQT_v4[[#This Row],[DT-EXW-08]]+KH_26_OPT4_KTQT_v4[[#This Row],[CPVC-08]]+KH_26_OPT4_KTQT_v4[[#This Row],[CPHH-08]]</f>
        <v>577170000</v>
      </c>
      <c r="DI75" s="47">
        <f ca="1">KH_26_OPT4_KTQT_v4[[#This Row],[DT-EXW-09]]+KH_26_OPT4_KTQT_v4[[#This Row],[CPVC-09]]+KH_26_OPT4_KTQT_v4[[#This Row],[CPHH-09]]</f>
        <v>0</v>
      </c>
      <c r="DJ75" s="47">
        <f ca="1">KH_26_OPT4_KTQT_v4[[#This Row],[DT-EXW-10]]+KH_26_OPT4_KTQT_v4[[#This Row],[CPVC-10]]+KH_26_OPT4_KTQT_v4[[#This Row],[CPHH-10]]</f>
        <v>577170000</v>
      </c>
      <c r="DK75" s="47">
        <f ca="1">KH_26_OPT4_KTQT_v4[[#This Row],[DT-EXW-11]]+KH_26_OPT4_KTQT_v4[[#This Row],[CPVC-11]]+KH_26_OPT4_KTQT_v4[[#This Row],[CPHH-11]]</f>
        <v>0</v>
      </c>
      <c r="DL75" s="47">
        <f ca="1">KH_26_OPT4_KTQT_v4[[#This Row],[DT-EXW-12]]+KH_26_OPT4_KTQT_v4[[#This Row],[CPVC-12]]+KH_26_OPT4_KTQT_v4[[#This Row],[CPHH-12]]</f>
        <v>577170000</v>
      </c>
      <c r="DM75" s="47">
        <f ca="1">SUM(KH_26_OPT4_KTQT_v4[[#This Row],[DT-01]:[DT-12]])</f>
        <v>3463020000</v>
      </c>
      <c r="DN75" s="7"/>
      <c r="DO75" s="7"/>
      <c r="DP75" s="125"/>
      <c r="DQ75" s="136"/>
      <c r="DR75" s="132">
        <f>IFERROR(KH_26_OPT4_KTQT_v4[[#This Row],[DT-EXW-01]]*KH_26_OPT4_KTQT_v4[[#This Row],[%CPDP]],0)</f>
        <v>0</v>
      </c>
      <c r="DS75" s="132">
        <f>IFERROR(KH_26_OPT4_KTQT_v4[[#This Row],[DT-EXW-02]]*KH_26_OPT4_KTQT_v4[[#This Row],[%CPDP]],0)</f>
        <v>0</v>
      </c>
      <c r="DT75" s="132">
        <f>IFERROR(KH_26_OPT4_KTQT_v4[[#This Row],[DT-EXW-03]]*KH_26_OPT4_KTQT_v4[[#This Row],[%CPDP]],0)</f>
        <v>0</v>
      </c>
      <c r="DU75" s="132">
        <f>IFERROR(KH_26_OPT4_KTQT_v4[[#This Row],[DT-EXW-04]]*KH_26_OPT4_KTQT_v4[[#This Row],[%CPDP]],0)</f>
        <v>0</v>
      </c>
      <c r="DV75" s="132">
        <f>IFERROR(KH_26_OPT4_KTQT_v4[[#This Row],[DT-EXW-05]]*KH_26_OPT4_KTQT_v4[[#This Row],[%CPDP]],0)</f>
        <v>0</v>
      </c>
      <c r="DW75" s="132">
        <f>IFERROR(KH_26_OPT4_KTQT_v4[[#This Row],[DT-EXW-06]]*KH_26_OPT4_KTQT_v4[[#This Row],[%CPDP]],0)</f>
        <v>0</v>
      </c>
      <c r="DX75" s="132">
        <f>IFERROR(KH_26_OPT4_KTQT_v4[[#This Row],[DT-EXW-07]]*KH_26_OPT4_KTQT_v4[[#This Row],[%CPDP]],0)</f>
        <v>0</v>
      </c>
      <c r="DY75" s="132">
        <f>IFERROR(KH_26_OPT4_KTQT_v4[[#This Row],[DT-EXW-08]]*KH_26_OPT4_KTQT_v4[[#This Row],[%CPDP]],0)</f>
        <v>0</v>
      </c>
      <c r="DZ75" s="132">
        <f>IFERROR(KH_26_OPT4_KTQT_v4[[#This Row],[DT-EXW-09]]*KH_26_OPT4_KTQT_v4[[#This Row],[%CPDP]],0)</f>
        <v>0</v>
      </c>
      <c r="EA75" s="132">
        <f>IFERROR(KH_26_OPT4_KTQT_v4[[#This Row],[DT-EXW-10]]*KH_26_OPT4_KTQT_v4[[#This Row],[%CPDP]],0)</f>
        <v>0</v>
      </c>
      <c r="EB75" s="132">
        <f>IFERROR(KH_26_OPT4_KTQT_v4[[#This Row],[DT-EXW-11]]*KH_26_OPT4_KTQT_v4[[#This Row],[%CPDP]],0)</f>
        <v>0</v>
      </c>
      <c r="EC75" s="132">
        <f>IFERROR(KH_26_OPT4_KTQT_v4[[#This Row],[DT-EXW-12]]*KH_26_OPT4_KTQT_v4[[#This Row],[%CPDP]],0)</f>
        <v>0</v>
      </c>
      <c r="ED75" s="131">
        <f ca="1">SUM(KH_26_OPT4_KTQT_v4[[#This Row],[CPDP-01]:[CPDP-12]])</f>
        <v>0</v>
      </c>
    </row>
    <row r="76" spans="1:134" ht="14.65" hidden="1" customHeight="1" x14ac:dyDescent="0.35">
      <c r="A76" s="18">
        <v>71</v>
      </c>
      <c r="B76" s="71" t="s">
        <v>115</v>
      </c>
      <c r="C76" s="18" t="str">
        <f>IFERROR(_xlfn.XLOOKUP(KH_26_OPT4_KTQT_v4[[#This Row],[Salesman]],MD_Salesman[Salesman],MD_Salesman[SalesManager]),"")</f>
        <v>Quốc Anh</v>
      </c>
      <c r="D76" s="72" t="str">
        <f>IFERROR(INDEX(MD_Customer[Mã khách],MATCH(KH_26_OPT4_KTQT_v4[[#This Row],[Tên khách]],MD_Customer[Tên khách-rút gọn],0)),"")</f>
        <v>200364</v>
      </c>
      <c r="E76" s="7" t="str">
        <f>IFERROR(INDEX(MD_Customer[Parent Account],MATCH(KH_26_OPT4_KTQT_v4[[#This Row],[Tên khách]],MD_Customer[Tên khách-rút gọn],0)),"")</f>
        <v>POLYRESIN EOOD</v>
      </c>
      <c r="F76" s="35" t="s">
        <v>128</v>
      </c>
      <c r="G76" s="7" t="str">
        <f>IFERROR(INDEX(MD_Customer[Phân loại],MATCH(KH_26_OPT4_KTQT_v4[[#This Row],[Tên khách]],MD_Customer[Tên khách-rút gọn],0)),"")</f>
        <v>Hiện hữu</v>
      </c>
      <c r="H76" s="7" t="str">
        <f>IFERROR(INDEX(MD_Customer[Kênh bán hàng],MATCH(KH_26_OPT4_KTQT_v4[[#This Row],[Tên khách]],MD_Customer[Tên khách-rút gọn],0)),"")</f>
        <v>Xuất khẩu</v>
      </c>
      <c r="I76" s="35" t="s">
        <v>309</v>
      </c>
      <c r="J76" s="7" t="str">
        <f>IFERROR(INDEX(MD_Destination[Nước],MATCH(KH_26_OPT4_KTQT_v4[[#This Row],[Địa điểm đến]],MD_Destination[Địa điểm đến],0)),"")</f>
        <v>Hy lạp</v>
      </c>
      <c r="K76" s="7" t="str">
        <f>IFERROR(INDEX(MD_Destination[Khu vực],MATCH(KH_26_OPT4_KTQT_v4[[#This Row],[Địa điểm đến]],MD_Destination[Địa điểm đến],0)),"")</f>
        <v>Châu Âu</v>
      </c>
      <c r="L76" s="35" t="s">
        <v>278</v>
      </c>
      <c r="M76" s="7" t="str">
        <f>IFERROR(INDEX(MD_SKU[Mã SKU],MATCH(KH_26_OPT4_KTQT_v4[[#This Row],[Tên sản phẩm]],MD_SKU[Tên SKU-rút gọn],0)),"")</f>
        <v>110000355</v>
      </c>
      <c r="N76" s="35" t="s">
        <v>469</v>
      </c>
      <c r="O76" s="7" t="str">
        <f>IFERROR(INDEX(MD_SKU[Ngành hàng],MATCH(KH_26_OPT4_KTQT_v4[[#This Row],[Tên sản phẩm]],MD_SKU[Tên SKU-rút gọn],0)),"")</f>
        <v>rPET</v>
      </c>
      <c r="P76" s="7" t="str">
        <f>IFERROR(INDEX(MD_SKU[Nhóm ngành],MATCH(KH_26_OPT4_KTQT_v4[[#This Row],[Tên sản phẩm]],MD_SKU[Tên SKU-rút gọn],0)),"")</f>
        <v>Hạt PET</v>
      </c>
      <c r="Q76" s="7" t="str">
        <f>IFERROR(
   IF(INDEX(MD_SKU[IV/IM],MATCH(KH_26_OPT4_KTQT_v4[[#This Row],[Tên sản phẩm]],MD_SKU[Tên SKU-rút gọn],0))=0,
      "",
      INDEX(MD_SKU[IV/IM],MATCH(KH_26_OPT4_KTQT_v4[[#This Row],[Tên sản phẩm]],MD_SKU[Tên SKU-rút gọn],0))
   ),
"")</f>
        <v>0.80 ± 0.02</v>
      </c>
      <c r="R76" s="44">
        <f>IFERROR(INDEX(MD_SKU[Application],MATCH(KH_26_OPT4_KTQT_v4[[#This Row],[Tên sản phẩm]],MD_SKU[Tên SKU-rút gọn],0)),"")</f>
        <v>0</v>
      </c>
      <c r="S76" s="7" t="str">
        <f>IFERROR(INDEX(MD_SKU[Phân loại],MATCH(KH_26_OPT4_KTQT_v4[[#This Row],[Tên sản phẩm]],MD_SKU[Tên SKU-rút gọn],0)),"")</f>
        <v>Cũ</v>
      </c>
      <c r="T76" s="7" t="s">
        <v>542</v>
      </c>
      <c r="U76" s="7" t="s">
        <v>1508</v>
      </c>
      <c r="V76" s="70">
        <v>0.8</v>
      </c>
      <c r="W76" s="7">
        <v>22</v>
      </c>
      <c r="X76" s="7"/>
      <c r="Y76" s="7">
        <v>22</v>
      </c>
      <c r="Z76" s="7"/>
      <c r="AA76" s="7">
        <v>22</v>
      </c>
      <c r="AB76" s="7"/>
      <c r="AC76" s="7">
        <v>22</v>
      </c>
      <c r="AD76" s="7"/>
      <c r="AE76" s="7">
        <v>22</v>
      </c>
      <c r="AF76" s="7"/>
      <c r="AG76" s="7">
        <v>22</v>
      </c>
      <c r="AH76" s="7"/>
      <c r="AI76" s="47">
        <f ca="1">SUM(KH_26_OPT4_KTQT_v4[[#This Row],[SL-01]:[SL-12]])</f>
        <v>132</v>
      </c>
      <c r="AJ76" s="47">
        <f ca="1">SUMIFS(DB_25[SL-DB25],DB_25[Mã khách],KH_26_OPT4_KTQT_v4[[#This Row],[Mã khách]],DB_25[Mã sản phẩm],KH_26_OPT4_KTQT_v4[[#This Row],[Mã sản phẩm]])</f>
        <v>22</v>
      </c>
      <c r="AK76" s="20">
        <f ca="1">KH_26_OPT4_KTQT_v4[[#This Row],[SL-KH26]]-KH_26_OPT4_KTQT_v4[[#This Row],[SL-DB25]]</f>
        <v>110</v>
      </c>
      <c r="AL76" s="21">
        <f ca="1">IFERROR(KH_26_OPT4_KTQT_v4[[#This Row],[SL-+/-]]/KH_26_OPT4_KTQT_v4[[#This Row],[SL-DB25]],0)</f>
        <v>5</v>
      </c>
      <c r="AM76" s="51">
        <v>1200</v>
      </c>
      <c r="AN76" s="51">
        <v>1200</v>
      </c>
      <c r="AO76" s="51">
        <v>1200</v>
      </c>
      <c r="AP76" s="51">
        <v>1200</v>
      </c>
      <c r="AQ76" s="51">
        <v>1200</v>
      </c>
      <c r="AR76" s="51">
        <v>1200</v>
      </c>
      <c r="AS76" s="51">
        <v>1200</v>
      </c>
      <c r="AT76" s="51">
        <v>1200</v>
      </c>
      <c r="AU76" s="51">
        <v>1200</v>
      </c>
      <c r="AV76" s="51">
        <v>1200</v>
      </c>
      <c r="AW76" s="51">
        <v>1200</v>
      </c>
      <c r="AX76" s="51">
        <v>1200</v>
      </c>
      <c r="AY76" s="23">
        <v>1200</v>
      </c>
      <c r="AZ76" s="7"/>
      <c r="BA76" s="24">
        <f>KH_26_OPT4_KTQT_v4[[#This Row],[GB-DB25]]-KH_26_OPT4_KTQT_v4[[#This Row],[GB-KH25]]</f>
        <v>1200</v>
      </c>
      <c r="BB76" s="21">
        <f>IFERROR(KH_26_OPT4_KTQT_v4[[#This Row],[GB-+/-]]/KH_26_OPT4_KTQT_v4[[#This Row],[GB-KH25]],0)</f>
        <v>0</v>
      </c>
      <c r="BC76" s="21" t="s">
        <v>534</v>
      </c>
      <c r="BD76" s="47">
        <f>KH_26_OPT4_KTQT_v4[[#This Row],[SL-01]]*KH_26_OPT4_KTQT_v4[[#This Row],[GB-01]]*EXR</f>
        <v>699600000</v>
      </c>
      <c r="BE76" s="47">
        <f>KH_26_OPT4_KTQT_v4[[#This Row],[SL-02]]*KH_26_OPT4_KTQT_v4[[#This Row],[GB-02]]*EXR</f>
        <v>0</v>
      </c>
      <c r="BF76" s="47">
        <f>KH_26_OPT4_KTQT_v4[[#This Row],[SL-03]]*KH_26_OPT4_KTQT_v4[[#This Row],[GB-03]]*EXR</f>
        <v>699600000</v>
      </c>
      <c r="BG76" s="47">
        <f>KH_26_OPT4_KTQT_v4[[#This Row],[SL-04]]*KH_26_OPT4_KTQT_v4[[#This Row],[GB-04]]*EXR</f>
        <v>0</v>
      </c>
      <c r="BH76" s="47">
        <f>KH_26_OPT4_KTQT_v4[[#This Row],[SL-05]]*KH_26_OPT4_KTQT_v4[[#This Row],[GB-05]]*EXR</f>
        <v>699600000</v>
      </c>
      <c r="BI76" s="47">
        <f>KH_26_OPT4_KTQT_v4[[#This Row],[SL-06]]*KH_26_OPT4_KTQT_v4[[#This Row],[GB-06]]*EXR</f>
        <v>0</v>
      </c>
      <c r="BJ76" s="47">
        <f>KH_26_OPT4_KTQT_v4[[#This Row],[SL-07]]*KH_26_OPT4_KTQT_v4[[#This Row],[GB-07]]*EXR</f>
        <v>699600000</v>
      </c>
      <c r="BK76" s="47">
        <f>KH_26_OPT4_KTQT_v4[[#This Row],[SL-08]]*KH_26_OPT4_KTQT_v4[[#This Row],[GB-08]]*EXR</f>
        <v>0</v>
      </c>
      <c r="BL76" s="47">
        <f>KH_26_OPT4_KTQT_v4[[#This Row],[SL-09]]*KH_26_OPT4_KTQT_v4[[#This Row],[GB-09]]*EXR</f>
        <v>699600000</v>
      </c>
      <c r="BM76" s="47">
        <f>KH_26_OPT4_KTQT_v4[[#This Row],[SL-10]]*KH_26_OPT4_KTQT_v4[[#This Row],[GB-10]]*EXR</f>
        <v>0</v>
      </c>
      <c r="BN76" s="47">
        <f>KH_26_OPT4_KTQT_v4[[#This Row],[SL-11]]*KH_26_OPT4_KTQT_v4[[#This Row],[GB-11]]*EXR</f>
        <v>699600000</v>
      </c>
      <c r="BO76" s="47">
        <f>KH_26_OPT4_KTQT_v4[[#This Row],[SL-12]]*KH_26_OPT4_KTQT_v4[[#This Row],[GB-12]]*EXR</f>
        <v>0</v>
      </c>
      <c r="BP76" s="47">
        <f ca="1">SUM(KH_26_OPT4_KTQT_v4[[#This Row],[DT-EXW-01]:[DT-EXW-12]])</f>
        <v>4197600000</v>
      </c>
      <c r="BQ76" s="47">
        <f ca="1">SUMIFS(DB_25[DT-DB25],DB_25[Mã khách],KH_26_OPT4_KTQT_v4[[#This Row],[Mã khách]],DB_25[Mã sản phẩm],KH_26_OPT4_KTQT_v4[[#This Row],[Mã sản phẩm]])</f>
        <v>691230908.96153843</v>
      </c>
      <c r="BR76" s="47">
        <f ca="1">KH_26_OPT4_KTQT_v4[[#This Row],[DT-EXW-KH26]]-KH_26_OPT4_KTQT_v4[[#This Row],[DT-EXW-DB25]]</f>
        <v>3506369091.0384617</v>
      </c>
      <c r="BS76" s="21">
        <f ca="1">IFERROR(KH_26_OPT4_KTQT_v4[[#This Row],[DT-EXW-+/-]]/KH_26_OPT4_KTQT_v4[[#This Row],[DT-EXW-DB25]],0)</f>
        <v>5.0726451111774047</v>
      </c>
      <c r="BT76" s="139"/>
      <c r="BU76" s="57"/>
      <c r="BV76" s="51"/>
      <c r="BW76" s="47">
        <f>IF(KH_26_OPT4_KTQT_v4[[#This Row],[CPHH-%-SL]]="Dthu",KH_26_OPT4_KTQT_v4[[#This Row],[%HH]]*KH_26_OPT4_KTQT_v4[[#This Row],[DT-EXW-01]],KH_26_OPT4_KTQT_v4[[#This Row],[HH-SL]]*KH_26_OPT4_KTQT_v4[[#This Row],[SL-01]])</f>
        <v>0</v>
      </c>
      <c r="BX76" s="47">
        <f>IF(KH_26_OPT4_KTQT_v4[[#This Row],[CPHH-%-SL]]="Dthu",KH_26_OPT4_KTQT_v4[[#This Row],[%HH]]*KH_26_OPT4_KTQT_v4[[#This Row],[DT-EXW-02]],KH_26_OPT4_KTQT_v4[[#This Row],[HH-SL]]*KH_26_OPT4_KTQT_v4[[#This Row],[SL-02]])</f>
        <v>0</v>
      </c>
      <c r="BY76" s="47">
        <f>IF(KH_26_OPT4_KTQT_v4[[#This Row],[CPHH-%-SL]]="Dthu",KH_26_OPT4_KTQT_v4[[#This Row],[%HH]]*KH_26_OPT4_KTQT_v4[[#This Row],[DT-EXW-03]],KH_26_OPT4_KTQT_v4[[#This Row],[HH-SL]]*KH_26_OPT4_KTQT_v4[[#This Row],[SL-03]])</f>
        <v>0</v>
      </c>
      <c r="BZ76" s="47">
        <f>IF(KH_26_OPT4_KTQT_v4[[#This Row],[CPHH-%-SL]]="Dthu",KH_26_OPT4_KTQT_v4[[#This Row],[%HH]]*KH_26_OPT4_KTQT_v4[[#This Row],[DT-EXW-04]],KH_26_OPT4_KTQT_v4[[#This Row],[HH-SL]]*KH_26_OPT4_KTQT_v4[[#This Row],[SL-04]])</f>
        <v>0</v>
      </c>
      <c r="CA76" s="47">
        <f>IF(KH_26_OPT4_KTQT_v4[[#This Row],[CPHH-%-SL]]="Dthu",KH_26_OPT4_KTQT_v4[[#This Row],[%HH]]*KH_26_OPT4_KTQT_v4[[#This Row],[DT-EXW-05]],KH_26_OPT4_KTQT_v4[[#This Row],[HH-SL]]*KH_26_OPT4_KTQT_v4[[#This Row],[SL-05]])</f>
        <v>0</v>
      </c>
      <c r="CB76" s="47">
        <f>IF(KH_26_OPT4_KTQT_v4[[#This Row],[CPHH-%-SL]]="Dthu",KH_26_OPT4_KTQT_v4[[#This Row],[%HH]]*KH_26_OPT4_KTQT_v4[[#This Row],[DT-EXW-06]],KH_26_OPT4_KTQT_v4[[#This Row],[HH-SL]]*KH_26_OPT4_KTQT_v4[[#This Row],[SL-06]])</f>
        <v>0</v>
      </c>
      <c r="CC76" s="47">
        <f>IF(KH_26_OPT4_KTQT_v4[[#This Row],[CPHH-%-SL]]="Dthu",KH_26_OPT4_KTQT_v4[[#This Row],[%HH]]*KH_26_OPT4_KTQT_v4[[#This Row],[DT-EXW-07]],KH_26_OPT4_KTQT_v4[[#This Row],[HH-SL]]*KH_26_OPT4_KTQT_v4[[#This Row],[SL-07]])</f>
        <v>0</v>
      </c>
      <c r="CD76" s="47">
        <f>IF(KH_26_OPT4_KTQT_v4[[#This Row],[CPHH-%-SL]]="Dthu",KH_26_OPT4_KTQT_v4[[#This Row],[%HH]]*KH_26_OPT4_KTQT_v4[[#This Row],[DT-EXW-08]],KH_26_OPT4_KTQT_v4[[#This Row],[HH-SL]]*KH_26_OPT4_KTQT_v4[[#This Row],[SL-08]])</f>
        <v>0</v>
      </c>
      <c r="CE76" s="47">
        <f>IF(KH_26_OPT4_KTQT_v4[[#This Row],[CPHH-%-SL]]="Dthu",KH_26_OPT4_KTQT_v4[[#This Row],[%HH]]*KH_26_OPT4_KTQT_v4[[#This Row],[DT-EXW-09]],KH_26_OPT4_KTQT_v4[[#This Row],[HH-SL]]*KH_26_OPT4_KTQT_v4[[#This Row],[SL-09]])</f>
        <v>0</v>
      </c>
      <c r="CF76" s="47">
        <f>IF(KH_26_OPT4_KTQT_v4[[#This Row],[CPHH-%-SL]]="Dthu",KH_26_OPT4_KTQT_v4[[#This Row],[%HH]]*KH_26_OPT4_KTQT_v4[[#This Row],[DT-EXW-10]],KH_26_OPT4_KTQT_v4[[#This Row],[HH-SL]]*KH_26_OPT4_KTQT_v4[[#This Row],[SL-10]])</f>
        <v>0</v>
      </c>
      <c r="CG76" s="47">
        <f>IF(KH_26_OPT4_KTQT_v4[[#This Row],[CPHH-%-SL]]="Dthu",KH_26_OPT4_KTQT_v4[[#This Row],[%HH]]*KH_26_OPT4_KTQT_v4[[#This Row],[DT-EXW-11]],KH_26_OPT4_KTQT_v4[[#This Row],[HH-SL]]*KH_26_OPT4_KTQT_v4[[#This Row],[SL-11]])</f>
        <v>0</v>
      </c>
      <c r="CH76" s="47">
        <f>IF(KH_26_OPT4_KTQT_v4[[#This Row],[CPHH-%-SL]]="Dthu",KH_26_OPT4_KTQT_v4[[#This Row],[%HH]]*KH_26_OPT4_KTQT_v4[[#This Row],[DT-EXW-12]],KH_26_OPT4_KTQT_v4[[#This Row],[HH-SL]]*KH_26_OPT4_KTQT_v4[[#This Row],[SL-12]])</f>
        <v>0</v>
      </c>
      <c r="CI76" s="47">
        <f ca="1">SUM(KH_26_OPT4_KTQT_v4[[#This Row],[CPHH-01]:[CPHH-12]])</f>
        <v>0</v>
      </c>
      <c r="CJ76" s="47" cm="1">
        <f t="array" ref="CJ76">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76" s="19">
        <f ca="1">SUM(KH_26_OPT4_KTQT_v4[[#This Row],[ĐGVCNĐ-KXK]:[ĐGVCCT-KXK]])</f>
        <v>530000</v>
      </c>
      <c r="CL76" s="47" cm="1">
        <f t="array" ref="CL76">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530000</v>
      </c>
      <c r="CM76" s="47" cm="1">
        <f t="array" ref="CM76">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76" s="47">
        <f ca="1">(KH_26_OPT4_KTQT_v4[[#This Row],[ĐGVC-KNĐ]]+KH_26_OPT4_KTQT_v4[[#This Row],[ĐGVC-KXK]])*KH_26_OPT4_KTQT_v4[[#This Row],[SL-01]]</f>
        <v>11660000</v>
      </c>
      <c r="CO76" s="47">
        <f ca="1">(KH_26_OPT4_KTQT_v4[[#This Row],[ĐGVC-KNĐ]]+KH_26_OPT4_KTQT_v4[[#This Row],[ĐGVC-KXK]])*KH_26_OPT4_KTQT_v4[[#This Row],[SL-02]]</f>
        <v>0</v>
      </c>
      <c r="CP76" s="47">
        <f ca="1">(KH_26_OPT4_KTQT_v4[[#This Row],[ĐGVC-KNĐ]]+KH_26_OPT4_KTQT_v4[[#This Row],[ĐGVC-KXK]])*KH_26_OPT4_KTQT_v4[[#This Row],[SL-03]]</f>
        <v>11660000</v>
      </c>
      <c r="CQ76" s="47">
        <f ca="1">(KH_26_OPT4_KTQT_v4[[#This Row],[ĐGVC-KNĐ]]+KH_26_OPT4_KTQT_v4[[#This Row],[ĐGVC-KXK]])*KH_26_OPT4_KTQT_v4[[#This Row],[SL-04]]</f>
        <v>0</v>
      </c>
      <c r="CR76" s="47">
        <f ca="1">(KH_26_OPT4_KTQT_v4[[#This Row],[ĐGVC-KNĐ]]+KH_26_OPT4_KTQT_v4[[#This Row],[ĐGVC-KXK]])*KH_26_OPT4_KTQT_v4[[#This Row],[SL-05]]</f>
        <v>11660000</v>
      </c>
      <c r="CS76" s="47">
        <f ca="1">(KH_26_OPT4_KTQT_v4[[#This Row],[ĐGVC-KNĐ]]+KH_26_OPT4_KTQT_v4[[#This Row],[ĐGVC-KXK]])*KH_26_OPT4_KTQT_v4[[#This Row],[SL-06]]</f>
        <v>0</v>
      </c>
      <c r="CT76" s="47">
        <f ca="1">(KH_26_OPT4_KTQT_v4[[#This Row],[ĐGVC-KNĐ]]+KH_26_OPT4_KTQT_v4[[#This Row],[ĐGVC-KXK]])*KH_26_OPT4_KTQT_v4[[#This Row],[SL-07]]</f>
        <v>11660000</v>
      </c>
      <c r="CU76" s="47">
        <f ca="1">(KH_26_OPT4_KTQT_v4[[#This Row],[ĐGVC-KNĐ]]+KH_26_OPT4_KTQT_v4[[#This Row],[ĐGVC-KXK]])*KH_26_OPT4_KTQT_v4[[#This Row],[SL-08]]</f>
        <v>0</v>
      </c>
      <c r="CV76" s="47">
        <f ca="1">(KH_26_OPT4_KTQT_v4[[#This Row],[ĐGVC-KNĐ]]+KH_26_OPT4_KTQT_v4[[#This Row],[ĐGVC-KXK]])*KH_26_OPT4_KTQT_v4[[#This Row],[SL-09]]</f>
        <v>11660000</v>
      </c>
      <c r="CW76" s="47">
        <f ca="1">(KH_26_OPT4_KTQT_v4[[#This Row],[ĐGVC-KNĐ]]+KH_26_OPT4_KTQT_v4[[#This Row],[ĐGVC-KXK]])*KH_26_OPT4_KTQT_v4[[#This Row],[SL-10]]</f>
        <v>0</v>
      </c>
      <c r="CX76" s="47">
        <f ca="1">(KH_26_OPT4_KTQT_v4[[#This Row],[ĐGVC-KNĐ]]+KH_26_OPT4_KTQT_v4[[#This Row],[ĐGVC-KXK]])*KH_26_OPT4_KTQT_v4[[#This Row],[SL-11]]</f>
        <v>11660000</v>
      </c>
      <c r="CY76" s="47">
        <f ca="1">(KH_26_OPT4_KTQT_v4[[#This Row],[ĐGVC-KNĐ]]+KH_26_OPT4_KTQT_v4[[#This Row],[ĐGVC-KXK]])*KH_26_OPT4_KTQT_v4[[#This Row],[SL-12]]</f>
        <v>0</v>
      </c>
      <c r="CZ76" s="47">
        <f ca="1">SUM(KH_26_OPT4_KTQT_v4[[#This Row],[CPVC-01]:[CPVC-12]])</f>
        <v>69960000</v>
      </c>
      <c r="DA76" s="124">
        <f ca="1">KH_26_OPT4_KTQT_v4[[#This Row],[DT-EXW-01]]+KH_26_OPT4_KTQT_v4[[#This Row],[CPVC-01]]+KH_26_OPT4_KTQT_v4[[#This Row],[CPHH-01]]</f>
        <v>711260000</v>
      </c>
      <c r="DB76" s="47">
        <f ca="1">KH_26_OPT4_KTQT_v4[[#This Row],[DT-EXW-02]]+KH_26_OPT4_KTQT_v4[[#This Row],[CPVC-02]]+KH_26_OPT4_KTQT_v4[[#This Row],[CPHH-02]]</f>
        <v>0</v>
      </c>
      <c r="DC76" s="47">
        <f ca="1">KH_26_OPT4_KTQT_v4[[#This Row],[DT-EXW-03]]+KH_26_OPT4_KTQT_v4[[#This Row],[CPVC-03]]+KH_26_OPT4_KTQT_v4[[#This Row],[CPHH-03]]</f>
        <v>711260000</v>
      </c>
      <c r="DD76" s="47">
        <f ca="1">KH_26_OPT4_KTQT_v4[[#This Row],[DT-EXW-04]]+KH_26_OPT4_KTQT_v4[[#This Row],[CPVC-04]]+KH_26_OPT4_KTQT_v4[[#This Row],[CPHH-04]]</f>
        <v>0</v>
      </c>
      <c r="DE76" s="47">
        <f ca="1">KH_26_OPT4_KTQT_v4[[#This Row],[DT-EXW-05]]+KH_26_OPT4_KTQT_v4[[#This Row],[CPVC-05]]+KH_26_OPT4_KTQT_v4[[#This Row],[CPHH-05]]</f>
        <v>711260000</v>
      </c>
      <c r="DF76" s="47">
        <f ca="1">KH_26_OPT4_KTQT_v4[[#This Row],[DT-EXW-06]]+KH_26_OPT4_KTQT_v4[[#This Row],[CPVC-06]]+KH_26_OPT4_KTQT_v4[[#This Row],[CPHH-06]]</f>
        <v>0</v>
      </c>
      <c r="DG76" s="47">
        <f ca="1">KH_26_OPT4_KTQT_v4[[#This Row],[DT-EXW-07]]+KH_26_OPT4_KTQT_v4[[#This Row],[CPVC-07]]+KH_26_OPT4_KTQT_v4[[#This Row],[CPHH-07]]</f>
        <v>711260000</v>
      </c>
      <c r="DH76" s="47">
        <f ca="1">KH_26_OPT4_KTQT_v4[[#This Row],[DT-EXW-08]]+KH_26_OPT4_KTQT_v4[[#This Row],[CPVC-08]]+KH_26_OPT4_KTQT_v4[[#This Row],[CPHH-08]]</f>
        <v>0</v>
      </c>
      <c r="DI76" s="47">
        <f ca="1">KH_26_OPT4_KTQT_v4[[#This Row],[DT-EXW-09]]+KH_26_OPT4_KTQT_v4[[#This Row],[CPVC-09]]+KH_26_OPT4_KTQT_v4[[#This Row],[CPHH-09]]</f>
        <v>711260000</v>
      </c>
      <c r="DJ76" s="47">
        <f ca="1">KH_26_OPT4_KTQT_v4[[#This Row],[DT-EXW-10]]+KH_26_OPT4_KTQT_v4[[#This Row],[CPVC-10]]+KH_26_OPT4_KTQT_v4[[#This Row],[CPHH-10]]</f>
        <v>0</v>
      </c>
      <c r="DK76" s="47">
        <f ca="1">KH_26_OPT4_KTQT_v4[[#This Row],[DT-EXW-11]]+KH_26_OPT4_KTQT_v4[[#This Row],[CPVC-11]]+KH_26_OPT4_KTQT_v4[[#This Row],[CPHH-11]]</f>
        <v>711260000</v>
      </c>
      <c r="DL76" s="47">
        <f ca="1">KH_26_OPT4_KTQT_v4[[#This Row],[DT-EXW-12]]+KH_26_OPT4_KTQT_v4[[#This Row],[CPVC-12]]+KH_26_OPT4_KTQT_v4[[#This Row],[CPHH-12]]</f>
        <v>0</v>
      </c>
      <c r="DM76" s="47">
        <f ca="1">SUM(KH_26_OPT4_KTQT_v4[[#This Row],[DT-01]:[DT-12]])</f>
        <v>4267560000</v>
      </c>
      <c r="DN76" s="7"/>
      <c r="DO76" s="7"/>
      <c r="DP76" s="125"/>
      <c r="DQ76" s="136">
        <v>0.1</v>
      </c>
      <c r="DR76" s="132">
        <f>IFERROR(KH_26_OPT4_KTQT_v4[[#This Row],[DT-EXW-01]]*KH_26_OPT4_KTQT_v4[[#This Row],[%CPDP]],0)</f>
        <v>69960000</v>
      </c>
      <c r="DS76" s="132">
        <f>IFERROR(KH_26_OPT4_KTQT_v4[[#This Row],[DT-EXW-02]]*KH_26_OPT4_KTQT_v4[[#This Row],[%CPDP]],0)</f>
        <v>0</v>
      </c>
      <c r="DT76" s="132">
        <f>IFERROR(KH_26_OPT4_KTQT_v4[[#This Row],[DT-EXW-03]]*KH_26_OPT4_KTQT_v4[[#This Row],[%CPDP]],0)</f>
        <v>69960000</v>
      </c>
      <c r="DU76" s="132">
        <f>IFERROR(KH_26_OPT4_KTQT_v4[[#This Row],[DT-EXW-04]]*KH_26_OPT4_KTQT_v4[[#This Row],[%CPDP]],0)</f>
        <v>0</v>
      </c>
      <c r="DV76" s="132">
        <f>IFERROR(KH_26_OPT4_KTQT_v4[[#This Row],[DT-EXW-05]]*KH_26_OPT4_KTQT_v4[[#This Row],[%CPDP]],0)</f>
        <v>69960000</v>
      </c>
      <c r="DW76" s="132">
        <f>IFERROR(KH_26_OPT4_KTQT_v4[[#This Row],[DT-EXW-06]]*KH_26_OPT4_KTQT_v4[[#This Row],[%CPDP]],0)</f>
        <v>0</v>
      </c>
      <c r="DX76" s="132">
        <f>IFERROR(KH_26_OPT4_KTQT_v4[[#This Row],[DT-EXW-07]]*KH_26_OPT4_KTQT_v4[[#This Row],[%CPDP]],0)</f>
        <v>69960000</v>
      </c>
      <c r="DY76" s="132">
        <f>IFERROR(KH_26_OPT4_KTQT_v4[[#This Row],[DT-EXW-08]]*KH_26_OPT4_KTQT_v4[[#This Row],[%CPDP]],0)</f>
        <v>0</v>
      </c>
      <c r="DZ76" s="132">
        <f>IFERROR(KH_26_OPT4_KTQT_v4[[#This Row],[DT-EXW-09]]*KH_26_OPT4_KTQT_v4[[#This Row],[%CPDP]],0)</f>
        <v>69960000</v>
      </c>
      <c r="EA76" s="132">
        <f>IFERROR(KH_26_OPT4_KTQT_v4[[#This Row],[DT-EXW-10]]*KH_26_OPT4_KTQT_v4[[#This Row],[%CPDP]],0)</f>
        <v>0</v>
      </c>
      <c r="EB76" s="132">
        <f>IFERROR(KH_26_OPT4_KTQT_v4[[#This Row],[DT-EXW-11]]*KH_26_OPT4_KTQT_v4[[#This Row],[%CPDP]],0)</f>
        <v>69960000</v>
      </c>
      <c r="EC76" s="132">
        <f>IFERROR(KH_26_OPT4_KTQT_v4[[#This Row],[DT-EXW-12]]*KH_26_OPT4_KTQT_v4[[#This Row],[%CPDP]],0)</f>
        <v>0</v>
      </c>
      <c r="ED76" s="131">
        <f ca="1">SUM(KH_26_OPT4_KTQT_v4[[#This Row],[CPDP-01]:[CPDP-12]])</f>
        <v>419760000</v>
      </c>
    </row>
    <row r="77" spans="1:134" ht="14.65" hidden="1" customHeight="1" x14ac:dyDescent="0.35">
      <c r="A77" s="18">
        <v>72</v>
      </c>
      <c r="B77" s="71" t="s">
        <v>115</v>
      </c>
      <c r="C77" s="18" t="str">
        <f>IFERROR(_xlfn.XLOOKUP(KH_26_OPT4_KTQT_v4[[#This Row],[Salesman]],MD_Salesman[Salesman],MD_Salesman[SalesManager]),"")</f>
        <v>Quốc Anh</v>
      </c>
      <c r="D77" s="72" t="str">
        <f>IFERROR(INDEX(MD_Customer[Mã khách],MATCH(KH_26_OPT4_KTQT_v4[[#This Row],[Tên khách]],MD_Customer[Tên khách-rút gọn],0)),"")</f>
        <v>200364</v>
      </c>
      <c r="E77" s="7" t="str">
        <f>IFERROR(INDEX(MD_Customer[Parent Account],MATCH(KH_26_OPT4_KTQT_v4[[#This Row],[Tên khách]],MD_Customer[Tên khách-rút gọn],0)),"")</f>
        <v>POLYRESIN EOOD</v>
      </c>
      <c r="F77" s="35" t="s">
        <v>128</v>
      </c>
      <c r="G77" s="7" t="str">
        <f>IFERROR(INDEX(MD_Customer[Phân loại],MATCH(KH_26_OPT4_KTQT_v4[[#This Row],[Tên khách]],MD_Customer[Tên khách-rút gọn],0)),"")</f>
        <v>Hiện hữu</v>
      </c>
      <c r="H77" s="7" t="str">
        <f>IFERROR(INDEX(MD_Customer[Kênh bán hàng],MATCH(KH_26_OPT4_KTQT_v4[[#This Row],[Tên khách]],MD_Customer[Tên khách-rút gọn],0)),"")</f>
        <v>Xuất khẩu</v>
      </c>
      <c r="I77" s="35" t="s">
        <v>309</v>
      </c>
      <c r="J77" s="7" t="str">
        <f>IFERROR(INDEX(MD_Destination[Nước],MATCH(KH_26_OPT4_KTQT_v4[[#This Row],[Địa điểm đến]],MD_Destination[Địa điểm đến],0)),"")</f>
        <v>Hy lạp</v>
      </c>
      <c r="K77" s="7" t="str">
        <f>IFERROR(INDEX(MD_Destination[Khu vực],MATCH(KH_26_OPT4_KTQT_v4[[#This Row],[Địa điểm đến]],MD_Destination[Địa điểm đến],0)),"")</f>
        <v>Châu Âu</v>
      </c>
      <c r="L77" s="35" t="s">
        <v>278</v>
      </c>
      <c r="M77" s="7" t="str">
        <f>IFERROR(INDEX(MD_SKU[Mã SKU],MATCH(KH_26_OPT4_KTQT_v4[[#This Row],[Tên sản phẩm]],MD_SKU[Tên SKU-rút gọn],0)),"")</f>
        <v>110000359</v>
      </c>
      <c r="N77" s="35" t="s">
        <v>468</v>
      </c>
      <c r="O77" s="7" t="str">
        <f>IFERROR(INDEX(MD_SKU[Ngành hàng],MATCH(KH_26_OPT4_KTQT_v4[[#This Row],[Tên sản phẩm]],MD_SKU[Tên SKU-rút gọn],0)),"")</f>
        <v>rPET</v>
      </c>
      <c r="P77" s="7" t="str">
        <f>IFERROR(INDEX(MD_SKU[Nhóm ngành],MATCH(KH_26_OPT4_KTQT_v4[[#This Row],[Tên sản phẩm]],MD_SKU[Tên SKU-rút gọn],0)),"")</f>
        <v>Hạt PET</v>
      </c>
      <c r="Q77" s="7" t="str">
        <f>IFERROR(
   IF(INDEX(MD_SKU[IV/IM],MATCH(KH_26_OPT4_KTQT_v4[[#This Row],[Tên sản phẩm]],MD_SKU[Tên SKU-rút gọn],0))=0,
      "",
      INDEX(MD_SKU[IV/IM],MATCH(KH_26_OPT4_KTQT_v4[[#This Row],[Tên sản phẩm]],MD_SKU[Tên SKU-rút gọn],0))
   ),
"")</f>
        <v>0.70 ± 0.02</v>
      </c>
      <c r="R77" s="44">
        <f>IFERROR(INDEX(MD_SKU[Application],MATCH(KH_26_OPT4_KTQT_v4[[#This Row],[Tên sản phẩm]],MD_SKU[Tên SKU-rút gọn],0)),"")</f>
        <v>0</v>
      </c>
      <c r="S77" s="7" t="str">
        <f>IFERROR(INDEX(MD_SKU[Phân loại],MATCH(KH_26_OPT4_KTQT_v4[[#This Row],[Tên sản phẩm]],MD_SKU[Tên SKU-rút gọn],0)),"")</f>
        <v>Cũ</v>
      </c>
      <c r="T77" s="7" t="s">
        <v>128</v>
      </c>
      <c r="U77" s="157" t="s">
        <v>1508</v>
      </c>
      <c r="V77" s="70">
        <v>0.8</v>
      </c>
      <c r="W77" s="7">
        <v>22</v>
      </c>
      <c r="X77" s="7"/>
      <c r="Y77" s="7">
        <v>22</v>
      </c>
      <c r="Z77" s="7"/>
      <c r="AA77" s="7">
        <v>22</v>
      </c>
      <c r="AB77" s="7"/>
      <c r="AC77" s="7">
        <v>22</v>
      </c>
      <c r="AD77" s="7"/>
      <c r="AE77" s="7">
        <v>22</v>
      </c>
      <c r="AF77" s="7"/>
      <c r="AG77" s="7">
        <v>22</v>
      </c>
      <c r="AH77" s="7"/>
      <c r="AI77" s="47">
        <f ca="1">SUM(KH_26_OPT4_KTQT_v4[[#This Row],[SL-01]:[SL-12]])</f>
        <v>132</v>
      </c>
      <c r="AJ77" s="47">
        <f ca="1">SUMIFS(DB_25[SL-DB25],DB_25[Mã khách],KH_26_OPT4_KTQT_v4[[#This Row],[Mã khách]],DB_25[Mã sản phẩm],KH_26_OPT4_KTQT_v4[[#This Row],[Mã sản phẩm]])</f>
        <v>176</v>
      </c>
      <c r="AK77" s="20">
        <f ca="1">KH_26_OPT4_KTQT_v4[[#This Row],[SL-KH26]]-KH_26_OPT4_KTQT_v4[[#This Row],[SL-DB25]]</f>
        <v>-44</v>
      </c>
      <c r="AL77" s="21">
        <f ca="1">IFERROR(KH_26_OPT4_KTQT_v4[[#This Row],[SL-+/-]]/KH_26_OPT4_KTQT_v4[[#This Row],[SL-DB25]],0)</f>
        <v>-0.25</v>
      </c>
      <c r="AM77" s="51">
        <v>970</v>
      </c>
      <c r="AN77" s="51">
        <v>970</v>
      </c>
      <c r="AO77" s="51">
        <v>970</v>
      </c>
      <c r="AP77" s="51">
        <v>970</v>
      </c>
      <c r="AQ77" s="51">
        <v>970</v>
      </c>
      <c r="AR77" s="51">
        <v>970</v>
      </c>
      <c r="AS77" s="51">
        <v>970</v>
      </c>
      <c r="AT77" s="51">
        <v>970</v>
      </c>
      <c r="AU77" s="51">
        <v>970</v>
      </c>
      <c r="AV77" s="51">
        <v>970</v>
      </c>
      <c r="AW77" s="51">
        <v>970</v>
      </c>
      <c r="AX77" s="51">
        <v>970</v>
      </c>
      <c r="AY77" s="23">
        <v>970</v>
      </c>
      <c r="AZ77" s="7"/>
      <c r="BA77" s="24">
        <f>KH_26_OPT4_KTQT_v4[[#This Row],[GB-DB25]]-KH_26_OPT4_KTQT_v4[[#This Row],[GB-KH25]]</f>
        <v>970</v>
      </c>
      <c r="BB77" s="21">
        <f>IFERROR(KH_26_OPT4_KTQT_v4[[#This Row],[GB-+/-]]/KH_26_OPT4_KTQT_v4[[#This Row],[GB-KH25]],0)</f>
        <v>0</v>
      </c>
      <c r="BC77" s="21"/>
      <c r="BD77" s="47">
        <f>KH_26_OPT4_KTQT_v4[[#This Row],[SL-01]]*KH_26_OPT4_KTQT_v4[[#This Row],[GB-01]]*EXR</f>
        <v>565510000</v>
      </c>
      <c r="BE77" s="47">
        <f>KH_26_OPT4_KTQT_v4[[#This Row],[SL-02]]*KH_26_OPT4_KTQT_v4[[#This Row],[GB-02]]*EXR</f>
        <v>0</v>
      </c>
      <c r="BF77" s="47">
        <f>KH_26_OPT4_KTQT_v4[[#This Row],[SL-03]]*KH_26_OPT4_KTQT_v4[[#This Row],[GB-03]]*EXR</f>
        <v>565510000</v>
      </c>
      <c r="BG77" s="47">
        <f>KH_26_OPT4_KTQT_v4[[#This Row],[SL-04]]*KH_26_OPT4_KTQT_v4[[#This Row],[GB-04]]*EXR</f>
        <v>0</v>
      </c>
      <c r="BH77" s="47">
        <f>KH_26_OPT4_KTQT_v4[[#This Row],[SL-05]]*KH_26_OPT4_KTQT_v4[[#This Row],[GB-05]]*EXR</f>
        <v>565510000</v>
      </c>
      <c r="BI77" s="47">
        <f>KH_26_OPT4_KTQT_v4[[#This Row],[SL-06]]*KH_26_OPT4_KTQT_v4[[#This Row],[GB-06]]*EXR</f>
        <v>0</v>
      </c>
      <c r="BJ77" s="47">
        <f>KH_26_OPT4_KTQT_v4[[#This Row],[SL-07]]*KH_26_OPT4_KTQT_v4[[#This Row],[GB-07]]*EXR</f>
        <v>565510000</v>
      </c>
      <c r="BK77" s="47">
        <f>KH_26_OPT4_KTQT_v4[[#This Row],[SL-08]]*KH_26_OPT4_KTQT_v4[[#This Row],[GB-08]]*EXR</f>
        <v>0</v>
      </c>
      <c r="BL77" s="47">
        <f>KH_26_OPT4_KTQT_v4[[#This Row],[SL-09]]*KH_26_OPT4_KTQT_v4[[#This Row],[GB-09]]*EXR</f>
        <v>565510000</v>
      </c>
      <c r="BM77" s="47">
        <f>KH_26_OPT4_KTQT_v4[[#This Row],[SL-10]]*KH_26_OPT4_KTQT_v4[[#This Row],[GB-10]]*EXR</f>
        <v>0</v>
      </c>
      <c r="BN77" s="47">
        <f>KH_26_OPT4_KTQT_v4[[#This Row],[SL-11]]*KH_26_OPT4_KTQT_v4[[#This Row],[GB-11]]*EXR</f>
        <v>565510000</v>
      </c>
      <c r="BO77" s="47">
        <f>KH_26_OPT4_KTQT_v4[[#This Row],[SL-12]]*KH_26_OPT4_KTQT_v4[[#This Row],[GB-12]]*EXR</f>
        <v>0</v>
      </c>
      <c r="BP77" s="47">
        <f ca="1">SUM(KH_26_OPT4_KTQT_v4[[#This Row],[DT-EXW-01]:[DT-EXW-12]])</f>
        <v>3393060000</v>
      </c>
      <c r="BQ77" s="47">
        <f ca="1">SUMIFS(DB_25[DT-DB25],DB_25[Mã khách],KH_26_OPT4_KTQT_v4[[#This Row],[Mã khách]],DB_25[Mã sản phẩm],KH_26_OPT4_KTQT_v4[[#This Row],[Mã sản phẩm]])</f>
        <v>2508032355.2969847</v>
      </c>
      <c r="BR77" s="47">
        <f ca="1">KH_26_OPT4_KTQT_v4[[#This Row],[DT-EXW-KH26]]-KH_26_OPT4_KTQT_v4[[#This Row],[DT-EXW-DB25]]</f>
        <v>885027644.70301533</v>
      </c>
      <c r="BS77" s="21">
        <f ca="1">IFERROR(KH_26_OPT4_KTQT_v4[[#This Row],[DT-EXW-+/-]]/KH_26_OPT4_KTQT_v4[[#This Row],[DT-EXW-DB25]],0)</f>
        <v>0.35287728359398146</v>
      </c>
      <c r="BT77" s="139"/>
      <c r="BU77" s="57"/>
      <c r="BV77" s="51"/>
      <c r="BW77" s="47">
        <f>IF(KH_26_OPT4_KTQT_v4[[#This Row],[CPHH-%-SL]]="Dthu",KH_26_OPT4_KTQT_v4[[#This Row],[%HH]]*KH_26_OPT4_KTQT_v4[[#This Row],[DT-EXW-01]],KH_26_OPT4_KTQT_v4[[#This Row],[HH-SL]]*KH_26_OPT4_KTQT_v4[[#This Row],[SL-01]])</f>
        <v>0</v>
      </c>
      <c r="BX77" s="47">
        <f>IF(KH_26_OPT4_KTQT_v4[[#This Row],[CPHH-%-SL]]="Dthu",KH_26_OPT4_KTQT_v4[[#This Row],[%HH]]*KH_26_OPT4_KTQT_v4[[#This Row],[DT-EXW-02]],KH_26_OPT4_KTQT_v4[[#This Row],[HH-SL]]*KH_26_OPT4_KTQT_v4[[#This Row],[SL-02]])</f>
        <v>0</v>
      </c>
      <c r="BY77" s="47">
        <f>IF(KH_26_OPT4_KTQT_v4[[#This Row],[CPHH-%-SL]]="Dthu",KH_26_OPT4_KTQT_v4[[#This Row],[%HH]]*KH_26_OPT4_KTQT_v4[[#This Row],[DT-EXW-03]],KH_26_OPT4_KTQT_v4[[#This Row],[HH-SL]]*KH_26_OPT4_KTQT_v4[[#This Row],[SL-03]])</f>
        <v>0</v>
      </c>
      <c r="BZ77" s="47">
        <f>IF(KH_26_OPT4_KTQT_v4[[#This Row],[CPHH-%-SL]]="Dthu",KH_26_OPT4_KTQT_v4[[#This Row],[%HH]]*KH_26_OPT4_KTQT_v4[[#This Row],[DT-EXW-04]],KH_26_OPT4_KTQT_v4[[#This Row],[HH-SL]]*KH_26_OPT4_KTQT_v4[[#This Row],[SL-04]])</f>
        <v>0</v>
      </c>
      <c r="CA77" s="47">
        <f>IF(KH_26_OPT4_KTQT_v4[[#This Row],[CPHH-%-SL]]="Dthu",KH_26_OPT4_KTQT_v4[[#This Row],[%HH]]*KH_26_OPT4_KTQT_v4[[#This Row],[DT-EXW-05]],KH_26_OPT4_KTQT_v4[[#This Row],[HH-SL]]*KH_26_OPT4_KTQT_v4[[#This Row],[SL-05]])</f>
        <v>0</v>
      </c>
      <c r="CB77" s="47">
        <f>IF(KH_26_OPT4_KTQT_v4[[#This Row],[CPHH-%-SL]]="Dthu",KH_26_OPT4_KTQT_v4[[#This Row],[%HH]]*KH_26_OPT4_KTQT_v4[[#This Row],[DT-EXW-06]],KH_26_OPT4_KTQT_v4[[#This Row],[HH-SL]]*KH_26_OPT4_KTQT_v4[[#This Row],[SL-06]])</f>
        <v>0</v>
      </c>
      <c r="CC77" s="47">
        <f>IF(KH_26_OPT4_KTQT_v4[[#This Row],[CPHH-%-SL]]="Dthu",KH_26_OPT4_KTQT_v4[[#This Row],[%HH]]*KH_26_OPT4_KTQT_v4[[#This Row],[DT-EXW-07]],KH_26_OPT4_KTQT_v4[[#This Row],[HH-SL]]*KH_26_OPT4_KTQT_v4[[#This Row],[SL-07]])</f>
        <v>0</v>
      </c>
      <c r="CD77" s="47">
        <f>IF(KH_26_OPT4_KTQT_v4[[#This Row],[CPHH-%-SL]]="Dthu",KH_26_OPT4_KTQT_v4[[#This Row],[%HH]]*KH_26_OPT4_KTQT_v4[[#This Row],[DT-EXW-08]],KH_26_OPT4_KTQT_v4[[#This Row],[HH-SL]]*KH_26_OPT4_KTQT_v4[[#This Row],[SL-08]])</f>
        <v>0</v>
      </c>
      <c r="CE77" s="47">
        <f>IF(KH_26_OPT4_KTQT_v4[[#This Row],[CPHH-%-SL]]="Dthu",KH_26_OPT4_KTQT_v4[[#This Row],[%HH]]*KH_26_OPT4_KTQT_v4[[#This Row],[DT-EXW-09]],KH_26_OPT4_KTQT_v4[[#This Row],[HH-SL]]*KH_26_OPT4_KTQT_v4[[#This Row],[SL-09]])</f>
        <v>0</v>
      </c>
      <c r="CF77" s="47">
        <f>IF(KH_26_OPT4_KTQT_v4[[#This Row],[CPHH-%-SL]]="Dthu",KH_26_OPT4_KTQT_v4[[#This Row],[%HH]]*KH_26_OPT4_KTQT_v4[[#This Row],[DT-EXW-10]],KH_26_OPT4_KTQT_v4[[#This Row],[HH-SL]]*KH_26_OPT4_KTQT_v4[[#This Row],[SL-10]])</f>
        <v>0</v>
      </c>
      <c r="CG77" s="47">
        <f>IF(KH_26_OPT4_KTQT_v4[[#This Row],[CPHH-%-SL]]="Dthu",KH_26_OPT4_KTQT_v4[[#This Row],[%HH]]*KH_26_OPT4_KTQT_v4[[#This Row],[DT-EXW-11]],KH_26_OPT4_KTQT_v4[[#This Row],[HH-SL]]*KH_26_OPT4_KTQT_v4[[#This Row],[SL-11]])</f>
        <v>0</v>
      </c>
      <c r="CH77" s="47">
        <f>IF(KH_26_OPT4_KTQT_v4[[#This Row],[CPHH-%-SL]]="Dthu",KH_26_OPT4_KTQT_v4[[#This Row],[%HH]]*KH_26_OPT4_KTQT_v4[[#This Row],[DT-EXW-12]],KH_26_OPT4_KTQT_v4[[#This Row],[HH-SL]]*KH_26_OPT4_KTQT_v4[[#This Row],[SL-12]])</f>
        <v>0</v>
      </c>
      <c r="CI77" s="47">
        <f ca="1">SUM(KH_26_OPT4_KTQT_v4[[#This Row],[CPHH-01]:[CPHH-12]])</f>
        <v>0</v>
      </c>
      <c r="CJ77" s="47" cm="1">
        <f t="array" ref="CJ77">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77" s="19">
        <f ca="1">SUM(KH_26_OPT4_KTQT_v4[[#This Row],[ĐGVCNĐ-KXK]:[ĐGVCCT-KXK]])</f>
        <v>530000</v>
      </c>
      <c r="CL77" s="47" cm="1">
        <f t="array" ref="CL77">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530000</v>
      </c>
      <c r="CM77" s="47" cm="1">
        <f t="array" ref="CM77">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77" s="47">
        <f ca="1">(KH_26_OPT4_KTQT_v4[[#This Row],[ĐGVC-KNĐ]]+KH_26_OPT4_KTQT_v4[[#This Row],[ĐGVC-KXK]])*KH_26_OPT4_KTQT_v4[[#This Row],[SL-01]]</f>
        <v>11660000</v>
      </c>
      <c r="CO77" s="47">
        <f ca="1">(KH_26_OPT4_KTQT_v4[[#This Row],[ĐGVC-KNĐ]]+KH_26_OPT4_KTQT_v4[[#This Row],[ĐGVC-KXK]])*KH_26_OPT4_KTQT_v4[[#This Row],[SL-02]]</f>
        <v>0</v>
      </c>
      <c r="CP77" s="47">
        <f ca="1">(KH_26_OPT4_KTQT_v4[[#This Row],[ĐGVC-KNĐ]]+KH_26_OPT4_KTQT_v4[[#This Row],[ĐGVC-KXK]])*KH_26_OPT4_KTQT_v4[[#This Row],[SL-03]]</f>
        <v>11660000</v>
      </c>
      <c r="CQ77" s="47">
        <f ca="1">(KH_26_OPT4_KTQT_v4[[#This Row],[ĐGVC-KNĐ]]+KH_26_OPT4_KTQT_v4[[#This Row],[ĐGVC-KXK]])*KH_26_OPT4_KTQT_v4[[#This Row],[SL-04]]</f>
        <v>0</v>
      </c>
      <c r="CR77" s="47">
        <f ca="1">(KH_26_OPT4_KTQT_v4[[#This Row],[ĐGVC-KNĐ]]+KH_26_OPT4_KTQT_v4[[#This Row],[ĐGVC-KXK]])*KH_26_OPT4_KTQT_v4[[#This Row],[SL-05]]</f>
        <v>11660000</v>
      </c>
      <c r="CS77" s="47">
        <f ca="1">(KH_26_OPT4_KTQT_v4[[#This Row],[ĐGVC-KNĐ]]+KH_26_OPT4_KTQT_v4[[#This Row],[ĐGVC-KXK]])*KH_26_OPT4_KTQT_v4[[#This Row],[SL-06]]</f>
        <v>0</v>
      </c>
      <c r="CT77" s="47">
        <f ca="1">(KH_26_OPT4_KTQT_v4[[#This Row],[ĐGVC-KNĐ]]+KH_26_OPT4_KTQT_v4[[#This Row],[ĐGVC-KXK]])*KH_26_OPT4_KTQT_v4[[#This Row],[SL-07]]</f>
        <v>11660000</v>
      </c>
      <c r="CU77" s="47">
        <f ca="1">(KH_26_OPT4_KTQT_v4[[#This Row],[ĐGVC-KNĐ]]+KH_26_OPT4_KTQT_v4[[#This Row],[ĐGVC-KXK]])*KH_26_OPT4_KTQT_v4[[#This Row],[SL-08]]</f>
        <v>0</v>
      </c>
      <c r="CV77" s="47">
        <f ca="1">(KH_26_OPT4_KTQT_v4[[#This Row],[ĐGVC-KNĐ]]+KH_26_OPT4_KTQT_v4[[#This Row],[ĐGVC-KXK]])*KH_26_OPT4_KTQT_v4[[#This Row],[SL-09]]</f>
        <v>11660000</v>
      </c>
      <c r="CW77" s="47">
        <f ca="1">(KH_26_OPT4_KTQT_v4[[#This Row],[ĐGVC-KNĐ]]+KH_26_OPT4_KTQT_v4[[#This Row],[ĐGVC-KXK]])*KH_26_OPT4_KTQT_v4[[#This Row],[SL-10]]</f>
        <v>0</v>
      </c>
      <c r="CX77" s="47">
        <f ca="1">(KH_26_OPT4_KTQT_v4[[#This Row],[ĐGVC-KNĐ]]+KH_26_OPT4_KTQT_v4[[#This Row],[ĐGVC-KXK]])*KH_26_OPT4_KTQT_v4[[#This Row],[SL-11]]</f>
        <v>11660000</v>
      </c>
      <c r="CY77" s="47">
        <f ca="1">(KH_26_OPT4_KTQT_v4[[#This Row],[ĐGVC-KNĐ]]+KH_26_OPT4_KTQT_v4[[#This Row],[ĐGVC-KXK]])*KH_26_OPT4_KTQT_v4[[#This Row],[SL-12]]</f>
        <v>0</v>
      </c>
      <c r="CZ77" s="47">
        <f ca="1">SUM(KH_26_OPT4_KTQT_v4[[#This Row],[CPVC-01]:[CPVC-12]])</f>
        <v>69960000</v>
      </c>
      <c r="DA77" s="124">
        <f ca="1">KH_26_OPT4_KTQT_v4[[#This Row],[DT-EXW-01]]+KH_26_OPT4_KTQT_v4[[#This Row],[CPVC-01]]+KH_26_OPT4_KTQT_v4[[#This Row],[CPHH-01]]</f>
        <v>577170000</v>
      </c>
      <c r="DB77" s="47">
        <f ca="1">KH_26_OPT4_KTQT_v4[[#This Row],[DT-EXW-02]]+KH_26_OPT4_KTQT_v4[[#This Row],[CPVC-02]]+KH_26_OPT4_KTQT_v4[[#This Row],[CPHH-02]]</f>
        <v>0</v>
      </c>
      <c r="DC77" s="47">
        <f ca="1">KH_26_OPT4_KTQT_v4[[#This Row],[DT-EXW-03]]+KH_26_OPT4_KTQT_v4[[#This Row],[CPVC-03]]+KH_26_OPT4_KTQT_v4[[#This Row],[CPHH-03]]</f>
        <v>577170000</v>
      </c>
      <c r="DD77" s="47">
        <f ca="1">KH_26_OPT4_KTQT_v4[[#This Row],[DT-EXW-04]]+KH_26_OPT4_KTQT_v4[[#This Row],[CPVC-04]]+KH_26_OPT4_KTQT_v4[[#This Row],[CPHH-04]]</f>
        <v>0</v>
      </c>
      <c r="DE77" s="47">
        <f ca="1">KH_26_OPT4_KTQT_v4[[#This Row],[DT-EXW-05]]+KH_26_OPT4_KTQT_v4[[#This Row],[CPVC-05]]+KH_26_OPT4_KTQT_v4[[#This Row],[CPHH-05]]</f>
        <v>577170000</v>
      </c>
      <c r="DF77" s="47">
        <f ca="1">KH_26_OPT4_KTQT_v4[[#This Row],[DT-EXW-06]]+KH_26_OPT4_KTQT_v4[[#This Row],[CPVC-06]]+KH_26_OPT4_KTQT_v4[[#This Row],[CPHH-06]]</f>
        <v>0</v>
      </c>
      <c r="DG77" s="47">
        <f ca="1">KH_26_OPT4_KTQT_v4[[#This Row],[DT-EXW-07]]+KH_26_OPT4_KTQT_v4[[#This Row],[CPVC-07]]+KH_26_OPT4_KTQT_v4[[#This Row],[CPHH-07]]</f>
        <v>577170000</v>
      </c>
      <c r="DH77" s="47">
        <f ca="1">KH_26_OPT4_KTQT_v4[[#This Row],[DT-EXW-08]]+KH_26_OPT4_KTQT_v4[[#This Row],[CPVC-08]]+KH_26_OPT4_KTQT_v4[[#This Row],[CPHH-08]]</f>
        <v>0</v>
      </c>
      <c r="DI77" s="47">
        <f ca="1">KH_26_OPT4_KTQT_v4[[#This Row],[DT-EXW-09]]+KH_26_OPT4_KTQT_v4[[#This Row],[CPVC-09]]+KH_26_OPT4_KTQT_v4[[#This Row],[CPHH-09]]</f>
        <v>577170000</v>
      </c>
      <c r="DJ77" s="47">
        <f ca="1">KH_26_OPT4_KTQT_v4[[#This Row],[DT-EXW-10]]+KH_26_OPT4_KTQT_v4[[#This Row],[CPVC-10]]+KH_26_OPT4_KTQT_v4[[#This Row],[CPHH-10]]</f>
        <v>0</v>
      </c>
      <c r="DK77" s="47">
        <f ca="1">KH_26_OPT4_KTQT_v4[[#This Row],[DT-EXW-11]]+KH_26_OPT4_KTQT_v4[[#This Row],[CPVC-11]]+KH_26_OPT4_KTQT_v4[[#This Row],[CPHH-11]]</f>
        <v>577170000</v>
      </c>
      <c r="DL77" s="47">
        <f ca="1">KH_26_OPT4_KTQT_v4[[#This Row],[DT-EXW-12]]+KH_26_OPT4_KTQT_v4[[#This Row],[CPVC-12]]+KH_26_OPT4_KTQT_v4[[#This Row],[CPHH-12]]</f>
        <v>0</v>
      </c>
      <c r="DM77" s="47">
        <f ca="1">SUM(KH_26_OPT4_KTQT_v4[[#This Row],[DT-01]:[DT-12]])</f>
        <v>3463020000</v>
      </c>
      <c r="DN77" s="7"/>
      <c r="DO77" s="7"/>
      <c r="DP77" s="125"/>
      <c r="DQ77" s="136"/>
      <c r="DR77" s="132">
        <f>IFERROR(KH_26_OPT4_KTQT_v4[[#This Row],[DT-EXW-01]]*KH_26_OPT4_KTQT_v4[[#This Row],[%CPDP]],0)</f>
        <v>0</v>
      </c>
      <c r="DS77" s="132">
        <f>IFERROR(KH_26_OPT4_KTQT_v4[[#This Row],[DT-EXW-02]]*KH_26_OPT4_KTQT_v4[[#This Row],[%CPDP]],0)</f>
        <v>0</v>
      </c>
      <c r="DT77" s="132">
        <f>IFERROR(KH_26_OPT4_KTQT_v4[[#This Row],[DT-EXW-03]]*KH_26_OPT4_KTQT_v4[[#This Row],[%CPDP]],0)</f>
        <v>0</v>
      </c>
      <c r="DU77" s="132">
        <f>IFERROR(KH_26_OPT4_KTQT_v4[[#This Row],[DT-EXW-04]]*KH_26_OPT4_KTQT_v4[[#This Row],[%CPDP]],0)</f>
        <v>0</v>
      </c>
      <c r="DV77" s="132">
        <f>IFERROR(KH_26_OPT4_KTQT_v4[[#This Row],[DT-EXW-05]]*KH_26_OPT4_KTQT_v4[[#This Row],[%CPDP]],0)</f>
        <v>0</v>
      </c>
      <c r="DW77" s="132">
        <f>IFERROR(KH_26_OPT4_KTQT_v4[[#This Row],[DT-EXW-06]]*KH_26_OPT4_KTQT_v4[[#This Row],[%CPDP]],0)</f>
        <v>0</v>
      </c>
      <c r="DX77" s="132">
        <f>IFERROR(KH_26_OPT4_KTQT_v4[[#This Row],[DT-EXW-07]]*KH_26_OPT4_KTQT_v4[[#This Row],[%CPDP]],0)</f>
        <v>0</v>
      </c>
      <c r="DY77" s="132">
        <f>IFERROR(KH_26_OPT4_KTQT_v4[[#This Row],[DT-EXW-08]]*KH_26_OPT4_KTQT_v4[[#This Row],[%CPDP]],0)</f>
        <v>0</v>
      </c>
      <c r="DZ77" s="132">
        <f>IFERROR(KH_26_OPT4_KTQT_v4[[#This Row],[DT-EXW-09]]*KH_26_OPT4_KTQT_v4[[#This Row],[%CPDP]],0)</f>
        <v>0</v>
      </c>
      <c r="EA77" s="132">
        <f>IFERROR(KH_26_OPT4_KTQT_v4[[#This Row],[DT-EXW-10]]*KH_26_OPT4_KTQT_v4[[#This Row],[%CPDP]],0)</f>
        <v>0</v>
      </c>
      <c r="EB77" s="132">
        <f>IFERROR(KH_26_OPT4_KTQT_v4[[#This Row],[DT-EXW-11]]*KH_26_OPT4_KTQT_v4[[#This Row],[%CPDP]],0)</f>
        <v>0</v>
      </c>
      <c r="EC77" s="132">
        <f>IFERROR(KH_26_OPT4_KTQT_v4[[#This Row],[DT-EXW-12]]*KH_26_OPT4_KTQT_v4[[#This Row],[%CPDP]],0)</f>
        <v>0</v>
      </c>
      <c r="ED77" s="131">
        <f ca="1">SUM(KH_26_OPT4_KTQT_v4[[#This Row],[CPDP-01]:[CPDP-12]])</f>
        <v>0</v>
      </c>
    </row>
    <row r="78" spans="1:134" ht="14.65" hidden="1" customHeight="1" x14ac:dyDescent="0.35">
      <c r="A78" s="18">
        <v>73</v>
      </c>
      <c r="B78" s="71" t="s">
        <v>115</v>
      </c>
      <c r="C78" s="18" t="str">
        <f>IFERROR(_xlfn.XLOOKUP(KH_26_OPT4_KTQT_v4[[#This Row],[Salesman]],MD_Salesman[Salesman],MD_Salesman[SalesManager]),"")</f>
        <v>Quốc Anh</v>
      </c>
      <c r="D78" s="72" t="str">
        <f>IFERROR(INDEX(MD_Customer[Mã khách],MATCH(KH_26_OPT4_KTQT_v4[[#This Row],[Tên khách]],MD_Customer[Tên khách-rút gọn],0)),"")</f>
        <v>200369</v>
      </c>
      <c r="E78" s="7" t="str">
        <f>IFERROR(INDEX(MD_Customer[Parent Account],MATCH(KH_26_OPT4_KTQT_v4[[#This Row],[Tên khách]],MD_Customer[Tên khách-rút gọn],0)),"")</f>
        <v>PTI- Retal</v>
      </c>
      <c r="F78" s="35" t="s">
        <v>135</v>
      </c>
      <c r="G78" s="7" t="str">
        <f>IFERROR(INDEX(MD_Customer[Phân loại],MATCH(KH_26_OPT4_KTQT_v4[[#This Row],[Tên khách]],MD_Customer[Tên khách-rút gọn],0)),"")</f>
        <v>Hiện hữu</v>
      </c>
      <c r="H78" s="7" t="str">
        <f>IFERROR(INDEX(MD_Customer[Kênh bán hàng],MATCH(KH_26_OPT4_KTQT_v4[[#This Row],[Tên khách]],MD_Customer[Tên khách-rút gọn],0)),"")</f>
        <v>Xuất khẩu</v>
      </c>
      <c r="I78" s="35" t="s">
        <v>313</v>
      </c>
      <c r="J78" s="7" t="str">
        <f>IFERROR(INDEX(MD_Destination[Nước],MATCH(KH_26_OPT4_KTQT_v4[[#This Row],[Địa điểm đến]],MD_Destination[Địa điểm đến],0)),"")</f>
        <v>Tây Ban Nha</v>
      </c>
      <c r="K78" s="7" t="str">
        <f>IFERROR(INDEX(MD_Destination[Khu vực],MATCH(KH_26_OPT4_KTQT_v4[[#This Row],[Địa điểm đến]],MD_Destination[Địa điểm đến],0)),"")</f>
        <v>Châu Âu</v>
      </c>
      <c r="L78" s="35" t="s">
        <v>285</v>
      </c>
      <c r="M78" s="7" t="str">
        <f>IFERROR(INDEX(MD_SKU[Mã SKU],MATCH(KH_26_OPT4_KTQT_v4[[#This Row],[Tên sản phẩm]],MD_SKU[Tên SKU-rút gọn],0)),"")</f>
        <v>110000355</v>
      </c>
      <c r="N78" s="35" t="s">
        <v>469</v>
      </c>
      <c r="O78" s="7" t="str">
        <f>IFERROR(INDEX(MD_SKU[Ngành hàng],MATCH(KH_26_OPT4_KTQT_v4[[#This Row],[Tên sản phẩm]],MD_SKU[Tên SKU-rút gọn],0)),"")</f>
        <v>rPET</v>
      </c>
      <c r="P78" s="7" t="str">
        <f>IFERROR(INDEX(MD_SKU[Nhóm ngành],MATCH(KH_26_OPT4_KTQT_v4[[#This Row],[Tên sản phẩm]],MD_SKU[Tên SKU-rút gọn],0)),"")</f>
        <v>Hạt PET</v>
      </c>
      <c r="Q78" s="7" t="str">
        <f>IFERROR(
   IF(INDEX(MD_SKU[IV/IM],MATCH(KH_26_OPT4_KTQT_v4[[#This Row],[Tên sản phẩm]],MD_SKU[Tên SKU-rút gọn],0))=0,
      "",
      INDEX(MD_SKU[IV/IM],MATCH(KH_26_OPT4_KTQT_v4[[#This Row],[Tên sản phẩm]],MD_SKU[Tên SKU-rút gọn],0))
   ),
"")</f>
        <v>0.80 ± 0.02</v>
      </c>
      <c r="R78" s="44">
        <f>IFERROR(INDEX(MD_SKU[Application],MATCH(KH_26_OPT4_KTQT_v4[[#This Row],[Tên sản phẩm]],MD_SKU[Tên SKU-rút gọn],0)),"")</f>
        <v>0</v>
      </c>
      <c r="S78" s="7" t="str">
        <f>IFERROR(INDEX(MD_SKU[Phân loại],MATCH(KH_26_OPT4_KTQT_v4[[#This Row],[Tên sản phẩm]],MD_SKU[Tên SKU-rút gọn],0)),"")</f>
        <v>Cũ</v>
      </c>
      <c r="T78" s="7" t="s">
        <v>542</v>
      </c>
      <c r="U78" s="7" t="s">
        <v>1508</v>
      </c>
      <c r="V78" s="70">
        <v>0.8</v>
      </c>
      <c r="W78" s="33"/>
      <c r="X78" s="7">
        <v>44</v>
      </c>
      <c r="Y78" s="33"/>
      <c r="Z78" s="33"/>
      <c r="AA78" s="33"/>
      <c r="AB78" s="33">
        <v>44</v>
      </c>
      <c r="AC78" s="33"/>
      <c r="AD78" s="33"/>
      <c r="AE78" s="33"/>
      <c r="AF78" s="33">
        <v>44</v>
      </c>
      <c r="AG78" s="33"/>
      <c r="AH78" s="33"/>
      <c r="AI78" s="47">
        <f ca="1">SUM(KH_26_OPT4_KTQT_v4[[#This Row],[SL-01]:[SL-12]])</f>
        <v>132</v>
      </c>
      <c r="AJ78" s="47">
        <f ca="1">SUMIFS(DB_25[SL-DB25],DB_25[Mã khách],KH_26_OPT4_KTQT_v4[[#This Row],[Mã khách]],DB_25[Mã sản phẩm],KH_26_OPT4_KTQT_v4[[#This Row],[Mã sản phẩm]])</f>
        <v>22</v>
      </c>
      <c r="AK78" s="20">
        <f ca="1">KH_26_OPT4_KTQT_v4[[#This Row],[SL-KH26]]-KH_26_OPT4_KTQT_v4[[#This Row],[SL-DB25]]</f>
        <v>110</v>
      </c>
      <c r="AL78" s="21">
        <f ca="1">IFERROR(KH_26_OPT4_KTQT_v4[[#This Row],[SL-+/-]]/KH_26_OPT4_KTQT_v4[[#This Row],[SL-DB25]],0)</f>
        <v>5</v>
      </c>
      <c r="AM78" s="51">
        <v>1200</v>
      </c>
      <c r="AN78" s="51">
        <v>1200</v>
      </c>
      <c r="AO78" s="51">
        <v>1200</v>
      </c>
      <c r="AP78" s="51">
        <v>1200</v>
      </c>
      <c r="AQ78" s="51">
        <v>1200</v>
      </c>
      <c r="AR78" s="51">
        <v>1200</v>
      </c>
      <c r="AS78" s="51">
        <v>1200</v>
      </c>
      <c r="AT78" s="51">
        <v>1200</v>
      </c>
      <c r="AU78" s="51">
        <v>1200</v>
      </c>
      <c r="AV78" s="51">
        <v>1200</v>
      </c>
      <c r="AW78" s="51">
        <v>1200</v>
      </c>
      <c r="AX78" s="51">
        <v>1200</v>
      </c>
      <c r="AY78" s="23">
        <v>1200</v>
      </c>
      <c r="AZ78" s="7"/>
      <c r="BA78" s="24">
        <f>KH_26_OPT4_KTQT_v4[[#This Row],[GB-DB25]]-KH_26_OPT4_KTQT_v4[[#This Row],[GB-KH25]]</f>
        <v>1200</v>
      </c>
      <c r="BB78" s="21">
        <f>IFERROR(KH_26_OPT4_KTQT_v4[[#This Row],[GB-+/-]]/KH_26_OPT4_KTQT_v4[[#This Row],[GB-KH25]],0)</f>
        <v>0</v>
      </c>
      <c r="BC78" s="21" t="s">
        <v>534</v>
      </c>
      <c r="BD78" s="47">
        <f>KH_26_OPT4_KTQT_v4[[#This Row],[SL-01]]*KH_26_OPT4_KTQT_v4[[#This Row],[GB-01]]*EXR</f>
        <v>0</v>
      </c>
      <c r="BE78" s="47">
        <f>KH_26_OPT4_KTQT_v4[[#This Row],[SL-02]]*KH_26_OPT4_KTQT_v4[[#This Row],[GB-02]]*EXR</f>
        <v>1399200000</v>
      </c>
      <c r="BF78" s="47">
        <f>KH_26_OPT4_KTQT_v4[[#This Row],[SL-03]]*KH_26_OPT4_KTQT_v4[[#This Row],[GB-03]]*EXR</f>
        <v>0</v>
      </c>
      <c r="BG78" s="47">
        <f>KH_26_OPT4_KTQT_v4[[#This Row],[SL-04]]*KH_26_OPT4_KTQT_v4[[#This Row],[GB-04]]*EXR</f>
        <v>0</v>
      </c>
      <c r="BH78" s="47">
        <f>KH_26_OPT4_KTQT_v4[[#This Row],[SL-05]]*KH_26_OPT4_KTQT_v4[[#This Row],[GB-05]]*EXR</f>
        <v>0</v>
      </c>
      <c r="BI78" s="47">
        <f>KH_26_OPT4_KTQT_v4[[#This Row],[SL-06]]*KH_26_OPT4_KTQT_v4[[#This Row],[GB-06]]*EXR</f>
        <v>1399200000</v>
      </c>
      <c r="BJ78" s="47">
        <f>KH_26_OPT4_KTQT_v4[[#This Row],[SL-07]]*KH_26_OPT4_KTQT_v4[[#This Row],[GB-07]]*EXR</f>
        <v>0</v>
      </c>
      <c r="BK78" s="47">
        <f>KH_26_OPT4_KTQT_v4[[#This Row],[SL-08]]*KH_26_OPT4_KTQT_v4[[#This Row],[GB-08]]*EXR</f>
        <v>0</v>
      </c>
      <c r="BL78" s="47">
        <f>KH_26_OPT4_KTQT_v4[[#This Row],[SL-09]]*KH_26_OPT4_KTQT_v4[[#This Row],[GB-09]]*EXR</f>
        <v>0</v>
      </c>
      <c r="BM78" s="47">
        <f>KH_26_OPT4_KTQT_v4[[#This Row],[SL-10]]*KH_26_OPT4_KTQT_v4[[#This Row],[GB-10]]*EXR</f>
        <v>1399200000</v>
      </c>
      <c r="BN78" s="47">
        <f>KH_26_OPT4_KTQT_v4[[#This Row],[SL-11]]*KH_26_OPT4_KTQT_v4[[#This Row],[GB-11]]*EXR</f>
        <v>0</v>
      </c>
      <c r="BO78" s="47">
        <f>KH_26_OPT4_KTQT_v4[[#This Row],[SL-12]]*KH_26_OPT4_KTQT_v4[[#This Row],[GB-12]]*EXR</f>
        <v>0</v>
      </c>
      <c r="BP78" s="47">
        <f ca="1">SUM(KH_26_OPT4_KTQT_v4[[#This Row],[DT-EXW-01]:[DT-EXW-12]])</f>
        <v>4197600000</v>
      </c>
      <c r="BQ78" s="47">
        <f ca="1">SUMIFS(DB_25[DT-DB25],DB_25[Mã khách],KH_26_OPT4_KTQT_v4[[#This Row],[Mã khách]],DB_25[Mã sản phẩm],KH_26_OPT4_KTQT_v4[[#This Row],[Mã sản phẩm]])</f>
        <v>694845889.96153843</v>
      </c>
      <c r="BR78" s="47">
        <f ca="1">KH_26_OPT4_KTQT_v4[[#This Row],[DT-EXW-KH26]]-KH_26_OPT4_KTQT_v4[[#This Row],[DT-EXW-DB25]]</f>
        <v>3502754110.0384617</v>
      </c>
      <c r="BS78" s="21">
        <f ca="1">IFERROR(KH_26_OPT4_KTQT_v4[[#This Row],[DT-EXW-+/-]]/KH_26_OPT4_KTQT_v4[[#This Row],[DT-EXW-DB25]],0)</f>
        <v>5.0410517794562306</v>
      </c>
      <c r="BT78" s="139"/>
      <c r="BU78" s="57"/>
      <c r="BV78" s="51"/>
      <c r="BW78" s="47">
        <f>IF(KH_26_OPT4_KTQT_v4[[#This Row],[CPHH-%-SL]]="Dthu",KH_26_OPT4_KTQT_v4[[#This Row],[%HH]]*KH_26_OPT4_KTQT_v4[[#This Row],[DT-EXW-01]],KH_26_OPT4_KTQT_v4[[#This Row],[HH-SL]]*KH_26_OPT4_KTQT_v4[[#This Row],[SL-01]])</f>
        <v>0</v>
      </c>
      <c r="BX78" s="47">
        <f>IF(KH_26_OPT4_KTQT_v4[[#This Row],[CPHH-%-SL]]="Dthu",KH_26_OPT4_KTQT_v4[[#This Row],[%HH]]*KH_26_OPT4_KTQT_v4[[#This Row],[DT-EXW-02]],KH_26_OPT4_KTQT_v4[[#This Row],[HH-SL]]*KH_26_OPT4_KTQT_v4[[#This Row],[SL-02]])</f>
        <v>0</v>
      </c>
      <c r="BY78" s="47">
        <f>IF(KH_26_OPT4_KTQT_v4[[#This Row],[CPHH-%-SL]]="Dthu",KH_26_OPT4_KTQT_v4[[#This Row],[%HH]]*KH_26_OPT4_KTQT_v4[[#This Row],[DT-EXW-03]],KH_26_OPT4_KTQT_v4[[#This Row],[HH-SL]]*KH_26_OPT4_KTQT_v4[[#This Row],[SL-03]])</f>
        <v>0</v>
      </c>
      <c r="BZ78" s="47">
        <f>IF(KH_26_OPT4_KTQT_v4[[#This Row],[CPHH-%-SL]]="Dthu",KH_26_OPT4_KTQT_v4[[#This Row],[%HH]]*KH_26_OPT4_KTQT_v4[[#This Row],[DT-EXW-04]],KH_26_OPT4_KTQT_v4[[#This Row],[HH-SL]]*KH_26_OPT4_KTQT_v4[[#This Row],[SL-04]])</f>
        <v>0</v>
      </c>
      <c r="CA78" s="47">
        <f>IF(KH_26_OPT4_KTQT_v4[[#This Row],[CPHH-%-SL]]="Dthu",KH_26_OPT4_KTQT_v4[[#This Row],[%HH]]*KH_26_OPT4_KTQT_v4[[#This Row],[DT-EXW-05]],KH_26_OPT4_KTQT_v4[[#This Row],[HH-SL]]*KH_26_OPT4_KTQT_v4[[#This Row],[SL-05]])</f>
        <v>0</v>
      </c>
      <c r="CB78" s="47">
        <f>IF(KH_26_OPT4_KTQT_v4[[#This Row],[CPHH-%-SL]]="Dthu",KH_26_OPT4_KTQT_v4[[#This Row],[%HH]]*KH_26_OPT4_KTQT_v4[[#This Row],[DT-EXW-06]],KH_26_OPT4_KTQT_v4[[#This Row],[HH-SL]]*KH_26_OPT4_KTQT_v4[[#This Row],[SL-06]])</f>
        <v>0</v>
      </c>
      <c r="CC78" s="47">
        <f>IF(KH_26_OPT4_KTQT_v4[[#This Row],[CPHH-%-SL]]="Dthu",KH_26_OPT4_KTQT_v4[[#This Row],[%HH]]*KH_26_OPT4_KTQT_v4[[#This Row],[DT-EXW-07]],KH_26_OPT4_KTQT_v4[[#This Row],[HH-SL]]*KH_26_OPT4_KTQT_v4[[#This Row],[SL-07]])</f>
        <v>0</v>
      </c>
      <c r="CD78" s="47">
        <f>IF(KH_26_OPT4_KTQT_v4[[#This Row],[CPHH-%-SL]]="Dthu",KH_26_OPT4_KTQT_v4[[#This Row],[%HH]]*KH_26_OPT4_KTQT_v4[[#This Row],[DT-EXW-08]],KH_26_OPT4_KTQT_v4[[#This Row],[HH-SL]]*KH_26_OPT4_KTQT_v4[[#This Row],[SL-08]])</f>
        <v>0</v>
      </c>
      <c r="CE78" s="47">
        <f>IF(KH_26_OPT4_KTQT_v4[[#This Row],[CPHH-%-SL]]="Dthu",KH_26_OPT4_KTQT_v4[[#This Row],[%HH]]*KH_26_OPT4_KTQT_v4[[#This Row],[DT-EXW-09]],KH_26_OPT4_KTQT_v4[[#This Row],[HH-SL]]*KH_26_OPT4_KTQT_v4[[#This Row],[SL-09]])</f>
        <v>0</v>
      </c>
      <c r="CF78" s="47">
        <f>IF(KH_26_OPT4_KTQT_v4[[#This Row],[CPHH-%-SL]]="Dthu",KH_26_OPT4_KTQT_v4[[#This Row],[%HH]]*KH_26_OPT4_KTQT_v4[[#This Row],[DT-EXW-10]],KH_26_OPT4_KTQT_v4[[#This Row],[HH-SL]]*KH_26_OPT4_KTQT_v4[[#This Row],[SL-10]])</f>
        <v>0</v>
      </c>
      <c r="CG78" s="47">
        <f>IF(KH_26_OPT4_KTQT_v4[[#This Row],[CPHH-%-SL]]="Dthu",KH_26_OPT4_KTQT_v4[[#This Row],[%HH]]*KH_26_OPT4_KTQT_v4[[#This Row],[DT-EXW-11]],KH_26_OPT4_KTQT_v4[[#This Row],[HH-SL]]*KH_26_OPT4_KTQT_v4[[#This Row],[SL-11]])</f>
        <v>0</v>
      </c>
      <c r="CH78" s="47">
        <f>IF(KH_26_OPT4_KTQT_v4[[#This Row],[CPHH-%-SL]]="Dthu",KH_26_OPT4_KTQT_v4[[#This Row],[%HH]]*KH_26_OPT4_KTQT_v4[[#This Row],[DT-EXW-12]],KH_26_OPT4_KTQT_v4[[#This Row],[HH-SL]]*KH_26_OPT4_KTQT_v4[[#This Row],[SL-12]])</f>
        <v>0</v>
      </c>
      <c r="CI78" s="47">
        <f ca="1">SUM(KH_26_OPT4_KTQT_v4[[#This Row],[CPHH-01]:[CPHH-12]])</f>
        <v>0</v>
      </c>
      <c r="CJ78" s="47" cm="1">
        <f t="array" ref="CJ78">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78" s="19">
        <f ca="1">SUM(KH_26_OPT4_KTQT_v4[[#This Row],[ĐGVCNĐ-KXK]:[ĐGVCCT-KXK]])</f>
        <v>5107272.7272727275</v>
      </c>
      <c r="CL78" s="47" cm="1">
        <f t="array" ref="CL78">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530000</v>
      </c>
      <c r="CM78" s="47" cm="1">
        <f t="array" ref="CM78">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4577272.7272727275</v>
      </c>
      <c r="CN78" s="47">
        <f ca="1">(KH_26_OPT4_KTQT_v4[[#This Row],[ĐGVC-KNĐ]]+KH_26_OPT4_KTQT_v4[[#This Row],[ĐGVC-KXK]])*KH_26_OPT4_KTQT_v4[[#This Row],[SL-01]]</f>
        <v>0</v>
      </c>
      <c r="CO78" s="47">
        <f ca="1">(KH_26_OPT4_KTQT_v4[[#This Row],[ĐGVC-KNĐ]]+KH_26_OPT4_KTQT_v4[[#This Row],[ĐGVC-KXK]])*KH_26_OPT4_KTQT_v4[[#This Row],[SL-02]]</f>
        <v>224720000</v>
      </c>
      <c r="CP78" s="47">
        <f ca="1">(KH_26_OPT4_KTQT_v4[[#This Row],[ĐGVC-KNĐ]]+KH_26_OPT4_KTQT_v4[[#This Row],[ĐGVC-KXK]])*KH_26_OPT4_KTQT_v4[[#This Row],[SL-03]]</f>
        <v>0</v>
      </c>
      <c r="CQ78" s="47">
        <f ca="1">(KH_26_OPT4_KTQT_v4[[#This Row],[ĐGVC-KNĐ]]+KH_26_OPT4_KTQT_v4[[#This Row],[ĐGVC-KXK]])*KH_26_OPT4_KTQT_v4[[#This Row],[SL-04]]</f>
        <v>0</v>
      </c>
      <c r="CR78" s="47">
        <f ca="1">(KH_26_OPT4_KTQT_v4[[#This Row],[ĐGVC-KNĐ]]+KH_26_OPT4_KTQT_v4[[#This Row],[ĐGVC-KXK]])*KH_26_OPT4_KTQT_v4[[#This Row],[SL-05]]</f>
        <v>0</v>
      </c>
      <c r="CS78" s="47">
        <f ca="1">(KH_26_OPT4_KTQT_v4[[#This Row],[ĐGVC-KNĐ]]+KH_26_OPT4_KTQT_v4[[#This Row],[ĐGVC-KXK]])*KH_26_OPT4_KTQT_v4[[#This Row],[SL-06]]</f>
        <v>224720000</v>
      </c>
      <c r="CT78" s="47">
        <f ca="1">(KH_26_OPT4_KTQT_v4[[#This Row],[ĐGVC-KNĐ]]+KH_26_OPT4_KTQT_v4[[#This Row],[ĐGVC-KXK]])*KH_26_OPT4_KTQT_v4[[#This Row],[SL-07]]</f>
        <v>0</v>
      </c>
      <c r="CU78" s="47">
        <f ca="1">(KH_26_OPT4_KTQT_v4[[#This Row],[ĐGVC-KNĐ]]+KH_26_OPT4_KTQT_v4[[#This Row],[ĐGVC-KXK]])*KH_26_OPT4_KTQT_v4[[#This Row],[SL-08]]</f>
        <v>0</v>
      </c>
      <c r="CV78" s="47">
        <f ca="1">(KH_26_OPT4_KTQT_v4[[#This Row],[ĐGVC-KNĐ]]+KH_26_OPT4_KTQT_v4[[#This Row],[ĐGVC-KXK]])*KH_26_OPT4_KTQT_v4[[#This Row],[SL-09]]</f>
        <v>0</v>
      </c>
      <c r="CW78" s="47">
        <f ca="1">(KH_26_OPT4_KTQT_v4[[#This Row],[ĐGVC-KNĐ]]+KH_26_OPT4_KTQT_v4[[#This Row],[ĐGVC-KXK]])*KH_26_OPT4_KTQT_v4[[#This Row],[SL-10]]</f>
        <v>224720000</v>
      </c>
      <c r="CX78" s="47">
        <f ca="1">(KH_26_OPT4_KTQT_v4[[#This Row],[ĐGVC-KNĐ]]+KH_26_OPT4_KTQT_v4[[#This Row],[ĐGVC-KXK]])*KH_26_OPT4_KTQT_v4[[#This Row],[SL-11]]</f>
        <v>0</v>
      </c>
      <c r="CY78" s="47">
        <f ca="1">(KH_26_OPT4_KTQT_v4[[#This Row],[ĐGVC-KNĐ]]+KH_26_OPT4_KTQT_v4[[#This Row],[ĐGVC-KXK]])*KH_26_OPT4_KTQT_v4[[#This Row],[SL-12]]</f>
        <v>0</v>
      </c>
      <c r="CZ78" s="47">
        <f ca="1">SUM(KH_26_OPT4_KTQT_v4[[#This Row],[CPVC-01]:[CPVC-12]])</f>
        <v>674160000</v>
      </c>
      <c r="DA78" s="124">
        <f ca="1">KH_26_OPT4_KTQT_v4[[#This Row],[DT-EXW-01]]+KH_26_OPT4_KTQT_v4[[#This Row],[CPVC-01]]+KH_26_OPT4_KTQT_v4[[#This Row],[CPHH-01]]</f>
        <v>0</v>
      </c>
      <c r="DB78" s="47">
        <f ca="1">KH_26_OPT4_KTQT_v4[[#This Row],[DT-EXW-02]]+KH_26_OPT4_KTQT_v4[[#This Row],[CPVC-02]]+KH_26_OPT4_KTQT_v4[[#This Row],[CPHH-02]]</f>
        <v>1623920000</v>
      </c>
      <c r="DC78" s="47">
        <f ca="1">KH_26_OPT4_KTQT_v4[[#This Row],[DT-EXW-03]]+KH_26_OPT4_KTQT_v4[[#This Row],[CPVC-03]]+KH_26_OPT4_KTQT_v4[[#This Row],[CPHH-03]]</f>
        <v>0</v>
      </c>
      <c r="DD78" s="47">
        <f ca="1">KH_26_OPT4_KTQT_v4[[#This Row],[DT-EXW-04]]+KH_26_OPT4_KTQT_v4[[#This Row],[CPVC-04]]+KH_26_OPT4_KTQT_v4[[#This Row],[CPHH-04]]</f>
        <v>0</v>
      </c>
      <c r="DE78" s="47">
        <f ca="1">KH_26_OPT4_KTQT_v4[[#This Row],[DT-EXW-05]]+KH_26_OPT4_KTQT_v4[[#This Row],[CPVC-05]]+KH_26_OPT4_KTQT_v4[[#This Row],[CPHH-05]]</f>
        <v>0</v>
      </c>
      <c r="DF78" s="47">
        <f ca="1">KH_26_OPT4_KTQT_v4[[#This Row],[DT-EXW-06]]+KH_26_OPT4_KTQT_v4[[#This Row],[CPVC-06]]+KH_26_OPT4_KTQT_v4[[#This Row],[CPHH-06]]</f>
        <v>1623920000</v>
      </c>
      <c r="DG78" s="47">
        <f ca="1">KH_26_OPT4_KTQT_v4[[#This Row],[DT-EXW-07]]+KH_26_OPT4_KTQT_v4[[#This Row],[CPVC-07]]+KH_26_OPT4_KTQT_v4[[#This Row],[CPHH-07]]</f>
        <v>0</v>
      </c>
      <c r="DH78" s="47">
        <f ca="1">KH_26_OPT4_KTQT_v4[[#This Row],[DT-EXW-08]]+KH_26_OPT4_KTQT_v4[[#This Row],[CPVC-08]]+KH_26_OPT4_KTQT_v4[[#This Row],[CPHH-08]]</f>
        <v>0</v>
      </c>
      <c r="DI78" s="47">
        <f ca="1">KH_26_OPT4_KTQT_v4[[#This Row],[DT-EXW-09]]+KH_26_OPT4_KTQT_v4[[#This Row],[CPVC-09]]+KH_26_OPT4_KTQT_v4[[#This Row],[CPHH-09]]</f>
        <v>0</v>
      </c>
      <c r="DJ78" s="47">
        <f ca="1">KH_26_OPT4_KTQT_v4[[#This Row],[DT-EXW-10]]+KH_26_OPT4_KTQT_v4[[#This Row],[CPVC-10]]+KH_26_OPT4_KTQT_v4[[#This Row],[CPHH-10]]</f>
        <v>1623920000</v>
      </c>
      <c r="DK78" s="47">
        <f ca="1">KH_26_OPT4_KTQT_v4[[#This Row],[DT-EXW-11]]+KH_26_OPT4_KTQT_v4[[#This Row],[CPVC-11]]+KH_26_OPT4_KTQT_v4[[#This Row],[CPHH-11]]</f>
        <v>0</v>
      </c>
      <c r="DL78" s="47">
        <f ca="1">KH_26_OPT4_KTQT_v4[[#This Row],[DT-EXW-12]]+KH_26_OPT4_KTQT_v4[[#This Row],[CPVC-12]]+KH_26_OPT4_KTQT_v4[[#This Row],[CPHH-12]]</f>
        <v>0</v>
      </c>
      <c r="DM78" s="47">
        <f ca="1">SUM(KH_26_OPT4_KTQT_v4[[#This Row],[DT-01]:[DT-12]])</f>
        <v>4871760000</v>
      </c>
      <c r="DN78" s="7"/>
      <c r="DO78" s="7"/>
      <c r="DP78" s="125"/>
      <c r="DQ78" s="136">
        <v>0.1</v>
      </c>
      <c r="DR78" s="132">
        <f>IFERROR(KH_26_OPT4_KTQT_v4[[#This Row],[DT-EXW-01]]*KH_26_OPT4_KTQT_v4[[#This Row],[%CPDP]],0)</f>
        <v>0</v>
      </c>
      <c r="DS78" s="132">
        <f>IFERROR(KH_26_OPT4_KTQT_v4[[#This Row],[DT-EXW-02]]*KH_26_OPT4_KTQT_v4[[#This Row],[%CPDP]],0)</f>
        <v>139920000</v>
      </c>
      <c r="DT78" s="132">
        <f>IFERROR(KH_26_OPT4_KTQT_v4[[#This Row],[DT-EXW-03]]*KH_26_OPT4_KTQT_v4[[#This Row],[%CPDP]],0)</f>
        <v>0</v>
      </c>
      <c r="DU78" s="132">
        <f>IFERROR(KH_26_OPT4_KTQT_v4[[#This Row],[DT-EXW-04]]*KH_26_OPT4_KTQT_v4[[#This Row],[%CPDP]],0)</f>
        <v>0</v>
      </c>
      <c r="DV78" s="132">
        <f>IFERROR(KH_26_OPT4_KTQT_v4[[#This Row],[DT-EXW-05]]*KH_26_OPT4_KTQT_v4[[#This Row],[%CPDP]],0)</f>
        <v>0</v>
      </c>
      <c r="DW78" s="132">
        <f>IFERROR(KH_26_OPT4_KTQT_v4[[#This Row],[DT-EXW-06]]*KH_26_OPT4_KTQT_v4[[#This Row],[%CPDP]],0)</f>
        <v>139920000</v>
      </c>
      <c r="DX78" s="132">
        <f>IFERROR(KH_26_OPT4_KTQT_v4[[#This Row],[DT-EXW-07]]*KH_26_OPT4_KTQT_v4[[#This Row],[%CPDP]],0)</f>
        <v>0</v>
      </c>
      <c r="DY78" s="132">
        <f>IFERROR(KH_26_OPT4_KTQT_v4[[#This Row],[DT-EXW-08]]*KH_26_OPT4_KTQT_v4[[#This Row],[%CPDP]],0)</f>
        <v>0</v>
      </c>
      <c r="DZ78" s="132">
        <f>IFERROR(KH_26_OPT4_KTQT_v4[[#This Row],[DT-EXW-09]]*KH_26_OPT4_KTQT_v4[[#This Row],[%CPDP]],0)</f>
        <v>0</v>
      </c>
      <c r="EA78" s="132">
        <f>IFERROR(KH_26_OPT4_KTQT_v4[[#This Row],[DT-EXW-10]]*KH_26_OPT4_KTQT_v4[[#This Row],[%CPDP]],0)</f>
        <v>139920000</v>
      </c>
      <c r="EB78" s="132">
        <f>IFERROR(KH_26_OPT4_KTQT_v4[[#This Row],[DT-EXW-11]]*KH_26_OPT4_KTQT_v4[[#This Row],[%CPDP]],0)</f>
        <v>0</v>
      </c>
      <c r="EC78" s="132">
        <f>IFERROR(KH_26_OPT4_KTQT_v4[[#This Row],[DT-EXW-12]]*KH_26_OPT4_KTQT_v4[[#This Row],[%CPDP]],0)</f>
        <v>0</v>
      </c>
      <c r="ED78" s="131">
        <f ca="1">SUM(KH_26_OPT4_KTQT_v4[[#This Row],[CPDP-01]:[CPDP-12]])</f>
        <v>419760000</v>
      </c>
    </row>
    <row r="79" spans="1:134" ht="14.65" hidden="1" customHeight="1" x14ac:dyDescent="0.35">
      <c r="A79" s="18">
        <v>74</v>
      </c>
      <c r="B79" s="71" t="s">
        <v>95</v>
      </c>
      <c r="C79" s="18" t="str">
        <f>IFERROR(_xlfn.XLOOKUP(KH_26_OPT4_KTQT_v4[[#This Row],[Salesman]],MD_Salesman[Salesman],MD_Salesman[SalesManager]),"")</f>
        <v>Cường</v>
      </c>
      <c r="D79" s="72" t="str">
        <f>IFERROR(INDEX(MD_Customer[Mã khách],MATCH(KH_26_OPT4_KTQT_v4[[#This Row],[Tên khách]],MD_Customer[Tên khách-rút gọn],0)),"")</f>
        <v>200382</v>
      </c>
      <c r="E79" s="7" t="str">
        <f>IFERROR(INDEX(MD_Customer[Parent Account],MATCH(KH_26_OPT4_KTQT_v4[[#This Row],[Tên khách]],MD_Customer[Tên khách-rút gọn],0)),"")</f>
        <v>MONTACHEM INTERNATIONAL</v>
      </c>
      <c r="F79" s="35" t="s">
        <v>136</v>
      </c>
      <c r="G79" s="7" t="str">
        <f>IFERROR(INDEX(MD_Customer[Phân loại],MATCH(KH_26_OPT4_KTQT_v4[[#This Row],[Tên khách]],MD_Customer[Tên khách-rút gọn],0)),"")</f>
        <v>Hiện hữu</v>
      </c>
      <c r="H79" s="7" t="str">
        <f>IFERROR(INDEX(MD_Customer[Kênh bán hàng],MATCH(KH_26_OPT4_KTQT_v4[[#This Row],[Tên khách]],MD_Customer[Tên khách-rút gọn],0)),"")</f>
        <v>Xuất khẩu</v>
      </c>
      <c r="I79" s="35" t="s">
        <v>297</v>
      </c>
      <c r="J79" s="7" t="str">
        <f>IFERROR(INDEX(MD_Destination[Nước],MATCH(KH_26_OPT4_KTQT_v4[[#This Row],[Địa điểm đến]],MD_Destination[Địa điểm đến],0)),"")</f>
        <v>Bỉ</v>
      </c>
      <c r="K79" s="7" t="str">
        <f>IFERROR(INDEX(MD_Destination[Khu vực],MATCH(KH_26_OPT4_KTQT_v4[[#This Row],[Địa điểm đến]],MD_Destination[Địa điểm đến],0)),"")</f>
        <v>Châu Âu</v>
      </c>
      <c r="L79" s="35" t="s">
        <v>285</v>
      </c>
      <c r="M79" s="7" t="str">
        <f>IFERROR(INDEX(MD_SKU[Mã SKU],MATCH(KH_26_OPT4_KTQT_v4[[#This Row],[Tên sản phẩm]],MD_SKU[Tên SKU-rút gọn],0)),"")</f>
        <v>110000355</v>
      </c>
      <c r="N79" s="35" t="s">
        <v>469</v>
      </c>
      <c r="O79" s="7" t="str">
        <f>IFERROR(INDEX(MD_SKU[Ngành hàng],MATCH(KH_26_OPT4_KTQT_v4[[#This Row],[Tên sản phẩm]],MD_SKU[Tên SKU-rút gọn],0)),"")</f>
        <v>rPET</v>
      </c>
      <c r="P79" s="7" t="str">
        <f>IFERROR(INDEX(MD_SKU[Nhóm ngành],MATCH(KH_26_OPT4_KTQT_v4[[#This Row],[Tên sản phẩm]],MD_SKU[Tên SKU-rút gọn],0)),"")</f>
        <v>Hạt PET</v>
      </c>
      <c r="Q79" s="7" t="str">
        <f>IFERROR(
   IF(INDEX(MD_SKU[IV/IM],MATCH(KH_26_OPT4_KTQT_v4[[#This Row],[Tên sản phẩm]],MD_SKU[Tên SKU-rút gọn],0))=0,
      "",
      INDEX(MD_SKU[IV/IM],MATCH(KH_26_OPT4_KTQT_v4[[#This Row],[Tên sản phẩm]],MD_SKU[Tên SKU-rút gọn],0))
   ),
"")</f>
        <v>0.80 ± 0.02</v>
      </c>
      <c r="R79" s="44">
        <f>IFERROR(INDEX(MD_SKU[Application],MATCH(KH_26_OPT4_KTQT_v4[[#This Row],[Tên sản phẩm]],MD_SKU[Tên SKU-rút gọn],0)),"")</f>
        <v>0</v>
      </c>
      <c r="S79" s="7" t="str">
        <f>IFERROR(INDEX(MD_SKU[Phân loại],MATCH(KH_26_OPT4_KTQT_v4[[#This Row],[Tên sản phẩm]],MD_SKU[Tên SKU-rút gọn],0)),"")</f>
        <v>Cũ</v>
      </c>
      <c r="T79" s="7" t="s">
        <v>542</v>
      </c>
      <c r="U79" s="7" t="s">
        <v>1508</v>
      </c>
      <c r="V79" s="70">
        <v>0.8</v>
      </c>
      <c r="W79" s="33"/>
      <c r="X79" s="33">
        <v>22</v>
      </c>
      <c r="Y79" s="33"/>
      <c r="Z79" s="33">
        <v>22</v>
      </c>
      <c r="AA79" s="33"/>
      <c r="AB79" s="33">
        <v>22</v>
      </c>
      <c r="AC79" s="33"/>
      <c r="AD79" s="33">
        <v>22</v>
      </c>
      <c r="AE79" s="33"/>
      <c r="AF79" s="33">
        <v>22</v>
      </c>
      <c r="AG79" s="33"/>
      <c r="AH79" s="33">
        <v>22</v>
      </c>
      <c r="AI79" s="47">
        <f ca="1">SUM(KH_26_OPT4_KTQT_v4[[#This Row],[SL-01]:[SL-12]])</f>
        <v>132</v>
      </c>
      <c r="AJ79" s="47">
        <f ca="1">SUMIFS(DB_25[SL-DB25],DB_25[Mã khách],KH_26_OPT4_KTQT_v4[[#This Row],[Mã khách]],DB_25[Mã sản phẩm],KH_26_OPT4_KTQT_v4[[#This Row],[Mã sản phẩm]])</f>
        <v>22</v>
      </c>
      <c r="AK79" s="20">
        <f ca="1">KH_26_OPT4_KTQT_v4[[#This Row],[SL-KH26]]-KH_26_OPT4_KTQT_v4[[#This Row],[SL-DB25]]</f>
        <v>110</v>
      </c>
      <c r="AL79" s="21">
        <f ca="1">IFERROR(KH_26_OPT4_KTQT_v4[[#This Row],[SL-+/-]]/KH_26_OPT4_KTQT_v4[[#This Row],[SL-DB25]],0)</f>
        <v>5</v>
      </c>
      <c r="AM79" s="51">
        <v>1200</v>
      </c>
      <c r="AN79" s="51">
        <v>1200</v>
      </c>
      <c r="AO79" s="51">
        <v>1200</v>
      </c>
      <c r="AP79" s="51">
        <v>1200</v>
      </c>
      <c r="AQ79" s="51">
        <v>1200</v>
      </c>
      <c r="AR79" s="51">
        <v>1200</v>
      </c>
      <c r="AS79" s="51">
        <v>1200</v>
      </c>
      <c r="AT79" s="51">
        <v>1200</v>
      </c>
      <c r="AU79" s="51">
        <v>1200</v>
      </c>
      <c r="AV79" s="51">
        <v>1200</v>
      </c>
      <c r="AW79" s="51">
        <v>1200</v>
      </c>
      <c r="AX79" s="51">
        <v>1200</v>
      </c>
      <c r="AY79" s="23">
        <v>1200</v>
      </c>
      <c r="AZ79" s="7"/>
      <c r="BA79" s="24">
        <f>KH_26_OPT4_KTQT_v4[[#This Row],[GB-DB25]]-KH_26_OPT4_KTQT_v4[[#This Row],[GB-KH25]]</f>
        <v>1200</v>
      </c>
      <c r="BB79" s="21">
        <f>IFERROR(KH_26_OPT4_KTQT_v4[[#This Row],[GB-+/-]]/KH_26_OPT4_KTQT_v4[[#This Row],[GB-KH25]],0)</f>
        <v>0</v>
      </c>
      <c r="BC79" s="21" t="s">
        <v>534</v>
      </c>
      <c r="BD79" s="47">
        <f>KH_26_OPT4_KTQT_v4[[#This Row],[SL-01]]*KH_26_OPT4_KTQT_v4[[#This Row],[GB-01]]*EXR</f>
        <v>0</v>
      </c>
      <c r="BE79" s="47">
        <f>KH_26_OPT4_KTQT_v4[[#This Row],[SL-02]]*KH_26_OPT4_KTQT_v4[[#This Row],[GB-02]]*EXR</f>
        <v>699600000</v>
      </c>
      <c r="BF79" s="47">
        <f>KH_26_OPT4_KTQT_v4[[#This Row],[SL-03]]*KH_26_OPT4_KTQT_v4[[#This Row],[GB-03]]*EXR</f>
        <v>0</v>
      </c>
      <c r="BG79" s="47">
        <f>KH_26_OPT4_KTQT_v4[[#This Row],[SL-04]]*KH_26_OPT4_KTQT_v4[[#This Row],[GB-04]]*EXR</f>
        <v>699600000</v>
      </c>
      <c r="BH79" s="47">
        <f>KH_26_OPT4_KTQT_v4[[#This Row],[SL-05]]*KH_26_OPT4_KTQT_v4[[#This Row],[GB-05]]*EXR</f>
        <v>0</v>
      </c>
      <c r="BI79" s="47">
        <f>KH_26_OPT4_KTQT_v4[[#This Row],[SL-06]]*KH_26_OPT4_KTQT_v4[[#This Row],[GB-06]]*EXR</f>
        <v>699600000</v>
      </c>
      <c r="BJ79" s="47">
        <f>KH_26_OPT4_KTQT_v4[[#This Row],[SL-07]]*KH_26_OPT4_KTQT_v4[[#This Row],[GB-07]]*EXR</f>
        <v>0</v>
      </c>
      <c r="BK79" s="47">
        <f>KH_26_OPT4_KTQT_v4[[#This Row],[SL-08]]*KH_26_OPT4_KTQT_v4[[#This Row],[GB-08]]*EXR</f>
        <v>699600000</v>
      </c>
      <c r="BL79" s="47">
        <f>KH_26_OPT4_KTQT_v4[[#This Row],[SL-09]]*KH_26_OPT4_KTQT_v4[[#This Row],[GB-09]]*EXR</f>
        <v>0</v>
      </c>
      <c r="BM79" s="47">
        <f>KH_26_OPT4_KTQT_v4[[#This Row],[SL-10]]*KH_26_OPT4_KTQT_v4[[#This Row],[GB-10]]*EXR</f>
        <v>699600000</v>
      </c>
      <c r="BN79" s="47">
        <f>KH_26_OPT4_KTQT_v4[[#This Row],[SL-11]]*KH_26_OPT4_KTQT_v4[[#This Row],[GB-11]]*EXR</f>
        <v>0</v>
      </c>
      <c r="BO79" s="47">
        <f>KH_26_OPT4_KTQT_v4[[#This Row],[SL-12]]*KH_26_OPT4_KTQT_v4[[#This Row],[GB-12]]*EXR</f>
        <v>699600000</v>
      </c>
      <c r="BP79" s="47">
        <f ca="1">SUM(KH_26_OPT4_KTQT_v4[[#This Row],[DT-EXW-01]:[DT-EXW-12]])</f>
        <v>4197600000</v>
      </c>
      <c r="BQ79" s="47">
        <f ca="1">SUMIFS(DB_25[DT-DB25],DB_25[Mã khách],KH_26_OPT4_KTQT_v4[[#This Row],[Mã khách]],DB_25[Mã sản phẩm],KH_26_OPT4_KTQT_v4[[#This Row],[Mã sản phẩm]])</f>
        <v>736332936.45695364</v>
      </c>
      <c r="BR79" s="47">
        <f ca="1">KH_26_OPT4_KTQT_v4[[#This Row],[DT-EXW-KH26]]-KH_26_OPT4_KTQT_v4[[#This Row],[DT-EXW-DB25]]</f>
        <v>3461267063.5430465</v>
      </c>
      <c r="BS79" s="21">
        <f ca="1">IFERROR(KH_26_OPT4_KTQT_v4[[#This Row],[DT-EXW-+/-]]/KH_26_OPT4_KTQT_v4[[#This Row],[DT-EXW-DB25]],0)</f>
        <v>4.7006821129009673</v>
      </c>
      <c r="BT79" s="139"/>
      <c r="BU79" s="57"/>
      <c r="BV79" s="51"/>
      <c r="BW79" s="47">
        <f>IF(KH_26_OPT4_KTQT_v4[[#This Row],[CPHH-%-SL]]="Dthu",KH_26_OPT4_KTQT_v4[[#This Row],[%HH]]*KH_26_OPT4_KTQT_v4[[#This Row],[DT-EXW-01]],KH_26_OPT4_KTQT_v4[[#This Row],[HH-SL]]*KH_26_OPT4_KTQT_v4[[#This Row],[SL-01]])</f>
        <v>0</v>
      </c>
      <c r="BX79" s="47">
        <f>IF(KH_26_OPT4_KTQT_v4[[#This Row],[CPHH-%-SL]]="Dthu",KH_26_OPT4_KTQT_v4[[#This Row],[%HH]]*KH_26_OPT4_KTQT_v4[[#This Row],[DT-EXW-02]],KH_26_OPT4_KTQT_v4[[#This Row],[HH-SL]]*KH_26_OPT4_KTQT_v4[[#This Row],[SL-02]])</f>
        <v>0</v>
      </c>
      <c r="BY79" s="47">
        <f>IF(KH_26_OPT4_KTQT_v4[[#This Row],[CPHH-%-SL]]="Dthu",KH_26_OPT4_KTQT_v4[[#This Row],[%HH]]*KH_26_OPT4_KTQT_v4[[#This Row],[DT-EXW-03]],KH_26_OPT4_KTQT_v4[[#This Row],[HH-SL]]*KH_26_OPT4_KTQT_v4[[#This Row],[SL-03]])</f>
        <v>0</v>
      </c>
      <c r="BZ79" s="47">
        <f>IF(KH_26_OPT4_KTQT_v4[[#This Row],[CPHH-%-SL]]="Dthu",KH_26_OPT4_KTQT_v4[[#This Row],[%HH]]*KH_26_OPT4_KTQT_v4[[#This Row],[DT-EXW-04]],KH_26_OPT4_KTQT_v4[[#This Row],[HH-SL]]*KH_26_OPT4_KTQT_v4[[#This Row],[SL-04]])</f>
        <v>0</v>
      </c>
      <c r="CA79" s="47">
        <f>IF(KH_26_OPT4_KTQT_v4[[#This Row],[CPHH-%-SL]]="Dthu",KH_26_OPT4_KTQT_v4[[#This Row],[%HH]]*KH_26_OPT4_KTQT_v4[[#This Row],[DT-EXW-05]],KH_26_OPT4_KTQT_v4[[#This Row],[HH-SL]]*KH_26_OPT4_KTQT_v4[[#This Row],[SL-05]])</f>
        <v>0</v>
      </c>
      <c r="CB79" s="47">
        <f>IF(KH_26_OPT4_KTQT_v4[[#This Row],[CPHH-%-SL]]="Dthu",KH_26_OPT4_KTQT_v4[[#This Row],[%HH]]*KH_26_OPT4_KTQT_v4[[#This Row],[DT-EXW-06]],KH_26_OPT4_KTQT_v4[[#This Row],[HH-SL]]*KH_26_OPT4_KTQT_v4[[#This Row],[SL-06]])</f>
        <v>0</v>
      </c>
      <c r="CC79" s="47">
        <f>IF(KH_26_OPT4_KTQT_v4[[#This Row],[CPHH-%-SL]]="Dthu",KH_26_OPT4_KTQT_v4[[#This Row],[%HH]]*KH_26_OPT4_KTQT_v4[[#This Row],[DT-EXW-07]],KH_26_OPT4_KTQT_v4[[#This Row],[HH-SL]]*KH_26_OPT4_KTQT_v4[[#This Row],[SL-07]])</f>
        <v>0</v>
      </c>
      <c r="CD79" s="47">
        <f>IF(KH_26_OPT4_KTQT_v4[[#This Row],[CPHH-%-SL]]="Dthu",KH_26_OPT4_KTQT_v4[[#This Row],[%HH]]*KH_26_OPT4_KTQT_v4[[#This Row],[DT-EXW-08]],KH_26_OPT4_KTQT_v4[[#This Row],[HH-SL]]*KH_26_OPT4_KTQT_v4[[#This Row],[SL-08]])</f>
        <v>0</v>
      </c>
      <c r="CE79" s="47">
        <f>IF(KH_26_OPT4_KTQT_v4[[#This Row],[CPHH-%-SL]]="Dthu",KH_26_OPT4_KTQT_v4[[#This Row],[%HH]]*KH_26_OPT4_KTQT_v4[[#This Row],[DT-EXW-09]],KH_26_OPT4_KTQT_v4[[#This Row],[HH-SL]]*KH_26_OPT4_KTQT_v4[[#This Row],[SL-09]])</f>
        <v>0</v>
      </c>
      <c r="CF79" s="47">
        <f>IF(KH_26_OPT4_KTQT_v4[[#This Row],[CPHH-%-SL]]="Dthu",KH_26_OPT4_KTQT_v4[[#This Row],[%HH]]*KH_26_OPT4_KTQT_v4[[#This Row],[DT-EXW-10]],KH_26_OPT4_KTQT_v4[[#This Row],[HH-SL]]*KH_26_OPT4_KTQT_v4[[#This Row],[SL-10]])</f>
        <v>0</v>
      </c>
      <c r="CG79" s="47">
        <f>IF(KH_26_OPT4_KTQT_v4[[#This Row],[CPHH-%-SL]]="Dthu",KH_26_OPT4_KTQT_v4[[#This Row],[%HH]]*KH_26_OPT4_KTQT_v4[[#This Row],[DT-EXW-11]],KH_26_OPT4_KTQT_v4[[#This Row],[HH-SL]]*KH_26_OPT4_KTQT_v4[[#This Row],[SL-11]])</f>
        <v>0</v>
      </c>
      <c r="CH79" s="47">
        <f>IF(KH_26_OPT4_KTQT_v4[[#This Row],[CPHH-%-SL]]="Dthu",KH_26_OPT4_KTQT_v4[[#This Row],[%HH]]*KH_26_OPT4_KTQT_v4[[#This Row],[DT-EXW-12]],KH_26_OPT4_KTQT_v4[[#This Row],[HH-SL]]*KH_26_OPT4_KTQT_v4[[#This Row],[SL-12]])</f>
        <v>0</v>
      </c>
      <c r="CI79" s="47">
        <f ca="1">SUM(KH_26_OPT4_KTQT_v4[[#This Row],[CPHH-01]:[CPHH-12]])</f>
        <v>0</v>
      </c>
      <c r="CJ79" s="47" cm="1">
        <f t="array" ref="CJ79">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79" s="19">
        <f ca="1">SUM(KH_26_OPT4_KTQT_v4[[#This Row],[ĐGVCNĐ-KXK]:[ĐGVCCT-KXK]])</f>
        <v>2698181.8181818179</v>
      </c>
      <c r="CL79" s="47" cm="1">
        <f t="array" ref="CL79">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530000</v>
      </c>
      <c r="CM79" s="47" cm="1">
        <f t="array" ref="CM79">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2168181.8181818179</v>
      </c>
      <c r="CN79" s="47">
        <f ca="1">(KH_26_OPT4_KTQT_v4[[#This Row],[ĐGVC-KNĐ]]+KH_26_OPT4_KTQT_v4[[#This Row],[ĐGVC-KXK]])*KH_26_OPT4_KTQT_v4[[#This Row],[SL-01]]</f>
        <v>0</v>
      </c>
      <c r="CO79" s="47">
        <f ca="1">(KH_26_OPT4_KTQT_v4[[#This Row],[ĐGVC-KNĐ]]+KH_26_OPT4_KTQT_v4[[#This Row],[ĐGVC-KXK]])*KH_26_OPT4_KTQT_v4[[#This Row],[SL-02]]</f>
        <v>59359999.999999993</v>
      </c>
      <c r="CP79" s="47">
        <f ca="1">(KH_26_OPT4_KTQT_v4[[#This Row],[ĐGVC-KNĐ]]+KH_26_OPT4_KTQT_v4[[#This Row],[ĐGVC-KXK]])*KH_26_OPT4_KTQT_v4[[#This Row],[SL-03]]</f>
        <v>0</v>
      </c>
      <c r="CQ79" s="47">
        <f ca="1">(KH_26_OPT4_KTQT_v4[[#This Row],[ĐGVC-KNĐ]]+KH_26_OPT4_KTQT_v4[[#This Row],[ĐGVC-KXK]])*KH_26_OPT4_KTQT_v4[[#This Row],[SL-04]]</f>
        <v>59359999.999999993</v>
      </c>
      <c r="CR79" s="47">
        <f ca="1">(KH_26_OPT4_KTQT_v4[[#This Row],[ĐGVC-KNĐ]]+KH_26_OPT4_KTQT_v4[[#This Row],[ĐGVC-KXK]])*KH_26_OPT4_KTQT_v4[[#This Row],[SL-05]]</f>
        <v>0</v>
      </c>
      <c r="CS79" s="47">
        <f ca="1">(KH_26_OPT4_KTQT_v4[[#This Row],[ĐGVC-KNĐ]]+KH_26_OPT4_KTQT_v4[[#This Row],[ĐGVC-KXK]])*KH_26_OPT4_KTQT_v4[[#This Row],[SL-06]]</f>
        <v>59359999.999999993</v>
      </c>
      <c r="CT79" s="47">
        <f ca="1">(KH_26_OPT4_KTQT_v4[[#This Row],[ĐGVC-KNĐ]]+KH_26_OPT4_KTQT_v4[[#This Row],[ĐGVC-KXK]])*KH_26_OPT4_KTQT_v4[[#This Row],[SL-07]]</f>
        <v>0</v>
      </c>
      <c r="CU79" s="47">
        <f ca="1">(KH_26_OPT4_KTQT_v4[[#This Row],[ĐGVC-KNĐ]]+KH_26_OPT4_KTQT_v4[[#This Row],[ĐGVC-KXK]])*KH_26_OPT4_KTQT_v4[[#This Row],[SL-08]]</f>
        <v>59359999.999999993</v>
      </c>
      <c r="CV79" s="47">
        <f ca="1">(KH_26_OPT4_KTQT_v4[[#This Row],[ĐGVC-KNĐ]]+KH_26_OPT4_KTQT_v4[[#This Row],[ĐGVC-KXK]])*KH_26_OPT4_KTQT_v4[[#This Row],[SL-09]]</f>
        <v>0</v>
      </c>
      <c r="CW79" s="47">
        <f ca="1">(KH_26_OPT4_KTQT_v4[[#This Row],[ĐGVC-KNĐ]]+KH_26_OPT4_KTQT_v4[[#This Row],[ĐGVC-KXK]])*KH_26_OPT4_KTQT_v4[[#This Row],[SL-10]]</f>
        <v>59359999.999999993</v>
      </c>
      <c r="CX79" s="47">
        <f ca="1">(KH_26_OPT4_KTQT_v4[[#This Row],[ĐGVC-KNĐ]]+KH_26_OPT4_KTQT_v4[[#This Row],[ĐGVC-KXK]])*KH_26_OPT4_KTQT_v4[[#This Row],[SL-11]]</f>
        <v>0</v>
      </c>
      <c r="CY79" s="47">
        <f ca="1">(KH_26_OPT4_KTQT_v4[[#This Row],[ĐGVC-KNĐ]]+KH_26_OPT4_KTQT_v4[[#This Row],[ĐGVC-KXK]])*KH_26_OPT4_KTQT_v4[[#This Row],[SL-12]]</f>
        <v>59359999.999999993</v>
      </c>
      <c r="CZ79" s="47">
        <f ca="1">SUM(KH_26_OPT4_KTQT_v4[[#This Row],[CPVC-01]:[CPVC-12]])</f>
        <v>356159999.99999994</v>
      </c>
      <c r="DA79" s="124">
        <f ca="1">KH_26_OPT4_KTQT_v4[[#This Row],[DT-EXW-01]]+KH_26_OPT4_KTQT_v4[[#This Row],[CPVC-01]]+KH_26_OPT4_KTQT_v4[[#This Row],[CPHH-01]]</f>
        <v>0</v>
      </c>
      <c r="DB79" s="47">
        <f ca="1">KH_26_OPT4_KTQT_v4[[#This Row],[DT-EXW-02]]+KH_26_OPT4_KTQT_v4[[#This Row],[CPVC-02]]+KH_26_OPT4_KTQT_v4[[#This Row],[CPHH-02]]</f>
        <v>758960000</v>
      </c>
      <c r="DC79" s="47">
        <f ca="1">KH_26_OPT4_KTQT_v4[[#This Row],[DT-EXW-03]]+KH_26_OPT4_KTQT_v4[[#This Row],[CPVC-03]]+KH_26_OPT4_KTQT_v4[[#This Row],[CPHH-03]]</f>
        <v>0</v>
      </c>
      <c r="DD79" s="47">
        <f ca="1">KH_26_OPT4_KTQT_v4[[#This Row],[DT-EXW-04]]+KH_26_OPT4_KTQT_v4[[#This Row],[CPVC-04]]+KH_26_OPT4_KTQT_v4[[#This Row],[CPHH-04]]</f>
        <v>758960000</v>
      </c>
      <c r="DE79" s="47">
        <f ca="1">KH_26_OPT4_KTQT_v4[[#This Row],[DT-EXW-05]]+KH_26_OPT4_KTQT_v4[[#This Row],[CPVC-05]]+KH_26_OPT4_KTQT_v4[[#This Row],[CPHH-05]]</f>
        <v>0</v>
      </c>
      <c r="DF79" s="47">
        <f ca="1">KH_26_OPT4_KTQT_v4[[#This Row],[DT-EXW-06]]+KH_26_OPT4_KTQT_v4[[#This Row],[CPVC-06]]+KH_26_OPT4_KTQT_v4[[#This Row],[CPHH-06]]</f>
        <v>758960000</v>
      </c>
      <c r="DG79" s="47">
        <f ca="1">KH_26_OPT4_KTQT_v4[[#This Row],[DT-EXW-07]]+KH_26_OPT4_KTQT_v4[[#This Row],[CPVC-07]]+KH_26_OPT4_KTQT_v4[[#This Row],[CPHH-07]]</f>
        <v>0</v>
      </c>
      <c r="DH79" s="47">
        <f ca="1">KH_26_OPT4_KTQT_v4[[#This Row],[DT-EXW-08]]+KH_26_OPT4_KTQT_v4[[#This Row],[CPVC-08]]+KH_26_OPT4_KTQT_v4[[#This Row],[CPHH-08]]</f>
        <v>758960000</v>
      </c>
      <c r="DI79" s="47">
        <f ca="1">KH_26_OPT4_KTQT_v4[[#This Row],[DT-EXW-09]]+KH_26_OPT4_KTQT_v4[[#This Row],[CPVC-09]]+KH_26_OPT4_KTQT_v4[[#This Row],[CPHH-09]]</f>
        <v>0</v>
      </c>
      <c r="DJ79" s="47">
        <f ca="1">KH_26_OPT4_KTQT_v4[[#This Row],[DT-EXW-10]]+KH_26_OPT4_KTQT_v4[[#This Row],[CPVC-10]]+KH_26_OPT4_KTQT_v4[[#This Row],[CPHH-10]]</f>
        <v>758960000</v>
      </c>
      <c r="DK79" s="47">
        <f ca="1">KH_26_OPT4_KTQT_v4[[#This Row],[DT-EXW-11]]+KH_26_OPT4_KTQT_v4[[#This Row],[CPVC-11]]+KH_26_OPT4_KTQT_v4[[#This Row],[CPHH-11]]</f>
        <v>0</v>
      </c>
      <c r="DL79" s="47">
        <f ca="1">KH_26_OPT4_KTQT_v4[[#This Row],[DT-EXW-12]]+KH_26_OPT4_KTQT_v4[[#This Row],[CPVC-12]]+KH_26_OPT4_KTQT_v4[[#This Row],[CPHH-12]]</f>
        <v>758960000</v>
      </c>
      <c r="DM79" s="47">
        <f ca="1">SUM(KH_26_OPT4_KTQT_v4[[#This Row],[DT-01]:[DT-12]])</f>
        <v>4553760000</v>
      </c>
      <c r="DN79" s="7"/>
      <c r="DO79" s="7"/>
      <c r="DP79" s="125"/>
      <c r="DQ79" s="136">
        <v>0.1</v>
      </c>
      <c r="DR79" s="132">
        <f>IFERROR(KH_26_OPT4_KTQT_v4[[#This Row],[DT-EXW-01]]*KH_26_OPT4_KTQT_v4[[#This Row],[%CPDP]],0)</f>
        <v>0</v>
      </c>
      <c r="DS79" s="132">
        <f>IFERROR(KH_26_OPT4_KTQT_v4[[#This Row],[DT-EXW-02]]*KH_26_OPT4_KTQT_v4[[#This Row],[%CPDP]],0)</f>
        <v>69960000</v>
      </c>
      <c r="DT79" s="132">
        <f>IFERROR(KH_26_OPT4_KTQT_v4[[#This Row],[DT-EXW-03]]*KH_26_OPT4_KTQT_v4[[#This Row],[%CPDP]],0)</f>
        <v>0</v>
      </c>
      <c r="DU79" s="132">
        <f>IFERROR(KH_26_OPT4_KTQT_v4[[#This Row],[DT-EXW-04]]*KH_26_OPT4_KTQT_v4[[#This Row],[%CPDP]],0)</f>
        <v>69960000</v>
      </c>
      <c r="DV79" s="132">
        <f>IFERROR(KH_26_OPT4_KTQT_v4[[#This Row],[DT-EXW-05]]*KH_26_OPT4_KTQT_v4[[#This Row],[%CPDP]],0)</f>
        <v>0</v>
      </c>
      <c r="DW79" s="132">
        <f>IFERROR(KH_26_OPT4_KTQT_v4[[#This Row],[DT-EXW-06]]*KH_26_OPT4_KTQT_v4[[#This Row],[%CPDP]],0)</f>
        <v>69960000</v>
      </c>
      <c r="DX79" s="132">
        <f>IFERROR(KH_26_OPT4_KTQT_v4[[#This Row],[DT-EXW-07]]*KH_26_OPT4_KTQT_v4[[#This Row],[%CPDP]],0)</f>
        <v>0</v>
      </c>
      <c r="DY79" s="132">
        <f>IFERROR(KH_26_OPT4_KTQT_v4[[#This Row],[DT-EXW-08]]*KH_26_OPT4_KTQT_v4[[#This Row],[%CPDP]],0)</f>
        <v>69960000</v>
      </c>
      <c r="DZ79" s="132">
        <f>IFERROR(KH_26_OPT4_KTQT_v4[[#This Row],[DT-EXW-09]]*KH_26_OPT4_KTQT_v4[[#This Row],[%CPDP]],0)</f>
        <v>0</v>
      </c>
      <c r="EA79" s="132">
        <f>IFERROR(KH_26_OPT4_KTQT_v4[[#This Row],[DT-EXW-10]]*KH_26_OPT4_KTQT_v4[[#This Row],[%CPDP]],0)</f>
        <v>69960000</v>
      </c>
      <c r="EB79" s="132">
        <f>IFERROR(KH_26_OPT4_KTQT_v4[[#This Row],[DT-EXW-11]]*KH_26_OPT4_KTQT_v4[[#This Row],[%CPDP]],0)</f>
        <v>0</v>
      </c>
      <c r="EC79" s="132">
        <f>IFERROR(KH_26_OPT4_KTQT_v4[[#This Row],[DT-EXW-12]]*KH_26_OPT4_KTQT_v4[[#This Row],[%CPDP]],0)</f>
        <v>69960000</v>
      </c>
      <c r="ED79" s="131">
        <f ca="1">SUM(KH_26_OPT4_KTQT_v4[[#This Row],[CPDP-01]:[CPDP-12]])</f>
        <v>419760000</v>
      </c>
    </row>
    <row r="80" spans="1:134" ht="14.65" hidden="1" customHeight="1" x14ac:dyDescent="0.35">
      <c r="A80" s="18">
        <v>75</v>
      </c>
      <c r="B80" s="71" t="s">
        <v>104</v>
      </c>
      <c r="C80" s="18" t="str">
        <f>IFERROR(_xlfn.XLOOKUP(KH_26_OPT4_KTQT_v4[[#This Row],[Salesman]],MD_Salesman[Salesman],MD_Salesman[SalesManager]),"")</f>
        <v>Quốc Anh</v>
      </c>
      <c r="D80" s="72" t="str">
        <f>IFERROR(INDEX(MD_Customer[Mã khách],MATCH(KH_26_OPT4_KTQT_v4[[#This Row],[Tên khách]],MD_Customer[Tên khách-rút gọn],0)),"")</f>
        <v>200384</v>
      </c>
      <c r="E80" s="7" t="str">
        <f>IFERROR(INDEX(MD_Customer[Parent Account],MATCH(KH_26_OPT4_KTQT_v4[[#This Row],[Tên khách]],MD_Customer[Tên khách-rút gọn],0)),"")</f>
        <v>TRICON</v>
      </c>
      <c r="F80" s="35" t="s">
        <v>134</v>
      </c>
      <c r="G80" s="7" t="str">
        <f>IFERROR(INDEX(MD_Customer[Phân loại],MATCH(KH_26_OPT4_KTQT_v4[[#This Row],[Tên khách]],MD_Customer[Tên khách-rút gọn],0)),"")</f>
        <v>Mới</v>
      </c>
      <c r="H80" s="7" t="str">
        <f>IFERROR(INDEX(MD_Customer[Kênh bán hàng],MATCH(KH_26_OPT4_KTQT_v4[[#This Row],[Tên khách]],MD_Customer[Tên khách-rút gọn],0)),"")</f>
        <v>Xuất khẩu</v>
      </c>
      <c r="I80" s="35" t="s">
        <v>300</v>
      </c>
      <c r="J80" s="7" t="str">
        <f>IFERROR(INDEX(MD_Destination[Nước],MATCH(KH_26_OPT4_KTQT_v4[[#This Row],[Địa điểm đến]],MD_Destination[Địa điểm đến],0)),"")</f>
        <v>Mexico</v>
      </c>
      <c r="K80" s="7" t="str">
        <f>IFERROR(INDEX(MD_Destination[Khu vực],MATCH(KH_26_OPT4_KTQT_v4[[#This Row],[Địa điểm đến]],MD_Destination[Địa điểm đến],0)),"")</f>
        <v>Châu Mỹ</v>
      </c>
      <c r="L80" s="35" t="s">
        <v>278</v>
      </c>
      <c r="M80" s="7" t="str">
        <f>IFERROR(INDEX(MD_SKU[Mã SKU],MATCH(KH_26_OPT4_KTQT_v4[[#This Row],[Tên sản phẩm]],MD_SKU[Tên SKU-rút gọn],0)),"")</f>
        <v>110000354</v>
      </c>
      <c r="N80" s="35" t="s">
        <v>456</v>
      </c>
      <c r="O80" s="7" t="str">
        <f>IFERROR(INDEX(MD_SKU[Ngành hàng],MATCH(KH_26_OPT4_KTQT_v4[[#This Row],[Tên sản phẩm]],MD_SKU[Tên SKU-rút gọn],0)),"")</f>
        <v>rPET</v>
      </c>
      <c r="P80" s="7" t="str">
        <f>IFERROR(INDEX(MD_SKU[Nhóm ngành],MATCH(KH_26_OPT4_KTQT_v4[[#This Row],[Tên sản phẩm]],MD_SKU[Tên SKU-rút gọn],0)),"")</f>
        <v>Hạt PET</v>
      </c>
      <c r="Q80" s="7" t="str">
        <f>IFERROR(
   IF(INDEX(MD_SKU[IV/IM],MATCH(KH_26_OPT4_KTQT_v4[[#This Row],[Tên sản phẩm]],MD_SKU[Tên SKU-rút gọn],0))=0,
      "",
      INDEX(MD_SKU[IV/IM],MATCH(KH_26_OPT4_KTQT_v4[[#This Row],[Tên sản phẩm]],MD_SKU[Tên SKU-rút gọn],0))
   ),
"")</f>
        <v>0.78 ± 0.02</v>
      </c>
      <c r="R80" s="44">
        <f>IFERROR(INDEX(MD_SKU[Application],MATCH(KH_26_OPT4_KTQT_v4[[#This Row],[Tên sản phẩm]],MD_SKU[Tên SKU-rút gọn],0)),"")</f>
        <v>0</v>
      </c>
      <c r="S80" s="7" t="str">
        <f>IFERROR(INDEX(MD_SKU[Phân loại],MATCH(KH_26_OPT4_KTQT_v4[[#This Row],[Tên sản phẩm]],MD_SKU[Tên SKU-rút gọn],0)),"")</f>
        <v>Cũ</v>
      </c>
      <c r="T80" s="180" t="s">
        <v>542</v>
      </c>
      <c r="U80" s="7" t="s">
        <v>1508</v>
      </c>
      <c r="V80" s="70">
        <v>0.8</v>
      </c>
      <c r="W80" s="33">
        <v>22</v>
      </c>
      <c r="X80" s="33"/>
      <c r="Y80" s="33">
        <v>22</v>
      </c>
      <c r="Z80" s="33"/>
      <c r="AA80" s="33">
        <v>22</v>
      </c>
      <c r="AB80" s="33"/>
      <c r="AC80" s="33">
        <v>22</v>
      </c>
      <c r="AD80" s="33"/>
      <c r="AE80" s="33">
        <v>22</v>
      </c>
      <c r="AF80" s="33"/>
      <c r="AG80" s="33">
        <v>22</v>
      </c>
      <c r="AH80" s="33"/>
      <c r="AI80" s="47">
        <f ca="1">SUM(KH_26_OPT4_KTQT_v4[[#This Row],[SL-01]:[SL-12]])</f>
        <v>132</v>
      </c>
      <c r="AJ80" s="47">
        <f ca="1">SUMIFS(DB_25[SL-DB25],DB_25[Mã khách],KH_26_OPT4_KTQT_v4[[#This Row],[Mã khách]],DB_25[Mã sản phẩm],KH_26_OPT4_KTQT_v4[[#This Row],[Mã sản phẩm]])</f>
        <v>22</v>
      </c>
      <c r="AK80" s="20">
        <f ca="1">KH_26_OPT4_KTQT_v4[[#This Row],[SL-KH26]]-KH_26_OPT4_KTQT_v4[[#This Row],[SL-DB25]]</f>
        <v>110</v>
      </c>
      <c r="AL80" s="21">
        <f ca="1">IFERROR(KH_26_OPT4_KTQT_v4[[#This Row],[SL-+/-]]/KH_26_OPT4_KTQT_v4[[#This Row],[SL-DB25]],0)</f>
        <v>5</v>
      </c>
      <c r="AM80" s="51">
        <v>1150</v>
      </c>
      <c r="AN80" s="51">
        <v>1150</v>
      </c>
      <c r="AO80" s="51">
        <v>1150</v>
      </c>
      <c r="AP80" s="51">
        <v>1150</v>
      </c>
      <c r="AQ80" s="51">
        <v>1150</v>
      </c>
      <c r="AR80" s="51">
        <v>1150</v>
      </c>
      <c r="AS80" s="51">
        <v>1150</v>
      </c>
      <c r="AT80" s="51">
        <v>1150</v>
      </c>
      <c r="AU80" s="51">
        <v>1150</v>
      </c>
      <c r="AV80" s="51">
        <v>1150</v>
      </c>
      <c r="AW80" s="51">
        <v>1150</v>
      </c>
      <c r="AX80" s="51">
        <v>1150</v>
      </c>
      <c r="AY80" s="23">
        <v>1150</v>
      </c>
      <c r="AZ80" s="7"/>
      <c r="BA80" s="24">
        <f>KH_26_OPT4_KTQT_v4[[#This Row],[GB-DB25]]-KH_26_OPT4_KTQT_v4[[#This Row],[GB-KH25]]</f>
        <v>1150</v>
      </c>
      <c r="BB80" s="21">
        <f>IFERROR(KH_26_OPT4_KTQT_v4[[#This Row],[GB-+/-]]/KH_26_OPT4_KTQT_v4[[#This Row],[GB-KH25]],0)</f>
        <v>0</v>
      </c>
      <c r="BC80" s="21"/>
      <c r="BD80" s="47">
        <f>KH_26_OPT4_KTQT_v4[[#This Row],[SL-01]]*KH_26_OPT4_KTQT_v4[[#This Row],[GB-01]]*EXR</f>
        <v>670450000</v>
      </c>
      <c r="BE80" s="47">
        <f>KH_26_OPT4_KTQT_v4[[#This Row],[SL-02]]*KH_26_OPT4_KTQT_v4[[#This Row],[GB-02]]*EXR</f>
        <v>0</v>
      </c>
      <c r="BF80" s="47">
        <f>KH_26_OPT4_KTQT_v4[[#This Row],[SL-03]]*KH_26_OPT4_KTQT_v4[[#This Row],[GB-03]]*EXR</f>
        <v>670450000</v>
      </c>
      <c r="BG80" s="47">
        <f>KH_26_OPT4_KTQT_v4[[#This Row],[SL-04]]*KH_26_OPT4_KTQT_v4[[#This Row],[GB-04]]*EXR</f>
        <v>0</v>
      </c>
      <c r="BH80" s="47">
        <f>KH_26_OPT4_KTQT_v4[[#This Row],[SL-05]]*KH_26_OPT4_KTQT_v4[[#This Row],[GB-05]]*EXR</f>
        <v>670450000</v>
      </c>
      <c r="BI80" s="47">
        <f>KH_26_OPT4_KTQT_v4[[#This Row],[SL-06]]*KH_26_OPT4_KTQT_v4[[#This Row],[GB-06]]*EXR</f>
        <v>0</v>
      </c>
      <c r="BJ80" s="47">
        <f>KH_26_OPT4_KTQT_v4[[#This Row],[SL-07]]*KH_26_OPT4_KTQT_v4[[#This Row],[GB-07]]*EXR</f>
        <v>670450000</v>
      </c>
      <c r="BK80" s="47">
        <f>KH_26_OPT4_KTQT_v4[[#This Row],[SL-08]]*KH_26_OPT4_KTQT_v4[[#This Row],[GB-08]]*EXR</f>
        <v>0</v>
      </c>
      <c r="BL80" s="47">
        <f>KH_26_OPT4_KTQT_v4[[#This Row],[SL-09]]*KH_26_OPT4_KTQT_v4[[#This Row],[GB-09]]*EXR</f>
        <v>670450000</v>
      </c>
      <c r="BM80" s="47">
        <f>KH_26_OPT4_KTQT_v4[[#This Row],[SL-10]]*KH_26_OPT4_KTQT_v4[[#This Row],[GB-10]]*EXR</f>
        <v>0</v>
      </c>
      <c r="BN80" s="47">
        <f>KH_26_OPT4_KTQT_v4[[#This Row],[SL-11]]*KH_26_OPT4_KTQT_v4[[#This Row],[GB-11]]*EXR</f>
        <v>670450000</v>
      </c>
      <c r="BO80" s="47">
        <f>KH_26_OPT4_KTQT_v4[[#This Row],[SL-12]]*KH_26_OPT4_KTQT_v4[[#This Row],[GB-12]]*EXR</f>
        <v>0</v>
      </c>
      <c r="BP80" s="47">
        <f ca="1">SUM(KH_26_OPT4_KTQT_v4[[#This Row],[DT-EXW-01]:[DT-EXW-12]])</f>
        <v>4022700000</v>
      </c>
      <c r="BQ80" s="47">
        <f ca="1">SUMIFS(DB_25[DT-DB25],DB_25[Mã khách],KH_26_OPT4_KTQT_v4[[#This Row],[Mã khách]],DB_25[Mã sản phẩm],KH_26_OPT4_KTQT_v4[[#This Row],[Mã sản phẩm]])</f>
        <v>700884813.23356235</v>
      </c>
      <c r="BR80" s="19">
        <f ca="1">KH_26_OPT4_KTQT_v4[[#This Row],[DT-EXW-KH26]]-KH_26_OPT4_KTQT_v4[[#This Row],[DT-EXW-DB25]]</f>
        <v>3321815186.7664375</v>
      </c>
      <c r="BS80" s="21">
        <f ca="1">IFERROR(KH_26_OPT4_KTQT_v4[[#This Row],[DT-EXW-+/-]]/KH_26_OPT4_KTQT_v4[[#This Row],[DT-EXW-DB25]],0)</f>
        <v>4.7394595004007858</v>
      </c>
      <c r="BT80" s="139"/>
      <c r="BU80" s="57"/>
      <c r="BV80" s="51"/>
      <c r="BW80" s="47">
        <f>IF(KH_26_OPT4_KTQT_v4[[#This Row],[CPHH-%-SL]]="Dthu",KH_26_OPT4_KTQT_v4[[#This Row],[%HH]]*KH_26_OPT4_KTQT_v4[[#This Row],[DT-EXW-01]],KH_26_OPT4_KTQT_v4[[#This Row],[HH-SL]]*KH_26_OPT4_KTQT_v4[[#This Row],[SL-01]])</f>
        <v>0</v>
      </c>
      <c r="BX80" s="47">
        <f>IF(KH_26_OPT4_KTQT_v4[[#This Row],[CPHH-%-SL]]="Dthu",KH_26_OPT4_KTQT_v4[[#This Row],[%HH]]*KH_26_OPT4_KTQT_v4[[#This Row],[DT-EXW-02]],KH_26_OPT4_KTQT_v4[[#This Row],[HH-SL]]*KH_26_OPT4_KTQT_v4[[#This Row],[SL-02]])</f>
        <v>0</v>
      </c>
      <c r="BY80" s="47">
        <f>IF(KH_26_OPT4_KTQT_v4[[#This Row],[CPHH-%-SL]]="Dthu",KH_26_OPT4_KTQT_v4[[#This Row],[%HH]]*KH_26_OPT4_KTQT_v4[[#This Row],[DT-EXW-03]],KH_26_OPT4_KTQT_v4[[#This Row],[HH-SL]]*KH_26_OPT4_KTQT_v4[[#This Row],[SL-03]])</f>
        <v>0</v>
      </c>
      <c r="BZ80" s="47">
        <f>IF(KH_26_OPT4_KTQT_v4[[#This Row],[CPHH-%-SL]]="Dthu",KH_26_OPT4_KTQT_v4[[#This Row],[%HH]]*KH_26_OPT4_KTQT_v4[[#This Row],[DT-EXW-04]],KH_26_OPT4_KTQT_v4[[#This Row],[HH-SL]]*KH_26_OPT4_KTQT_v4[[#This Row],[SL-04]])</f>
        <v>0</v>
      </c>
      <c r="CA80" s="47">
        <f>IF(KH_26_OPT4_KTQT_v4[[#This Row],[CPHH-%-SL]]="Dthu",KH_26_OPT4_KTQT_v4[[#This Row],[%HH]]*KH_26_OPT4_KTQT_v4[[#This Row],[DT-EXW-05]],KH_26_OPT4_KTQT_v4[[#This Row],[HH-SL]]*KH_26_OPT4_KTQT_v4[[#This Row],[SL-05]])</f>
        <v>0</v>
      </c>
      <c r="CB80" s="47">
        <f>IF(KH_26_OPT4_KTQT_v4[[#This Row],[CPHH-%-SL]]="Dthu",KH_26_OPT4_KTQT_v4[[#This Row],[%HH]]*KH_26_OPT4_KTQT_v4[[#This Row],[DT-EXW-06]],KH_26_OPT4_KTQT_v4[[#This Row],[HH-SL]]*KH_26_OPT4_KTQT_v4[[#This Row],[SL-06]])</f>
        <v>0</v>
      </c>
      <c r="CC80" s="47">
        <f>IF(KH_26_OPT4_KTQT_v4[[#This Row],[CPHH-%-SL]]="Dthu",KH_26_OPT4_KTQT_v4[[#This Row],[%HH]]*KH_26_OPT4_KTQT_v4[[#This Row],[DT-EXW-07]],KH_26_OPT4_KTQT_v4[[#This Row],[HH-SL]]*KH_26_OPT4_KTQT_v4[[#This Row],[SL-07]])</f>
        <v>0</v>
      </c>
      <c r="CD80" s="47">
        <f>IF(KH_26_OPT4_KTQT_v4[[#This Row],[CPHH-%-SL]]="Dthu",KH_26_OPT4_KTQT_v4[[#This Row],[%HH]]*KH_26_OPT4_KTQT_v4[[#This Row],[DT-EXW-08]],KH_26_OPT4_KTQT_v4[[#This Row],[HH-SL]]*KH_26_OPT4_KTQT_v4[[#This Row],[SL-08]])</f>
        <v>0</v>
      </c>
      <c r="CE80" s="47">
        <f>IF(KH_26_OPT4_KTQT_v4[[#This Row],[CPHH-%-SL]]="Dthu",KH_26_OPT4_KTQT_v4[[#This Row],[%HH]]*KH_26_OPT4_KTQT_v4[[#This Row],[DT-EXW-09]],KH_26_OPT4_KTQT_v4[[#This Row],[HH-SL]]*KH_26_OPT4_KTQT_v4[[#This Row],[SL-09]])</f>
        <v>0</v>
      </c>
      <c r="CF80" s="47">
        <f>IF(KH_26_OPT4_KTQT_v4[[#This Row],[CPHH-%-SL]]="Dthu",KH_26_OPT4_KTQT_v4[[#This Row],[%HH]]*KH_26_OPT4_KTQT_v4[[#This Row],[DT-EXW-10]],KH_26_OPT4_KTQT_v4[[#This Row],[HH-SL]]*KH_26_OPT4_KTQT_v4[[#This Row],[SL-10]])</f>
        <v>0</v>
      </c>
      <c r="CG80" s="47">
        <f>IF(KH_26_OPT4_KTQT_v4[[#This Row],[CPHH-%-SL]]="Dthu",KH_26_OPT4_KTQT_v4[[#This Row],[%HH]]*KH_26_OPT4_KTQT_v4[[#This Row],[DT-EXW-11]],KH_26_OPT4_KTQT_v4[[#This Row],[HH-SL]]*KH_26_OPT4_KTQT_v4[[#This Row],[SL-11]])</f>
        <v>0</v>
      </c>
      <c r="CH80" s="47">
        <f>IF(KH_26_OPT4_KTQT_v4[[#This Row],[CPHH-%-SL]]="Dthu",KH_26_OPT4_KTQT_v4[[#This Row],[%HH]]*KH_26_OPT4_KTQT_v4[[#This Row],[DT-EXW-12]],KH_26_OPT4_KTQT_v4[[#This Row],[HH-SL]]*KH_26_OPT4_KTQT_v4[[#This Row],[SL-12]])</f>
        <v>0</v>
      </c>
      <c r="CI80" s="47">
        <f ca="1">SUM(KH_26_OPT4_KTQT_v4[[#This Row],[CPHH-01]:[CPHH-12]])</f>
        <v>0</v>
      </c>
      <c r="CJ80" s="47" cm="1">
        <f t="array" ref="CJ80">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80" s="19">
        <f ca="1">SUM(KH_26_OPT4_KTQT_v4[[#This Row],[ĐGVCNĐ-KXK]:[ĐGVCCT-KXK]])</f>
        <v>530000</v>
      </c>
      <c r="CL80" s="47" cm="1">
        <f t="array" ref="CL80">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530000</v>
      </c>
      <c r="CM80" s="47" cm="1">
        <f t="array" ref="CM80">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80" s="47">
        <f ca="1">(KH_26_OPT4_KTQT_v4[[#This Row],[ĐGVC-KNĐ]]+KH_26_OPT4_KTQT_v4[[#This Row],[ĐGVC-KXK]])*KH_26_OPT4_KTQT_v4[[#This Row],[SL-01]]</f>
        <v>11660000</v>
      </c>
      <c r="CO80" s="47">
        <f ca="1">(KH_26_OPT4_KTQT_v4[[#This Row],[ĐGVC-KNĐ]]+KH_26_OPT4_KTQT_v4[[#This Row],[ĐGVC-KXK]])*KH_26_OPT4_KTQT_v4[[#This Row],[SL-02]]</f>
        <v>0</v>
      </c>
      <c r="CP80" s="47">
        <f ca="1">(KH_26_OPT4_KTQT_v4[[#This Row],[ĐGVC-KNĐ]]+KH_26_OPT4_KTQT_v4[[#This Row],[ĐGVC-KXK]])*KH_26_OPT4_KTQT_v4[[#This Row],[SL-03]]</f>
        <v>11660000</v>
      </c>
      <c r="CQ80" s="47">
        <f ca="1">(KH_26_OPT4_KTQT_v4[[#This Row],[ĐGVC-KNĐ]]+KH_26_OPT4_KTQT_v4[[#This Row],[ĐGVC-KXK]])*KH_26_OPT4_KTQT_v4[[#This Row],[SL-04]]</f>
        <v>0</v>
      </c>
      <c r="CR80" s="47">
        <f ca="1">(KH_26_OPT4_KTQT_v4[[#This Row],[ĐGVC-KNĐ]]+KH_26_OPT4_KTQT_v4[[#This Row],[ĐGVC-KXK]])*KH_26_OPT4_KTQT_v4[[#This Row],[SL-05]]</f>
        <v>11660000</v>
      </c>
      <c r="CS80" s="47">
        <f ca="1">(KH_26_OPT4_KTQT_v4[[#This Row],[ĐGVC-KNĐ]]+KH_26_OPT4_KTQT_v4[[#This Row],[ĐGVC-KXK]])*KH_26_OPT4_KTQT_v4[[#This Row],[SL-06]]</f>
        <v>0</v>
      </c>
      <c r="CT80" s="47">
        <f ca="1">(KH_26_OPT4_KTQT_v4[[#This Row],[ĐGVC-KNĐ]]+KH_26_OPT4_KTQT_v4[[#This Row],[ĐGVC-KXK]])*KH_26_OPT4_KTQT_v4[[#This Row],[SL-07]]</f>
        <v>11660000</v>
      </c>
      <c r="CU80" s="47">
        <f ca="1">(KH_26_OPT4_KTQT_v4[[#This Row],[ĐGVC-KNĐ]]+KH_26_OPT4_KTQT_v4[[#This Row],[ĐGVC-KXK]])*KH_26_OPT4_KTQT_v4[[#This Row],[SL-08]]</f>
        <v>0</v>
      </c>
      <c r="CV80" s="47">
        <f ca="1">(KH_26_OPT4_KTQT_v4[[#This Row],[ĐGVC-KNĐ]]+KH_26_OPT4_KTQT_v4[[#This Row],[ĐGVC-KXK]])*KH_26_OPT4_KTQT_v4[[#This Row],[SL-09]]</f>
        <v>11660000</v>
      </c>
      <c r="CW80" s="47">
        <f ca="1">(KH_26_OPT4_KTQT_v4[[#This Row],[ĐGVC-KNĐ]]+KH_26_OPT4_KTQT_v4[[#This Row],[ĐGVC-KXK]])*KH_26_OPT4_KTQT_v4[[#This Row],[SL-10]]</f>
        <v>0</v>
      </c>
      <c r="CX80" s="47">
        <f ca="1">(KH_26_OPT4_KTQT_v4[[#This Row],[ĐGVC-KNĐ]]+KH_26_OPT4_KTQT_v4[[#This Row],[ĐGVC-KXK]])*KH_26_OPT4_KTQT_v4[[#This Row],[SL-11]]</f>
        <v>11660000</v>
      </c>
      <c r="CY80" s="47">
        <f ca="1">(KH_26_OPT4_KTQT_v4[[#This Row],[ĐGVC-KNĐ]]+KH_26_OPT4_KTQT_v4[[#This Row],[ĐGVC-KXK]])*KH_26_OPT4_KTQT_v4[[#This Row],[SL-12]]</f>
        <v>0</v>
      </c>
      <c r="CZ80" s="47">
        <f ca="1">SUM(KH_26_OPT4_KTQT_v4[[#This Row],[CPVC-01]:[CPVC-12]])</f>
        <v>69960000</v>
      </c>
      <c r="DA80" s="124">
        <f ca="1">KH_26_OPT4_KTQT_v4[[#This Row],[DT-EXW-01]]+KH_26_OPT4_KTQT_v4[[#This Row],[CPVC-01]]+KH_26_OPT4_KTQT_v4[[#This Row],[CPHH-01]]</f>
        <v>682110000</v>
      </c>
      <c r="DB80" s="47">
        <f ca="1">KH_26_OPT4_KTQT_v4[[#This Row],[DT-EXW-02]]+KH_26_OPT4_KTQT_v4[[#This Row],[CPVC-02]]+KH_26_OPT4_KTQT_v4[[#This Row],[CPHH-02]]</f>
        <v>0</v>
      </c>
      <c r="DC80" s="47">
        <f ca="1">KH_26_OPT4_KTQT_v4[[#This Row],[DT-EXW-03]]+KH_26_OPT4_KTQT_v4[[#This Row],[CPVC-03]]+KH_26_OPT4_KTQT_v4[[#This Row],[CPHH-03]]</f>
        <v>682110000</v>
      </c>
      <c r="DD80" s="47">
        <f ca="1">KH_26_OPT4_KTQT_v4[[#This Row],[DT-EXW-04]]+KH_26_OPT4_KTQT_v4[[#This Row],[CPVC-04]]+KH_26_OPT4_KTQT_v4[[#This Row],[CPHH-04]]</f>
        <v>0</v>
      </c>
      <c r="DE80" s="47">
        <f ca="1">KH_26_OPT4_KTQT_v4[[#This Row],[DT-EXW-05]]+KH_26_OPT4_KTQT_v4[[#This Row],[CPVC-05]]+KH_26_OPT4_KTQT_v4[[#This Row],[CPHH-05]]</f>
        <v>682110000</v>
      </c>
      <c r="DF80" s="47">
        <f ca="1">KH_26_OPT4_KTQT_v4[[#This Row],[DT-EXW-06]]+KH_26_OPT4_KTQT_v4[[#This Row],[CPVC-06]]+KH_26_OPT4_KTQT_v4[[#This Row],[CPHH-06]]</f>
        <v>0</v>
      </c>
      <c r="DG80" s="47">
        <f ca="1">KH_26_OPT4_KTQT_v4[[#This Row],[DT-EXW-07]]+KH_26_OPT4_KTQT_v4[[#This Row],[CPVC-07]]+KH_26_OPT4_KTQT_v4[[#This Row],[CPHH-07]]</f>
        <v>682110000</v>
      </c>
      <c r="DH80" s="47">
        <f ca="1">KH_26_OPT4_KTQT_v4[[#This Row],[DT-EXW-08]]+KH_26_OPT4_KTQT_v4[[#This Row],[CPVC-08]]+KH_26_OPT4_KTQT_v4[[#This Row],[CPHH-08]]</f>
        <v>0</v>
      </c>
      <c r="DI80" s="47">
        <f ca="1">KH_26_OPT4_KTQT_v4[[#This Row],[DT-EXW-09]]+KH_26_OPT4_KTQT_v4[[#This Row],[CPVC-09]]+KH_26_OPT4_KTQT_v4[[#This Row],[CPHH-09]]</f>
        <v>682110000</v>
      </c>
      <c r="DJ80" s="47">
        <f ca="1">KH_26_OPT4_KTQT_v4[[#This Row],[DT-EXW-10]]+KH_26_OPT4_KTQT_v4[[#This Row],[CPVC-10]]+KH_26_OPT4_KTQT_v4[[#This Row],[CPHH-10]]</f>
        <v>0</v>
      </c>
      <c r="DK80" s="47">
        <f ca="1">KH_26_OPT4_KTQT_v4[[#This Row],[DT-EXW-11]]+KH_26_OPT4_KTQT_v4[[#This Row],[CPVC-11]]+KH_26_OPT4_KTQT_v4[[#This Row],[CPHH-11]]</f>
        <v>682110000</v>
      </c>
      <c r="DL80" s="47">
        <f ca="1">KH_26_OPT4_KTQT_v4[[#This Row],[DT-EXW-12]]+KH_26_OPT4_KTQT_v4[[#This Row],[CPVC-12]]+KH_26_OPT4_KTQT_v4[[#This Row],[CPHH-12]]</f>
        <v>0</v>
      </c>
      <c r="DM80" s="47">
        <f ca="1">SUM(KH_26_OPT4_KTQT_v4[[#This Row],[DT-01]:[DT-12]])</f>
        <v>4092660000</v>
      </c>
      <c r="DN80" s="7"/>
      <c r="DO80" s="7"/>
      <c r="DP80" s="125"/>
      <c r="DQ80" s="136"/>
      <c r="DR80" s="132">
        <f>IFERROR(KH_26_OPT4_KTQT_v4[[#This Row],[DT-EXW-01]]*KH_26_OPT4_KTQT_v4[[#This Row],[%CPDP]],0)</f>
        <v>0</v>
      </c>
      <c r="DS80" s="132">
        <f>IFERROR(KH_26_OPT4_KTQT_v4[[#This Row],[DT-EXW-02]]*KH_26_OPT4_KTQT_v4[[#This Row],[%CPDP]],0)</f>
        <v>0</v>
      </c>
      <c r="DT80" s="132">
        <f>IFERROR(KH_26_OPT4_KTQT_v4[[#This Row],[DT-EXW-03]]*KH_26_OPT4_KTQT_v4[[#This Row],[%CPDP]],0)</f>
        <v>0</v>
      </c>
      <c r="DU80" s="132">
        <f>IFERROR(KH_26_OPT4_KTQT_v4[[#This Row],[DT-EXW-04]]*KH_26_OPT4_KTQT_v4[[#This Row],[%CPDP]],0)</f>
        <v>0</v>
      </c>
      <c r="DV80" s="132">
        <f>IFERROR(KH_26_OPT4_KTQT_v4[[#This Row],[DT-EXW-05]]*KH_26_OPT4_KTQT_v4[[#This Row],[%CPDP]],0)</f>
        <v>0</v>
      </c>
      <c r="DW80" s="132">
        <f>IFERROR(KH_26_OPT4_KTQT_v4[[#This Row],[DT-EXW-06]]*KH_26_OPT4_KTQT_v4[[#This Row],[%CPDP]],0)</f>
        <v>0</v>
      </c>
      <c r="DX80" s="132">
        <f>IFERROR(KH_26_OPT4_KTQT_v4[[#This Row],[DT-EXW-07]]*KH_26_OPT4_KTQT_v4[[#This Row],[%CPDP]],0)</f>
        <v>0</v>
      </c>
      <c r="DY80" s="132">
        <f>IFERROR(KH_26_OPT4_KTQT_v4[[#This Row],[DT-EXW-08]]*KH_26_OPT4_KTQT_v4[[#This Row],[%CPDP]],0)</f>
        <v>0</v>
      </c>
      <c r="DZ80" s="132">
        <f>IFERROR(KH_26_OPT4_KTQT_v4[[#This Row],[DT-EXW-09]]*KH_26_OPT4_KTQT_v4[[#This Row],[%CPDP]],0)</f>
        <v>0</v>
      </c>
      <c r="EA80" s="132">
        <f>IFERROR(KH_26_OPT4_KTQT_v4[[#This Row],[DT-EXW-10]]*KH_26_OPT4_KTQT_v4[[#This Row],[%CPDP]],0)</f>
        <v>0</v>
      </c>
      <c r="EB80" s="132">
        <f>IFERROR(KH_26_OPT4_KTQT_v4[[#This Row],[DT-EXW-11]]*KH_26_OPT4_KTQT_v4[[#This Row],[%CPDP]],0)</f>
        <v>0</v>
      </c>
      <c r="EC80" s="132">
        <f>IFERROR(KH_26_OPT4_KTQT_v4[[#This Row],[DT-EXW-12]]*KH_26_OPT4_KTQT_v4[[#This Row],[%CPDP]],0)</f>
        <v>0</v>
      </c>
      <c r="ED80" s="131">
        <f ca="1">SUM(KH_26_OPT4_KTQT_v4[[#This Row],[CPDP-01]:[CPDP-12]])</f>
        <v>0</v>
      </c>
    </row>
    <row r="81" spans="1:134" ht="14.65" hidden="1" customHeight="1" x14ac:dyDescent="0.35">
      <c r="A81" s="18">
        <v>76</v>
      </c>
      <c r="B81" s="71" t="s">
        <v>97</v>
      </c>
      <c r="C81" s="18" t="str">
        <f>IFERROR(_xlfn.XLOOKUP(KH_26_OPT4_KTQT_v4[[#This Row],[Salesman]],MD_Salesman[Salesman],MD_Salesman[SalesManager]),"")</f>
        <v>Cường</v>
      </c>
      <c r="D81" s="72" t="str">
        <f>IFERROR(INDEX(MD_Customer[Mã khách],MATCH(KH_26_OPT4_KTQT_v4[[#This Row],[Tên khách]],MD_Customer[Tên khách-rút gọn],0)),"")</f>
        <v>1000</v>
      </c>
      <c r="E81" s="7" t="str">
        <f>IFERROR(INDEX(MD_Customer[Parent Account],MATCH(KH_26_OPT4_KTQT_v4[[#This Row],[Tên khách]],MD_Customer[Tên khách-rút gọn],0)),"")</f>
        <v>DTP</v>
      </c>
      <c r="F81" s="35" t="s">
        <v>271</v>
      </c>
      <c r="G81" s="7" t="str">
        <f>IFERROR(INDEX(MD_Customer[Phân loại],MATCH(KH_26_OPT4_KTQT_v4[[#This Row],[Tên khách]],MD_Customer[Tên khách-rút gọn],0)),"")</f>
        <v>Hiện hữu</v>
      </c>
      <c r="H81" s="7" t="str">
        <f>IFERROR(INDEX(MD_Customer[Kênh bán hàng],MATCH(KH_26_OPT4_KTQT_v4[[#This Row],[Tên khách]],MD_Customer[Tên khách-rút gọn],0)),"")</f>
        <v>Nội địa</v>
      </c>
      <c r="I81" s="35" t="s">
        <v>258</v>
      </c>
      <c r="J81" s="7" t="str">
        <f>IFERROR(INDEX(MD_Destination[Nước],MATCH(KH_26_OPT4_KTQT_v4[[#This Row],[Địa điểm đến]],MD_Destination[Địa điểm đến],0)),"")</f>
        <v>Việt Nam</v>
      </c>
      <c r="K81" s="7" t="str">
        <f>IFERROR(INDEX(MD_Destination[Khu vực],MATCH(KH_26_OPT4_KTQT_v4[[#This Row],[Địa điểm đến]],MD_Destination[Địa điểm đến],0)),"")</f>
        <v>Châu Á</v>
      </c>
      <c r="L81" s="35" t="s">
        <v>262</v>
      </c>
      <c r="M81" s="7" t="str">
        <f>IFERROR(INDEX(MD_SKU[Mã SKU],MATCH(KH_26_OPT4_KTQT_v4[[#This Row],[Tên sản phẩm]],MD_SKU[Tên SKU-rút gọn],0)),"")</f>
        <v>110000354</v>
      </c>
      <c r="N81" s="35" t="s">
        <v>456</v>
      </c>
      <c r="O81" s="7" t="str">
        <f>IFERROR(INDEX(MD_SKU[Ngành hàng],MATCH(KH_26_OPT4_KTQT_v4[[#This Row],[Tên sản phẩm]],MD_SKU[Tên SKU-rút gọn],0)),"")</f>
        <v>rPET</v>
      </c>
      <c r="P81" s="7" t="str">
        <f>IFERROR(INDEX(MD_SKU[Nhóm ngành],MATCH(KH_26_OPT4_KTQT_v4[[#This Row],[Tên sản phẩm]],MD_SKU[Tên SKU-rút gọn],0)),"")</f>
        <v>Hạt PET</v>
      </c>
      <c r="Q81" s="7" t="str">
        <f>IFERROR(
   IF(INDEX(MD_SKU[IV/IM],MATCH(KH_26_OPT4_KTQT_v4[[#This Row],[Tên sản phẩm]],MD_SKU[Tên SKU-rút gọn],0))=0,
      "",
      INDEX(MD_SKU[IV/IM],MATCH(KH_26_OPT4_KTQT_v4[[#This Row],[Tên sản phẩm]],MD_SKU[Tên SKU-rút gọn],0))
   ),
"")</f>
        <v>0.78 ± 0.02</v>
      </c>
      <c r="R81" s="44">
        <f>IFERROR(INDEX(MD_SKU[Application],MATCH(KH_26_OPT4_KTQT_v4[[#This Row],[Tên sản phẩm]],MD_SKU[Tên SKU-rút gọn],0)),"")</f>
        <v>0</v>
      </c>
      <c r="S81" s="7" t="str">
        <f>IFERROR(INDEX(MD_SKU[Phân loại],MATCH(KH_26_OPT4_KTQT_v4[[#This Row],[Tên sản phẩm]],MD_SKU[Tên SKU-rút gọn],0)),"")</f>
        <v>Cũ</v>
      </c>
      <c r="T81" s="180" t="s">
        <v>47</v>
      </c>
      <c r="U81" s="7" t="s">
        <v>1508</v>
      </c>
      <c r="V81" s="70">
        <v>0.8</v>
      </c>
      <c r="W81" s="33">
        <v>11</v>
      </c>
      <c r="X81" s="33">
        <v>11</v>
      </c>
      <c r="Y81" s="33">
        <v>11</v>
      </c>
      <c r="Z81" s="33">
        <v>11</v>
      </c>
      <c r="AA81" s="33">
        <v>11</v>
      </c>
      <c r="AB81" s="33">
        <v>11</v>
      </c>
      <c r="AC81" s="33">
        <v>11</v>
      </c>
      <c r="AD81" s="33">
        <v>11</v>
      </c>
      <c r="AE81" s="33">
        <v>11</v>
      </c>
      <c r="AF81" s="33">
        <v>11</v>
      </c>
      <c r="AG81" s="33">
        <v>11</v>
      </c>
      <c r="AH81" s="33">
        <v>11</v>
      </c>
      <c r="AI81" s="47">
        <f ca="1">SUM(KH_26_OPT4_KTQT_v4[[#This Row],[SL-01]:[SL-12]])</f>
        <v>132</v>
      </c>
      <c r="AJ81" s="47">
        <f ca="1">SUMIFS(DB_25[SL-DB25],DB_25[Mã khách],KH_26_OPT4_KTQT_v4[[#This Row],[Mã khách]],DB_25[Mã sản phẩm],KH_26_OPT4_KTQT_v4[[#This Row],[Mã sản phẩm]])</f>
        <v>111.1</v>
      </c>
      <c r="AK81" s="20">
        <f ca="1">KH_26_OPT4_KTQT_v4[[#This Row],[SL-KH26]]-KH_26_OPT4_KTQT_v4[[#This Row],[SL-DB25]]</f>
        <v>20.900000000000006</v>
      </c>
      <c r="AL81" s="21">
        <f ca="1">IFERROR(KH_26_OPT4_KTQT_v4[[#This Row],[SL-+/-]]/KH_26_OPT4_KTQT_v4[[#This Row],[SL-DB25]],0)</f>
        <v>0.18811881188118817</v>
      </c>
      <c r="AM81" s="51">
        <v>1150</v>
      </c>
      <c r="AN81" s="51">
        <v>1150</v>
      </c>
      <c r="AO81" s="51">
        <v>1150</v>
      </c>
      <c r="AP81" s="51">
        <v>1150</v>
      </c>
      <c r="AQ81" s="51">
        <v>1150</v>
      </c>
      <c r="AR81" s="51">
        <v>1150</v>
      </c>
      <c r="AS81" s="51">
        <v>1150</v>
      </c>
      <c r="AT81" s="51">
        <v>1150</v>
      </c>
      <c r="AU81" s="51">
        <v>1150</v>
      </c>
      <c r="AV81" s="51">
        <v>1150</v>
      </c>
      <c r="AW81" s="51">
        <v>1150</v>
      </c>
      <c r="AX81" s="51">
        <v>1150</v>
      </c>
      <c r="AY81" s="23">
        <v>1150</v>
      </c>
      <c r="AZ81" s="7"/>
      <c r="BA81" s="24">
        <f>KH_26_OPT4_KTQT_v4[[#This Row],[GB-DB25]]-KH_26_OPT4_KTQT_v4[[#This Row],[GB-KH25]]</f>
        <v>1150</v>
      </c>
      <c r="BB81" s="21">
        <f>IFERROR(KH_26_OPT4_KTQT_v4[[#This Row],[GB-+/-]]/KH_26_OPT4_KTQT_v4[[#This Row],[GB-KH25]],0)</f>
        <v>0</v>
      </c>
      <c r="BC81" s="21"/>
      <c r="BD81" s="47">
        <f>KH_26_OPT4_KTQT_v4[[#This Row],[SL-01]]*KH_26_OPT4_KTQT_v4[[#This Row],[GB-01]]*EXR</f>
        <v>335225000</v>
      </c>
      <c r="BE81" s="47">
        <f>KH_26_OPT4_KTQT_v4[[#This Row],[SL-02]]*KH_26_OPT4_KTQT_v4[[#This Row],[GB-02]]*EXR</f>
        <v>335225000</v>
      </c>
      <c r="BF81" s="47">
        <f>KH_26_OPT4_KTQT_v4[[#This Row],[SL-03]]*KH_26_OPT4_KTQT_v4[[#This Row],[GB-03]]*EXR</f>
        <v>335225000</v>
      </c>
      <c r="BG81" s="47">
        <f>KH_26_OPT4_KTQT_v4[[#This Row],[SL-04]]*KH_26_OPT4_KTQT_v4[[#This Row],[GB-04]]*EXR</f>
        <v>335225000</v>
      </c>
      <c r="BH81" s="47">
        <f>KH_26_OPT4_KTQT_v4[[#This Row],[SL-05]]*KH_26_OPT4_KTQT_v4[[#This Row],[GB-05]]*EXR</f>
        <v>335225000</v>
      </c>
      <c r="BI81" s="47">
        <f>KH_26_OPT4_KTQT_v4[[#This Row],[SL-06]]*KH_26_OPT4_KTQT_v4[[#This Row],[GB-06]]*EXR</f>
        <v>335225000</v>
      </c>
      <c r="BJ81" s="47">
        <f>KH_26_OPT4_KTQT_v4[[#This Row],[SL-07]]*KH_26_OPT4_KTQT_v4[[#This Row],[GB-07]]*EXR</f>
        <v>335225000</v>
      </c>
      <c r="BK81" s="47">
        <f>KH_26_OPT4_KTQT_v4[[#This Row],[SL-08]]*KH_26_OPT4_KTQT_v4[[#This Row],[GB-08]]*EXR</f>
        <v>335225000</v>
      </c>
      <c r="BL81" s="47">
        <f>KH_26_OPT4_KTQT_v4[[#This Row],[SL-09]]*KH_26_OPT4_KTQT_v4[[#This Row],[GB-09]]*EXR</f>
        <v>335225000</v>
      </c>
      <c r="BM81" s="47">
        <f>KH_26_OPT4_KTQT_v4[[#This Row],[SL-10]]*KH_26_OPT4_KTQT_v4[[#This Row],[GB-10]]*EXR</f>
        <v>335225000</v>
      </c>
      <c r="BN81" s="47">
        <f>KH_26_OPT4_KTQT_v4[[#This Row],[SL-11]]*KH_26_OPT4_KTQT_v4[[#This Row],[GB-11]]*EXR</f>
        <v>335225000</v>
      </c>
      <c r="BO81" s="47">
        <f>KH_26_OPT4_KTQT_v4[[#This Row],[SL-12]]*KH_26_OPT4_KTQT_v4[[#This Row],[GB-12]]*EXR</f>
        <v>335225000</v>
      </c>
      <c r="BP81" s="47">
        <f ca="1">SUM(KH_26_OPT4_KTQT_v4[[#This Row],[DT-EXW-01]:[DT-EXW-12]])</f>
        <v>4022700000</v>
      </c>
      <c r="BQ81" s="47">
        <f ca="1">SUMIFS(DB_25[DT-DB25],DB_25[Mã khách],KH_26_OPT4_KTQT_v4[[#This Row],[Mã khách]],DB_25[Mã sản phẩm],KH_26_OPT4_KTQT_v4[[#This Row],[Mã sản phẩm]])</f>
        <v>3213289339.4352484</v>
      </c>
      <c r="BR81" s="47">
        <f ca="1">KH_26_OPT4_KTQT_v4[[#This Row],[DT-EXW-KH26]]-KH_26_OPT4_KTQT_v4[[#This Row],[DT-EXW-DB25]]</f>
        <v>809410660.56475163</v>
      </c>
      <c r="BS81" s="21">
        <f ca="1">IFERROR(KH_26_OPT4_KTQT_v4[[#This Row],[DT-EXW-+/-]]/KH_26_OPT4_KTQT_v4[[#This Row],[DT-EXW-DB25]],0)</f>
        <v>0.25189473311077848</v>
      </c>
      <c r="BT81" s="140"/>
      <c r="BU81" s="56"/>
      <c r="BV81" s="142"/>
      <c r="BW81" s="47">
        <f>IF(KH_26_OPT4_KTQT_v4[[#This Row],[CPHH-%-SL]]="Dthu",KH_26_OPT4_KTQT_v4[[#This Row],[%HH]]*KH_26_OPT4_KTQT_v4[[#This Row],[DT-EXW-01]],KH_26_OPT4_KTQT_v4[[#This Row],[HH-SL]]*KH_26_OPT4_KTQT_v4[[#This Row],[SL-01]])</f>
        <v>0</v>
      </c>
      <c r="BX81" s="47">
        <f>IF(KH_26_OPT4_KTQT_v4[[#This Row],[CPHH-%-SL]]="Dthu",KH_26_OPT4_KTQT_v4[[#This Row],[%HH]]*KH_26_OPT4_KTQT_v4[[#This Row],[DT-EXW-02]],KH_26_OPT4_KTQT_v4[[#This Row],[HH-SL]]*KH_26_OPT4_KTQT_v4[[#This Row],[SL-02]])</f>
        <v>0</v>
      </c>
      <c r="BY81" s="47">
        <f>IF(KH_26_OPT4_KTQT_v4[[#This Row],[CPHH-%-SL]]="Dthu",KH_26_OPT4_KTQT_v4[[#This Row],[%HH]]*KH_26_OPT4_KTQT_v4[[#This Row],[DT-EXW-03]],KH_26_OPT4_KTQT_v4[[#This Row],[HH-SL]]*KH_26_OPT4_KTQT_v4[[#This Row],[SL-03]])</f>
        <v>0</v>
      </c>
      <c r="BZ81" s="47">
        <f>IF(KH_26_OPT4_KTQT_v4[[#This Row],[CPHH-%-SL]]="Dthu",KH_26_OPT4_KTQT_v4[[#This Row],[%HH]]*KH_26_OPT4_KTQT_v4[[#This Row],[DT-EXW-04]],KH_26_OPT4_KTQT_v4[[#This Row],[HH-SL]]*KH_26_OPT4_KTQT_v4[[#This Row],[SL-04]])</f>
        <v>0</v>
      </c>
      <c r="CA81" s="47">
        <f>IF(KH_26_OPT4_KTQT_v4[[#This Row],[CPHH-%-SL]]="Dthu",KH_26_OPT4_KTQT_v4[[#This Row],[%HH]]*KH_26_OPT4_KTQT_v4[[#This Row],[DT-EXW-05]],KH_26_OPT4_KTQT_v4[[#This Row],[HH-SL]]*KH_26_OPT4_KTQT_v4[[#This Row],[SL-05]])</f>
        <v>0</v>
      </c>
      <c r="CB81" s="47">
        <f>IF(KH_26_OPT4_KTQT_v4[[#This Row],[CPHH-%-SL]]="Dthu",KH_26_OPT4_KTQT_v4[[#This Row],[%HH]]*KH_26_OPT4_KTQT_v4[[#This Row],[DT-EXW-06]],KH_26_OPT4_KTQT_v4[[#This Row],[HH-SL]]*KH_26_OPT4_KTQT_v4[[#This Row],[SL-06]])</f>
        <v>0</v>
      </c>
      <c r="CC81" s="47">
        <f>IF(KH_26_OPT4_KTQT_v4[[#This Row],[CPHH-%-SL]]="Dthu",KH_26_OPT4_KTQT_v4[[#This Row],[%HH]]*KH_26_OPT4_KTQT_v4[[#This Row],[DT-EXW-07]],KH_26_OPT4_KTQT_v4[[#This Row],[HH-SL]]*KH_26_OPT4_KTQT_v4[[#This Row],[SL-07]])</f>
        <v>0</v>
      </c>
      <c r="CD81" s="47">
        <f>IF(KH_26_OPT4_KTQT_v4[[#This Row],[CPHH-%-SL]]="Dthu",KH_26_OPT4_KTQT_v4[[#This Row],[%HH]]*KH_26_OPT4_KTQT_v4[[#This Row],[DT-EXW-08]],KH_26_OPT4_KTQT_v4[[#This Row],[HH-SL]]*KH_26_OPT4_KTQT_v4[[#This Row],[SL-08]])</f>
        <v>0</v>
      </c>
      <c r="CE81" s="47">
        <f>IF(KH_26_OPT4_KTQT_v4[[#This Row],[CPHH-%-SL]]="Dthu",KH_26_OPT4_KTQT_v4[[#This Row],[%HH]]*KH_26_OPT4_KTQT_v4[[#This Row],[DT-EXW-09]],KH_26_OPT4_KTQT_v4[[#This Row],[HH-SL]]*KH_26_OPT4_KTQT_v4[[#This Row],[SL-09]])</f>
        <v>0</v>
      </c>
      <c r="CF81" s="47">
        <f>IF(KH_26_OPT4_KTQT_v4[[#This Row],[CPHH-%-SL]]="Dthu",KH_26_OPT4_KTQT_v4[[#This Row],[%HH]]*KH_26_OPT4_KTQT_v4[[#This Row],[DT-EXW-10]],KH_26_OPT4_KTQT_v4[[#This Row],[HH-SL]]*KH_26_OPT4_KTQT_v4[[#This Row],[SL-10]])</f>
        <v>0</v>
      </c>
      <c r="CG81" s="47">
        <f>IF(KH_26_OPT4_KTQT_v4[[#This Row],[CPHH-%-SL]]="Dthu",KH_26_OPT4_KTQT_v4[[#This Row],[%HH]]*KH_26_OPT4_KTQT_v4[[#This Row],[DT-EXW-11]],KH_26_OPT4_KTQT_v4[[#This Row],[HH-SL]]*KH_26_OPT4_KTQT_v4[[#This Row],[SL-11]])</f>
        <v>0</v>
      </c>
      <c r="CH81" s="47">
        <f>IF(KH_26_OPT4_KTQT_v4[[#This Row],[CPHH-%-SL]]="Dthu",KH_26_OPT4_KTQT_v4[[#This Row],[%HH]]*KH_26_OPT4_KTQT_v4[[#This Row],[DT-EXW-12]],KH_26_OPT4_KTQT_v4[[#This Row],[HH-SL]]*KH_26_OPT4_KTQT_v4[[#This Row],[SL-12]])</f>
        <v>0</v>
      </c>
      <c r="CI81" s="47">
        <f ca="1">SUM(KH_26_OPT4_KTQT_v4[[#This Row],[CPHH-01]:[CPHH-12]])</f>
        <v>0</v>
      </c>
      <c r="CJ81" s="47" cm="1">
        <f t="array" ref="CJ81">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81" s="19">
        <f ca="1">SUM(KH_26_OPT4_KTQT_v4[[#This Row],[ĐGVCNĐ-KXK]:[ĐGVCCT-KXK]])</f>
        <v>0</v>
      </c>
      <c r="CL81" s="47" cm="1">
        <f t="array" ref="CL81">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81" s="47" cm="1">
        <f t="array" ref="CM81">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81" s="47">
        <f ca="1">(KH_26_OPT4_KTQT_v4[[#This Row],[ĐGVC-KNĐ]]+KH_26_OPT4_KTQT_v4[[#This Row],[ĐGVC-KXK]])*KH_26_OPT4_KTQT_v4[[#This Row],[SL-01]]</f>
        <v>0</v>
      </c>
      <c r="CO81" s="47">
        <f ca="1">(KH_26_OPT4_KTQT_v4[[#This Row],[ĐGVC-KNĐ]]+KH_26_OPT4_KTQT_v4[[#This Row],[ĐGVC-KXK]])*KH_26_OPT4_KTQT_v4[[#This Row],[SL-02]]</f>
        <v>0</v>
      </c>
      <c r="CP81" s="47">
        <f ca="1">(KH_26_OPT4_KTQT_v4[[#This Row],[ĐGVC-KNĐ]]+KH_26_OPT4_KTQT_v4[[#This Row],[ĐGVC-KXK]])*KH_26_OPT4_KTQT_v4[[#This Row],[SL-03]]</f>
        <v>0</v>
      </c>
      <c r="CQ81" s="47">
        <f ca="1">(KH_26_OPT4_KTQT_v4[[#This Row],[ĐGVC-KNĐ]]+KH_26_OPT4_KTQT_v4[[#This Row],[ĐGVC-KXK]])*KH_26_OPT4_KTQT_v4[[#This Row],[SL-04]]</f>
        <v>0</v>
      </c>
      <c r="CR81" s="47">
        <f ca="1">(KH_26_OPT4_KTQT_v4[[#This Row],[ĐGVC-KNĐ]]+KH_26_OPT4_KTQT_v4[[#This Row],[ĐGVC-KXK]])*KH_26_OPT4_KTQT_v4[[#This Row],[SL-05]]</f>
        <v>0</v>
      </c>
      <c r="CS81" s="47">
        <f ca="1">(KH_26_OPT4_KTQT_v4[[#This Row],[ĐGVC-KNĐ]]+KH_26_OPT4_KTQT_v4[[#This Row],[ĐGVC-KXK]])*KH_26_OPT4_KTQT_v4[[#This Row],[SL-06]]</f>
        <v>0</v>
      </c>
      <c r="CT81" s="47">
        <f ca="1">(KH_26_OPT4_KTQT_v4[[#This Row],[ĐGVC-KNĐ]]+KH_26_OPT4_KTQT_v4[[#This Row],[ĐGVC-KXK]])*KH_26_OPT4_KTQT_v4[[#This Row],[SL-07]]</f>
        <v>0</v>
      </c>
      <c r="CU81" s="47">
        <f ca="1">(KH_26_OPT4_KTQT_v4[[#This Row],[ĐGVC-KNĐ]]+KH_26_OPT4_KTQT_v4[[#This Row],[ĐGVC-KXK]])*KH_26_OPT4_KTQT_v4[[#This Row],[SL-08]]</f>
        <v>0</v>
      </c>
      <c r="CV81" s="47">
        <f ca="1">(KH_26_OPT4_KTQT_v4[[#This Row],[ĐGVC-KNĐ]]+KH_26_OPT4_KTQT_v4[[#This Row],[ĐGVC-KXK]])*KH_26_OPT4_KTQT_v4[[#This Row],[SL-09]]</f>
        <v>0</v>
      </c>
      <c r="CW81" s="47">
        <f ca="1">(KH_26_OPT4_KTQT_v4[[#This Row],[ĐGVC-KNĐ]]+KH_26_OPT4_KTQT_v4[[#This Row],[ĐGVC-KXK]])*KH_26_OPT4_KTQT_v4[[#This Row],[SL-10]]</f>
        <v>0</v>
      </c>
      <c r="CX81" s="47">
        <f ca="1">(KH_26_OPT4_KTQT_v4[[#This Row],[ĐGVC-KNĐ]]+KH_26_OPT4_KTQT_v4[[#This Row],[ĐGVC-KXK]])*KH_26_OPT4_KTQT_v4[[#This Row],[SL-11]]</f>
        <v>0</v>
      </c>
      <c r="CY81" s="47">
        <f ca="1">(KH_26_OPT4_KTQT_v4[[#This Row],[ĐGVC-KNĐ]]+KH_26_OPT4_KTQT_v4[[#This Row],[ĐGVC-KXK]])*KH_26_OPT4_KTQT_v4[[#This Row],[SL-12]]</f>
        <v>0</v>
      </c>
      <c r="CZ81" s="47">
        <f ca="1">SUM(KH_26_OPT4_KTQT_v4[[#This Row],[CPVC-01]:[CPVC-12]])</f>
        <v>0</v>
      </c>
      <c r="DA81" s="124">
        <f ca="1">KH_26_OPT4_KTQT_v4[[#This Row],[DT-EXW-01]]+KH_26_OPT4_KTQT_v4[[#This Row],[CPVC-01]]+KH_26_OPT4_KTQT_v4[[#This Row],[CPHH-01]]</f>
        <v>335225000</v>
      </c>
      <c r="DB81" s="47">
        <f ca="1">KH_26_OPT4_KTQT_v4[[#This Row],[DT-EXW-02]]+KH_26_OPT4_KTQT_v4[[#This Row],[CPVC-02]]+KH_26_OPT4_KTQT_v4[[#This Row],[CPHH-02]]</f>
        <v>335225000</v>
      </c>
      <c r="DC81" s="47">
        <f ca="1">KH_26_OPT4_KTQT_v4[[#This Row],[DT-EXW-03]]+KH_26_OPT4_KTQT_v4[[#This Row],[CPVC-03]]+KH_26_OPT4_KTQT_v4[[#This Row],[CPHH-03]]</f>
        <v>335225000</v>
      </c>
      <c r="DD81" s="47">
        <f ca="1">KH_26_OPT4_KTQT_v4[[#This Row],[DT-EXW-04]]+KH_26_OPT4_KTQT_v4[[#This Row],[CPVC-04]]+KH_26_OPT4_KTQT_v4[[#This Row],[CPHH-04]]</f>
        <v>335225000</v>
      </c>
      <c r="DE81" s="47">
        <f ca="1">KH_26_OPT4_KTQT_v4[[#This Row],[DT-EXW-05]]+KH_26_OPT4_KTQT_v4[[#This Row],[CPVC-05]]+KH_26_OPT4_KTQT_v4[[#This Row],[CPHH-05]]</f>
        <v>335225000</v>
      </c>
      <c r="DF81" s="47">
        <f ca="1">KH_26_OPT4_KTQT_v4[[#This Row],[DT-EXW-06]]+KH_26_OPT4_KTQT_v4[[#This Row],[CPVC-06]]+KH_26_OPT4_KTQT_v4[[#This Row],[CPHH-06]]</f>
        <v>335225000</v>
      </c>
      <c r="DG81" s="47">
        <f ca="1">KH_26_OPT4_KTQT_v4[[#This Row],[DT-EXW-07]]+KH_26_OPT4_KTQT_v4[[#This Row],[CPVC-07]]+KH_26_OPT4_KTQT_v4[[#This Row],[CPHH-07]]</f>
        <v>335225000</v>
      </c>
      <c r="DH81" s="47">
        <f ca="1">KH_26_OPT4_KTQT_v4[[#This Row],[DT-EXW-08]]+KH_26_OPT4_KTQT_v4[[#This Row],[CPVC-08]]+KH_26_OPT4_KTQT_v4[[#This Row],[CPHH-08]]</f>
        <v>335225000</v>
      </c>
      <c r="DI81" s="47">
        <f ca="1">KH_26_OPT4_KTQT_v4[[#This Row],[DT-EXW-09]]+KH_26_OPT4_KTQT_v4[[#This Row],[CPVC-09]]+KH_26_OPT4_KTQT_v4[[#This Row],[CPHH-09]]</f>
        <v>335225000</v>
      </c>
      <c r="DJ81" s="47">
        <f ca="1">KH_26_OPT4_KTQT_v4[[#This Row],[DT-EXW-10]]+KH_26_OPT4_KTQT_v4[[#This Row],[CPVC-10]]+KH_26_OPT4_KTQT_v4[[#This Row],[CPHH-10]]</f>
        <v>335225000</v>
      </c>
      <c r="DK81" s="47">
        <f ca="1">KH_26_OPT4_KTQT_v4[[#This Row],[DT-EXW-11]]+KH_26_OPT4_KTQT_v4[[#This Row],[CPVC-11]]+KH_26_OPT4_KTQT_v4[[#This Row],[CPHH-11]]</f>
        <v>335225000</v>
      </c>
      <c r="DL81" s="47">
        <f ca="1">KH_26_OPT4_KTQT_v4[[#This Row],[DT-EXW-12]]+KH_26_OPT4_KTQT_v4[[#This Row],[CPVC-12]]+KH_26_OPT4_KTQT_v4[[#This Row],[CPHH-12]]</f>
        <v>335225000</v>
      </c>
      <c r="DM81" s="47">
        <f ca="1">SUM(KH_26_OPT4_KTQT_v4[[#This Row],[DT-01]:[DT-12]])</f>
        <v>4022700000</v>
      </c>
      <c r="DN81" s="7"/>
      <c r="DO81" s="7"/>
      <c r="DP81" s="125"/>
      <c r="DQ81" s="136"/>
      <c r="DR81" s="132">
        <f>IFERROR(KH_26_OPT4_KTQT_v4[[#This Row],[DT-EXW-01]]*KH_26_OPT4_KTQT_v4[[#This Row],[%CPDP]],0)</f>
        <v>0</v>
      </c>
      <c r="DS81" s="132">
        <f>IFERROR(KH_26_OPT4_KTQT_v4[[#This Row],[DT-EXW-02]]*KH_26_OPT4_KTQT_v4[[#This Row],[%CPDP]],0)</f>
        <v>0</v>
      </c>
      <c r="DT81" s="132">
        <f>IFERROR(KH_26_OPT4_KTQT_v4[[#This Row],[DT-EXW-03]]*KH_26_OPT4_KTQT_v4[[#This Row],[%CPDP]],0)</f>
        <v>0</v>
      </c>
      <c r="DU81" s="132">
        <f>IFERROR(KH_26_OPT4_KTQT_v4[[#This Row],[DT-EXW-04]]*KH_26_OPT4_KTQT_v4[[#This Row],[%CPDP]],0)</f>
        <v>0</v>
      </c>
      <c r="DV81" s="132">
        <f>IFERROR(KH_26_OPT4_KTQT_v4[[#This Row],[DT-EXW-05]]*KH_26_OPT4_KTQT_v4[[#This Row],[%CPDP]],0)</f>
        <v>0</v>
      </c>
      <c r="DW81" s="132">
        <f>IFERROR(KH_26_OPT4_KTQT_v4[[#This Row],[DT-EXW-06]]*KH_26_OPT4_KTQT_v4[[#This Row],[%CPDP]],0)</f>
        <v>0</v>
      </c>
      <c r="DX81" s="132">
        <f>IFERROR(KH_26_OPT4_KTQT_v4[[#This Row],[DT-EXW-07]]*KH_26_OPT4_KTQT_v4[[#This Row],[%CPDP]],0)</f>
        <v>0</v>
      </c>
      <c r="DY81" s="132">
        <f>IFERROR(KH_26_OPT4_KTQT_v4[[#This Row],[DT-EXW-08]]*KH_26_OPT4_KTQT_v4[[#This Row],[%CPDP]],0)</f>
        <v>0</v>
      </c>
      <c r="DZ81" s="132">
        <f>IFERROR(KH_26_OPT4_KTQT_v4[[#This Row],[DT-EXW-09]]*KH_26_OPT4_KTQT_v4[[#This Row],[%CPDP]],0)</f>
        <v>0</v>
      </c>
      <c r="EA81" s="132">
        <f>IFERROR(KH_26_OPT4_KTQT_v4[[#This Row],[DT-EXW-10]]*KH_26_OPT4_KTQT_v4[[#This Row],[%CPDP]],0)</f>
        <v>0</v>
      </c>
      <c r="EB81" s="132">
        <f>IFERROR(KH_26_OPT4_KTQT_v4[[#This Row],[DT-EXW-11]]*KH_26_OPT4_KTQT_v4[[#This Row],[%CPDP]],0)</f>
        <v>0</v>
      </c>
      <c r="EC81" s="132">
        <f>IFERROR(KH_26_OPT4_KTQT_v4[[#This Row],[DT-EXW-12]]*KH_26_OPT4_KTQT_v4[[#This Row],[%CPDP]],0)</f>
        <v>0</v>
      </c>
      <c r="ED81" s="131">
        <f ca="1">SUM(KH_26_OPT4_KTQT_v4[[#This Row],[CPDP-01]:[CPDP-12]])</f>
        <v>0</v>
      </c>
    </row>
    <row r="82" spans="1:134" ht="14.65" hidden="1" customHeight="1" x14ac:dyDescent="0.35">
      <c r="A82" s="18">
        <v>77</v>
      </c>
      <c r="B82" s="71" t="s">
        <v>97</v>
      </c>
      <c r="C82" s="18" t="str">
        <f>IFERROR(_xlfn.XLOOKUP(KH_26_OPT4_KTQT_v4[[#This Row],[Salesman]],MD_Salesman[Salesman],MD_Salesman[SalesManager]),"")</f>
        <v>Cường</v>
      </c>
      <c r="D82" s="72" t="str">
        <f>IFERROR(INDEX(MD_Customer[Mã khách],MATCH(KH_26_OPT4_KTQT_v4[[#This Row],[Tên khách]],MD_Customer[Tên khách-rút gọn],0)),"")</f>
        <v>1000</v>
      </c>
      <c r="E82" s="7" t="str">
        <f>IFERROR(INDEX(MD_Customer[Parent Account],MATCH(KH_26_OPT4_KTQT_v4[[#This Row],[Tên khách]],MD_Customer[Tên khách-rút gọn],0)),"")</f>
        <v>DTP</v>
      </c>
      <c r="F82" s="35" t="s">
        <v>271</v>
      </c>
      <c r="G82" s="7" t="str">
        <f>IFERROR(INDEX(MD_Customer[Phân loại],MATCH(KH_26_OPT4_KTQT_v4[[#This Row],[Tên khách]],MD_Customer[Tên khách-rút gọn],0)),"")</f>
        <v>Hiện hữu</v>
      </c>
      <c r="H82" s="7" t="str">
        <f>IFERROR(INDEX(MD_Customer[Kênh bán hàng],MATCH(KH_26_OPT4_KTQT_v4[[#This Row],[Tên khách]],MD_Customer[Tên khách-rút gọn],0)),"")</f>
        <v>Nội địa</v>
      </c>
      <c r="I82" s="35" t="s">
        <v>258</v>
      </c>
      <c r="J82" s="7" t="str">
        <f>IFERROR(INDEX(MD_Destination[Nước],MATCH(KH_26_OPT4_KTQT_v4[[#This Row],[Địa điểm đến]],MD_Destination[Địa điểm đến],0)),"")</f>
        <v>Việt Nam</v>
      </c>
      <c r="K82" s="7" t="str">
        <f>IFERROR(INDEX(MD_Destination[Khu vực],MATCH(KH_26_OPT4_KTQT_v4[[#This Row],[Địa điểm đến]],MD_Destination[Địa điểm đến],0)),"")</f>
        <v>Châu Á</v>
      </c>
      <c r="L82" s="35" t="s">
        <v>262</v>
      </c>
      <c r="M82" s="7" t="str">
        <f>IFERROR(INDEX(MD_SKU[Mã SKU],MATCH(KH_26_OPT4_KTQT_v4[[#This Row],[Tên sản phẩm]],MD_SKU[Tên SKU-rút gọn],0)),"")</f>
        <v>110000360</v>
      </c>
      <c r="N82" s="35" t="s">
        <v>457</v>
      </c>
      <c r="O82" s="7" t="str">
        <f>IFERROR(INDEX(MD_SKU[Ngành hàng],MATCH(KH_26_OPT4_KTQT_v4[[#This Row],[Tên sản phẩm]],MD_SKU[Tên SKU-rút gọn],0)),"")</f>
        <v>rHDPE ép</v>
      </c>
      <c r="P82" s="7" t="str">
        <f>IFERROR(INDEX(MD_SKU[Nhóm ngành],MATCH(KH_26_OPT4_KTQT_v4[[#This Row],[Tên sản phẩm]],MD_SKU[Tên SKU-rút gọn],0)),"")</f>
        <v>Hạt HD ép</v>
      </c>
      <c r="Q82" s="7" t="str">
        <f>IFERROR(
   IF(INDEX(MD_SKU[IV/IM],MATCH(KH_26_OPT4_KTQT_v4[[#This Row],[Tên sản phẩm]],MD_SKU[Tên SKU-rút gọn],0))=0,
      "",
      INDEX(MD_SKU[IV/IM],MATCH(KH_26_OPT4_KTQT_v4[[#This Row],[Tên sản phẩm]],MD_SKU[Tên SKU-rút gọn],0))
   ),
"")</f>
        <v/>
      </c>
      <c r="R82" s="44">
        <f>IFERROR(INDEX(MD_SKU[Application],MATCH(KH_26_OPT4_KTQT_v4[[#This Row],[Tên sản phẩm]],MD_SKU[Tên SKU-rút gọn],0)),"")</f>
        <v>0</v>
      </c>
      <c r="S82" s="7" t="str">
        <f>IFERROR(INDEX(MD_SKU[Phân loại],MATCH(KH_26_OPT4_KTQT_v4[[#This Row],[Tên sản phẩm]],MD_SKU[Tên SKU-rút gọn],0)),"")</f>
        <v>Cũ</v>
      </c>
      <c r="T82" s="7" t="s">
        <v>47</v>
      </c>
      <c r="U82" s="7" t="s">
        <v>1508</v>
      </c>
      <c r="V82" s="70">
        <v>0.8</v>
      </c>
      <c r="W82" s="33"/>
      <c r="X82" s="33"/>
      <c r="Y82" s="33"/>
      <c r="Z82" s="33"/>
      <c r="AA82" s="33"/>
      <c r="AB82" s="33"/>
      <c r="AC82" s="33"/>
      <c r="AD82" s="33"/>
      <c r="AE82" s="33"/>
      <c r="AF82" s="33"/>
      <c r="AG82" s="33"/>
      <c r="AH82" s="33"/>
      <c r="AI82" s="47">
        <f ca="1">SUM(KH_26_OPT4_KTQT_v4[[#This Row],[SL-01]:[SL-12]])</f>
        <v>0</v>
      </c>
      <c r="AJ82" s="47">
        <f ca="1">SUMIFS(DB_25[SL-DB25],DB_25[Mã khách],KH_26_OPT4_KTQT_v4[[#This Row],[Mã khách]],DB_25[Mã sản phẩm],KH_26_OPT4_KTQT_v4[[#This Row],[Mã sản phẩm]])</f>
        <v>165</v>
      </c>
      <c r="AK82" s="20">
        <f ca="1">KH_26_OPT4_KTQT_v4[[#This Row],[SL-KH26]]-KH_26_OPT4_KTQT_v4[[#This Row],[SL-DB25]]</f>
        <v>-165</v>
      </c>
      <c r="AL82" s="21">
        <f ca="1">IFERROR(KH_26_OPT4_KTQT_v4[[#This Row],[SL-+/-]]/KH_26_OPT4_KTQT_v4[[#This Row],[SL-DB25]],0)</f>
        <v>-1</v>
      </c>
      <c r="AM82" s="51">
        <v>695</v>
      </c>
      <c r="AN82" s="51">
        <v>695</v>
      </c>
      <c r="AO82" s="51">
        <v>695</v>
      </c>
      <c r="AP82" s="51">
        <v>695</v>
      </c>
      <c r="AQ82" s="51">
        <v>695</v>
      </c>
      <c r="AR82" s="51">
        <v>695</v>
      </c>
      <c r="AS82" s="51">
        <v>695</v>
      </c>
      <c r="AT82" s="51">
        <v>695</v>
      </c>
      <c r="AU82" s="51">
        <v>695</v>
      </c>
      <c r="AV82" s="51">
        <v>695</v>
      </c>
      <c r="AW82" s="51">
        <v>695</v>
      </c>
      <c r="AX82" s="51">
        <v>695</v>
      </c>
      <c r="AY82" s="23">
        <v>695</v>
      </c>
      <c r="AZ82" s="7"/>
      <c r="BA82" s="24">
        <f>KH_26_OPT4_KTQT_v4[[#This Row],[GB-DB25]]-KH_26_OPT4_KTQT_v4[[#This Row],[GB-KH25]]</f>
        <v>695</v>
      </c>
      <c r="BB82" s="21">
        <f>IFERROR(KH_26_OPT4_KTQT_v4[[#This Row],[GB-+/-]]/KH_26_OPT4_KTQT_v4[[#This Row],[GB-KH25]],0)</f>
        <v>0</v>
      </c>
      <c r="BC82" s="21"/>
      <c r="BD82" s="47">
        <f>KH_26_OPT4_KTQT_v4[[#This Row],[SL-01]]*KH_26_OPT4_KTQT_v4[[#This Row],[GB-01]]*EXR</f>
        <v>0</v>
      </c>
      <c r="BE82" s="47">
        <f>KH_26_OPT4_KTQT_v4[[#This Row],[SL-02]]*KH_26_OPT4_KTQT_v4[[#This Row],[GB-02]]*EXR</f>
        <v>0</v>
      </c>
      <c r="BF82" s="47">
        <f>KH_26_OPT4_KTQT_v4[[#This Row],[SL-03]]*KH_26_OPT4_KTQT_v4[[#This Row],[GB-03]]*EXR</f>
        <v>0</v>
      </c>
      <c r="BG82" s="47">
        <f>KH_26_OPT4_KTQT_v4[[#This Row],[SL-04]]*KH_26_OPT4_KTQT_v4[[#This Row],[GB-04]]*EXR</f>
        <v>0</v>
      </c>
      <c r="BH82" s="47">
        <f>KH_26_OPT4_KTQT_v4[[#This Row],[SL-05]]*KH_26_OPT4_KTQT_v4[[#This Row],[GB-05]]*EXR</f>
        <v>0</v>
      </c>
      <c r="BI82" s="47">
        <f>KH_26_OPT4_KTQT_v4[[#This Row],[SL-06]]*KH_26_OPT4_KTQT_v4[[#This Row],[GB-06]]*EXR</f>
        <v>0</v>
      </c>
      <c r="BJ82" s="47">
        <f>KH_26_OPT4_KTQT_v4[[#This Row],[SL-07]]*KH_26_OPT4_KTQT_v4[[#This Row],[GB-07]]*EXR</f>
        <v>0</v>
      </c>
      <c r="BK82" s="47">
        <f>KH_26_OPT4_KTQT_v4[[#This Row],[SL-08]]*KH_26_OPT4_KTQT_v4[[#This Row],[GB-08]]*EXR</f>
        <v>0</v>
      </c>
      <c r="BL82" s="47">
        <f>KH_26_OPT4_KTQT_v4[[#This Row],[SL-09]]*KH_26_OPT4_KTQT_v4[[#This Row],[GB-09]]*EXR</f>
        <v>0</v>
      </c>
      <c r="BM82" s="47">
        <f>KH_26_OPT4_KTQT_v4[[#This Row],[SL-10]]*KH_26_OPT4_KTQT_v4[[#This Row],[GB-10]]*EXR</f>
        <v>0</v>
      </c>
      <c r="BN82" s="47">
        <f>KH_26_OPT4_KTQT_v4[[#This Row],[SL-11]]*KH_26_OPT4_KTQT_v4[[#This Row],[GB-11]]*EXR</f>
        <v>0</v>
      </c>
      <c r="BO82" s="47">
        <f>KH_26_OPT4_KTQT_v4[[#This Row],[SL-12]]*KH_26_OPT4_KTQT_v4[[#This Row],[GB-12]]*EXR</f>
        <v>0</v>
      </c>
      <c r="BP82" s="47">
        <f ca="1">SUM(KH_26_OPT4_KTQT_v4[[#This Row],[DT-EXW-01]:[DT-EXW-12]])</f>
        <v>0</v>
      </c>
      <c r="BQ82" s="47">
        <f ca="1">SUMIFS(DB_25[DT-DB25],DB_25[Mã khách],KH_26_OPT4_KTQT_v4[[#This Row],[Mã khách]],DB_25[Mã sản phẩm],KH_26_OPT4_KTQT_v4[[#This Row],[Mã sản phẩm]])</f>
        <v>2325132615.7260113</v>
      </c>
      <c r="BR82" s="47">
        <f ca="1">KH_26_OPT4_KTQT_v4[[#This Row],[DT-EXW-KH26]]-KH_26_OPT4_KTQT_v4[[#This Row],[DT-EXW-DB25]]</f>
        <v>-2325132615.7260113</v>
      </c>
      <c r="BS82" s="21">
        <f ca="1">IFERROR(KH_26_OPT4_KTQT_v4[[#This Row],[DT-EXW-+/-]]/KH_26_OPT4_KTQT_v4[[#This Row],[DT-EXW-DB25]],0)</f>
        <v>-1</v>
      </c>
      <c r="BT82" s="140"/>
      <c r="BU82" s="56"/>
      <c r="BV82" s="142"/>
      <c r="BW82" s="47">
        <f>IF(KH_26_OPT4_KTQT_v4[[#This Row],[CPHH-%-SL]]="Dthu",KH_26_OPT4_KTQT_v4[[#This Row],[%HH]]*KH_26_OPT4_KTQT_v4[[#This Row],[DT-EXW-01]],KH_26_OPT4_KTQT_v4[[#This Row],[HH-SL]]*KH_26_OPT4_KTQT_v4[[#This Row],[SL-01]])</f>
        <v>0</v>
      </c>
      <c r="BX82" s="47">
        <f>IF(KH_26_OPT4_KTQT_v4[[#This Row],[CPHH-%-SL]]="Dthu",KH_26_OPT4_KTQT_v4[[#This Row],[%HH]]*KH_26_OPT4_KTQT_v4[[#This Row],[DT-EXW-02]],KH_26_OPT4_KTQT_v4[[#This Row],[HH-SL]]*KH_26_OPT4_KTQT_v4[[#This Row],[SL-02]])</f>
        <v>0</v>
      </c>
      <c r="BY82" s="47">
        <f>IF(KH_26_OPT4_KTQT_v4[[#This Row],[CPHH-%-SL]]="Dthu",KH_26_OPT4_KTQT_v4[[#This Row],[%HH]]*KH_26_OPT4_KTQT_v4[[#This Row],[DT-EXW-03]],KH_26_OPT4_KTQT_v4[[#This Row],[HH-SL]]*KH_26_OPT4_KTQT_v4[[#This Row],[SL-03]])</f>
        <v>0</v>
      </c>
      <c r="BZ82" s="47">
        <f>IF(KH_26_OPT4_KTQT_v4[[#This Row],[CPHH-%-SL]]="Dthu",KH_26_OPT4_KTQT_v4[[#This Row],[%HH]]*KH_26_OPT4_KTQT_v4[[#This Row],[DT-EXW-04]],KH_26_OPT4_KTQT_v4[[#This Row],[HH-SL]]*KH_26_OPT4_KTQT_v4[[#This Row],[SL-04]])</f>
        <v>0</v>
      </c>
      <c r="CA82" s="47">
        <f>IF(KH_26_OPT4_KTQT_v4[[#This Row],[CPHH-%-SL]]="Dthu",KH_26_OPT4_KTQT_v4[[#This Row],[%HH]]*KH_26_OPT4_KTQT_v4[[#This Row],[DT-EXW-05]],KH_26_OPT4_KTQT_v4[[#This Row],[HH-SL]]*KH_26_OPT4_KTQT_v4[[#This Row],[SL-05]])</f>
        <v>0</v>
      </c>
      <c r="CB82" s="47">
        <f>IF(KH_26_OPT4_KTQT_v4[[#This Row],[CPHH-%-SL]]="Dthu",KH_26_OPT4_KTQT_v4[[#This Row],[%HH]]*KH_26_OPT4_KTQT_v4[[#This Row],[DT-EXW-06]],KH_26_OPT4_KTQT_v4[[#This Row],[HH-SL]]*KH_26_OPT4_KTQT_v4[[#This Row],[SL-06]])</f>
        <v>0</v>
      </c>
      <c r="CC82" s="47">
        <f>IF(KH_26_OPT4_KTQT_v4[[#This Row],[CPHH-%-SL]]="Dthu",KH_26_OPT4_KTQT_v4[[#This Row],[%HH]]*KH_26_OPT4_KTQT_v4[[#This Row],[DT-EXW-07]],KH_26_OPT4_KTQT_v4[[#This Row],[HH-SL]]*KH_26_OPT4_KTQT_v4[[#This Row],[SL-07]])</f>
        <v>0</v>
      </c>
      <c r="CD82" s="47">
        <f>IF(KH_26_OPT4_KTQT_v4[[#This Row],[CPHH-%-SL]]="Dthu",KH_26_OPT4_KTQT_v4[[#This Row],[%HH]]*KH_26_OPT4_KTQT_v4[[#This Row],[DT-EXW-08]],KH_26_OPT4_KTQT_v4[[#This Row],[HH-SL]]*KH_26_OPT4_KTQT_v4[[#This Row],[SL-08]])</f>
        <v>0</v>
      </c>
      <c r="CE82" s="47">
        <f>IF(KH_26_OPT4_KTQT_v4[[#This Row],[CPHH-%-SL]]="Dthu",KH_26_OPT4_KTQT_v4[[#This Row],[%HH]]*KH_26_OPT4_KTQT_v4[[#This Row],[DT-EXW-09]],KH_26_OPT4_KTQT_v4[[#This Row],[HH-SL]]*KH_26_OPT4_KTQT_v4[[#This Row],[SL-09]])</f>
        <v>0</v>
      </c>
      <c r="CF82" s="47">
        <f>IF(KH_26_OPT4_KTQT_v4[[#This Row],[CPHH-%-SL]]="Dthu",KH_26_OPT4_KTQT_v4[[#This Row],[%HH]]*KH_26_OPT4_KTQT_v4[[#This Row],[DT-EXW-10]],KH_26_OPT4_KTQT_v4[[#This Row],[HH-SL]]*KH_26_OPT4_KTQT_v4[[#This Row],[SL-10]])</f>
        <v>0</v>
      </c>
      <c r="CG82" s="47">
        <f>IF(KH_26_OPT4_KTQT_v4[[#This Row],[CPHH-%-SL]]="Dthu",KH_26_OPT4_KTQT_v4[[#This Row],[%HH]]*KH_26_OPT4_KTQT_v4[[#This Row],[DT-EXW-11]],KH_26_OPT4_KTQT_v4[[#This Row],[HH-SL]]*KH_26_OPT4_KTQT_v4[[#This Row],[SL-11]])</f>
        <v>0</v>
      </c>
      <c r="CH82" s="47">
        <f>IF(KH_26_OPT4_KTQT_v4[[#This Row],[CPHH-%-SL]]="Dthu",KH_26_OPT4_KTQT_v4[[#This Row],[%HH]]*KH_26_OPT4_KTQT_v4[[#This Row],[DT-EXW-12]],KH_26_OPT4_KTQT_v4[[#This Row],[HH-SL]]*KH_26_OPT4_KTQT_v4[[#This Row],[SL-12]])</f>
        <v>0</v>
      </c>
      <c r="CI82" s="47">
        <f ca="1">SUM(KH_26_OPT4_KTQT_v4[[#This Row],[CPHH-01]:[CPHH-12]])</f>
        <v>0</v>
      </c>
      <c r="CJ82" s="47" cm="1">
        <f t="array" ref="CJ82">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82" s="19">
        <f ca="1">SUM(KH_26_OPT4_KTQT_v4[[#This Row],[ĐGVCNĐ-KXK]:[ĐGVCCT-KXK]])</f>
        <v>0</v>
      </c>
      <c r="CL82" s="47" cm="1">
        <f t="array" ref="CL82">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82" s="47" cm="1">
        <f t="array" ref="CM82">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82" s="47">
        <f ca="1">(KH_26_OPT4_KTQT_v4[[#This Row],[ĐGVC-KNĐ]]+KH_26_OPT4_KTQT_v4[[#This Row],[ĐGVC-KXK]])*KH_26_OPT4_KTQT_v4[[#This Row],[SL-01]]</f>
        <v>0</v>
      </c>
      <c r="CO82" s="47">
        <f ca="1">(KH_26_OPT4_KTQT_v4[[#This Row],[ĐGVC-KNĐ]]+KH_26_OPT4_KTQT_v4[[#This Row],[ĐGVC-KXK]])*KH_26_OPT4_KTQT_v4[[#This Row],[SL-02]]</f>
        <v>0</v>
      </c>
      <c r="CP82" s="47">
        <f ca="1">(KH_26_OPT4_KTQT_v4[[#This Row],[ĐGVC-KNĐ]]+KH_26_OPT4_KTQT_v4[[#This Row],[ĐGVC-KXK]])*KH_26_OPT4_KTQT_v4[[#This Row],[SL-03]]</f>
        <v>0</v>
      </c>
      <c r="CQ82" s="47">
        <f ca="1">(KH_26_OPT4_KTQT_v4[[#This Row],[ĐGVC-KNĐ]]+KH_26_OPT4_KTQT_v4[[#This Row],[ĐGVC-KXK]])*KH_26_OPT4_KTQT_v4[[#This Row],[SL-04]]</f>
        <v>0</v>
      </c>
      <c r="CR82" s="47">
        <f ca="1">(KH_26_OPT4_KTQT_v4[[#This Row],[ĐGVC-KNĐ]]+KH_26_OPT4_KTQT_v4[[#This Row],[ĐGVC-KXK]])*KH_26_OPT4_KTQT_v4[[#This Row],[SL-05]]</f>
        <v>0</v>
      </c>
      <c r="CS82" s="47">
        <f ca="1">(KH_26_OPT4_KTQT_v4[[#This Row],[ĐGVC-KNĐ]]+KH_26_OPT4_KTQT_v4[[#This Row],[ĐGVC-KXK]])*KH_26_OPT4_KTQT_v4[[#This Row],[SL-06]]</f>
        <v>0</v>
      </c>
      <c r="CT82" s="47">
        <f ca="1">(KH_26_OPT4_KTQT_v4[[#This Row],[ĐGVC-KNĐ]]+KH_26_OPT4_KTQT_v4[[#This Row],[ĐGVC-KXK]])*KH_26_OPT4_KTQT_v4[[#This Row],[SL-07]]</f>
        <v>0</v>
      </c>
      <c r="CU82" s="47">
        <f ca="1">(KH_26_OPT4_KTQT_v4[[#This Row],[ĐGVC-KNĐ]]+KH_26_OPT4_KTQT_v4[[#This Row],[ĐGVC-KXK]])*KH_26_OPT4_KTQT_v4[[#This Row],[SL-08]]</f>
        <v>0</v>
      </c>
      <c r="CV82" s="47">
        <f ca="1">(KH_26_OPT4_KTQT_v4[[#This Row],[ĐGVC-KNĐ]]+KH_26_OPT4_KTQT_v4[[#This Row],[ĐGVC-KXK]])*KH_26_OPT4_KTQT_v4[[#This Row],[SL-09]]</f>
        <v>0</v>
      </c>
      <c r="CW82" s="47">
        <f ca="1">(KH_26_OPT4_KTQT_v4[[#This Row],[ĐGVC-KNĐ]]+KH_26_OPT4_KTQT_v4[[#This Row],[ĐGVC-KXK]])*KH_26_OPT4_KTQT_v4[[#This Row],[SL-10]]</f>
        <v>0</v>
      </c>
      <c r="CX82" s="47">
        <f ca="1">(KH_26_OPT4_KTQT_v4[[#This Row],[ĐGVC-KNĐ]]+KH_26_OPT4_KTQT_v4[[#This Row],[ĐGVC-KXK]])*KH_26_OPT4_KTQT_v4[[#This Row],[SL-11]]</f>
        <v>0</v>
      </c>
      <c r="CY82" s="47">
        <f ca="1">(KH_26_OPT4_KTQT_v4[[#This Row],[ĐGVC-KNĐ]]+KH_26_OPT4_KTQT_v4[[#This Row],[ĐGVC-KXK]])*KH_26_OPT4_KTQT_v4[[#This Row],[SL-12]]</f>
        <v>0</v>
      </c>
      <c r="CZ82" s="47">
        <f ca="1">SUM(KH_26_OPT4_KTQT_v4[[#This Row],[CPVC-01]:[CPVC-12]])</f>
        <v>0</v>
      </c>
      <c r="DA82" s="124">
        <f ca="1">KH_26_OPT4_KTQT_v4[[#This Row],[DT-EXW-01]]+KH_26_OPT4_KTQT_v4[[#This Row],[CPVC-01]]+KH_26_OPT4_KTQT_v4[[#This Row],[CPHH-01]]</f>
        <v>0</v>
      </c>
      <c r="DB82" s="47">
        <f ca="1">KH_26_OPT4_KTQT_v4[[#This Row],[DT-EXW-02]]+KH_26_OPT4_KTQT_v4[[#This Row],[CPVC-02]]+KH_26_OPT4_KTQT_v4[[#This Row],[CPHH-02]]</f>
        <v>0</v>
      </c>
      <c r="DC82" s="47">
        <f ca="1">KH_26_OPT4_KTQT_v4[[#This Row],[DT-EXW-03]]+KH_26_OPT4_KTQT_v4[[#This Row],[CPVC-03]]+KH_26_OPT4_KTQT_v4[[#This Row],[CPHH-03]]</f>
        <v>0</v>
      </c>
      <c r="DD82" s="47">
        <f ca="1">KH_26_OPT4_KTQT_v4[[#This Row],[DT-EXW-04]]+KH_26_OPT4_KTQT_v4[[#This Row],[CPVC-04]]+KH_26_OPT4_KTQT_v4[[#This Row],[CPHH-04]]</f>
        <v>0</v>
      </c>
      <c r="DE82" s="47">
        <f ca="1">KH_26_OPT4_KTQT_v4[[#This Row],[DT-EXW-05]]+KH_26_OPT4_KTQT_v4[[#This Row],[CPVC-05]]+KH_26_OPT4_KTQT_v4[[#This Row],[CPHH-05]]</f>
        <v>0</v>
      </c>
      <c r="DF82" s="47">
        <f ca="1">KH_26_OPT4_KTQT_v4[[#This Row],[DT-EXW-06]]+KH_26_OPT4_KTQT_v4[[#This Row],[CPVC-06]]+KH_26_OPT4_KTQT_v4[[#This Row],[CPHH-06]]</f>
        <v>0</v>
      </c>
      <c r="DG82" s="47">
        <f ca="1">KH_26_OPT4_KTQT_v4[[#This Row],[DT-EXW-07]]+KH_26_OPT4_KTQT_v4[[#This Row],[CPVC-07]]+KH_26_OPT4_KTQT_v4[[#This Row],[CPHH-07]]</f>
        <v>0</v>
      </c>
      <c r="DH82" s="47">
        <f ca="1">KH_26_OPT4_KTQT_v4[[#This Row],[DT-EXW-08]]+KH_26_OPT4_KTQT_v4[[#This Row],[CPVC-08]]+KH_26_OPT4_KTQT_v4[[#This Row],[CPHH-08]]</f>
        <v>0</v>
      </c>
      <c r="DI82" s="47">
        <f ca="1">KH_26_OPT4_KTQT_v4[[#This Row],[DT-EXW-09]]+KH_26_OPT4_KTQT_v4[[#This Row],[CPVC-09]]+KH_26_OPT4_KTQT_v4[[#This Row],[CPHH-09]]</f>
        <v>0</v>
      </c>
      <c r="DJ82" s="47">
        <f ca="1">KH_26_OPT4_KTQT_v4[[#This Row],[DT-EXW-10]]+KH_26_OPT4_KTQT_v4[[#This Row],[CPVC-10]]+KH_26_OPT4_KTQT_v4[[#This Row],[CPHH-10]]</f>
        <v>0</v>
      </c>
      <c r="DK82" s="47">
        <f ca="1">KH_26_OPT4_KTQT_v4[[#This Row],[DT-EXW-11]]+KH_26_OPT4_KTQT_v4[[#This Row],[CPVC-11]]+KH_26_OPT4_KTQT_v4[[#This Row],[CPHH-11]]</f>
        <v>0</v>
      </c>
      <c r="DL82" s="47">
        <f ca="1">KH_26_OPT4_KTQT_v4[[#This Row],[DT-EXW-12]]+KH_26_OPT4_KTQT_v4[[#This Row],[CPVC-12]]+KH_26_OPT4_KTQT_v4[[#This Row],[CPHH-12]]</f>
        <v>0</v>
      </c>
      <c r="DM82" s="47">
        <f ca="1">SUM(KH_26_OPT4_KTQT_v4[[#This Row],[DT-01]:[DT-12]])</f>
        <v>0</v>
      </c>
      <c r="DN82" s="7"/>
      <c r="DO82" s="7"/>
      <c r="DP82" s="125"/>
      <c r="DQ82" s="136"/>
      <c r="DR82" s="132">
        <f>IFERROR(KH_26_OPT4_KTQT_v4[[#This Row],[DT-EXW-01]]*KH_26_OPT4_KTQT_v4[[#This Row],[%CPDP]],0)</f>
        <v>0</v>
      </c>
      <c r="DS82" s="132">
        <f>IFERROR(KH_26_OPT4_KTQT_v4[[#This Row],[DT-EXW-02]]*KH_26_OPT4_KTQT_v4[[#This Row],[%CPDP]],0)</f>
        <v>0</v>
      </c>
      <c r="DT82" s="132">
        <f>IFERROR(KH_26_OPT4_KTQT_v4[[#This Row],[DT-EXW-03]]*KH_26_OPT4_KTQT_v4[[#This Row],[%CPDP]],0)</f>
        <v>0</v>
      </c>
      <c r="DU82" s="132">
        <f>IFERROR(KH_26_OPT4_KTQT_v4[[#This Row],[DT-EXW-04]]*KH_26_OPT4_KTQT_v4[[#This Row],[%CPDP]],0)</f>
        <v>0</v>
      </c>
      <c r="DV82" s="132">
        <f>IFERROR(KH_26_OPT4_KTQT_v4[[#This Row],[DT-EXW-05]]*KH_26_OPT4_KTQT_v4[[#This Row],[%CPDP]],0)</f>
        <v>0</v>
      </c>
      <c r="DW82" s="132">
        <f>IFERROR(KH_26_OPT4_KTQT_v4[[#This Row],[DT-EXW-06]]*KH_26_OPT4_KTQT_v4[[#This Row],[%CPDP]],0)</f>
        <v>0</v>
      </c>
      <c r="DX82" s="132">
        <f>IFERROR(KH_26_OPT4_KTQT_v4[[#This Row],[DT-EXW-07]]*KH_26_OPT4_KTQT_v4[[#This Row],[%CPDP]],0)</f>
        <v>0</v>
      </c>
      <c r="DY82" s="132">
        <f>IFERROR(KH_26_OPT4_KTQT_v4[[#This Row],[DT-EXW-08]]*KH_26_OPT4_KTQT_v4[[#This Row],[%CPDP]],0)</f>
        <v>0</v>
      </c>
      <c r="DZ82" s="132">
        <f>IFERROR(KH_26_OPT4_KTQT_v4[[#This Row],[DT-EXW-09]]*KH_26_OPT4_KTQT_v4[[#This Row],[%CPDP]],0)</f>
        <v>0</v>
      </c>
      <c r="EA82" s="132">
        <f>IFERROR(KH_26_OPT4_KTQT_v4[[#This Row],[DT-EXW-10]]*KH_26_OPT4_KTQT_v4[[#This Row],[%CPDP]],0)</f>
        <v>0</v>
      </c>
      <c r="EB82" s="132">
        <f>IFERROR(KH_26_OPT4_KTQT_v4[[#This Row],[DT-EXW-11]]*KH_26_OPT4_KTQT_v4[[#This Row],[%CPDP]],0)</f>
        <v>0</v>
      </c>
      <c r="EC82" s="132">
        <f>IFERROR(KH_26_OPT4_KTQT_v4[[#This Row],[DT-EXW-12]]*KH_26_OPT4_KTQT_v4[[#This Row],[%CPDP]],0)</f>
        <v>0</v>
      </c>
      <c r="ED82" s="131">
        <f ca="1">SUM(KH_26_OPT4_KTQT_v4[[#This Row],[CPDP-01]:[CPDP-12]])</f>
        <v>0</v>
      </c>
    </row>
    <row r="83" spans="1:134" ht="14.65" hidden="1" customHeight="1" x14ac:dyDescent="0.35">
      <c r="A83" s="18">
        <v>78</v>
      </c>
      <c r="B83" s="71" t="s">
        <v>115</v>
      </c>
      <c r="C83" s="18" t="str">
        <f>IFERROR(_xlfn.XLOOKUP(KH_26_OPT4_KTQT_v4[[#This Row],[Salesman]],MD_Salesman[Salesman],MD_Salesman[SalesManager]),"")</f>
        <v>Quốc Anh</v>
      </c>
      <c r="D83" s="72" t="str">
        <f>IFERROR(INDEX(MD_Customer[Mã khách],MATCH(KH_26_OPT4_KTQT_v4[[#This Row],[Tên khách]],MD_Customer[Tên khách-rút gọn],0)),"")</f>
        <v>105333</v>
      </c>
      <c r="E83" s="7" t="str">
        <f>IFERROR(INDEX(MD_Customer[Parent Account],MATCH(KH_26_OPT4_KTQT_v4[[#This Row],[Tên khách]],MD_Customer[Tên khách-rút gọn],0)),"")</f>
        <v>LƯỚI BẢO NÔNG</v>
      </c>
      <c r="F83" s="35" t="s">
        <v>56</v>
      </c>
      <c r="G83" s="7" t="str">
        <f>IFERROR(INDEX(MD_Customer[Phân loại],MATCH(KH_26_OPT4_KTQT_v4[[#This Row],[Tên khách]],MD_Customer[Tên khách-rút gọn],0)),"")</f>
        <v>Hiện hữu</v>
      </c>
      <c r="H83" s="7" t="str">
        <f>IFERROR(INDEX(MD_Customer[Kênh bán hàng],MATCH(KH_26_OPT4_KTQT_v4[[#This Row],[Tên khách]],MD_Customer[Tên khách-rút gọn],0)),"")</f>
        <v>Nội địa</v>
      </c>
      <c r="I83" s="35" t="s">
        <v>258</v>
      </c>
      <c r="J83" s="7" t="str">
        <f>IFERROR(INDEX(MD_Destination[Nước],MATCH(KH_26_OPT4_KTQT_v4[[#This Row],[Địa điểm đến]],MD_Destination[Địa điểm đến],0)),"")</f>
        <v>Việt Nam</v>
      </c>
      <c r="K83" s="7" t="str">
        <f>IFERROR(INDEX(MD_Destination[Khu vực],MATCH(KH_26_OPT4_KTQT_v4[[#This Row],[Địa điểm đến]],MD_Destination[Địa điểm đến],0)),"")</f>
        <v>Châu Á</v>
      </c>
      <c r="L83" s="35" t="s">
        <v>260</v>
      </c>
      <c r="M83" s="7" t="str">
        <f>IFERROR(INDEX(MD_SKU[Mã SKU],MATCH(KH_26_OPT4_KTQT_v4[[#This Row],[Tên sản phẩm]],MD_SKU[Tên SKU-rút gọn],0)),"")</f>
        <v>110000410</v>
      </c>
      <c r="N83" s="35" t="s">
        <v>472</v>
      </c>
      <c r="O83" s="7" t="str">
        <f>IFERROR(INDEX(MD_SKU[Ngành hàng],MATCH(KH_26_OPT4_KTQT_v4[[#This Row],[Tên sản phẩm]],MD_SKU[Tên SKU-rút gọn],0)),"")</f>
        <v>rHDPE ép</v>
      </c>
      <c r="P83" s="7" t="str">
        <f>IFERROR(INDEX(MD_SKU[Nhóm ngành],MATCH(KH_26_OPT4_KTQT_v4[[#This Row],[Tên sản phẩm]],MD_SKU[Tên SKU-rút gọn],0)),"")</f>
        <v>Vảy HD ép</v>
      </c>
      <c r="Q83" s="7" t="str">
        <f>IFERROR(
   IF(INDEX(MD_SKU[IV/IM],MATCH(KH_26_OPT4_KTQT_v4[[#This Row],[Tên sản phẩm]],MD_SKU[Tên SKU-rút gọn],0))=0,
      "",
      INDEX(MD_SKU[IV/IM],MATCH(KH_26_OPT4_KTQT_v4[[#This Row],[Tên sản phẩm]],MD_SKU[Tên SKU-rút gọn],0))
   ),
"")</f>
        <v/>
      </c>
      <c r="R83" s="44">
        <f>IFERROR(INDEX(MD_SKU[Application],MATCH(KH_26_OPT4_KTQT_v4[[#This Row],[Tên sản phẩm]],MD_SKU[Tên SKU-rút gọn],0)),"")</f>
        <v>0</v>
      </c>
      <c r="S83" s="7" t="str">
        <f>IFERROR(INDEX(MD_SKU[Phân loại],MATCH(KH_26_OPT4_KTQT_v4[[#This Row],[Tên sản phẩm]],MD_SKU[Tên SKU-rút gọn],0)),"")</f>
        <v>Cũ</v>
      </c>
      <c r="T83" s="7" t="s">
        <v>56</v>
      </c>
      <c r="U83" s="7" t="s">
        <v>1508</v>
      </c>
      <c r="V83" s="70">
        <v>0.8</v>
      </c>
      <c r="W83" s="92"/>
      <c r="X83" s="92"/>
      <c r="Y83" s="92"/>
      <c r="Z83" s="92"/>
      <c r="AA83" s="92"/>
      <c r="AB83" s="92"/>
      <c r="AC83" s="92"/>
      <c r="AD83" s="92"/>
      <c r="AE83" s="92"/>
      <c r="AF83" s="92"/>
      <c r="AG83" s="92"/>
      <c r="AH83" s="92"/>
      <c r="AI83" s="47">
        <f ca="1">SUM(KH_26_OPT4_KTQT_v4[[#This Row],[SL-01]:[SL-12]])</f>
        <v>0</v>
      </c>
      <c r="AJ83" s="47">
        <f ca="1">SUMIFS(DB_25[SL-DB25],DB_25[Mã khách],KH_26_OPT4_KTQT_v4[[#This Row],[Mã khách]],DB_25[Mã sản phẩm],KH_26_OPT4_KTQT_v4[[#This Row],[Mã sản phẩm]])</f>
        <v>88.5</v>
      </c>
      <c r="AK83" s="20">
        <f ca="1">KH_26_OPT4_KTQT_v4[[#This Row],[SL-KH26]]-KH_26_OPT4_KTQT_v4[[#This Row],[SL-DB25]]</f>
        <v>-88.5</v>
      </c>
      <c r="AL83" s="21">
        <f ca="1">IFERROR(KH_26_OPT4_KTQT_v4[[#This Row],[SL-+/-]]/KH_26_OPT4_KTQT_v4[[#This Row],[SL-DB25]],0)</f>
        <v>-1</v>
      </c>
      <c r="AM83" s="51">
        <v>560</v>
      </c>
      <c r="AN83" s="51">
        <v>560</v>
      </c>
      <c r="AO83" s="51">
        <v>560</v>
      </c>
      <c r="AP83" s="51">
        <v>560</v>
      </c>
      <c r="AQ83" s="51">
        <v>560</v>
      </c>
      <c r="AR83" s="51">
        <v>560</v>
      </c>
      <c r="AS83" s="51">
        <v>560</v>
      </c>
      <c r="AT83" s="51">
        <v>560</v>
      </c>
      <c r="AU83" s="51">
        <v>560</v>
      </c>
      <c r="AV83" s="51">
        <v>560</v>
      </c>
      <c r="AW83" s="51">
        <v>560</v>
      </c>
      <c r="AX83" s="51">
        <v>560</v>
      </c>
      <c r="AY83" s="23">
        <v>560</v>
      </c>
      <c r="AZ83" s="7"/>
      <c r="BA83" s="24">
        <f>KH_26_OPT4_KTQT_v4[[#This Row],[GB-DB25]]-KH_26_OPT4_KTQT_v4[[#This Row],[GB-KH25]]</f>
        <v>560</v>
      </c>
      <c r="BB83" s="21">
        <f>IFERROR(KH_26_OPT4_KTQT_v4[[#This Row],[GB-+/-]]/KH_26_OPT4_KTQT_v4[[#This Row],[GB-KH25]],0)</f>
        <v>0</v>
      </c>
      <c r="BC83" s="21"/>
      <c r="BD83" s="47">
        <f>KH_26_OPT4_KTQT_v4[[#This Row],[SL-01]]*KH_26_OPT4_KTQT_v4[[#This Row],[GB-01]]*EXR</f>
        <v>0</v>
      </c>
      <c r="BE83" s="47">
        <f>KH_26_OPT4_KTQT_v4[[#This Row],[SL-02]]*KH_26_OPT4_KTQT_v4[[#This Row],[GB-02]]*EXR</f>
        <v>0</v>
      </c>
      <c r="BF83" s="47">
        <f>KH_26_OPT4_KTQT_v4[[#This Row],[SL-03]]*KH_26_OPT4_KTQT_v4[[#This Row],[GB-03]]*EXR</f>
        <v>0</v>
      </c>
      <c r="BG83" s="47">
        <f>KH_26_OPT4_KTQT_v4[[#This Row],[SL-04]]*KH_26_OPT4_KTQT_v4[[#This Row],[GB-04]]*EXR</f>
        <v>0</v>
      </c>
      <c r="BH83" s="47">
        <f>KH_26_OPT4_KTQT_v4[[#This Row],[SL-05]]*KH_26_OPT4_KTQT_v4[[#This Row],[GB-05]]*EXR</f>
        <v>0</v>
      </c>
      <c r="BI83" s="47">
        <f>KH_26_OPT4_KTQT_v4[[#This Row],[SL-06]]*KH_26_OPT4_KTQT_v4[[#This Row],[GB-06]]*EXR</f>
        <v>0</v>
      </c>
      <c r="BJ83" s="47">
        <f>KH_26_OPT4_KTQT_v4[[#This Row],[SL-07]]*KH_26_OPT4_KTQT_v4[[#This Row],[GB-07]]*EXR</f>
        <v>0</v>
      </c>
      <c r="BK83" s="47">
        <f>KH_26_OPT4_KTQT_v4[[#This Row],[SL-08]]*KH_26_OPT4_KTQT_v4[[#This Row],[GB-08]]*EXR</f>
        <v>0</v>
      </c>
      <c r="BL83" s="47">
        <f>KH_26_OPT4_KTQT_v4[[#This Row],[SL-09]]*KH_26_OPT4_KTQT_v4[[#This Row],[GB-09]]*EXR</f>
        <v>0</v>
      </c>
      <c r="BM83" s="47">
        <f>KH_26_OPT4_KTQT_v4[[#This Row],[SL-10]]*KH_26_OPT4_KTQT_v4[[#This Row],[GB-10]]*EXR</f>
        <v>0</v>
      </c>
      <c r="BN83" s="47">
        <f>KH_26_OPT4_KTQT_v4[[#This Row],[SL-11]]*KH_26_OPT4_KTQT_v4[[#This Row],[GB-11]]*EXR</f>
        <v>0</v>
      </c>
      <c r="BO83" s="47">
        <f>KH_26_OPT4_KTQT_v4[[#This Row],[SL-12]]*KH_26_OPT4_KTQT_v4[[#This Row],[GB-12]]*EXR</f>
        <v>0</v>
      </c>
      <c r="BP83" s="47">
        <f ca="1">SUM(KH_26_OPT4_KTQT_v4[[#This Row],[DT-EXW-01]:[DT-EXW-12]])</f>
        <v>0</v>
      </c>
      <c r="BQ83" s="47">
        <f ca="1">SUMIFS(DB_25[DT-DB25],DB_25[Mã khách],KH_26_OPT4_KTQT_v4[[#This Row],[Mã khách]],DB_25[Mã sản phẩm],KH_26_OPT4_KTQT_v4[[#This Row],[Mã sản phẩm]])</f>
        <v>1345092878.8731503</v>
      </c>
      <c r="BR83" s="47">
        <f ca="1">KH_26_OPT4_KTQT_v4[[#This Row],[DT-EXW-KH26]]-KH_26_OPT4_KTQT_v4[[#This Row],[DT-EXW-DB25]]</f>
        <v>-1345092878.8731503</v>
      </c>
      <c r="BS83" s="21">
        <f ca="1">IFERROR(KH_26_OPT4_KTQT_v4[[#This Row],[DT-EXW-+/-]]/KH_26_OPT4_KTQT_v4[[#This Row],[DT-EXW-DB25]],0)</f>
        <v>-1</v>
      </c>
      <c r="BT83" s="139"/>
      <c r="BU83" s="57"/>
      <c r="BV83" s="51"/>
      <c r="BW83" s="47">
        <f>IF(KH_26_OPT4_KTQT_v4[[#This Row],[CPHH-%-SL]]="Dthu",KH_26_OPT4_KTQT_v4[[#This Row],[%HH]]*KH_26_OPT4_KTQT_v4[[#This Row],[DT-EXW-01]],KH_26_OPT4_KTQT_v4[[#This Row],[HH-SL]]*KH_26_OPT4_KTQT_v4[[#This Row],[SL-01]])</f>
        <v>0</v>
      </c>
      <c r="BX83" s="47">
        <f>IF(KH_26_OPT4_KTQT_v4[[#This Row],[CPHH-%-SL]]="Dthu",KH_26_OPT4_KTQT_v4[[#This Row],[%HH]]*KH_26_OPT4_KTQT_v4[[#This Row],[DT-EXW-02]],KH_26_OPT4_KTQT_v4[[#This Row],[HH-SL]]*KH_26_OPT4_KTQT_v4[[#This Row],[SL-02]])</f>
        <v>0</v>
      </c>
      <c r="BY83" s="47">
        <f>IF(KH_26_OPT4_KTQT_v4[[#This Row],[CPHH-%-SL]]="Dthu",KH_26_OPT4_KTQT_v4[[#This Row],[%HH]]*KH_26_OPT4_KTQT_v4[[#This Row],[DT-EXW-03]],KH_26_OPT4_KTQT_v4[[#This Row],[HH-SL]]*KH_26_OPT4_KTQT_v4[[#This Row],[SL-03]])</f>
        <v>0</v>
      </c>
      <c r="BZ83" s="47">
        <f>IF(KH_26_OPT4_KTQT_v4[[#This Row],[CPHH-%-SL]]="Dthu",KH_26_OPT4_KTQT_v4[[#This Row],[%HH]]*KH_26_OPT4_KTQT_v4[[#This Row],[DT-EXW-04]],KH_26_OPT4_KTQT_v4[[#This Row],[HH-SL]]*KH_26_OPT4_KTQT_v4[[#This Row],[SL-04]])</f>
        <v>0</v>
      </c>
      <c r="CA83" s="47">
        <f>IF(KH_26_OPT4_KTQT_v4[[#This Row],[CPHH-%-SL]]="Dthu",KH_26_OPT4_KTQT_v4[[#This Row],[%HH]]*KH_26_OPT4_KTQT_v4[[#This Row],[DT-EXW-05]],KH_26_OPT4_KTQT_v4[[#This Row],[HH-SL]]*KH_26_OPT4_KTQT_v4[[#This Row],[SL-05]])</f>
        <v>0</v>
      </c>
      <c r="CB83" s="47">
        <f>IF(KH_26_OPT4_KTQT_v4[[#This Row],[CPHH-%-SL]]="Dthu",KH_26_OPT4_KTQT_v4[[#This Row],[%HH]]*KH_26_OPT4_KTQT_v4[[#This Row],[DT-EXW-06]],KH_26_OPT4_KTQT_v4[[#This Row],[HH-SL]]*KH_26_OPT4_KTQT_v4[[#This Row],[SL-06]])</f>
        <v>0</v>
      </c>
      <c r="CC83" s="47">
        <f>IF(KH_26_OPT4_KTQT_v4[[#This Row],[CPHH-%-SL]]="Dthu",KH_26_OPT4_KTQT_v4[[#This Row],[%HH]]*KH_26_OPT4_KTQT_v4[[#This Row],[DT-EXW-07]],KH_26_OPT4_KTQT_v4[[#This Row],[HH-SL]]*KH_26_OPT4_KTQT_v4[[#This Row],[SL-07]])</f>
        <v>0</v>
      </c>
      <c r="CD83" s="47">
        <f>IF(KH_26_OPT4_KTQT_v4[[#This Row],[CPHH-%-SL]]="Dthu",KH_26_OPT4_KTQT_v4[[#This Row],[%HH]]*KH_26_OPT4_KTQT_v4[[#This Row],[DT-EXW-08]],KH_26_OPT4_KTQT_v4[[#This Row],[HH-SL]]*KH_26_OPT4_KTQT_v4[[#This Row],[SL-08]])</f>
        <v>0</v>
      </c>
      <c r="CE83" s="47">
        <f>IF(KH_26_OPT4_KTQT_v4[[#This Row],[CPHH-%-SL]]="Dthu",KH_26_OPT4_KTQT_v4[[#This Row],[%HH]]*KH_26_OPT4_KTQT_v4[[#This Row],[DT-EXW-09]],KH_26_OPT4_KTQT_v4[[#This Row],[HH-SL]]*KH_26_OPT4_KTQT_v4[[#This Row],[SL-09]])</f>
        <v>0</v>
      </c>
      <c r="CF83" s="47">
        <f>IF(KH_26_OPT4_KTQT_v4[[#This Row],[CPHH-%-SL]]="Dthu",KH_26_OPT4_KTQT_v4[[#This Row],[%HH]]*KH_26_OPT4_KTQT_v4[[#This Row],[DT-EXW-10]],KH_26_OPT4_KTQT_v4[[#This Row],[HH-SL]]*KH_26_OPT4_KTQT_v4[[#This Row],[SL-10]])</f>
        <v>0</v>
      </c>
      <c r="CG83" s="47">
        <f>IF(KH_26_OPT4_KTQT_v4[[#This Row],[CPHH-%-SL]]="Dthu",KH_26_OPT4_KTQT_v4[[#This Row],[%HH]]*KH_26_OPT4_KTQT_v4[[#This Row],[DT-EXW-11]],KH_26_OPT4_KTQT_v4[[#This Row],[HH-SL]]*KH_26_OPT4_KTQT_v4[[#This Row],[SL-11]])</f>
        <v>0</v>
      </c>
      <c r="CH83" s="47">
        <f>IF(KH_26_OPT4_KTQT_v4[[#This Row],[CPHH-%-SL]]="Dthu",KH_26_OPT4_KTQT_v4[[#This Row],[%HH]]*KH_26_OPT4_KTQT_v4[[#This Row],[DT-EXW-12]],KH_26_OPT4_KTQT_v4[[#This Row],[HH-SL]]*KH_26_OPT4_KTQT_v4[[#This Row],[SL-12]])</f>
        <v>0</v>
      </c>
      <c r="CI83" s="47">
        <f ca="1">SUM(KH_26_OPT4_KTQT_v4[[#This Row],[CPHH-01]:[CPHH-12]])</f>
        <v>0</v>
      </c>
      <c r="CJ83" s="47" cm="1">
        <f t="array" ref="CJ83">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83" s="19">
        <f ca="1">SUM(KH_26_OPT4_KTQT_v4[[#This Row],[ĐGVCNĐ-KXK]:[ĐGVCCT-KXK]])</f>
        <v>0</v>
      </c>
      <c r="CL83" s="47" cm="1">
        <f t="array" ref="CL83">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83" s="47" cm="1">
        <f t="array" ref="CM83">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83" s="47">
        <f ca="1">(KH_26_OPT4_KTQT_v4[[#This Row],[ĐGVC-KNĐ]]+KH_26_OPT4_KTQT_v4[[#This Row],[ĐGVC-KXK]])*KH_26_OPT4_KTQT_v4[[#This Row],[SL-01]]</f>
        <v>0</v>
      </c>
      <c r="CO83" s="47">
        <f ca="1">(KH_26_OPT4_KTQT_v4[[#This Row],[ĐGVC-KNĐ]]+KH_26_OPT4_KTQT_v4[[#This Row],[ĐGVC-KXK]])*KH_26_OPT4_KTQT_v4[[#This Row],[SL-02]]</f>
        <v>0</v>
      </c>
      <c r="CP83" s="47">
        <f ca="1">(KH_26_OPT4_KTQT_v4[[#This Row],[ĐGVC-KNĐ]]+KH_26_OPT4_KTQT_v4[[#This Row],[ĐGVC-KXK]])*KH_26_OPT4_KTQT_v4[[#This Row],[SL-03]]</f>
        <v>0</v>
      </c>
      <c r="CQ83" s="47">
        <f ca="1">(KH_26_OPT4_KTQT_v4[[#This Row],[ĐGVC-KNĐ]]+KH_26_OPT4_KTQT_v4[[#This Row],[ĐGVC-KXK]])*KH_26_OPT4_KTQT_v4[[#This Row],[SL-04]]</f>
        <v>0</v>
      </c>
      <c r="CR83" s="47">
        <f ca="1">(KH_26_OPT4_KTQT_v4[[#This Row],[ĐGVC-KNĐ]]+KH_26_OPT4_KTQT_v4[[#This Row],[ĐGVC-KXK]])*KH_26_OPT4_KTQT_v4[[#This Row],[SL-05]]</f>
        <v>0</v>
      </c>
      <c r="CS83" s="47">
        <f ca="1">(KH_26_OPT4_KTQT_v4[[#This Row],[ĐGVC-KNĐ]]+KH_26_OPT4_KTQT_v4[[#This Row],[ĐGVC-KXK]])*KH_26_OPT4_KTQT_v4[[#This Row],[SL-06]]</f>
        <v>0</v>
      </c>
      <c r="CT83" s="47">
        <f ca="1">(KH_26_OPT4_KTQT_v4[[#This Row],[ĐGVC-KNĐ]]+KH_26_OPT4_KTQT_v4[[#This Row],[ĐGVC-KXK]])*KH_26_OPT4_KTQT_v4[[#This Row],[SL-07]]</f>
        <v>0</v>
      </c>
      <c r="CU83" s="47">
        <f ca="1">(KH_26_OPT4_KTQT_v4[[#This Row],[ĐGVC-KNĐ]]+KH_26_OPT4_KTQT_v4[[#This Row],[ĐGVC-KXK]])*KH_26_OPT4_KTQT_v4[[#This Row],[SL-08]]</f>
        <v>0</v>
      </c>
      <c r="CV83" s="47">
        <f ca="1">(KH_26_OPT4_KTQT_v4[[#This Row],[ĐGVC-KNĐ]]+KH_26_OPT4_KTQT_v4[[#This Row],[ĐGVC-KXK]])*KH_26_OPT4_KTQT_v4[[#This Row],[SL-09]]</f>
        <v>0</v>
      </c>
      <c r="CW83" s="47">
        <f ca="1">(KH_26_OPT4_KTQT_v4[[#This Row],[ĐGVC-KNĐ]]+KH_26_OPT4_KTQT_v4[[#This Row],[ĐGVC-KXK]])*KH_26_OPT4_KTQT_v4[[#This Row],[SL-10]]</f>
        <v>0</v>
      </c>
      <c r="CX83" s="47">
        <f ca="1">(KH_26_OPT4_KTQT_v4[[#This Row],[ĐGVC-KNĐ]]+KH_26_OPT4_KTQT_v4[[#This Row],[ĐGVC-KXK]])*KH_26_OPT4_KTQT_v4[[#This Row],[SL-11]]</f>
        <v>0</v>
      </c>
      <c r="CY83" s="47">
        <f ca="1">(KH_26_OPT4_KTQT_v4[[#This Row],[ĐGVC-KNĐ]]+KH_26_OPT4_KTQT_v4[[#This Row],[ĐGVC-KXK]])*KH_26_OPT4_KTQT_v4[[#This Row],[SL-12]]</f>
        <v>0</v>
      </c>
      <c r="CZ83" s="47">
        <f ca="1">SUM(KH_26_OPT4_KTQT_v4[[#This Row],[CPVC-01]:[CPVC-12]])</f>
        <v>0</v>
      </c>
      <c r="DA83" s="124">
        <f ca="1">KH_26_OPT4_KTQT_v4[[#This Row],[DT-EXW-01]]+KH_26_OPT4_KTQT_v4[[#This Row],[CPVC-01]]+KH_26_OPT4_KTQT_v4[[#This Row],[CPHH-01]]</f>
        <v>0</v>
      </c>
      <c r="DB83" s="47">
        <f ca="1">KH_26_OPT4_KTQT_v4[[#This Row],[DT-EXW-02]]+KH_26_OPT4_KTQT_v4[[#This Row],[CPVC-02]]+KH_26_OPT4_KTQT_v4[[#This Row],[CPHH-02]]</f>
        <v>0</v>
      </c>
      <c r="DC83" s="47">
        <f ca="1">KH_26_OPT4_KTQT_v4[[#This Row],[DT-EXW-03]]+KH_26_OPT4_KTQT_v4[[#This Row],[CPVC-03]]+KH_26_OPT4_KTQT_v4[[#This Row],[CPHH-03]]</f>
        <v>0</v>
      </c>
      <c r="DD83" s="47">
        <f ca="1">KH_26_OPT4_KTQT_v4[[#This Row],[DT-EXW-04]]+KH_26_OPT4_KTQT_v4[[#This Row],[CPVC-04]]+KH_26_OPT4_KTQT_v4[[#This Row],[CPHH-04]]</f>
        <v>0</v>
      </c>
      <c r="DE83" s="47">
        <f ca="1">KH_26_OPT4_KTQT_v4[[#This Row],[DT-EXW-05]]+KH_26_OPT4_KTQT_v4[[#This Row],[CPVC-05]]+KH_26_OPT4_KTQT_v4[[#This Row],[CPHH-05]]</f>
        <v>0</v>
      </c>
      <c r="DF83" s="47">
        <f ca="1">KH_26_OPT4_KTQT_v4[[#This Row],[DT-EXW-06]]+KH_26_OPT4_KTQT_v4[[#This Row],[CPVC-06]]+KH_26_OPT4_KTQT_v4[[#This Row],[CPHH-06]]</f>
        <v>0</v>
      </c>
      <c r="DG83" s="47">
        <f ca="1">KH_26_OPT4_KTQT_v4[[#This Row],[DT-EXW-07]]+KH_26_OPT4_KTQT_v4[[#This Row],[CPVC-07]]+KH_26_OPT4_KTQT_v4[[#This Row],[CPHH-07]]</f>
        <v>0</v>
      </c>
      <c r="DH83" s="47">
        <f ca="1">KH_26_OPT4_KTQT_v4[[#This Row],[DT-EXW-08]]+KH_26_OPT4_KTQT_v4[[#This Row],[CPVC-08]]+KH_26_OPT4_KTQT_v4[[#This Row],[CPHH-08]]</f>
        <v>0</v>
      </c>
      <c r="DI83" s="47">
        <f ca="1">KH_26_OPT4_KTQT_v4[[#This Row],[DT-EXW-09]]+KH_26_OPT4_KTQT_v4[[#This Row],[CPVC-09]]+KH_26_OPT4_KTQT_v4[[#This Row],[CPHH-09]]</f>
        <v>0</v>
      </c>
      <c r="DJ83" s="47">
        <f ca="1">KH_26_OPT4_KTQT_v4[[#This Row],[DT-EXW-10]]+KH_26_OPT4_KTQT_v4[[#This Row],[CPVC-10]]+KH_26_OPT4_KTQT_v4[[#This Row],[CPHH-10]]</f>
        <v>0</v>
      </c>
      <c r="DK83" s="47">
        <f ca="1">KH_26_OPT4_KTQT_v4[[#This Row],[DT-EXW-11]]+KH_26_OPT4_KTQT_v4[[#This Row],[CPVC-11]]+KH_26_OPT4_KTQT_v4[[#This Row],[CPHH-11]]</f>
        <v>0</v>
      </c>
      <c r="DL83" s="47">
        <f ca="1">KH_26_OPT4_KTQT_v4[[#This Row],[DT-EXW-12]]+KH_26_OPT4_KTQT_v4[[#This Row],[CPVC-12]]+KH_26_OPT4_KTQT_v4[[#This Row],[CPHH-12]]</f>
        <v>0</v>
      </c>
      <c r="DM83" s="47">
        <f ca="1">SUM(KH_26_OPT4_KTQT_v4[[#This Row],[DT-01]:[DT-12]])</f>
        <v>0</v>
      </c>
      <c r="DN83" s="7"/>
      <c r="DO83" s="7"/>
      <c r="DP83" s="125"/>
      <c r="DQ83" s="136"/>
      <c r="DR83" s="132">
        <f>IFERROR(KH_26_OPT4_KTQT_v4[[#This Row],[DT-EXW-01]]*KH_26_OPT4_KTQT_v4[[#This Row],[%CPDP]],0)</f>
        <v>0</v>
      </c>
      <c r="DS83" s="132">
        <f>IFERROR(KH_26_OPT4_KTQT_v4[[#This Row],[DT-EXW-02]]*KH_26_OPT4_KTQT_v4[[#This Row],[%CPDP]],0)</f>
        <v>0</v>
      </c>
      <c r="DT83" s="132">
        <f>IFERROR(KH_26_OPT4_KTQT_v4[[#This Row],[DT-EXW-03]]*KH_26_OPT4_KTQT_v4[[#This Row],[%CPDP]],0)</f>
        <v>0</v>
      </c>
      <c r="DU83" s="132">
        <f>IFERROR(KH_26_OPT4_KTQT_v4[[#This Row],[DT-EXW-04]]*KH_26_OPT4_KTQT_v4[[#This Row],[%CPDP]],0)</f>
        <v>0</v>
      </c>
      <c r="DV83" s="132">
        <f>IFERROR(KH_26_OPT4_KTQT_v4[[#This Row],[DT-EXW-05]]*KH_26_OPT4_KTQT_v4[[#This Row],[%CPDP]],0)</f>
        <v>0</v>
      </c>
      <c r="DW83" s="132">
        <f>IFERROR(KH_26_OPT4_KTQT_v4[[#This Row],[DT-EXW-06]]*KH_26_OPT4_KTQT_v4[[#This Row],[%CPDP]],0)</f>
        <v>0</v>
      </c>
      <c r="DX83" s="132">
        <f>IFERROR(KH_26_OPT4_KTQT_v4[[#This Row],[DT-EXW-07]]*KH_26_OPT4_KTQT_v4[[#This Row],[%CPDP]],0)</f>
        <v>0</v>
      </c>
      <c r="DY83" s="132">
        <f>IFERROR(KH_26_OPT4_KTQT_v4[[#This Row],[DT-EXW-08]]*KH_26_OPT4_KTQT_v4[[#This Row],[%CPDP]],0)</f>
        <v>0</v>
      </c>
      <c r="DZ83" s="132">
        <f>IFERROR(KH_26_OPT4_KTQT_v4[[#This Row],[DT-EXW-09]]*KH_26_OPT4_KTQT_v4[[#This Row],[%CPDP]],0)</f>
        <v>0</v>
      </c>
      <c r="EA83" s="132">
        <f>IFERROR(KH_26_OPT4_KTQT_v4[[#This Row],[DT-EXW-10]]*KH_26_OPT4_KTQT_v4[[#This Row],[%CPDP]],0)</f>
        <v>0</v>
      </c>
      <c r="EB83" s="132">
        <f>IFERROR(KH_26_OPT4_KTQT_v4[[#This Row],[DT-EXW-11]]*KH_26_OPT4_KTQT_v4[[#This Row],[%CPDP]],0)</f>
        <v>0</v>
      </c>
      <c r="EC83" s="132">
        <f>IFERROR(KH_26_OPT4_KTQT_v4[[#This Row],[DT-EXW-12]]*KH_26_OPT4_KTQT_v4[[#This Row],[%CPDP]],0)</f>
        <v>0</v>
      </c>
      <c r="ED83" s="131">
        <f ca="1">SUM(KH_26_OPT4_KTQT_v4[[#This Row],[CPDP-01]:[CPDP-12]])</f>
        <v>0</v>
      </c>
    </row>
    <row r="84" spans="1:134" ht="14.65" hidden="1" customHeight="1" x14ac:dyDescent="0.35">
      <c r="A84" s="18">
        <v>79</v>
      </c>
      <c r="B84" s="71" t="s">
        <v>115</v>
      </c>
      <c r="C84" s="18" t="str">
        <f>IFERROR(_xlfn.XLOOKUP(KH_26_OPT4_KTQT_v4[[#This Row],[Salesman]],MD_Salesman[Salesman],MD_Salesman[SalesManager]),"")</f>
        <v>Quốc Anh</v>
      </c>
      <c r="D84" s="72" t="str">
        <f>IFERROR(INDEX(MD_Customer[Mã khách],MATCH(KH_26_OPT4_KTQT_v4[[#This Row],[Tên khách]],MD_Customer[Tên khách-rút gọn],0)),"")</f>
        <v>200387</v>
      </c>
      <c r="E84" s="7" t="str">
        <f>IFERROR(INDEX(MD_Customer[Parent Account],MATCH(KH_26_OPT4_KTQT_v4[[#This Row],[Tên khách]],MD_Customer[Tên khách-rút gọn],0)),"")</f>
        <v>ANTEX</v>
      </c>
      <c r="F84" s="35" t="s">
        <v>27</v>
      </c>
      <c r="G84" s="7" t="str">
        <f>IFERROR(INDEX(MD_Customer[Phân loại],MATCH(KH_26_OPT4_KTQT_v4[[#This Row],[Tên khách]],MD_Customer[Tên khách-rút gọn],0)),"")</f>
        <v>Hiện hữu</v>
      </c>
      <c r="H84" s="7" t="str">
        <f>IFERROR(INDEX(MD_Customer[Kênh bán hàng],MATCH(KH_26_OPT4_KTQT_v4[[#This Row],[Tên khách]],MD_Customer[Tên khách-rút gọn],0)),"")</f>
        <v>Xuất khẩu</v>
      </c>
      <c r="I84" s="35" t="s">
        <v>315</v>
      </c>
      <c r="J84" s="7" t="str">
        <f>IFERROR(INDEX(MD_Destination[Nước],MATCH(KH_26_OPT4_KTQT_v4[[#This Row],[Địa điểm đến]],MD_Destination[Địa điểm đến],0)),"")</f>
        <v>Tây Ban Nha</v>
      </c>
      <c r="K84" s="7" t="str">
        <f>IFERROR(INDEX(MD_Destination[Khu vực],MATCH(KH_26_OPT4_KTQT_v4[[#This Row],[Địa điểm đến]],MD_Destination[Địa điểm đến],0)),"")</f>
        <v>Châu Âu</v>
      </c>
      <c r="L84" s="35" t="s">
        <v>285</v>
      </c>
      <c r="M84" s="7" t="str">
        <f>IFERROR(INDEX(MD_SKU[Mã SKU],MATCH(KH_26_OPT4_KTQT_v4[[#This Row],[Tên sản phẩm]],MD_SKU[Tên SKU-rút gọn],0)),"")</f>
        <v>110000436</v>
      </c>
      <c r="N84" s="35" t="s">
        <v>484</v>
      </c>
      <c r="O84" s="7" t="str">
        <f>IFERROR(INDEX(MD_SKU[Ngành hàng],MATCH(KH_26_OPT4_KTQT_v4[[#This Row],[Tên sản phẩm]],MD_SKU[Tên SKU-rút gọn],0)),"")</f>
        <v>Xơ sợi</v>
      </c>
      <c r="P84" s="7" t="str">
        <f>IFERROR(INDEX(MD_SKU[Nhóm ngành],MATCH(KH_26_OPT4_KTQT_v4[[#This Row],[Tên sản phẩm]],MD_SKU[Tên SKU-rút gọn],0)),"")</f>
        <v>Hạt Xơ sợi</v>
      </c>
      <c r="Q84" s="7" t="str">
        <f>IFERROR(
   IF(INDEX(MD_SKU[IV/IM],MATCH(KH_26_OPT4_KTQT_v4[[#This Row],[Tên sản phẩm]],MD_SKU[Tên SKU-rút gọn],0))=0,
      "",
      INDEX(MD_SKU[IV/IM],MATCH(KH_26_OPT4_KTQT_v4[[#This Row],[Tên sản phẩm]],MD_SKU[Tên SKU-rút gọn],0))
   ),
"")</f>
        <v>0.55 ± 0.05</v>
      </c>
      <c r="R84" s="44">
        <f>IFERROR(INDEX(MD_SKU[Application],MATCH(KH_26_OPT4_KTQT_v4[[#This Row],[Tên sản phẩm]],MD_SKU[Tên SKU-rút gọn],0)),"")</f>
        <v>0</v>
      </c>
      <c r="S84" s="7" t="str">
        <f>IFERROR(INDEX(MD_SKU[Phân loại],MATCH(KH_26_OPT4_KTQT_v4[[#This Row],[Tên sản phẩm]],MD_SKU[Tên SKU-rút gọn],0)),"")</f>
        <v>Cũ</v>
      </c>
      <c r="T84" s="7" t="s">
        <v>27</v>
      </c>
      <c r="U84" s="157" t="s">
        <v>1508</v>
      </c>
      <c r="V84" s="70">
        <v>0.8</v>
      </c>
      <c r="W84" s="7"/>
      <c r="X84" s="33"/>
      <c r="Y84" s="33"/>
      <c r="Z84" s="33"/>
      <c r="AA84" s="7"/>
      <c r="AB84" s="33"/>
      <c r="AC84" s="33"/>
      <c r="AD84" s="33"/>
      <c r="AE84" s="7"/>
      <c r="AF84" s="33"/>
      <c r="AG84" s="33"/>
      <c r="AH84" s="33"/>
      <c r="AI84" s="47">
        <f ca="1">SUM(KH_26_OPT4_KTQT_v4[[#This Row],[SL-01]:[SL-12]])</f>
        <v>0</v>
      </c>
      <c r="AJ84" s="47">
        <f ca="1">SUMIFS(DB_25[SL-DB25],DB_25[Mã khách],KH_26_OPT4_KTQT_v4[[#This Row],[Mã khách]],DB_25[Mã sản phẩm],KH_26_OPT4_KTQT_v4[[#This Row],[Mã sản phẩm]])</f>
        <v>84</v>
      </c>
      <c r="AK84" s="20">
        <f ca="1">KH_26_OPT4_KTQT_v4[[#This Row],[SL-KH26]]-KH_26_OPT4_KTQT_v4[[#This Row],[SL-DB25]]</f>
        <v>-84</v>
      </c>
      <c r="AL84" s="21">
        <f ca="1">IFERROR(KH_26_OPT4_KTQT_v4[[#This Row],[SL-+/-]]/KH_26_OPT4_KTQT_v4[[#This Row],[SL-DB25]],0)</f>
        <v>-1</v>
      </c>
      <c r="AM84" s="51">
        <v>640</v>
      </c>
      <c r="AN84" s="51">
        <v>632</v>
      </c>
      <c r="AO84" s="51">
        <v>624</v>
      </c>
      <c r="AP84" s="51">
        <v>616</v>
      </c>
      <c r="AQ84" s="51">
        <v>608</v>
      </c>
      <c r="AR84" s="51">
        <v>600</v>
      </c>
      <c r="AS84" s="51">
        <v>592</v>
      </c>
      <c r="AT84" s="51">
        <v>584</v>
      </c>
      <c r="AU84" s="51">
        <v>576</v>
      </c>
      <c r="AV84" s="51">
        <v>568</v>
      </c>
      <c r="AW84" s="51">
        <v>560</v>
      </c>
      <c r="AX84" s="51">
        <v>552</v>
      </c>
      <c r="AY84" s="23">
        <v>596</v>
      </c>
      <c r="AZ84" s="7"/>
      <c r="BA84" s="24">
        <f>KH_26_OPT4_KTQT_v4[[#This Row],[GB-DB25]]-KH_26_OPT4_KTQT_v4[[#This Row],[GB-KH25]]</f>
        <v>596</v>
      </c>
      <c r="BB84" s="21">
        <f>IFERROR(KH_26_OPT4_KTQT_v4[[#This Row],[GB-+/-]]/KH_26_OPT4_KTQT_v4[[#This Row],[GB-KH25]],0)</f>
        <v>0</v>
      </c>
      <c r="BC84" s="21"/>
      <c r="BD84" s="47">
        <f>KH_26_OPT4_KTQT_v4[[#This Row],[SL-01]]*KH_26_OPT4_KTQT_v4[[#This Row],[GB-01]]*EXR</f>
        <v>0</v>
      </c>
      <c r="BE84" s="47">
        <f>KH_26_OPT4_KTQT_v4[[#This Row],[SL-02]]*KH_26_OPT4_KTQT_v4[[#This Row],[GB-02]]*EXR</f>
        <v>0</v>
      </c>
      <c r="BF84" s="47">
        <f>KH_26_OPT4_KTQT_v4[[#This Row],[SL-03]]*KH_26_OPT4_KTQT_v4[[#This Row],[GB-03]]*EXR</f>
        <v>0</v>
      </c>
      <c r="BG84" s="47">
        <f>KH_26_OPT4_KTQT_v4[[#This Row],[SL-04]]*KH_26_OPT4_KTQT_v4[[#This Row],[GB-04]]*EXR</f>
        <v>0</v>
      </c>
      <c r="BH84" s="47">
        <f>KH_26_OPT4_KTQT_v4[[#This Row],[SL-05]]*KH_26_OPT4_KTQT_v4[[#This Row],[GB-05]]*EXR</f>
        <v>0</v>
      </c>
      <c r="BI84" s="47">
        <f>KH_26_OPT4_KTQT_v4[[#This Row],[SL-06]]*KH_26_OPT4_KTQT_v4[[#This Row],[GB-06]]*EXR</f>
        <v>0</v>
      </c>
      <c r="BJ84" s="47">
        <f>KH_26_OPT4_KTQT_v4[[#This Row],[SL-07]]*KH_26_OPT4_KTQT_v4[[#This Row],[GB-07]]*EXR</f>
        <v>0</v>
      </c>
      <c r="BK84" s="47">
        <f>KH_26_OPT4_KTQT_v4[[#This Row],[SL-08]]*KH_26_OPT4_KTQT_v4[[#This Row],[GB-08]]*EXR</f>
        <v>0</v>
      </c>
      <c r="BL84" s="47">
        <f>KH_26_OPT4_KTQT_v4[[#This Row],[SL-09]]*KH_26_OPT4_KTQT_v4[[#This Row],[GB-09]]*EXR</f>
        <v>0</v>
      </c>
      <c r="BM84" s="47">
        <f>KH_26_OPT4_KTQT_v4[[#This Row],[SL-10]]*KH_26_OPT4_KTQT_v4[[#This Row],[GB-10]]*EXR</f>
        <v>0</v>
      </c>
      <c r="BN84" s="47">
        <f>KH_26_OPT4_KTQT_v4[[#This Row],[SL-11]]*KH_26_OPT4_KTQT_v4[[#This Row],[GB-11]]*EXR</f>
        <v>0</v>
      </c>
      <c r="BO84" s="47">
        <f>KH_26_OPT4_KTQT_v4[[#This Row],[SL-12]]*KH_26_OPT4_KTQT_v4[[#This Row],[GB-12]]*EXR</f>
        <v>0</v>
      </c>
      <c r="BP84" s="47">
        <f ca="1">SUM(KH_26_OPT4_KTQT_v4[[#This Row],[DT-EXW-01]:[DT-EXW-12]])</f>
        <v>0</v>
      </c>
      <c r="BQ84" s="47">
        <f ca="1">SUMIFS(DB_25[DT-DB25],DB_25[Mã khách],KH_26_OPT4_KTQT_v4[[#This Row],[Mã khách]],DB_25[Mã sản phẩm],KH_26_OPT4_KTQT_v4[[#This Row],[Mã sản phẩm]])</f>
        <v>366925433.04722744</v>
      </c>
      <c r="BR84" s="19">
        <f ca="1">KH_26_OPT4_KTQT_v4[[#This Row],[DT-EXW-KH26]]-KH_26_OPT4_KTQT_v4[[#This Row],[DT-EXW-DB25]]</f>
        <v>-366925433.04722744</v>
      </c>
      <c r="BS84" s="21">
        <f ca="1">IFERROR(KH_26_OPT4_KTQT_v4[[#This Row],[DT-EXW-+/-]]/KH_26_OPT4_KTQT_v4[[#This Row],[DT-EXW-DB25]],0)</f>
        <v>-1</v>
      </c>
      <c r="BT84" s="139"/>
      <c r="BU84" s="57"/>
      <c r="BV84" s="51"/>
      <c r="BW84" s="47">
        <f>IF(KH_26_OPT4_KTQT_v4[[#This Row],[CPHH-%-SL]]="Dthu",KH_26_OPT4_KTQT_v4[[#This Row],[%HH]]*KH_26_OPT4_KTQT_v4[[#This Row],[DT-EXW-01]],KH_26_OPT4_KTQT_v4[[#This Row],[HH-SL]]*KH_26_OPT4_KTQT_v4[[#This Row],[SL-01]])</f>
        <v>0</v>
      </c>
      <c r="BX84" s="47">
        <f>IF(KH_26_OPT4_KTQT_v4[[#This Row],[CPHH-%-SL]]="Dthu",KH_26_OPT4_KTQT_v4[[#This Row],[%HH]]*KH_26_OPT4_KTQT_v4[[#This Row],[DT-EXW-02]],KH_26_OPT4_KTQT_v4[[#This Row],[HH-SL]]*KH_26_OPT4_KTQT_v4[[#This Row],[SL-02]])</f>
        <v>0</v>
      </c>
      <c r="BY84" s="47">
        <f>IF(KH_26_OPT4_KTQT_v4[[#This Row],[CPHH-%-SL]]="Dthu",KH_26_OPT4_KTQT_v4[[#This Row],[%HH]]*KH_26_OPT4_KTQT_v4[[#This Row],[DT-EXW-03]],KH_26_OPT4_KTQT_v4[[#This Row],[HH-SL]]*KH_26_OPT4_KTQT_v4[[#This Row],[SL-03]])</f>
        <v>0</v>
      </c>
      <c r="BZ84" s="47">
        <f>IF(KH_26_OPT4_KTQT_v4[[#This Row],[CPHH-%-SL]]="Dthu",KH_26_OPT4_KTQT_v4[[#This Row],[%HH]]*KH_26_OPT4_KTQT_v4[[#This Row],[DT-EXW-04]],KH_26_OPT4_KTQT_v4[[#This Row],[HH-SL]]*KH_26_OPT4_KTQT_v4[[#This Row],[SL-04]])</f>
        <v>0</v>
      </c>
      <c r="CA84" s="47">
        <f>IF(KH_26_OPT4_KTQT_v4[[#This Row],[CPHH-%-SL]]="Dthu",KH_26_OPT4_KTQT_v4[[#This Row],[%HH]]*KH_26_OPT4_KTQT_v4[[#This Row],[DT-EXW-05]],KH_26_OPT4_KTQT_v4[[#This Row],[HH-SL]]*KH_26_OPT4_KTQT_v4[[#This Row],[SL-05]])</f>
        <v>0</v>
      </c>
      <c r="CB84" s="47">
        <f>IF(KH_26_OPT4_KTQT_v4[[#This Row],[CPHH-%-SL]]="Dthu",KH_26_OPT4_KTQT_v4[[#This Row],[%HH]]*KH_26_OPT4_KTQT_v4[[#This Row],[DT-EXW-06]],KH_26_OPT4_KTQT_v4[[#This Row],[HH-SL]]*KH_26_OPT4_KTQT_v4[[#This Row],[SL-06]])</f>
        <v>0</v>
      </c>
      <c r="CC84" s="47">
        <f>IF(KH_26_OPT4_KTQT_v4[[#This Row],[CPHH-%-SL]]="Dthu",KH_26_OPT4_KTQT_v4[[#This Row],[%HH]]*KH_26_OPT4_KTQT_v4[[#This Row],[DT-EXW-07]],KH_26_OPT4_KTQT_v4[[#This Row],[HH-SL]]*KH_26_OPT4_KTQT_v4[[#This Row],[SL-07]])</f>
        <v>0</v>
      </c>
      <c r="CD84" s="47">
        <f>IF(KH_26_OPT4_KTQT_v4[[#This Row],[CPHH-%-SL]]="Dthu",KH_26_OPT4_KTQT_v4[[#This Row],[%HH]]*KH_26_OPT4_KTQT_v4[[#This Row],[DT-EXW-08]],KH_26_OPT4_KTQT_v4[[#This Row],[HH-SL]]*KH_26_OPT4_KTQT_v4[[#This Row],[SL-08]])</f>
        <v>0</v>
      </c>
      <c r="CE84" s="47">
        <f>IF(KH_26_OPT4_KTQT_v4[[#This Row],[CPHH-%-SL]]="Dthu",KH_26_OPT4_KTQT_v4[[#This Row],[%HH]]*KH_26_OPT4_KTQT_v4[[#This Row],[DT-EXW-09]],KH_26_OPT4_KTQT_v4[[#This Row],[HH-SL]]*KH_26_OPT4_KTQT_v4[[#This Row],[SL-09]])</f>
        <v>0</v>
      </c>
      <c r="CF84" s="47">
        <f>IF(KH_26_OPT4_KTQT_v4[[#This Row],[CPHH-%-SL]]="Dthu",KH_26_OPT4_KTQT_v4[[#This Row],[%HH]]*KH_26_OPT4_KTQT_v4[[#This Row],[DT-EXW-10]],KH_26_OPT4_KTQT_v4[[#This Row],[HH-SL]]*KH_26_OPT4_KTQT_v4[[#This Row],[SL-10]])</f>
        <v>0</v>
      </c>
      <c r="CG84" s="47">
        <f>IF(KH_26_OPT4_KTQT_v4[[#This Row],[CPHH-%-SL]]="Dthu",KH_26_OPT4_KTQT_v4[[#This Row],[%HH]]*KH_26_OPT4_KTQT_v4[[#This Row],[DT-EXW-11]],KH_26_OPT4_KTQT_v4[[#This Row],[HH-SL]]*KH_26_OPT4_KTQT_v4[[#This Row],[SL-11]])</f>
        <v>0</v>
      </c>
      <c r="CH84" s="47">
        <f>IF(KH_26_OPT4_KTQT_v4[[#This Row],[CPHH-%-SL]]="Dthu",KH_26_OPT4_KTQT_v4[[#This Row],[%HH]]*KH_26_OPT4_KTQT_v4[[#This Row],[DT-EXW-12]],KH_26_OPT4_KTQT_v4[[#This Row],[HH-SL]]*KH_26_OPT4_KTQT_v4[[#This Row],[SL-12]])</f>
        <v>0</v>
      </c>
      <c r="CI84" s="47">
        <f ca="1">SUM(KH_26_OPT4_KTQT_v4[[#This Row],[CPHH-01]:[CPHH-12]])</f>
        <v>0</v>
      </c>
      <c r="CJ84" s="47" cm="1">
        <f t="array" ref="CJ84">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84" s="19">
        <f ca="1">SUM(KH_26_OPT4_KTQT_v4[[#This Row],[ĐGVCNĐ-KXK]:[ĐGVCCT-KXK]])</f>
        <v>3420909.0909090908</v>
      </c>
      <c r="CL84" s="47" cm="1">
        <f t="array" ref="CL84">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530000</v>
      </c>
      <c r="CM84" s="47" cm="1">
        <f t="array" ref="CM84">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2890909.0909090908</v>
      </c>
      <c r="CN84" s="47">
        <f ca="1">(KH_26_OPT4_KTQT_v4[[#This Row],[ĐGVC-KNĐ]]+KH_26_OPT4_KTQT_v4[[#This Row],[ĐGVC-KXK]])*KH_26_OPT4_KTQT_v4[[#This Row],[SL-01]]</f>
        <v>0</v>
      </c>
      <c r="CO84" s="47">
        <f ca="1">(KH_26_OPT4_KTQT_v4[[#This Row],[ĐGVC-KNĐ]]+KH_26_OPT4_KTQT_v4[[#This Row],[ĐGVC-KXK]])*KH_26_OPT4_KTQT_v4[[#This Row],[SL-02]]</f>
        <v>0</v>
      </c>
      <c r="CP84" s="47">
        <f ca="1">(KH_26_OPT4_KTQT_v4[[#This Row],[ĐGVC-KNĐ]]+KH_26_OPT4_KTQT_v4[[#This Row],[ĐGVC-KXK]])*KH_26_OPT4_KTQT_v4[[#This Row],[SL-03]]</f>
        <v>0</v>
      </c>
      <c r="CQ84" s="47">
        <f ca="1">(KH_26_OPT4_KTQT_v4[[#This Row],[ĐGVC-KNĐ]]+KH_26_OPT4_KTQT_v4[[#This Row],[ĐGVC-KXK]])*KH_26_OPT4_KTQT_v4[[#This Row],[SL-04]]</f>
        <v>0</v>
      </c>
      <c r="CR84" s="47">
        <f ca="1">(KH_26_OPT4_KTQT_v4[[#This Row],[ĐGVC-KNĐ]]+KH_26_OPT4_KTQT_v4[[#This Row],[ĐGVC-KXK]])*KH_26_OPT4_KTQT_v4[[#This Row],[SL-05]]</f>
        <v>0</v>
      </c>
      <c r="CS84" s="47">
        <f ca="1">(KH_26_OPT4_KTQT_v4[[#This Row],[ĐGVC-KNĐ]]+KH_26_OPT4_KTQT_v4[[#This Row],[ĐGVC-KXK]])*KH_26_OPT4_KTQT_v4[[#This Row],[SL-06]]</f>
        <v>0</v>
      </c>
      <c r="CT84" s="47">
        <f ca="1">(KH_26_OPT4_KTQT_v4[[#This Row],[ĐGVC-KNĐ]]+KH_26_OPT4_KTQT_v4[[#This Row],[ĐGVC-KXK]])*KH_26_OPT4_KTQT_v4[[#This Row],[SL-07]]</f>
        <v>0</v>
      </c>
      <c r="CU84" s="47">
        <f ca="1">(KH_26_OPT4_KTQT_v4[[#This Row],[ĐGVC-KNĐ]]+KH_26_OPT4_KTQT_v4[[#This Row],[ĐGVC-KXK]])*KH_26_OPT4_KTQT_v4[[#This Row],[SL-08]]</f>
        <v>0</v>
      </c>
      <c r="CV84" s="47">
        <f ca="1">(KH_26_OPT4_KTQT_v4[[#This Row],[ĐGVC-KNĐ]]+KH_26_OPT4_KTQT_v4[[#This Row],[ĐGVC-KXK]])*KH_26_OPT4_KTQT_v4[[#This Row],[SL-09]]</f>
        <v>0</v>
      </c>
      <c r="CW84" s="47">
        <f ca="1">(KH_26_OPT4_KTQT_v4[[#This Row],[ĐGVC-KNĐ]]+KH_26_OPT4_KTQT_v4[[#This Row],[ĐGVC-KXK]])*KH_26_OPT4_KTQT_v4[[#This Row],[SL-10]]</f>
        <v>0</v>
      </c>
      <c r="CX84" s="47">
        <f ca="1">(KH_26_OPT4_KTQT_v4[[#This Row],[ĐGVC-KNĐ]]+KH_26_OPT4_KTQT_v4[[#This Row],[ĐGVC-KXK]])*KH_26_OPT4_KTQT_v4[[#This Row],[SL-11]]</f>
        <v>0</v>
      </c>
      <c r="CY84" s="47">
        <f ca="1">(KH_26_OPT4_KTQT_v4[[#This Row],[ĐGVC-KNĐ]]+KH_26_OPT4_KTQT_v4[[#This Row],[ĐGVC-KXK]])*KH_26_OPT4_KTQT_v4[[#This Row],[SL-12]]</f>
        <v>0</v>
      </c>
      <c r="CZ84" s="47">
        <f ca="1">SUM(KH_26_OPT4_KTQT_v4[[#This Row],[CPVC-01]:[CPVC-12]])</f>
        <v>0</v>
      </c>
      <c r="DA84" s="124">
        <f ca="1">KH_26_OPT4_KTQT_v4[[#This Row],[DT-EXW-01]]+KH_26_OPT4_KTQT_v4[[#This Row],[CPVC-01]]+KH_26_OPT4_KTQT_v4[[#This Row],[CPHH-01]]</f>
        <v>0</v>
      </c>
      <c r="DB84" s="47">
        <f ca="1">KH_26_OPT4_KTQT_v4[[#This Row],[DT-EXW-02]]+KH_26_OPT4_KTQT_v4[[#This Row],[CPVC-02]]+KH_26_OPT4_KTQT_v4[[#This Row],[CPHH-02]]</f>
        <v>0</v>
      </c>
      <c r="DC84" s="47">
        <f ca="1">KH_26_OPT4_KTQT_v4[[#This Row],[DT-EXW-03]]+KH_26_OPT4_KTQT_v4[[#This Row],[CPVC-03]]+KH_26_OPT4_KTQT_v4[[#This Row],[CPHH-03]]</f>
        <v>0</v>
      </c>
      <c r="DD84" s="47">
        <f ca="1">KH_26_OPT4_KTQT_v4[[#This Row],[DT-EXW-04]]+KH_26_OPT4_KTQT_v4[[#This Row],[CPVC-04]]+KH_26_OPT4_KTQT_v4[[#This Row],[CPHH-04]]</f>
        <v>0</v>
      </c>
      <c r="DE84" s="47">
        <f ca="1">KH_26_OPT4_KTQT_v4[[#This Row],[DT-EXW-05]]+KH_26_OPT4_KTQT_v4[[#This Row],[CPVC-05]]+KH_26_OPT4_KTQT_v4[[#This Row],[CPHH-05]]</f>
        <v>0</v>
      </c>
      <c r="DF84" s="47">
        <f ca="1">KH_26_OPT4_KTQT_v4[[#This Row],[DT-EXW-06]]+KH_26_OPT4_KTQT_v4[[#This Row],[CPVC-06]]+KH_26_OPT4_KTQT_v4[[#This Row],[CPHH-06]]</f>
        <v>0</v>
      </c>
      <c r="DG84" s="47">
        <f ca="1">KH_26_OPT4_KTQT_v4[[#This Row],[DT-EXW-07]]+KH_26_OPT4_KTQT_v4[[#This Row],[CPVC-07]]+KH_26_OPT4_KTQT_v4[[#This Row],[CPHH-07]]</f>
        <v>0</v>
      </c>
      <c r="DH84" s="47">
        <f ca="1">KH_26_OPT4_KTQT_v4[[#This Row],[DT-EXW-08]]+KH_26_OPT4_KTQT_v4[[#This Row],[CPVC-08]]+KH_26_OPT4_KTQT_v4[[#This Row],[CPHH-08]]</f>
        <v>0</v>
      </c>
      <c r="DI84" s="47">
        <f ca="1">KH_26_OPT4_KTQT_v4[[#This Row],[DT-EXW-09]]+KH_26_OPT4_KTQT_v4[[#This Row],[CPVC-09]]+KH_26_OPT4_KTQT_v4[[#This Row],[CPHH-09]]</f>
        <v>0</v>
      </c>
      <c r="DJ84" s="47">
        <f ca="1">KH_26_OPT4_KTQT_v4[[#This Row],[DT-EXW-10]]+KH_26_OPT4_KTQT_v4[[#This Row],[CPVC-10]]+KH_26_OPT4_KTQT_v4[[#This Row],[CPHH-10]]</f>
        <v>0</v>
      </c>
      <c r="DK84" s="47">
        <f ca="1">KH_26_OPT4_KTQT_v4[[#This Row],[DT-EXW-11]]+KH_26_OPT4_KTQT_v4[[#This Row],[CPVC-11]]+KH_26_OPT4_KTQT_v4[[#This Row],[CPHH-11]]</f>
        <v>0</v>
      </c>
      <c r="DL84" s="47">
        <f ca="1">KH_26_OPT4_KTQT_v4[[#This Row],[DT-EXW-12]]+KH_26_OPT4_KTQT_v4[[#This Row],[CPVC-12]]+KH_26_OPT4_KTQT_v4[[#This Row],[CPHH-12]]</f>
        <v>0</v>
      </c>
      <c r="DM84" s="47">
        <f ca="1">SUM(KH_26_OPT4_KTQT_v4[[#This Row],[DT-01]:[DT-12]])</f>
        <v>0</v>
      </c>
      <c r="DN84" s="7"/>
      <c r="DO84" s="7"/>
      <c r="DP84" s="125"/>
      <c r="DQ84" s="136"/>
      <c r="DR84" s="132">
        <f>IFERROR(KH_26_OPT4_KTQT_v4[[#This Row],[DT-EXW-01]]*KH_26_OPT4_KTQT_v4[[#This Row],[%CPDP]],0)</f>
        <v>0</v>
      </c>
      <c r="DS84" s="132">
        <f>IFERROR(KH_26_OPT4_KTQT_v4[[#This Row],[DT-EXW-02]]*KH_26_OPT4_KTQT_v4[[#This Row],[%CPDP]],0)</f>
        <v>0</v>
      </c>
      <c r="DT84" s="132">
        <f>IFERROR(KH_26_OPT4_KTQT_v4[[#This Row],[DT-EXW-03]]*KH_26_OPT4_KTQT_v4[[#This Row],[%CPDP]],0)</f>
        <v>0</v>
      </c>
      <c r="DU84" s="132">
        <f>IFERROR(KH_26_OPT4_KTQT_v4[[#This Row],[DT-EXW-04]]*KH_26_OPT4_KTQT_v4[[#This Row],[%CPDP]],0)</f>
        <v>0</v>
      </c>
      <c r="DV84" s="132">
        <f>IFERROR(KH_26_OPT4_KTQT_v4[[#This Row],[DT-EXW-05]]*KH_26_OPT4_KTQT_v4[[#This Row],[%CPDP]],0)</f>
        <v>0</v>
      </c>
      <c r="DW84" s="132">
        <f>IFERROR(KH_26_OPT4_KTQT_v4[[#This Row],[DT-EXW-06]]*KH_26_OPT4_KTQT_v4[[#This Row],[%CPDP]],0)</f>
        <v>0</v>
      </c>
      <c r="DX84" s="132">
        <f>IFERROR(KH_26_OPT4_KTQT_v4[[#This Row],[DT-EXW-07]]*KH_26_OPT4_KTQT_v4[[#This Row],[%CPDP]],0)</f>
        <v>0</v>
      </c>
      <c r="DY84" s="132">
        <f>IFERROR(KH_26_OPT4_KTQT_v4[[#This Row],[DT-EXW-08]]*KH_26_OPT4_KTQT_v4[[#This Row],[%CPDP]],0)</f>
        <v>0</v>
      </c>
      <c r="DZ84" s="132">
        <f>IFERROR(KH_26_OPT4_KTQT_v4[[#This Row],[DT-EXW-09]]*KH_26_OPT4_KTQT_v4[[#This Row],[%CPDP]],0)</f>
        <v>0</v>
      </c>
      <c r="EA84" s="132">
        <f>IFERROR(KH_26_OPT4_KTQT_v4[[#This Row],[DT-EXW-10]]*KH_26_OPT4_KTQT_v4[[#This Row],[%CPDP]],0)</f>
        <v>0</v>
      </c>
      <c r="EB84" s="132">
        <f>IFERROR(KH_26_OPT4_KTQT_v4[[#This Row],[DT-EXW-11]]*KH_26_OPT4_KTQT_v4[[#This Row],[%CPDP]],0)</f>
        <v>0</v>
      </c>
      <c r="EC84" s="132">
        <f>IFERROR(KH_26_OPT4_KTQT_v4[[#This Row],[DT-EXW-12]]*KH_26_OPT4_KTQT_v4[[#This Row],[%CPDP]],0)</f>
        <v>0</v>
      </c>
      <c r="ED84" s="131">
        <f ca="1">SUM(KH_26_OPT4_KTQT_v4[[#This Row],[CPDP-01]:[CPDP-12]])</f>
        <v>0</v>
      </c>
    </row>
    <row r="85" spans="1:134" ht="14.65" hidden="1" customHeight="1" x14ac:dyDescent="0.35">
      <c r="A85" s="18">
        <v>80</v>
      </c>
      <c r="B85" s="71" t="s">
        <v>115</v>
      </c>
      <c r="C85" s="18" t="str">
        <f>IFERROR(_xlfn.XLOOKUP(KH_26_OPT4_KTQT_v4[[#This Row],[Salesman]],MD_Salesman[Salesman],MD_Salesman[SalesManager]),"")</f>
        <v>Quốc Anh</v>
      </c>
      <c r="D85" s="72" t="str">
        <f>IFERROR(INDEX(MD_Customer[Mã khách],MATCH(KH_26_OPT4_KTQT_v4[[#This Row],[Tên khách]],MD_Customer[Tên khách-rút gọn],0)),"")</f>
        <v>105286</v>
      </c>
      <c r="E85" s="7" t="str">
        <f>IFERROR(INDEX(MD_Customer[Parent Account],MATCH(KH_26_OPT4_KTQT_v4[[#This Row],[Tên khách]],MD_Customer[Tên khách-rút gọn],0)),"")</f>
        <v>Mondelez</v>
      </c>
      <c r="F85" s="35" t="s">
        <v>272</v>
      </c>
      <c r="G85" s="7" t="str">
        <f>IFERROR(INDEX(MD_Customer[Phân loại],MATCH(KH_26_OPT4_KTQT_v4[[#This Row],[Tên khách]],MD_Customer[Tên khách-rút gọn],0)),"")</f>
        <v>Hiện hữu</v>
      </c>
      <c r="H85" s="7" t="str">
        <f>IFERROR(INDEX(MD_Customer[Kênh bán hàng],MATCH(KH_26_OPT4_KTQT_v4[[#This Row],[Tên khách]],MD_Customer[Tên khách-rút gọn],0)),"")</f>
        <v>Nội địa</v>
      </c>
      <c r="I85" s="35" t="s">
        <v>258</v>
      </c>
      <c r="J85" s="7" t="str">
        <f>IFERROR(INDEX(MD_Destination[Nước],MATCH(KH_26_OPT4_KTQT_v4[[#This Row],[Địa điểm đến]],MD_Destination[Địa điểm đến],0)),"")</f>
        <v>Việt Nam</v>
      </c>
      <c r="K85" s="7" t="str">
        <f>IFERROR(INDEX(MD_Destination[Khu vực],MATCH(KH_26_OPT4_KTQT_v4[[#This Row],[Địa điểm đến]],MD_Destination[Địa điểm đến],0)),"")</f>
        <v>Châu Á</v>
      </c>
      <c r="L85" s="35" t="s">
        <v>260</v>
      </c>
      <c r="M85" s="7" t="str">
        <f>IFERROR(INDEX(MD_SKU[Mã SKU],MATCH(KH_26_OPT4_KTQT_v4[[#This Row],[Tên sản phẩm]],MD_SKU[Tên SKU-rút gọn],0)),"")</f>
        <v>110000355</v>
      </c>
      <c r="N85" s="35" t="s">
        <v>469</v>
      </c>
      <c r="O85" s="7" t="str">
        <f>IFERROR(INDEX(MD_SKU[Ngành hàng],MATCH(KH_26_OPT4_KTQT_v4[[#This Row],[Tên sản phẩm]],MD_SKU[Tên SKU-rút gọn],0)),"")</f>
        <v>rPET</v>
      </c>
      <c r="P85" s="7" t="str">
        <f>IFERROR(INDEX(MD_SKU[Nhóm ngành],MATCH(KH_26_OPT4_KTQT_v4[[#This Row],[Tên sản phẩm]],MD_SKU[Tên SKU-rút gọn],0)),"")</f>
        <v>Hạt PET</v>
      </c>
      <c r="Q85" s="7" t="str">
        <f>IFERROR(
   IF(INDEX(MD_SKU[IV/IM],MATCH(KH_26_OPT4_KTQT_v4[[#This Row],[Tên sản phẩm]],MD_SKU[Tên SKU-rút gọn],0))=0,
      "",
      INDEX(MD_SKU[IV/IM],MATCH(KH_26_OPT4_KTQT_v4[[#This Row],[Tên sản phẩm]],MD_SKU[Tên SKU-rút gọn],0))
   ),
"")</f>
        <v>0.80 ± 0.02</v>
      </c>
      <c r="R85" s="44">
        <f>IFERROR(INDEX(MD_SKU[Application],MATCH(KH_26_OPT4_KTQT_v4[[#This Row],[Tên sản phẩm]],MD_SKU[Tên SKU-rút gọn],0)),"")</f>
        <v>0</v>
      </c>
      <c r="S85" s="7" t="str">
        <f>IFERROR(INDEX(MD_SKU[Phân loại],MATCH(KH_26_OPT4_KTQT_v4[[#This Row],[Tên sản phẩm]],MD_SKU[Tên SKU-rút gọn],0)),"")</f>
        <v>Cũ</v>
      </c>
      <c r="T85" s="7" t="s">
        <v>542</v>
      </c>
      <c r="U85" s="7" t="s">
        <v>1508</v>
      </c>
      <c r="V85" s="70">
        <v>0.8</v>
      </c>
      <c r="W85" s="33">
        <v>5.5</v>
      </c>
      <c r="X85" s="33"/>
      <c r="Y85" s="33"/>
      <c r="Z85" s="33">
        <v>5.5</v>
      </c>
      <c r="AA85" s="33">
        <v>22</v>
      </c>
      <c r="AB85" s="33">
        <v>22</v>
      </c>
      <c r="AC85" s="33">
        <v>22</v>
      </c>
      <c r="AD85" s="33"/>
      <c r="AE85" s="33"/>
      <c r="AF85" s="33">
        <v>22</v>
      </c>
      <c r="AG85" s="33">
        <v>11</v>
      </c>
      <c r="AH85" s="33">
        <v>11</v>
      </c>
      <c r="AI85" s="47">
        <f ca="1">SUM(KH_26_OPT4_KTQT_v4[[#This Row],[SL-01]:[SL-12]])</f>
        <v>121</v>
      </c>
      <c r="AJ85" s="47">
        <f ca="1">SUMIFS(DB_25[SL-DB25],DB_25[Mã khách],KH_26_OPT4_KTQT_v4[[#This Row],[Mã khách]],DB_25[Mã sản phẩm],KH_26_OPT4_KTQT_v4[[#This Row],[Mã sản phẩm]])</f>
        <v>169.39999999999998</v>
      </c>
      <c r="AK85" s="20">
        <f ca="1">KH_26_OPT4_KTQT_v4[[#This Row],[SL-KH26]]-KH_26_OPT4_KTQT_v4[[#This Row],[SL-DB25]]</f>
        <v>-48.399999999999977</v>
      </c>
      <c r="AL85" s="21">
        <f ca="1">IFERROR(KH_26_OPT4_KTQT_v4[[#This Row],[SL-+/-]]/KH_26_OPT4_KTQT_v4[[#This Row],[SL-DB25]],0)</f>
        <v>-0.28571428571428564</v>
      </c>
      <c r="AM85" s="51">
        <v>1200</v>
      </c>
      <c r="AN85" s="51">
        <v>1200</v>
      </c>
      <c r="AO85" s="51">
        <v>1200</v>
      </c>
      <c r="AP85" s="51">
        <v>1200</v>
      </c>
      <c r="AQ85" s="51">
        <v>1200</v>
      </c>
      <c r="AR85" s="51">
        <v>1200</v>
      </c>
      <c r="AS85" s="51">
        <v>1200</v>
      </c>
      <c r="AT85" s="51">
        <v>1200</v>
      </c>
      <c r="AU85" s="51">
        <v>1200</v>
      </c>
      <c r="AV85" s="51">
        <v>1200</v>
      </c>
      <c r="AW85" s="51">
        <v>1200</v>
      </c>
      <c r="AX85" s="51">
        <v>1200</v>
      </c>
      <c r="AY85" s="23">
        <v>1200</v>
      </c>
      <c r="AZ85" s="7"/>
      <c r="BA85" s="24">
        <f>KH_26_OPT4_KTQT_v4[[#This Row],[GB-DB25]]-KH_26_OPT4_KTQT_v4[[#This Row],[GB-KH25]]</f>
        <v>1200</v>
      </c>
      <c r="BB85" s="21">
        <f>IFERROR(KH_26_OPT4_KTQT_v4[[#This Row],[GB-+/-]]/KH_26_OPT4_KTQT_v4[[#This Row],[GB-KH25]],0)</f>
        <v>0</v>
      </c>
      <c r="BC85" s="21"/>
      <c r="BD85" s="47">
        <f>KH_26_OPT4_KTQT_v4[[#This Row],[SL-01]]*KH_26_OPT4_KTQT_v4[[#This Row],[GB-01]]*EXR</f>
        <v>174900000</v>
      </c>
      <c r="BE85" s="47">
        <f>KH_26_OPT4_KTQT_v4[[#This Row],[SL-02]]*KH_26_OPT4_KTQT_v4[[#This Row],[GB-02]]*EXR</f>
        <v>0</v>
      </c>
      <c r="BF85" s="47">
        <f>KH_26_OPT4_KTQT_v4[[#This Row],[SL-03]]*KH_26_OPT4_KTQT_v4[[#This Row],[GB-03]]*EXR</f>
        <v>0</v>
      </c>
      <c r="BG85" s="47">
        <f>KH_26_OPT4_KTQT_v4[[#This Row],[SL-04]]*KH_26_OPT4_KTQT_v4[[#This Row],[GB-04]]*EXR</f>
        <v>174900000</v>
      </c>
      <c r="BH85" s="47">
        <f>KH_26_OPT4_KTQT_v4[[#This Row],[SL-05]]*KH_26_OPT4_KTQT_v4[[#This Row],[GB-05]]*EXR</f>
        <v>699600000</v>
      </c>
      <c r="BI85" s="47">
        <f>KH_26_OPT4_KTQT_v4[[#This Row],[SL-06]]*KH_26_OPT4_KTQT_v4[[#This Row],[GB-06]]*EXR</f>
        <v>699600000</v>
      </c>
      <c r="BJ85" s="47">
        <f>KH_26_OPT4_KTQT_v4[[#This Row],[SL-07]]*KH_26_OPT4_KTQT_v4[[#This Row],[GB-07]]*EXR</f>
        <v>699600000</v>
      </c>
      <c r="BK85" s="47">
        <f>KH_26_OPT4_KTQT_v4[[#This Row],[SL-08]]*KH_26_OPT4_KTQT_v4[[#This Row],[GB-08]]*EXR</f>
        <v>0</v>
      </c>
      <c r="BL85" s="47">
        <f>KH_26_OPT4_KTQT_v4[[#This Row],[SL-09]]*KH_26_OPT4_KTQT_v4[[#This Row],[GB-09]]*EXR</f>
        <v>0</v>
      </c>
      <c r="BM85" s="47">
        <f>KH_26_OPT4_KTQT_v4[[#This Row],[SL-10]]*KH_26_OPT4_KTQT_v4[[#This Row],[GB-10]]*EXR</f>
        <v>699600000</v>
      </c>
      <c r="BN85" s="47">
        <f>KH_26_OPT4_KTQT_v4[[#This Row],[SL-11]]*KH_26_OPT4_KTQT_v4[[#This Row],[GB-11]]*EXR</f>
        <v>349800000</v>
      </c>
      <c r="BO85" s="47">
        <f>KH_26_OPT4_KTQT_v4[[#This Row],[SL-12]]*KH_26_OPT4_KTQT_v4[[#This Row],[GB-12]]*EXR</f>
        <v>349800000</v>
      </c>
      <c r="BP85" s="47">
        <f ca="1">SUM(KH_26_OPT4_KTQT_v4[[#This Row],[DT-EXW-01]:[DT-EXW-12]])</f>
        <v>3847800000</v>
      </c>
      <c r="BQ85" s="47">
        <f ca="1">SUMIFS(DB_25[DT-DB25],DB_25[Mã khách],KH_26_OPT4_KTQT_v4[[#This Row],[Mã khách]],DB_25[Mã sản phẩm],KH_26_OPT4_KTQT_v4[[#This Row],[Mã sản phẩm]])</f>
        <v>4215578089.2602882</v>
      </c>
      <c r="BR85" s="47">
        <f ca="1">KH_26_OPT4_KTQT_v4[[#This Row],[DT-EXW-KH26]]-KH_26_OPT4_KTQT_v4[[#This Row],[DT-EXW-DB25]]</f>
        <v>-367778089.26028824</v>
      </c>
      <c r="BS85" s="21">
        <f ca="1">IFERROR(KH_26_OPT4_KTQT_v4[[#This Row],[DT-EXW-+/-]]/KH_26_OPT4_KTQT_v4[[#This Row],[DT-EXW-DB25]],0)</f>
        <v>-8.7242622832026023E-2</v>
      </c>
      <c r="BT85" s="139"/>
      <c r="BU85" s="57"/>
      <c r="BV85" s="51"/>
      <c r="BW85" s="47">
        <f>IF(KH_26_OPT4_KTQT_v4[[#This Row],[CPHH-%-SL]]="Dthu",KH_26_OPT4_KTQT_v4[[#This Row],[%HH]]*KH_26_OPT4_KTQT_v4[[#This Row],[DT-EXW-01]],KH_26_OPT4_KTQT_v4[[#This Row],[HH-SL]]*KH_26_OPT4_KTQT_v4[[#This Row],[SL-01]])</f>
        <v>0</v>
      </c>
      <c r="BX85" s="47">
        <f>IF(KH_26_OPT4_KTQT_v4[[#This Row],[CPHH-%-SL]]="Dthu",KH_26_OPT4_KTQT_v4[[#This Row],[%HH]]*KH_26_OPT4_KTQT_v4[[#This Row],[DT-EXW-02]],KH_26_OPT4_KTQT_v4[[#This Row],[HH-SL]]*KH_26_OPT4_KTQT_v4[[#This Row],[SL-02]])</f>
        <v>0</v>
      </c>
      <c r="BY85" s="47">
        <f>IF(KH_26_OPT4_KTQT_v4[[#This Row],[CPHH-%-SL]]="Dthu",KH_26_OPT4_KTQT_v4[[#This Row],[%HH]]*KH_26_OPT4_KTQT_v4[[#This Row],[DT-EXW-03]],KH_26_OPT4_KTQT_v4[[#This Row],[HH-SL]]*KH_26_OPT4_KTQT_v4[[#This Row],[SL-03]])</f>
        <v>0</v>
      </c>
      <c r="BZ85" s="47">
        <f>IF(KH_26_OPT4_KTQT_v4[[#This Row],[CPHH-%-SL]]="Dthu",KH_26_OPT4_KTQT_v4[[#This Row],[%HH]]*KH_26_OPT4_KTQT_v4[[#This Row],[DT-EXW-04]],KH_26_OPT4_KTQT_v4[[#This Row],[HH-SL]]*KH_26_OPT4_KTQT_v4[[#This Row],[SL-04]])</f>
        <v>0</v>
      </c>
      <c r="CA85" s="47">
        <f>IF(KH_26_OPT4_KTQT_v4[[#This Row],[CPHH-%-SL]]="Dthu",KH_26_OPT4_KTQT_v4[[#This Row],[%HH]]*KH_26_OPT4_KTQT_v4[[#This Row],[DT-EXW-05]],KH_26_OPT4_KTQT_v4[[#This Row],[HH-SL]]*KH_26_OPT4_KTQT_v4[[#This Row],[SL-05]])</f>
        <v>0</v>
      </c>
      <c r="CB85" s="47">
        <f>IF(KH_26_OPT4_KTQT_v4[[#This Row],[CPHH-%-SL]]="Dthu",KH_26_OPT4_KTQT_v4[[#This Row],[%HH]]*KH_26_OPT4_KTQT_v4[[#This Row],[DT-EXW-06]],KH_26_OPT4_KTQT_v4[[#This Row],[HH-SL]]*KH_26_OPT4_KTQT_v4[[#This Row],[SL-06]])</f>
        <v>0</v>
      </c>
      <c r="CC85" s="47">
        <f>IF(KH_26_OPT4_KTQT_v4[[#This Row],[CPHH-%-SL]]="Dthu",KH_26_OPT4_KTQT_v4[[#This Row],[%HH]]*KH_26_OPT4_KTQT_v4[[#This Row],[DT-EXW-07]],KH_26_OPT4_KTQT_v4[[#This Row],[HH-SL]]*KH_26_OPT4_KTQT_v4[[#This Row],[SL-07]])</f>
        <v>0</v>
      </c>
      <c r="CD85" s="47">
        <f>IF(KH_26_OPT4_KTQT_v4[[#This Row],[CPHH-%-SL]]="Dthu",KH_26_OPT4_KTQT_v4[[#This Row],[%HH]]*KH_26_OPT4_KTQT_v4[[#This Row],[DT-EXW-08]],KH_26_OPT4_KTQT_v4[[#This Row],[HH-SL]]*KH_26_OPT4_KTQT_v4[[#This Row],[SL-08]])</f>
        <v>0</v>
      </c>
      <c r="CE85" s="47">
        <f>IF(KH_26_OPT4_KTQT_v4[[#This Row],[CPHH-%-SL]]="Dthu",KH_26_OPT4_KTQT_v4[[#This Row],[%HH]]*KH_26_OPT4_KTQT_v4[[#This Row],[DT-EXW-09]],KH_26_OPT4_KTQT_v4[[#This Row],[HH-SL]]*KH_26_OPT4_KTQT_v4[[#This Row],[SL-09]])</f>
        <v>0</v>
      </c>
      <c r="CF85" s="47">
        <f>IF(KH_26_OPT4_KTQT_v4[[#This Row],[CPHH-%-SL]]="Dthu",KH_26_OPT4_KTQT_v4[[#This Row],[%HH]]*KH_26_OPT4_KTQT_v4[[#This Row],[DT-EXW-10]],KH_26_OPT4_KTQT_v4[[#This Row],[HH-SL]]*KH_26_OPT4_KTQT_v4[[#This Row],[SL-10]])</f>
        <v>0</v>
      </c>
      <c r="CG85" s="47">
        <f>IF(KH_26_OPT4_KTQT_v4[[#This Row],[CPHH-%-SL]]="Dthu",KH_26_OPT4_KTQT_v4[[#This Row],[%HH]]*KH_26_OPT4_KTQT_v4[[#This Row],[DT-EXW-11]],KH_26_OPT4_KTQT_v4[[#This Row],[HH-SL]]*KH_26_OPT4_KTQT_v4[[#This Row],[SL-11]])</f>
        <v>0</v>
      </c>
      <c r="CH85" s="47">
        <f>IF(KH_26_OPT4_KTQT_v4[[#This Row],[CPHH-%-SL]]="Dthu",KH_26_OPT4_KTQT_v4[[#This Row],[%HH]]*KH_26_OPT4_KTQT_v4[[#This Row],[DT-EXW-12]],KH_26_OPT4_KTQT_v4[[#This Row],[HH-SL]]*KH_26_OPT4_KTQT_v4[[#This Row],[SL-12]])</f>
        <v>0</v>
      </c>
      <c r="CI85" s="47">
        <f ca="1">SUM(KH_26_OPT4_KTQT_v4[[#This Row],[CPHH-01]:[CPHH-12]])</f>
        <v>0</v>
      </c>
      <c r="CJ85" s="47" cm="1">
        <f t="array" ref="CJ85">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85" s="19">
        <f ca="1">SUM(KH_26_OPT4_KTQT_v4[[#This Row],[ĐGVCNĐ-KXK]:[ĐGVCCT-KXK]])</f>
        <v>0</v>
      </c>
      <c r="CL85" s="47" cm="1">
        <f t="array" ref="CL85">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85" s="47" cm="1">
        <f t="array" ref="CM85">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85" s="47">
        <f ca="1">(KH_26_OPT4_KTQT_v4[[#This Row],[ĐGVC-KNĐ]]+KH_26_OPT4_KTQT_v4[[#This Row],[ĐGVC-KXK]])*KH_26_OPT4_KTQT_v4[[#This Row],[SL-01]]</f>
        <v>0</v>
      </c>
      <c r="CO85" s="47">
        <f ca="1">(KH_26_OPT4_KTQT_v4[[#This Row],[ĐGVC-KNĐ]]+KH_26_OPT4_KTQT_v4[[#This Row],[ĐGVC-KXK]])*KH_26_OPT4_KTQT_v4[[#This Row],[SL-02]]</f>
        <v>0</v>
      </c>
      <c r="CP85" s="47">
        <f ca="1">(KH_26_OPT4_KTQT_v4[[#This Row],[ĐGVC-KNĐ]]+KH_26_OPT4_KTQT_v4[[#This Row],[ĐGVC-KXK]])*KH_26_OPT4_KTQT_v4[[#This Row],[SL-03]]</f>
        <v>0</v>
      </c>
      <c r="CQ85" s="47">
        <f ca="1">(KH_26_OPT4_KTQT_v4[[#This Row],[ĐGVC-KNĐ]]+KH_26_OPT4_KTQT_v4[[#This Row],[ĐGVC-KXK]])*KH_26_OPT4_KTQT_v4[[#This Row],[SL-04]]</f>
        <v>0</v>
      </c>
      <c r="CR85" s="47">
        <f ca="1">(KH_26_OPT4_KTQT_v4[[#This Row],[ĐGVC-KNĐ]]+KH_26_OPT4_KTQT_v4[[#This Row],[ĐGVC-KXK]])*KH_26_OPT4_KTQT_v4[[#This Row],[SL-05]]</f>
        <v>0</v>
      </c>
      <c r="CS85" s="47">
        <f ca="1">(KH_26_OPT4_KTQT_v4[[#This Row],[ĐGVC-KNĐ]]+KH_26_OPT4_KTQT_v4[[#This Row],[ĐGVC-KXK]])*KH_26_OPT4_KTQT_v4[[#This Row],[SL-06]]</f>
        <v>0</v>
      </c>
      <c r="CT85" s="47">
        <f ca="1">(KH_26_OPT4_KTQT_v4[[#This Row],[ĐGVC-KNĐ]]+KH_26_OPT4_KTQT_v4[[#This Row],[ĐGVC-KXK]])*KH_26_OPT4_KTQT_v4[[#This Row],[SL-07]]</f>
        <v>0</v>
      </c>
      <c r="CU85" s="47">
        <f ca="1">(KH_26_OPT4_KTQT_v4[[#This Row],[ĐGVC-KNĐ]]+KH_26_OPT4_KTQT_v4[[#This Row],[ĐGVC-KXK]])*KH_26_OPT4_KTQT_v4[[#This Row],[SL-08]]</f>
        <v>0</v>
      </c>
      <c r="CV85" s="47">
        <f ca="1">(KH_26_OPT4_KTQT_v4[[#This Row],[ĐGVC-KNĐ]]+KH_26_OPT4_KTQT_v4[[#This Row],[ĐGVC-KXK]])*KH_26_OPT4_KTQT_v4[[#This Row],[SL-09]]</f>
        <v>0</v>
      </c>
      <c r="CW85" s="47">
        <f ca="1">(KH_26_OPT4_KTQT_v4[[#This Row],[ĐGVC-KNĐ]]+KH_26_OPT4_KTQT_v4[[#This Row],[ĐGVC-KXK]])*KH_26_OPT4_KTQT_v4[[#This Row],[SL-10]]</f>
        <v>0</v>
      </c>
      <c r="CX85" s="47">
        <f ca="1">(KH_26_OPT4_KTQT_v4[[#This Row],[ĐGVC-KNĐ]]+KH_26_OPT4_KTQT_v4[[#This Row],[ĐGVC-KXK]])*KH_26_OPT4_KTQT_v4[[#This Row],[SL-11]]</f>
        <v>0</v>
      </c>
      <c r="CY85" s="47">
        <f ca="1">(KH_26_OPT4_KTQT_v4[[#This Row],[ĐGVC-KNĐ]]+KH_26_OPT4_KTQT_v4[[#This Row],[ĐGVC-KXK]])*KH_26_OPT4_KTQT_v4[[#This Row],[SL-12]]</f>
        <v>0</v>
      </c>
      <c r="CZ85" s="47">
        <f ca="1">SUM(KH_26_OPT4_KTQT_v4[[#This Row],[CPVC-01]:[CPVC-12]])</f>
        <v>0</v>
      </c>
      <c r="DA85" s="124">
        <f ca="1">KH_26_OPT4_KTQT_v4[[#This Row],[DT-EXW-01]]+KH_26_OPT4_KTQT_v4[[#This Row],[CPVC-01]]+KH_26_OPT4_KTQT_v4[[#This Row],[CPHH-01]]</f>
        <v>174900000</v>
      </c>
      <c r="DB85" s="47">
        <f ca="1">KH_26_OPT4_KTQT_v4[[#This Row],[DT-EXW-02]]+KH_26_OPT4_KTQT_v4[[#This Row],[CPVC-02]]+KH_26_OPT4_KTQT_v4[[#This Row],[CPHH-02]]</f>
        <v>0</v>
      </c>
      <c r="DC85" s="47">
        <f ca="1">KH_26_OPT4_KTQT_v4[[#This Row],[DT-EXW-03]]+KH_26_OPT4_KTQT_v4[[#This Row],[CPVC-03]]+KH_26_OPT4_KTQT_v4[[#This Row],[CPHH-03]]</f>
        <v>0</v>
      </c>
      <c r="DD85" s="47">
        <f ca="1">KH_26_OPT4_KTQT_v4[[#This Row],[DT-EXW-04]]+KH_26_OPT4_KTQT_v4[[#This Row],[CPVC-04]]+KH_26_OPT4_KTQT_v4[[#This Row],[CPHH-04]]</f>
        <v>174900000</v>
      </c>
      <c r="DE85" s="47">
        <f ca="1">KH_26_OPT4_KTQT_v4[[#This Row],[DT-EXW-05]]+KH_26_OPT4_KTQT_v4[[#This Row],[CPVC-05]]+KH_26_OPT4_KTQT_v4[[#This Row],[CPHH-05]]</f>
        <v>699600000</v>
      </c>
      <c r="DF85" s="47">
        <f ca="1">KH_26_OPT4_KTQT_v4[[#This Row],[DT-EXW-06]]+KH_26_OPT4_KTQT_v4[[#This Row],[CPVC-06]]+KH_26_OPT4_KTQT_v4[[#This Row],[CPHH-06]]</f>
        <v>699600000</v>
      </c>
      <c r="DG85" s="47">
        <f ca="1">KH_26_OPT4_KTQT_v4[[#This Row],[DT-EXW-07]]+KH_26_OPT4_KTQT_v4[[#This Row],[CPVC-07]]+KH_26_OPT4_KTQT_v4[[#This Row],[CPHH-07]]</f>
        <v>699600000</v>
      </c>
      <c r="DH85" s="47">
        <f ca="1">KH_26_OPT4_KTQT_v4[[#This Row],[DT-EXW-08]]+KH_26_OPT4_KTQT_v4[[#This Row],[CPVC-08]]+KH_26_OPT4_KTQT_v4[[#This Row],[CPHH-08]]</f>
        <v>0</v>
      </c>
      <c r="DI85" s="47">
        <f ca="1">KH_26_OPT4_KTQT_v4[[#This Row],[DT-EXW-09]]+KH_26_OPT4_KTQT_v4[[#This Row],[CPVC-09]]+KH_26_OPT4_KTQT_v4[[#This Row],[CPHH-09]]</f>
        <v>0</v>
      </c>
      <c r="DJ85" s="47">
        <f ca="1">KH_26_OPT4_KTQT_v4[[#This Row],[DT-EXW-10]]+KH_26_OPT4_KTQT_v4[[#This Row],[CPVC-10]]+KH_26_OPT4_KTQT_v4[[#This Row],[CPHH-10]]</f>
        <v>699600000</v>
      </c>
      <c r="DK85" s="47">
        <f ca="1">KH_26_OPT4_KTQT_v4[[#This Row],[DT-EXW-11]]+KH_26_OPT4_KTQT_v4[[#This Row],[CPVC-11]]+KH_26_OPT4_KTQT_v4[[#This Row],[CPHH-11]]</f>
        <v>349800000</v>
      </c>
      <c r="DL85" s="47">
        <f ca="1">KH_26_OPT4_KTQT_v4[[#This Row],[DT-EXW-12]]+KH_26_OPT4_KTQT_v4[[#This Row],[CPVC-12]]+KH_26_OPT4_KTQT_v4[[#This Row],[CPHH-12]]</f>
        <v>349800000</v>
      </c>
      <c r="DM85" s="47">
        <f ca="1">SUM(KH_26_OPT4_KTQT_v4[[#This Row],[DT-01]:[DT-12]])</f>
        <v>3847800000</v>
      </c>
      <c r="DN85" s="7"/>
      <c r="DO85" s="7"/>
      <c r="DP85" s="125"/>
      <c r="DQ85" s="136"/>
      <c r="DR85" s="132">
        <f>IFERROR(KH_26_OPT4_KTQT_v4[[#This Row],[DT-EXW-01]]*KH_26_OPT4_KTQT_v4[[#This Row],[%CPDP]],0)</f>
        <v>0</v>
      </c>
      <c r="DS85" s="132">
        <f>IFERROR(KH_26_OPT4_KTQT_v4[[#This Row],[DT-EXW-02]]*KH_26_OPT4_KTQT_v4[[#This Row],[%CPDP]],0)</f>
        <v>0</v>
      </c>
      <c r="DT85" s="132">
        <f>IFERROR(KH_26_OPT4_KTQT_v4[[#This Row],[DT-EXW-03]]*KH_26_OPT4_KTQT_v4[[#This Row],[%CPDP]],0)</f>
        <v>0</v>
      </c>
      <c r="DU85" s="132">
        <f>IFERROR(KH_26_OPT4_KTQT_v4[[#This Row],[DT-EXW-04]]*KH_26_OPT4_KTQT_v4[[#This Row],[%CPDP]],0)</f>
        <v>0</v>
      </c>
      <c r="DV85" s="132">
        <f>IFERROR(KH_26_OPT4_KTQT_v4[[#This Row],[DT-EXW-05]]*KH_26_OPT4_KTQT_v4[[#This Row],[%CPDP]],0)</f>
        <v>0</v>
      </c>
      <c r="DW85" s="132">
        <f>IFERROR(KH_26_OPT4_KTQT_v4[[#This Row],[DT-EXW-06]]*KH_26_OPT4_KTQT_v4[[#This Row],[%CPDP]],0)</f>
        <v>0</v>
      </c>
      <c r="DX85" s="132">
        <f>IFERROR(KH_26_OPT4_KTQT_v4[[#This Row],[DT-EXW-07]]*KH_26_OPT4_KTQT_v4[[#This Row],[%CPDP]],0)</f>
        <v>0</v>
      </c>
      <c r="DY85" s="132">
        <f>IFERROR(KH_26_OPT4_KTQT_v4[[#This Row],[DT-EXW-08]]*KH_26_OPT4_KTQT_v4[[#This Row],[%CPDP]],0)</f>
        <v>0</v>
      </c>
      <c r="DZ85" s="132">
        <f>IFERROR(KH_26_OPT4_KTQT_v4[[#This Row],[DT-EXW-09]]*KH_26_OPT4_KTQT_v4[[#This Row],[%CPDP]],0)</f>
        <v>0</v>
      </c>
      <c r="EA85" s="132">
        <f>IFERROR(KH_26_OPT4_KTQT_v4[[#This Row],[DT-EXW-10]]*KH_26_OPT4_KTQT_v4[[#This Row],[%CPDP]],0)</f>
        <v>0</v>
      </c>
      <c r="EB85" s="132">
        <f>IFERROR(KH_26_OPT4_KTQT_v4[[#This Row],[DT-EXW-11]]*KH_26_OPT4_KTQT_v4[[#This Row],[%CPDP]],0)</f>
        <v>0</v>
      </c>
      <c r="EC85" s="132">
        <f>IFERROR(KH_26_OPT4_KTQT_v4[[#This Row],[DT-EXW-12]]*KH_26_OPT4_KTQT_v4[[#This Row],[%CPDP]],0)</f>
        <v>0</v>
      </c>
      <c r="ED85" s="131">
        <f ca="1">SUM(KH_26_OPT4_KTQT_v4[[#This Row],[CPDP-01]:[CPDP-12]])</f>
        <v>0</v>
      </c>
    </row>
    <row r="86" spans="1:134" ht="14.65" hidden="1" customHeight="1" x14ac:dyDescent="0.35">
      <c r="A86" s="18">
        <v>81</v>
      </c>
      <c r="B86" s="71" t="s">
        <v>95</v>
      </c>
      <c r="C86" s="18" t="str">
        <f>IFERROR(_xlfn.XLOOKUP(KH_26_OPT4_KTQT_v4[[#This Row],[Salesman]],MD_Salesman[Salesman],MD_Salesman[SalesManager]),"")</f>
        <v>Cường</v>
      </c>
      <c r="D86" s="72" t="str">
        <f>IFERROR(INDEX(MD_Customer[Mã khách],MATCH(KH_26_OPT4_KTQT_v4[[#This Row],[Tên khách]],MD_Customer[Tên khách-rút gọn],0)),"")</f>
        <v>102865</v>
      </c>
      <c r="E86" s="7" t="str">
        <f>IFERROR(INDEX(MD_Customer[Parent Account],MATCH(KH_26_OPT4_KTQT_v4[[#This Row],[Tên khách]],MD_Customer[Tên khách-rút gọn],0)),"")</f>
        <v>Unilever</v>
      </c>
      <c r="F86" s="35" t="s">
        <v>464</v>
      </c>
      <c r="G86" s="7" t="str">
        <f>IFERROR(INDEX(MD_Customer[Phân loại],MATCH(KH_26_OPT4_KTQT_v4[[#This Row],[Tên khách]],MD_Customer[Tên khách-rút gọn],0)),"")</f>
        <v>Hiện hữu</v>
      </c>
      <c r="H86" s="7" t="str">
        <f>IFERROR(INDEX(MD_Customer[Kênh bán hàng],MATCH(KH_26_OPT4_KTQT_v4[[#This Row],[Tên khách]],MD_Customer[Tên khách-rút gọn],0)),"")</f>
        <v>Nội địa</v>
      </c>
      <c r="I86" s="35" t="s">
        <v>264</v>
      </c>
      <c r="J86" s="7" t="str">
        <f>IFERROR(INDEX(MD_Destination[Nước],MATCH(KH_26_OPT4_KTQT_v4[[#This Row],[Địa điểm đến]],MD_Destination[Địa điểm đến],0)),"")</f>
        <v>Việt Nam</v>
      </c>
      <c r="K86" s="7" t="str">
        <f>IFERROR(INDEX(MD_Destination[Khu vực],MATCH(KH_26_OPT4_KTQT_v4[[#This Row],[Địa điểm đến]],MD_Destination[Địa điểm đến],0)),"")</f>
        <v>Châu Á</v>
      </c>
      <c r="L86" s="35" t="s">
        <v>262</v>
      </c>
      <c r="M86" s="7" t="str">
        <f>IFERROR(INDEX(MD_SKU[Mã SKU],MATCH(KH_26_OPT4_KTQT_v4[[#This Row],[Tên sản phẩm]],MD_SKU[Tên SKU-rút gọn],0)),"")</f>
        <v>110000481</v>
      </c>
      <c r="N86" s="35" t="s">
        <v>466</v>
      </c>
      <c r="O86" s="7" t="str">
        <f>IFERROR(INDEX(MD_SKU[Ngành hàng],MATCH(KH_26_OPT4_KTQT_v4[[#This Row],[Tên sản phẩm]],MD_SKU[Tên SKU-rút gọn],0)),"")</f>
        <v>rHDPE thổi</v>
      </c>
      <c r="P86" s="7" t="str">
        <f>IFERROR(INDEX(MD_SKU[Nhóm ngành],MATCH(KH_26_OPT4_KTQT_v4[[#This Row],[Tên sản phẩm]],MD_SKU[Tên SKU-rút gọn],0)),"")</f>
        <v>Hạt HD thổi</v>
      </c>
      <c r="Q86" s="7" t="str">
        <f>IFERROR(
   IF(INDEX(MD_SKU[IV/IM],MATCH(KH_26_OPT4_KTQT_v4[[#This Row],[Tên sản phẩm]],MD_SKU[Tên SKU-rút gọn],0))=0,
      "",
      INDEX(MD_SKU[IV/IM],MATCH(KH_26_OPT4_KTQT_v4[[#This Row],[Tên sản phẩm]],MD_SKU[Tên SKU-rút gọn],0))
   ),
"")</f>
        <v/>
      </c>
      <c r="R86" s="44" t="str">
        <f>IFERROR(INDEX(MD_SKU[Application],MATCH(KH_26_OPT4_KTQT_v4[[#This Row],[Tên sản phẩm]],MD_SKU[Tên SKU-rút gọn],0)),"")</f>
        <v>THỔI CHAI</v>
      </c>
      <c r="S86" s="7" t="str">
        <f>IFERROR(INDEX(MD_SKU[Phân loại],MATCH(KH_26_OPT4_KTQT_v4[[#This Row],[Tên sản phẩm]],MD_SKU[Tên SKU-rút gọn],0)),"")</f>
        <v>Cũ</v>
      </c>
      <c r="T86" s="7" t="s">
        <v>5</v>
      </c>
      <c r="U86" s="7" t="s">
        <v>1508</v>
      </c>
      <c r="V86" s="70">
        <v>0.8</v>
      </c>
      <c r="W86" s="33">
        <v>10</v>
      </c>
      <c r="X86" s="33">
        <v>10</v>
      </c>
      <c r="Y86" s="33">
        <v>10</v>
      </c>
      <c r="Z86" s="33">
        <v>10</v>
      </c>
      <c r="AA86" s="33">
        <v>10</v>
      </c>
      <c r="AB86" s="33">
        <v>10</v>
      </c>
      <c r="AC86" s="33">
        <v>10</v>
      </c>
      <c r="AD86" s="33">
        <v>10</v>
      </c>
      <c r="AE86" s="33">
        <v>10</v>
      </c>
      <c r="AF86" s="33">
        <v>10</v>
      </c>
      <c r="AG86" s="33">
        <v>10</v>
      </c>
      <c r="AH86" s="33">
        <v>10</v>
      </c>
      <c r="AI86" s="47">
        <f ca="1">SUM(KH_26_OPT4_KTQT_v4[[#This Row],[SL-01]:[SL-12]])</f>
        <v>120</v>
      </c>
      <c r="AJ86" s="47">
        <f ca="1">SUMIFS(DB_25[SL-DB25],DB_25[Mã khách],KH_26_OPT4_KTQT_v4[[#This Row],[Mã khách]],DB_25[Mã sản phẩm],KH_26_OPT4_KTQT_v4[[#This Row],[Mã sản phẩm]])</f>
        <v>0</v>
      </c>
      <c r="AK86" s="20">
        <f ca="1">KH_26_OPT4_KTQT_v4[[#This Row],[SL-KH26]]-KH_26_OPT4_KTQT_v4[[#This Row],[SL-DB25]]</f>
        <v>120</v>
      </c>
      <c r="AL86" s="21">
        <f ca="1">IFERROR(KH_26_OPT4_KTQT_v4[[#This Row],[SL-+/-]]/KH_26_OPT4_KTQT_v4[[#This Row],[SL-DB25]],0)</f>
        <v>0</v>
      </c>
      <c r="AM86" s="51">
        <f t="shared" ref="AM86:AX86" si="9">1194+106</f>
        <v>1300</v>
      </c>
      <c r="AN86" s="51">
        <f t="shared" si="9"/>
        <v>1300</v>
      </c>
      <c r="AO86" s="51">
        <f t="shared" si="9"/>
        <v>1300</v>
      </c>
      <c r="AP86" s="51">
        <f t="shared" si="9"/>
        <v>1300</v>
      </c>
      <c r="AQ86" s="51">
        <f t="shared" si="9"/>
        <v>1300</v>
      </c>
      <c r="AR86" s="51">
        <f t="shared" si="9"/>
        <v>1300</v>
      </c>
      <c r="AS86" s="51">
        <f t="shared" si="9"/>
        <v>1300</v>
      </c>
      <c r="AT86" s="51">
        <f t="shared" si="9"/>
        <v>1300</v>
      </c>
      <c r="AU86" s="51">
        <f t="shared" si="9"/>
        <v>1300</v>
      </c>
      <c r="AV86" s="51">
        <f t="shared" si="9"/>
        <v>1300</v>
      </c>
      <c r="AW86" s="51">
        <f t="shared" si="9"/>
        <v>1300</v>
      </c>
      <c r="AX86" s="51">
        <f t="shared" si="9"/>
        <v>1300</v>
      </c>
      <c r="AY86" s="23">
        <v>1286</v>
      </c>
      <c r="AZ86" s="7"/>
      <c r="BA86" s="24">
        <f>KH_26_OPT4_KTQT_v4[[#This Row],[GB-DB25]]-KH_26_OPT4_KTQT_v4[[#This Row],[GB-KH25]]</f>
        <v>1286</v>
      </c>
      <c r="BB86" s="21">
        <f>IFERROR(KH_26_OPT4_KTQT_v4[[#This Row],[GB-+/-]]/KH_26_OPT4_KTQT_v4[[#This Row],[GB-KH25]],0)</f>
        <v>0</v>
      </c>
      <c r="BC86" s="21"/>
      <c r="BD86" s="47">
        <f>KH_26_OPT4_KTQT_v4[[#This Row],[SL-01]]*KH_26_OPT4_KTQT_v4[[#This Row],[GB-01]]*EXR</f>
        <v>344500000</v>
      </c>
      <c r="BE86" s="47">
        <f>KH_26_OPT4_KTQT_v4[[#This Row],[SL-02]]*KH_26_OPT4_KTQT_v4[[#This Row],[GB-02]]*EXR</f>
        <v>344500000</v>
      </c>
      <c r="BF86" s="47">
        <f>KH_26_OPT4_KTQT_v4[[#This Row],[SL-03]]*KH_26_OPT4_KTQT_v4[[#This Row],[GB-03]]*EXR</f>
        <v>344500000</v>
      </c>
      <c r="BG86" s="47">
        <f>KH_26_OPT4_KTQT_v4[[#This Row],[SL-04]]*KH_26_OPT4_KTQT_v4[[#This Row],[GB-04]]*EXR</f>
        <v>344500000</v>
      </c>
      <c r="BH86" s="47">
        <f>KH_26_OPT4_KTQT_v4[[#This Row],[SL-05]]*KH_26_OPT4_KTQT_v4[[#This Row],[GB-05]]*EXR</f>
        <v>344500000</v>
      </c>
      <c r="BI86" s="47">
        <f>KH_26_OPT4_KTQT_v4[[#This Row],[SL-06]]*KH_26_OPT4_KTQT_v4[[#This Row],[GB-06]]*EXR</f>
        <v>344500000</v>
      </c>
      <c r="BJ86" s="47">
        <f>KH_26_OPT4_KTQT_v4[[#This Row],[SL-07]]*KH_26_OPT4_KTQT_v4[[#This Row],[GB-07]]*EXR</f>
        <v>344500000</v>
      </c>
      <c r="BK86" s="47">
        <f>KH_26_OPT4_KTQT_v4[[#This Row],[SL-08]]*KH_26_OPT4_KTQT_v4[[#This Row],[GB-08]]*EXR</f>
        <v>344500000</v>
      </c>
      <c r="BL86" s="47">
        <f>KH_26_OPT4_KTQT_v4[[#This Row],[SL-09]]*KH_26_OPT4_KTQT_v4[[#This Row],[GB-09]]*EXR</f>
        <v>344500000</v>
      </c>
      <c r="BM86" s="47">
        <f>KH_26_OPT4_KTQT_v4[[#This Row],[SL-10]]*KH_26_OPT4_KTQT_v4[[#This Row],[GB-10]]*EXR</f>
        <v>344500000</v>
      </c>
      <c r="BN86" s="47">
        <f>KH_26_OPT4_KTQT_v4[[#This Row],[SL-11]]*KH_26_OPT4_KTQT_v4[[#This Row],[GB-11]]*EXR</f>
        <v>344500000</v>
      </c>
      <c r="BO86" s="47">
        <f>KH_26_OPT4_KTQT_v4[[#This Row],[SL-12]]*KH_26_OPT4_KTQT_v4[[#This Row],[GB-12]]*EXR</f>
        <v>344500000</v>
      </c>
      <c r="BP86" s="47">
        <f ca="1">SUM(KH_26_OPT4_KTQT_v4[[#This Row],[DT-EXW-01]:[DT-EXW-12]])</f>
        <v>4134000000</v>
      </c>
      <c r="BQ86" s="47">
        <f ca="1">SUMIFS(DB_25[DT-DB25],DB_25[Mã khách],KH_26_OPT4_KTQT_v4[[#This Row],[Mã khách]],DB_25[Mã sản phẩm],KH_26_OPT4_KTQT_v4[[#This Row],[Mã sản phẩm]])</f>
        <v>0</v>
      </c>
      <c r="BR86" s="47">
        <f ca="1">KH_26_OPT4_KTQT_v4[[#This Row],[DT-EXW-KH26]]-KH_26_OPT4_KTQT_v4[[#This Row],[DT-EXW-DB25]]</f>
        <v>4134000000</v>
      </c>
      <c r="BS86" s="21">
        <f ca="1">IFERROR(KH_26_OPT4_KTQT_v4[[#This Row],[DT-EXW-+/-]]/KH_26_OPT4_KTQT_v4[[#This Row],[DT-EXW-DB25]],0)</f>
        <v>0</v>
      </c>
      <c r="BT86" s="139"/>
      <c r="BU86" s="57"/>
      <c r="BV86" s="51"/>
      <c r="BW86" s="47">
        <f>IF(KH_26_OPT4_KTQT_v4[[#This Row],[CPHH-%-SL]]="Dthu",KH_26_OPT4_KTQT_v4[[#This Row],[%HH]]*KH_26_OPT4_KTQT_v4[[#This Row],[DT-EXW-01]],KH_26_OPT4_KTQT_v4[[#This Row],[HH-SL]]*KH_26_OPT4_KTQT_v4[[#This Row],[SL-01]])</f>
        <v>0</v>
      </c>
      <c r="BX86" s="47">
        <f>IF(KH_26_OPT4_KTQT_v4[[#This Row],[CPHH-%-SL]]="Dthu",KH_26_OPT4_KTQT_v4[[#This Row],[%HH]]*KH_26_OPT4_KTQT_v4[[#This Row],[DT-EXW-02]],KH_26_OPT4_KTQT_v4[[#This Row],[HH-SL]]*KH_26_OPT4_KTQT_v4[[#This Row],[SL-02]])</f>
        <v>0</v>
      </c>
      <c r="BY86" s="47">
        <f>IF(KH_26_OPT4_KTQT_v4[[#This Row],[CPHH-%-SL]]="Dthu",KH_26_OPT4_KTQT_v4[[#This Row],[%HH]]*KH_26_OPT4_KTQT_v4[[#This Row],[DT-EXW-03]],KH_26_OPT4_KTQT_v4[[#This Row],[HH-SL]]*KH_26_OPT4_KTQT_v4[[#This Row],[SL-03]])</f>
        <v>0</v>
      </c>
      <c r="BZ86" s="47">
        <f>IF(KH_26_OPT4_KTQT_v4[[#This Row],[CPHH-%-SL]]="Dthu",KH_26_OPT4_KTQT_v4[[#This Row],[%HH]]*KH_26_OPT4_KTQT_v4[[#This Row],[DT-EXW-04]],KH_26_OPT4_KTQT_v4[[#This Row],[HH-SL]]*KH_26_OPT4_KTQT_v4[[#This Row],[SL-04]])</f>
        <v>0</v>
      </c>
      <c r="CA86" s="47">
        <f>IF(KH_26_OPT4_KTQT_v4[[#This Row],[CPHH-%-SL]]="Dthu",KH_26_OPT4_KTQT_v4[[#This Row],[%HH]]*KH_26_OPT4_KTQT_v4[[#This Row],[DT-EXW-05]],KH_26_OPT4_KTQT_v4[[#This Row],[HH-SL]]*KH_26_OPT4_KTQT_v4[[#This Row],[SL-05]])</f>
        <v>0</v>
      </c>
      <c r="CB86" s="47">
        <f>IF(KH_26_OPT4_KTQT_v4[[#This Row],[CPHH-%-SL]]="Dthu",KH_26_OPT4_KTQT_v4[[#This Row],[%HH]]*KH_26_OPT4_KTQT_v4[[#This Row],[DT-EXW-06]],KH_26_OPT4_KTQT_v4[[#This Row],[HH-SL]]*KH_26_OPT4_KTQT_v4[[#This Row],[SL-06]])</f>
        <v>0</v>
      </c>
      <c r="CC86" s="47">
        <f>IF(KH_26_OPT4_KTQT_v4[[#This Row],[CPHH-%-SL]]="Dthu",KH_26_OPT4_KTQT_v4[[#This Row],[%HH]]*KH_26_OPT4_KTQT_v4[[#This Row],[DT-EXW-07]],KH_26_OPT4_KTQT_v4[[#This Row],[HH-SL]]*KH_26_OPT4_KTQT_v4[[#This Row],[SL-07]])</f>
        <v>0</v>
      </c>
      <c r="CD86" s="47">
        <f>IF(KH_26_OPT4_KTQT_v4[[#This Row],[CPHH-%-SL]]="Dthu",KH_26_OPT4_KTQT_v4[[#This Row],[%HH]]*KH_26_OPT4_KTQT_v4[[#This Row],[DT-EXW-08]],KH_26_OPT4_KTQT_v4[[#This Row],[HH-SL]]*KH_26_OPT4_KTQT_v4[[#This Row],[SL-08]])</f>
        <v>0</v>
      </c>
      <c r="CE86" s="47">
        <f>IF(KH_26_OPT4_KTQT_v4[[#This Row],[CPHH-%-SL]]="Dthu",KH_26_OPT4_KTQT_v4[[#This Row],[%HH]]*KH_26_OPT4_KTQT_v4[[#This Row],[DT-EXW-09]],KH_26_OPT4_KTQT_v4[[#This Row],[HH-SL]]*KH_26_OPT4_KTQT_v4[[#This Row],[SL-09]])</f>
        <v>0</v>
      </c>
      <c r="CF86" s="47">
        <f>IF(KH_26_OPT4_KTQT_v4[[#This Row],[CPHH-%-SL]]="Dthu",KH_26_OPT4_KTQT_v4[[#This Row],[%HH]]*KH_26_OPT4_KTQT_v4[[#This Row],[DT-EXW-10]],KH_26_OPT4_KTQT_v4[[#This Row],[HH-SL]]*KH_26_OPT4_KTQT_v4[[#This Row],[SL-10]])</f>
        <v>0</v>
      </c>
      <c r="CG86" s="47">
        <f>IF(KH_26_OPT4_KTQT_v4[[#This Row],[CPHH-%-SL]]="Dthu",KH_26_OPT4_KTQT_v4[[#This Row],[%HH]]*KH_26_OPT4_KTQT_v4[[#This Row],[DT-EXW-11]],KH_26_OPT4_KTQT_v4[[#This Row],[HH-SL]]*KH_26_OPT4_KTQT_v4[[#This Row],[SL-11]])</f>
        <v>0</v>
      </c>
      <c r="CH86" s="47">
        <f>IF(KH_26_OPT4_KTQT_v4[[#This Row],[CPHH-%-SL]]="Dthu",KH_26_OPT4_KTQT_v4[[#This Row],[%HH]]*KH_26_OPT4_KTQT_v4[[#This Row],[DT-EXW-12]],KH_26_OPT4_KTQT_v4[[#This Row],[HH-SL]]*KH_26_OPT4_KTQT_v4[[#This Row],[SL-12]])</f>
        <v>0</v>
      </c>
      <c r="CI86" s="47">
        <f ca="1">SUM(KH_26_OPT4_KTQT_v4[[#This Row],[CPHH-01]:[CPHH-12]])</f>
        <v>0</v>
      </c>
      <c r="CJ86" s="47" cm="1">
        <f t="array" ref="CJ86">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86" s="19">
        <f ca="1">SUM(KH_26_OPT4_KTQT_v4[[#This Row],[ĐGVCNĐ-KXK]:[ĐGVCCT-KXK]])</f>
        <v>0</v>
      </c>
      <c r="CL86" s="47" cm="1">
        <f t="array" ref="CL86">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86" s="47" cm="1">
        <f t="array" ref="CM86">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86" s="47">
        <f ca="1">(KH_26_OPT4_KTQT_v4[[#This Row],[ĐGVC-KNĐ]]+KH_26_OPT4_KTQT_v4[[#This Row],[ĐGVC-KXK]])*KH_26_OPT4_KTQT_v4[[#This Row],[SL-01]]</f>
        <v>0</v>
      </c>
      <c r="CO86" s="47">
        <f ca="1">(KH_26_OPT4_KTQT_v4[[#This Row],[ĐGVC-KNĐ]]+KH_26_OPT4_KTQT_v4[[#This Row],[ĐGVC-KXK]])*KH_26_OPT4_KTQT_v4[[#This Row],[SL-02]]</f>
        <v>0</v>
      </c>
      <c r="CP86" s="47">
        <f ca="1">(KH_26_OPT4_KTQT_v4[[#This Row],[ĐGVC-KNĐ]]+KH_26_OPT4_KTQT_v4[[#This Row],[ĐGVC-KXK]])*KH_26_OPT4_KTQT_v4[[#This Row],[SL-03]]</f>
        <v>0</v>
      </c>
      <c r="CQ86" s="47">
        <f ca="1">(KH_26_OPT4_KTQT_v4[[#This Row],[ĐGVC-KNĐ]]+KH_26_OPT4_KTQT_v4[[#This Row],[ĐGVC-KXK]])*KH_26_OPT4_KTQT_v4[[#This Row],[SL-04]]</f>
        <v>0</v>
      </c>
      <c r="CR86" s="47">
        <f ca="1">(KH_26_OPT4_KTQT_v4[[#This Row],[ĐGVC-KNĐ]]+KH_26_OPT4_KTQT_v4[[#This Row],[ĐGVC-KXK]])*KH_26_OPT4_KTQT_v4[[#This Row],[SL-05]]</f>
        <v>0</v>
      </c>
      <c r="CS86" s="47">
        <f ca="1">(KH_26_OPT4_KTQT_v4[[#This Row],[ĐGVC-KNĐ]]+KH_26_OPT4_KTQT_v4[[#This Row],[ĐGVC-KXK]])*KH_26_OPT4_KTQT_v4[[#This Row],[SL-06]]</f>
        <v>0</v>
      </c>
      <c r="CT86" s="47">
        <f ca="1">(KH_26_OPT4_KTQT_v4[[#This Row],[ĐGVC-KNĐ]]+KH_26_OPT4_KTQT_v4[[#This Row],[ĐGVC-KXK]])*KH_26_OPT4_KTQT_v4[[#This Row],[SL-07]]</f>
        <v>0</v>
      </c>
      <c r="CU86" s="47">
        <f ca="1">(KH_26_OPT4_KTQT_v4[[#This Row],[ĐGVC-KNĐ]]+KH_26_OPT4_KTQT_v4[[#This Row],[ĐGVC-KXK]])*KH_26_OPT4_KTQT_v4[[#This Row],[SL-08]]</f>
        <v>0</v>
      </c>
      <c r="CV86" s="47">
        <f ca="1">(KH_26_OPT4_KTQT_v4[[#This Row],[ĐGVC-KNĐ]]+KH_26_OPT4_KTQT_v4[[#This Row],[ĐGVC-KXK]])*KH_26_OPT4_KTQT_v4[[#This Row],[SL-09]]</f>
        <v>0</v>
      </c>
      <c r="CW86" s="47">
        <f ca="1">(KH_26_OPT4_KTQT_v4[[#This Row],[ĐGVC-KNĐ]]+KH_26_OPT4_KTQT_v4[[#This Row],[ĐGVC-KXK]])*KH_26_OPT4_KTQT_v4[[#This Row],[SL-10]]</f>
        <v>0</v>
      </c>
      <c r="CX86" s="47">
        <f ca="1">(KH_26_OPT4_KTQT_v4[[#This Row],[ĐGVC-KNĐ]]+KH_26_OPT4_KTQT_v4[[#This Row],[ĐGVC-KXK]])*KH_26_OPT4_KTQT_v4[[#This Row],[SL-11]]</f>
        <v>0</v>
      </c>
      <c r="CY86" s="47">
        <f ca="1">(KH_26_OPT4_KTQT_v4[[#This Row],[ĐGVC-KNĐ]]+KH_26_OPT4_KTQT_v4[[#This Row],[ĐGVC-KXK]])*KH_26_OPT4_KTQT_v4[[#This Row],[SL-12]]</f>
        <v>0</v>
      </c>
      <c r="CZ86" s="47">
        <f ca="1">SUM(KH_26_OPT4_KTQT_v4[[#This Row],[CPVC-01]:[CPVC-12]])</f>
        <v>0</v>
      </c>
      <c r="DA86" s="124">
        <f ca="1">KH_26_OPT4_KTQT_v4[[#This Row],[DT-EXW-01]]+KH_26_OPT4_KTQT_v4[[#This Row],[CPVC-01]]+KH_26_OPT4_KTQT_v4[[#This Row],[CPHH-01]]</f>
        <v>344500000</v>
      </c>
      <c r="DB86" s="47">
        <f ca="1">KH_26_OPT4_KTQT_v4[[#This Row],[DT-EXW-02]]+KH_26_OPT4_KTQT_v4[[#This Row],[CPVC-02]]+KH_26_OPT4_KTQT_v4[[#This Row],[CPHH-02]]</f>
        <v>344500000</v>
      </c>
      <c r="DC86" s="47">
        <f ca="1">KH_26_OPT4_KTQT_v4[[#This Row],[DT-EXW-03]]+KH_26_OPT4_KTQT_v4[[#This Row],[CPVC-03]]+KH_26_OPT4_KTQT_v4[[#This Row],[CPHH-03]]</f>
        <v>344500000</v>
      </c>
      <c r="DD86" s="47">
        <f ca="1">KH_26_OPT4_KTQT_v4[[#This Row],[DT-EXW-04]]+KH_26_OPT4_KTQT_v4[[#This Row],[CPVC-04]]+KH_26_OPT4_KTQT_v4[[#This Row],[CPHH-04]]</f>
        <v>344500000</v>
      </c>
      <c r="DE86" s="47">
        <f ca="1">KH_26_OPT4_KTQT_v4[[#This Row],[DT-EXW-05]]+KH_26_OPT4_KTQT_v4[[#This Row],[CPVC-05]]+KH_26_OPT4_KTQT_v4[[#This Row],[CPHH-05]]</f>
        <v>344500000</v>
      </c>
      <c r="DF86" s="47">
        <f ca="1">KH_26_OPT4_KTQT_v4[[#This Row],[DT-EXW-06]]+KH_26_OPT4_KTQT_v4[[#This Row],[CPVC-06]]+KH_26_OPT4_KTQT_v4[[#This Row],[CPHH-06]]</f>
        <v>344500000</v>
      </c>
      <c r="DG86" s="47">
        <f ca="1">KH_26_OPT4_KTQT_v4[[#This Row],[DT-EXW-07]]+KH_26_OPT4_KTQT_v4[[#This Row],[CPVC-07]]+KH_26_OPT4_KTQT_v4[[#This Row],[CPHH-07]]</f>
        <v>344500000</v>
      </c>
      <c r="DH86" s="47">
        <f ca="1">KH_26_OPT4_KTQT_v4[[#This Row],[DT-EXW-08]]+KH_26_OPT4_KTQT_v4[[#This Row],[CPVC-08]]+KH_26_OPT4_KTQT_v4[[#This Row],[CPHH-08]]</f>
        <v>344500000</v>
      </c>
      <c r="DI86" s="47">
        <f ca="1">KH_26_OPT4_KTQT_v4[[#This Row],[DT-EXW-09]]+KH_26_OPT4_KTQT_v4[[#This Row],[CPVC-09]]+KH_26_OPT4_KTQT_v4[[#This Row],[CPHH-09]]</f>
        <v>344500000</v>
      </c>
      <c r="DJ86" s="47">
        <f ca="1">KH_26_OPT4_KTQT_v4[[#This Row],[DT-EXW-10]]+KH_26_OPT4_KTQT_v4[[#This Row],[CPVC-10]]+KH_26_OPT4_KTQT_v4[[#This Row],[CPHH-10]]</f>
        <v>344500000</v>
      </c>
      <c r="DK86" s="47">
        <f ca="1">KH_26_OPT4_KTQT_v4[[#This Row],[DT-EXW-11]]+KH_26_OPT4_KTQT_v4[[#This Row],[CPVC-11]]+KH_26_OPT4_KTQT_v4[[#This Row],[CPHH-11]]</f>
        <v>344500000</v>
      </c>
      <c r="DL86" s="47">
        <f ca="1">KH_26_OPT4_KTQT_v4[[#This Row],[DT-EXW-12]]+KH_26_OPT4_KTQT_v4[[#This Row],[CPVC-12]]+KH_26_OPT4_KTQT_v4[[#This Row],[CPHH-12]]</f>
        <v>344500000</v>
      </c>
      <c r="DM86" s="47">
        <f ca="1">SUM(KH_26_OPT4_KTQT_v4[[#This Row],[DT-01]:[DT-12]])</f>
        <v>4134000000</v>
      </c>
      <c r="DN86" s="7"/>
      <c r="DO86" s="7"/>
      <c r="DP86" s="125"/>
      <c r="DQ86" s="136"/>
      <c r="DR86" s="132">
        <f>IFERROR(KH_26_OPT4_KTQT_v4[[#This Row],[DT-EXW-01]]*KH_26_OPT4_KTQT_v4[[#This Row],[%CPDP]],0)</f>
        <v>0</v>
      </c>
      <c r="DS86" s="132">
        <f>IFERROR(KH_26_OPT4_KTQT_v4[[#This Row],[DT-EXW-02]]*KH_26_OPT4_KTQT_v4[[#This Row],[%CPDP]],0)</f>
        <v>0</v>
      </c>
      <c r="DT86" s="132">
        <f>IFERROR(KH_26_OPT4_KTQT_v4[[#This Row],[DT-EXW-03]]*KH_26_OPT4_KTQT_v4[[#This Row],[%CPDP]],0)</f>
        <v>0</v>
      </c>
      <c r="DU86" s="132">
        <f>IFERROR(KH_26_OPT4_KTQT_v4[[#This Row],[DT-EXW-04]]*KH_26_OPT4_KTQT_v4[[#This Row],[%CPDP]],0)</f>
        <v>0</v>
      </c>
      <c r="DV86" s="132">
        <f>IFERROR(KH_26_OPT4_KTQT_v4[[#This Row],[DT-EXW-05]]*KH_26_OPT4_KTQT_v4[[#This Row],[%CPDP]],0)</f>
        <v>0</v>
      </c>
      <c r="DW86" s="132">
        <f>IFERROR(KH_26_OPT4_KTQT_v4[[#This Row],[DT-EXW-06]]*KH_26_OPT4_KTQT_v4[[#This Row],[%CPDP]],0)</f>
        <v>0</v>
      </c>
      <c r="DX86" s="132">
        <f>IFERROR(KH_26_OPT4_KTQT_v4[[#This Row],[DT-EXW-07]]*KH_26_OPT4_KTQT_v4[[#This Row],[%CPDP]],0)</f>
        <v>0</v>
      </c>
      <c r="DY86" s="132">
        <f>IFERROR(KH_26_OPT4_KTQT_v4[[#This Row],[DT-EXW-08]]*KH_26_OPT4_KTQT_v4[[#This Row],[%CPDP]],0)</f>
        <v>0</v>
      </c>
      <c r="DZ86" s="132">
        <f>IFERROR(KH_26_OPT4_KTQT_v4[[#This Row],[DT-EXW-09]]*KH_26_OPT4_KTQT_v4[[#This Row],[%CPDP]],0)</f>
        <v>0</v>
      </c>
      <c r="EA86" s="132">
        <f>IFERROR(KH_26_OPT4_KTQT_v4[[#This Row],[DT-EXW-10]]*KH_26_OPT4_KTQT_v4[[#This Row],[%CPDP]],0)</f>
        <v>0</v>
      </c>
      <c r="EB86" s="132">
        <f>IFERROR(KH_26_OPT4_KTQT_v4[[#This Row],[DT-EXW-11]]*KH_26_OPT4_KTQT_v4[[#This Row],[%CPDP]],0)</f>
        <v>0</v>
      </c>
      <c r="EC86" s="132">
        <f>IFERROR(KH_26_OPT4_KTQT_v4[[#This Row],[DT-EXW-12]]*KH_26_OPT4_KTQT_v4[[#This Row],[%CPDP]],0)</f>
        <v>0</v>
      </c>
      <c r="ED86" s="131">
        <f ca="1">SUM(KH_26_OPT4_KTQT_v4[[#This Row],[CPDP-01]:[CPDP-12]])</f>
        <v>0</v>
      </c>
    </row>
    <row r="87" spans="1:134" ht="14.65" hidden="1" customHeight="1" x14ac:dyDescent="0.35">
      <c r="A87" s="18">
        <v>82</v>
      </c>
      <c r="B87" s="71" t="s">
        <v>104</v>
      </c>
      <c r="C87" s="18" t="str">
        <f>IFERROR(_xlfn.XLOOKUP(KH_26_OPT4_KTQT_v4[[#This Row],[Salesman]],MD_Salesman[Salesman],MD_Salesman[SalesManager]),"")</f>
        <v>Quốc Anh</v>
      </c>
      <c r="D87" s="72" t="str">
        <f>IFERROR(INDEX(MD_Customer[Mã khách],MATCH(KH_26_OPT4_KTQT_v4[[#This Row],[Tên khách]],MD_Customer[Tên khách-rút gọn],0)),"")</f>
        <v>105267</v>
      </c>
      <c r="E87" s="7" t="str">
        <f>IFERROR(INDEX(MD_Customer[Parent Account],MATCH(KH_26_OPT4_KTQT_v4[[#This Row],[Tên khách]],MD_Customer[Tên khách-rút gọn],0)),"")</f>
        <v>Hồng Kim Long An</v>
      </c>
      <c r="F87" s="35" t="s">
        <v>63</v>
      </c>
      <c r="G87" s="7" t="str">
        <f>IFERROR(INDEX(MD_Customer[Phân loại],MATCH(KH_26_OPT4_KTQT_v4[[#This Row],[Tên khách]],MD_Customer[Tên khách-rút gọn],0)),"")</f>
        <v>Hiện hữu</v>
      </c>
      <c r="H87" s="7" t="str">
        <f>IFERROR(INDEX(MD_Customer[Kênh bán hàng],MATCH(KH_26_OPT4_KTQT_v4[[#This Row],[Tên khách]],MD_Customer[Tên khách-rút gọn],0)),"")</f>
        <v>Nội địa</v>
      </c>
      <c r="I87" s="35" t="s">
        <v>258</v>
      </c>
      <c r="J87" s="7" t="str">
        <f>IFERROR(INDEX(MD_Destination[Nước],MATCH(KH_26_OPT4_KTQT_v4[[#This Row],[Địa điểm đến]],MD_Destination[Địa điểm đến],0)),"")</f>
        <v>Việt Nam</v>
      </c>
      <c r="K87" s="7" t="str">
        <f>IFERROR(INDEX(MD_Destination[Khu vực],MATCH(KH_26_OPT4_KTQT_v4[[#This Row],[Địa điểm đến]],MD_Destination[Địa điểm đến],0)),"")</f>
        <v>Châu Á</v>
      </c>
      <c r="L87" s="35" t="s">
        <v>262</v>
      </c>
      <c r="M87" s="7" t="str">
        <f>IFERROR(INDEX(MD_SKU[Mã SKU],MATCH(KH_26_OPT4_KTQT_v4[[#This Row],[Tên sản phẩm]],MD_SKU[Tên SKU-rút gọn],0)),"")</f>
        <v>110000508</v>
      </c>
      <c r="N87" s="35" t="s">
        <v>511</v>
      </c>
      <c r="O87" s="7" t="str">
        <f>IFERROR(INDEX(MD_SKU[Ngành hàng],MATCH(KH_26_OPT4_KTQT_v4[[#This Row],[Tên sản phẩm]],MD_SKU[Tên SKU-rút gọn],0)),"")</f>
        <v>rPP</v>
      </c>
      <c r="P87" s="7" t="str">
        <f>IFERROR(INDEX(MD_SKU[Nhóm ngành],MATCH(KH_26_OPT4_KTQT_v4[[#This Row],[Tên sản phẩm]],MD_SKU[Tên SKU-rút gọn],0)),"")</f>
        <v>Hạt PP</v>
      </c>
      <c r="Q87" s="7" t="str">
        <f>IFERROR(
   IF(INDEX(MD_SKU[IV/IM],MATCH(KH_26_OPT4_KTQT_v4[[#This Row],[Tên sản phẩm]],MD_SKU[Tên SKU-rút gọn],0))=0,
      "",
      INDEX(MD_SKU[IV/IM],MATCH(KH_26_OPT4_KTQT_v4[[#This Row],[Tên sản phẩm]],MD_SKU[Tên SKU-rút gọn],0))
   ),
"")</f>
        <v/>
      </c>
      <c r="R87" s="44">
        <f>IFERROR(INDEX(MD_SKU[Application],MATCH(KH_26_OPT4_KTQT_v4[[#This Row],[Tên sản phẩm]],MD_SKU[Tên SKU-rút gọn],0)),"")</f>
        <v>0</v>
      </c>
      <c r="S87" s="7" t="str">
        <f>IFERROR(INDEX(MD_SKU[Phân loại],MATCH(KH_26_OPT4_KTQT_v4[[#This Row],[Tên sản phẩm]],MD_SKU[Tên SKU-rút gọn],0)),"")</f>
        <v>Cũ</v>
      </c>
      <c r="T87" s="7" t="s">
        <v>63</v>
      </c>
      <c r="U87" s="7" t="s">
        <v>1508</v>
      </c>
      <c r="V87" s="70">
        <v>0.8</v>
      </c>
      <c r="W87" s="7">
        <v>10</v>
      </c>
      <c r="X87" s="7">
        <v>10</v>
      </c>
      <c r="Y87" s="7">
        <v>10</v>
      </c>
      <c r="Z87" s="7">
        <v>10</v>
      </c>
      <c r="AA87" s="7">
        <v>10</v>
      </c>
      <c r="AB87" s="7">
        <v>10</v>
      </c>
      <c r="AC87" s="7">
        <v>10</v>
      </c>
      <c r="AD87" s="7">
        <v>10</v>
      </c>
      <c r="AE87" s="7">
        <v>10</v>
      </c>
      <c r="AF87" s="7">
        <v>10</v>
      </c>
      <c r="AG87" s="7">
        <v>10</v>
      </c>
      <c r="AH87" s="7">
        <v>10</v>
      </c>
      <c r="AI87" s="47">
        <f ca="1">SUM(KH_26_OPT4_KTQT_v4[[#This Row],[SL-01]:[SL-12]])</f>
        <v>120</v>
      </c>
      <c r="AJ87" s="47">
        <f ca="1">SUMIFS(DB_25[SL-DB25],DB_25[Mã khách],KH_26_OPT4_KTQT_v4[[#This Row],[Mã khách]],DB_25[Mã sản phẩm],KH_26_OPT4_KTQT_v4[[#This Row],[Mã sản phẩm]])</f>
        <v>5</v>
      </c>
      <c r="AK87" s="20">
        <f ca="1">KH_26_OPT4_KTQT_v4[[#This Row],[SL-KH26]]-KH_26_OPT4_KTQT_v4[[#This Row],[SL-DB25]]</f>
        <v>115</v>
      </c>
      <c r="AL87" s="21">
        <f ca="1">IFERROR(KH_26_OPT4_KTQT_v4[[#This Row],[SL-+/-]]/KH_26_OPT4_KTQT_v4[[#This Row],[SL-DB25]],0)</f>
        <v>23</v>
      </c>
      <c r="AM87" s="51">
        <v>700</v>
      </c>
      <c r="AN87" s="51">
        <v>700</v>
      </c>
      <c r="AO87" s="51">
        <v>700</v>
      </c>
      <c r="AP87" s="51">
        <v>700</v>
      </c>
      <c r="AQ87" s="51">
        <v>700</v>
      </c>
      <c r="AR87" s="51">
        <v>700</v>
      </c>
      <c r="AS87" s="51">
        <v>700</v>
      </c>
      <c r="AT87" s="51">
        <v>700</v>
      </c>
      <c r="AU87" s="51">
        <v>700</v>
      </c>
      <c r="AV87" s="51">
        <v>700</v>
      </c>
      <c r="AW87" s="51">
        <v>700</v>
      </c>
      <c r="AX87" s="51">
        <v>700</v>
      </c>
      <c r="AY87" s="23">
        <v>700</v>
      </c>
      <c r="AZ87" s="7"/>
      <c r="BA87" s="24">
        <f>KH_26_OPT4_KTQT_v4[[#This Row],[GB-DB25]]-KH_26_OPT4_KTQT_v4[[#This Row],[GB-KH25]]</f>
        <v>700</v>
      </c>
      <c r="BB87" s="21">
        <f>IFERROR(KH_26_OPT4_KTQT_v4[[#This Row],[GB-+/-]]/KH_26_OPT4_KTQT_v4[[#This Row],[GB-KH25]],0)</f>
        <v>0</v>
      </c>
      <c r="BC87" s="21"/>
      <c r="BD87" s="47">
        <f>KH_26_OPT4_KTQT_v4[[#This Row],[SL-01]]*KH_26_OPT4_KTQT_v4[[#This Row],[GB-01]]*EXR</f>
        <v>185500000</v>
      </c>
      <c r="BE87" s="47">
        <f>KH_26_OPT4_KTQT_v4[[#This Row],[SL-02]]*KH_26_OPT4_KTQT_v4[[#This Row],[GB-02]]*EXR</f>
        <v>185500000</v>
      </c>
      <c r="BF87" s="47">
        <f>KH_26_OPT4_KTQT_v4[[#This Row],[SL-03]]*KH_26_OPT4_KTQT_v4[[#This Row],[GB-03]]*EXR</f>
        <v>185500000</v>
      </c>
      <c r="BG87" s="47">
        <f>KH_26_OPT4_KTQT_v4[[#This Row],[SL-04]]*KH_26_OPT4_KTQT_v4[[#This Row],[GB-04]]*EXR</f>
        <v>185500000</v>
      </c>
      <c r="BH87" s="47">
        <f>KH_26_OPT4_KTQT_v4[[#This Row],[SL-05]]*KH_26_OPT4_KTQT_v4[[#This Row],[GB-05]]*EXR</f>
        <v>185500000</v>
      </c>
      <c r="BI87" s="47">
        <f>KH_26_OPT4_KTQT_v4[[#This Row],[SL-06]]*KH_26_OPT4_KTQT_v4[[#This Row],[GB-06]]*EXR</f>
        <v>185500000</v>
      </c>
      <c r="BJ87" s="47">
        <f>KH_26_OPT4_KTQT_v4[[#This Row],[SL-07]]*KH_26_OPT4_KTQT_v4[[#This Row],[GB-07]]*EXR</f>
        <v>185500000</v>
      </c>
      <c r="BK87" s="47">
        <f>KH_26_OPT4_KTQT_v4[[#This Row],[SL-08]]*KH_26_OPT4_KTQT_v4[[#This Row],[GB-08]]*EXR</f>
        <v>185500000</v>
      </c>
      <c r="BL87" s="47">
        <f>KH_26_OPT4_KTQT_v4[[#This Row],[SL-09]]*KH_26_OPT4_KTQT_v4[[#This Row],[GB-09]]*EXR</f>
        <v>185500000</v>
      </c>
      <c r="BM87" s="47">
        <f>KH_26_OPT4_KTQT_v4[[#This Row],[SL-10]]*KH_26_OPT4_KTQT_v4[[#This Row],[GB-10]]*EXR</f>
        <v>185500000</v>
      </c>
      <c r="BN87" s="47">
        <f>KH_26_OPT4_KTQT_v4[[#This Row],[SL-11]]*KH_26_OPT4_KTQT_v4[[#This Row],[GB-11]]*EXR</f>
        <v>185500000</v>
      </c>
      <c r="BO87" s="47">
        <f>KH_26_OPT4_KTQT_v4[[#This Row],[SL-12]]*KH_26_OPT4_KTQT_v4[[#This Row],[GB-12]]*EXR</f>
        <v>185500000</v>
      </c>
      <c r="BP87" s="47">
        <f ca="1">SUM(KH_26_OPT4_KTQT_v4[[#This Row],[DT-EXW-01]:[DT-EXW-12]])</f>
        <v>2226000000</v>
      </c>
      <c r="BQ87" s="47">
        <f ca="1">SUMIFS(DB_25[DT-DB25],DB_25[Mã khách],KH_26_OPT4_KTQT_v4[[#This Row],[Mã khách]],DB_25[Mã sản phẩm],KH_26_OPT4_KTQT_v4[[#This Row],[Mã sản phẩm]])</f>
        <v>100000000</v>
      </c>
      <c r="BR87" s="19">
        <f ca="1">KH_26_OPT4_KTQT_v4[[#This Row],[DT-EXW-KH26]]-KH_26_OPT4_KTQT_v4[[#This Row],[DT-EXW-DB25]]</f>
        <v>2126000000</v>
      </c>
      <c r="BS87" s="21">
        <f ca="1">IFERROR(KH_26_OPT4_KTQT_v4[[#This Row],[DT-EXW-+/-]]/KH_26_OPT4_KTQT_v4[[#This Row],[DT-EXW-DB25]],0)</f>
        <v>21.26</v>
      </c>
      <c r="BT87" s="139"/>
      <c r="BU87" s="57"/>
      <c r="BV87" s="51"/>
      <c r="BW87" s="47">
        <f>IF(KH_26_OPT4_KTQT_v4[[#This Row],[CPHH-%-SL]]="Dthu",KH_26_OPT4_KTQT_v4[[#This Row],[%HH]]*KH_26_OPT4_KTQT_v4[[#This Row],[DT-EXW-01]],KH_26_OPT4_KTQT_v4[[#This Row],[HH-SL]]*KH_26_OPT4_KTQT_v4[[#This Row],[SL-01]])</f>
        <v>0</v>
      </c>
      <c r="BX87" s="47">
        <f>IF(KH_26_OPT4_KTQT_v4[[#This Row],[CPHH-%-SL]]="Dthu",KH_26_OPT4_KTQT_v4[[#This Row],[%HH]]*KH_26_OPT4_KTQT_v4[[#This Row],[DT-EXW-02]],KH_26_OPT4_KTQT_v4[[#This Row],[HH-SL]]*KH_26_OPT4_KTQT_v4[[#This Row],[SL-02]])</f>
        <v>0</v>
      </c>
      <c r="BY87" s="47">
        <f>IF(KH_26_OPT4_KTQT_v4[[#This Row],[CPHH-%-SL]]="Dthu",KH_26_OPT4_KTQT_v4[[#This Row],[%HH]]*KH_26_OPT4_KTQT_v4[[#This Row],[DT-EXW-03]],KH_26_OPT4_KTQT_v4[[#This Row],[HH-SL]]*KH_26_OPT4_KTQT_v4[[#This Row],[SL-03]])</f>
        <v>0</v>
      </c>
      <c r="BZ87" s="47">
        <f>IF(KH_26_OPT4_KTQT_v4[[#This Row],[CPHH-%-SL]]="Dthu",KH_26_OPT4_KTQT_v4[[#This Row],[%HH]]*KH_26_OPT4_KTQT_v4[[#This Row],[DT-EXW-04]],KH_26_OPT4_KTQT_v4[[#This Row],[HH-SL]]*KH_26_OPT4_KTQT_v4[[#This Row],[SL-04]])</f>
        <v>0</v>
      </c>
      <c r="CA87" s="47">
        <f>IF(KH_26_OPT4_KTQT_v4[[#This Row],[CPHH-%-SL]]="Dthu",KH_26_OPT4_KTQT_v4[[#This Row],[%HH]]*KH_26_OPT4_KTQT_v4[[#This Row],[DT-EXW-05]],KH_26_OPT4_KTQT_v4[[#This Row],[HH-SL]]*KH_26_OPT4_KTQT_v4[[#This Row],[SL-05]])</f>
        <v>0</v>
      </c>
      <c r="CB87" s="47">
        <f>IF(KH_26_OPT4_KTQT_v4[[#This Row],[CPHH-%-SL]]="Dthu",KH_26_OPT4_KTQT_v4[[#This Row],[%HH]]*KH_26_OPT4_KTQT_v4[[#This Row],[DT-EXW-06]],KH_26_OPT4_KTQT_v4[[#This Row],[HH-SL]]*KH_26_OPT4_KTQT_v4[[#This Row],[SL-06]])</f>
        <v>0</v>
      </c>
      <c r="CC87" s="47">
        <f>IF(KH_26_OPT4_KTQT_v4[[#This Row],[CPHH-%-SL]]="Dthu",KH_26_OPT4_KTQT_v4[[#This Row],[%HH]]*KH_26_OPT4_KTQT_v4[[#This Row],[DT-EXW-07]],KH_26_OPT4_KTQT_v4[[#This Row],[HH-SL]]*KH_26_OPT4_KTQT_v4[[#This Row],[SL-07]])</f>
        <v>0</v>
      </c>
      <c r="CD87" s="47">
        <f>IF(KH_26_OPT4_KTQT_v4[[#This Row],[CPHH-%-SL]]="Dthu",KH_26_OPT4_KTQT_v4[[#This Row],[%HH]]*KH_26_OPT4_KTQT_v4[[#This Row],[DT-EXW-08]],KH_26_OPT4_KTQT_v4[[#This Row],[HH-SL]]*KH_26_OPT4_KTQT_v4[[#This Row],[SL-08]])</f>
        <v>0</v>
      </c>
      <c r="CE87" s="47">
        <f>IF(KH_26_OPT4_KTQT_v4[[#This Row],[CPHH-%-SL]]="Dthu",KH_26_OPT4_KTQT_v4[[#This Row],[%HH]]*KH_26_OPT4_KTQT_v4[[#This Row],[DT-EXW-09]],KH_26_OPT4_KTQT_v4[[#This Row],[HH-SL]]*KH_26_OPT4_KTQT_v4[[#This Row],[SL-09]])</f>
        <v>0</v>
      </c>
      <c r="CF87" s="47">
        <f>IF(KH_26_OPT4_KTQT_v4[[#This Row],[CPHH-%-SL]]="Dthu",KH_26_OPT4_KTQT_v4[[#This Row],[%HH]]*KH_26_OPT4_KTQT_v4[[#This Row],[DT-EXW-10]],KH_26_OPT4_KTQT_v4[[#This Row],[HH-SL]]*KH_26_OPT4_KTQT_v4[[#This Row],[SL-10]])</f>
        <v>0</v>
      </c>
      <c r="CG87" s="47">
        <f>IF(KH_26_OPT4_KTQT_v4[[#This Row],[CPHH-%-SL]]="Dthu",KH_26_OPT4_KTQT_v4[[#This Row],[%HH]]*KH_26_OPT4_KTQT_v4[[#This Row],[DT-EXW-11]],KH_26_OPT4_KTQT_v4[[#This Row],[HH-SL]]*KH_26_OPT4_KTQT_v4[[#This Row],[SL-11]])</f>
        <v>0</v>
      </c>
      <c r="CH87" s="47">
        <f>IF(KH_26_OPT4_KTQT_v4[[#This Row],[CPHH-%-SL]]="Dthu",KH_26_OPT4_KTQT_v4[[#This Row],[%HH]]*KH_26_OPT4_KTQT_v4[[#This Row],[DT-EXW-12]],KH_26_OPT4_KTQT_v4[[#This Row],[HH-SL]]*KH_26_OPT4_KTQT_v4[[#This Row],[SL-12]])</f>
        <v>0</v>
      </c>
      <c r="CI87" s="47">
        <f ca="1">SUM(KH_26_OPT4_KTQT_v4[[#This Row],[CPHH-01]:[CPHH-12]])</f>
        <v>0</v>
      </c>
      <c r="CJ87" s="47" cm="1">
        <f t="array" ref="CJ87">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87" s="19">
        <f ca="1">SUM(KH_26_OPT4_KTQT_v4[[#This Row],[ĐGVCNĐ-KXK]:[ĐGVCCT-KXK]])</f>
        <v>0</v>
      </c>
      <c r="CL87" s="47" cm="1">
        <f t="array" ref="CL87">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87" s="47" cm="1">
        <f t="array" ref="CM87">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87" s="47">
        <f ca="1">(KH_26_OPT4_KTQT_v4[[#This Row],[ĐGVC-KNĐ]]+KH_26_OPT4_KTQT_v4[[#This Row],[ĐGVC-KXK]])*KH_26_OPT4_KTQT_v4[[#This Row],[SL-01]]</f>
        <v>0</v>
      </c>
      <c r="CO87" s="47">
        <f ca="1">(KH_26_OPT4_KTQT_v4[[#This Row],[ĐGVC-KNĐ]]+KH_26_OPT4_KTQT_v4[[#This Row],[ĐGVC-KXK]])*KH_26_OPT4_KTQT_v4[[#This Row],[SL-02]]</f>
        <v>0</v>
      </c>
      <c r="CP87" s="47">
        <f ca="1">(KH_26_OPT4_KTQT_v4[[#This Row],[ĐGVC-KNĐ]]+KH_26_OPT4_KTQT_v4[[#This Row],[ĐGVC-KXK]])*KH_26_OPT4_KTQT_v4[[#This Row],[SL-03]]</f>
        <v>0</v>
      </c>
      <c r="CQ87" s="47">
        <f ca="1">(KH_26_OPT4_KTQT_v4[[#This Row],[ĐGVC-KNĐ]]+KH_26_OPT4_KTQT_v4[[#This Row],[ĐGVC-KXK]])*KH_26_OPT4_KTQT_v4[[#This Row],[SL-04]]</f>
        <v>0</v>
      </c>
      <c r="CR87" s="47">
        <f ca="1">(KH_26_OPT4_KTQT_v4[[#This Row],[ĐGVC-KNĐ]]+KH_26_OPT4_KTQT_v4[[#This Row],[ĐGVC-KXK]])*KH_26_OPT4_KTQT_v4[[#This Row],[SL-05]]</f>
        <v>0</v>
      </c>
      <c r="CS87" s="47">
        <f ca="1">(KH_26_OPT4_KTQT_v4[[#This Row],[ĐGVC-KNĐ]]+KH_26_OPT4_KTQT_v4[[#This Row],[ĐGVC-KXK]])*KH_26_OPT4_KTQT_v4[[#This Row],[SL-06]]</f>
        <v>0</v>
      </c>
      <c r="CT87" s="47">
        <f ca="1">(KH_26_OPT4_KTQT_v4[[#This Row],[ĐGVC-KNĐ]]+KH_26_OPT4_KTQT_v4[[#This Row],[ĐGVC-KXK]])*KH_26_OPT4_KTQT_v4[[#This Row],[SL-07]]</f>
        <v>0</v>
      </c>
      <c r="CU87" s="47">
        <f ca="1">(KH_26_OPT4_KTQT_v4[[#This Row],[ĐGVC-KNĐ]]+KH_26_OPT4_KTQT_v4[[#This Row],[ĐGVC-KXK]])*KH_26_OPT4_KTQT_v4[[#This Row],[SL-08]]</f>
        <v>0</v>
      </c>
      <c r="CV87" s="47">
        <f ca="1">(KH_26_OPT4_KTQT_v4[[#This Row],[ĐGVC-KNĐ]]+KH_26_OPT4_KTQT_v4[[#This Row],[ĐGVC-KXK]])*KH_26_OPT4_KTQT_v4[[#This Row],[SL-09]]</f>
        <v>0</v>
      </c>
      <c r="CW87" s="47">
        <f ca="1">(KH_26_OPT4_KTQT_v4[[#This Row],[ĐGVC-KNĐ]]+KH_26_OPT4_KTQT_v4[[#This Row],[ĐGVC-KXK]])*KH_26_OPT4_KTQT_v4[[#This Row],[SL-10]]</f>
        <v>0</v>
      </c>
      <c r="CX87" s="47">
        <f ca="1">(KH_26_OPT4_KTQT_v4[[#This Row],[ĐGVC-KNĐ]]+KH_26_OPT4_KTQT_v4[[#This Row],[ĐGVC-KXK]])*KH_26_OPT4_KTQT_v4[[#This Row],[SL-11]]</f>
        <v>0</v>
      </c>
      <c r="CY87" s="47">
        <f ca="1">(KH_26_OPT4_KTQT_v4[[#This Row],[ĐGVC-KNĐ]]+KH_26_OPT4_KTQT_v4[[#This Row],[ĐGVC-KXK]])*KH_26_OPT4_KTQT_v4[[#This Row],[SL-12]]</f>
        <v>0</v>
      </c>
      <c r="CZ87" s="47">
        <f ca="1">SUM(KH_26_OPT4_KTQT_v4[[#This Row],[CPVC-01]:[CPVC-12]])</f>
        <v>0</v>
      </c>
      <c r="DA87" s="124">
        <f ca="1">KH_26_OPT4_KTQT_v4[[#This Row],[DT-EXW-01]]+KH_26_OPT4_KTQT_v4[[#This Row],[CPVC-01]]+KH_26_OPT4_KTQT_v4[[#This Row],[CPHH-01]]</f>
        <v>185500000</v>
      </c>
      <c r="DB87" s="47">
        <f ca="1">KH_26_OPT4_KTQT_v4[[#This Row],[DT-EXW-02]]+KH_26_OPT4_KTQT_v4[[#This Row],[CPVC-02]]+KH_26_OPT4_KTQT_v4[[#This Row],[CPHH-02]]</f>
        <v>185500000</v>
      </c>
      <c r="DC87" s="47">
        <f ca="1">KH_26_OPT4_KTQT_v4[[#This Row],[DT-EXW-03]]+KH_26_OPT4_KTQT_v4[[#This Row],[CPVC-03]]+KH_26_OPT4_KTQT_v4[[#This Row],[CPHH-03]]</f>
        <v>185500000</v>
      </c>
      <c r="DD87" s="47">
        <f ca="1">KH_26_OPT4_KTQT_v4[[#This Row],[DT-EXW-04]]+KH_26_OPT4_KTQT_v4[[#This Row],[CPVC-04]]+KH_26_OPT4_KTQT_v4[[#This Row],[CPHH-04]]</f>
        <v>185500000</v>
      </c>
      <c r="DE87" s="47">
        <f ca="1">KH_26_OPT4_KTQT_v4[[#This Row],[DT-EXW-05]]+KH_26_OPT4_KTQT_v4[[#This Row],[CPVC-05]]+KH_26_OPT4_KTQT_v4[[#This Row],[CPHH-05]]</f>
        <v>185500000</v>
      </c>
      <c r="DF87" s="47">
        <f ca="1">KH_26_OPT4_KTQT_v4[[#This Row],[DT-EXW-06]]+KH_26_OPT4_KTQT_v4[[#This Row],[CPVC-06]]+KH_26_OPT4_KTQT_v4[[#This Row],[CPHH-06]]</f>
        <v>185500000</v>
      </c>
      <c r="DG87" s="47">
        <f ca="1">KH_26_OPT4_KTQT_v4[[#This Row],[DT-EXW-07]]+KH_26_OPT4_KTQT_v4[[#This Row],[CPVC-07]]+KH_26_OPT4_KTQT_v4[[#This Row],[CPHH-07]]</f>
        <v>185500000</v>
      </c>
      <c r="DH87" s="47">
        <f ca="1">KH_26_OPT4_KTQT_v4[[#This Row],[DT-EXW-08]]+KH_26_OPT4_KTQT_v4[[#This Row],[CPVC-08]]+KH_26_OPT4_KTQT_v4[[#This Row],[CPHH-08]]</f>
        <v>185500000</v>
      </c>
      <c r="DI87" s="47">
        <f ca="1">KH_26_OPT4_KTQT_v4[[#This Row],[DT-EXW-09]]+KH_26_OPT4_KTQT_v4[[#This Row],[CPVC-09]]+KH_26_OPT4_KTQT_v4[[#This Row],[CPHH-09]]</f>
        <v>185500000</v>
      </c>
      <c r="DJ87" s="47">
        <f ca="1">KH_26_OPT4_KTQT_v4[[#This Row],[DT-EXW-10]]+KH_26_OPT4_KTQT_v4[[#This Row],[CPVC-10]]+KH_26_OPT4_KTQT_v4[[#This Row],[CPHH-10]]</f>
        <v>185500000</v>
      </c>
      <c r="DK87" s="47">
        <f ca="1">KH_26_OPT4_KTQT_v4[[#This Row],[DT-EXW-11]]+KH_26_OPT4_KTQT_v4[[#This Row],[CPVC-11]]+KH_26_OPT4_KTQT_v4[[#This Row],[CPHH-11]]</f>
        <v>185500000</v>
      </c>
      <c r="DL87" s="47">
        <f ca="1">KH_26_OPT4_KTQT_v4[[#This Row],[DT-EXW-12]]+KH_26_OPT4_KTQT_v4[[#This Row],[CPVC-12]]+KH_26_OPT4_KTQT_v4[[#This Row],[CPHH-12]]</f>
        <v>185500000</v>
      </c>
      <c r="DM87" s="47">
        <f ca="1">SUM(KH_26_OPT4_KTQT_v4[[#This Row],[DT-01]:[DT-12]])</f>
        <v>2226000000</v>
      </c>
      <c r="DN87" s="7"/>
      <c r="DO87" s="7"/>
      <c r="DP87" s="125"/>
      <c r="DQ87" s="136"/>
      <c r="DR87" s="132">
        <f>IFERROR(KH_26_OPT4_KTQT_v4[[#This Row],[DT-EXW-01]]*KH_26_OPT4_KTQT_v4[[#This Row],[%CPDP]],0)</f>
        <v>0</v>
      </c>
      <c r="DS87" s="132">
        <f>IFERROR(KH_26_OPT4_KTQT_v4[[#This Row],[DT-EXW-02]]*KH_26_OPT4_KTQT_v4[[#This Row],[%CPDP]],0)</f>
        <v>0</v>
      </c>
      <c r="DT87" s="132">
        <f>IFERROR(KH_26_OPT4_KTQT_v4[[#This Row],[DT-EXW-03]]*KH_26_OPT4_KTQT_v4[[#This Row],[%CPDP]],0)</f>
        <v>0</v>
      </c>
      <c r="DU87" s="132">
        <f>IFERROR(KH_26_OPT4_KTQT_v4[[#This Row],[DT-EXW-04]]*KH_26_OPT4_KTQT_v4[[#This Row],[%CPDP]],0)</f>
        <v>0</v>
      </c>
      <c r="DV87" s="132">
        <f>IFERROR(KH_26_OPT4_KTQT_v4[[#This Row],[DT-EXW-05]]*KH_26_OPT4_KTQT_v4[[#This Row],[%CPDP]],0)</f>
        <v>0</v>
      </c>
      <c r="DW87" s="132">
        <f>IFERROR(KH_26_OPT4_KTQT_v4[[#This Row],[DT-EXW-06]]*KH_26_OPT4_KTQT_v4[[#This Row],[%CPDP]],0)</f>
        <v>0</v>
      </c>
      <c r="DX87" s="132">
        <f>IFERROR(KH_26_OPT4_KTQT_v4[[#This Row],[DT-EXW-07]]*KH_26_OPT4_KTQT_v4[[#This Row],[%CPDP]],0)</f>
        <v>0</v>
      </c>
      <c r="DY87" s="132">
        <f>IFERROR(KH_26_OPT4_KTQT_v4[[#This Row],[DT-EXW-08]]*KH_26_OPT4_KTQT_v4[[#This Row],[%CPDP]],0)</f>
        <v>0</v>
      </c>
      <c r="DZ87" s="132">
        <f>IFERROR(KH_26_OPT4_KTQT_v4[[#This Row],[DT-EXW-09]]*KH_26_OPT4_KTQT_v4[[#This Row],[%CPDP]],0)</f>
        <v>0</v>
      </c>
      <c r="EA87" s="132">
        <f>IFERROR(KH_26_OPT4_KTQT_v4[[#This Row],[DT-EXW-10]]*KH_26_OPT4_KTQT_v4[[#This Row],[%CPDP]],0)</f>
        <v>0</v>
      </c>
      <c r="EB87" s="132">
        <f>IFERROR(KH_26_OPT4_KTQT_v4[[#This Row],[DT-EXW-11]]*KH_26_OPT4_KTQT_v4[[#This Row],[%CPDP]],0)</f>
        <v>0</v>
      </c>
      <c r="EC87" s="132">
        <f>IFERROR(KH_26_OPT4_KTQT_v4[[#This Row],[DT-EXW-12]]*KH_26_OPT4_KTQT_v4[[#This Row],[%CPDP]],0)</f>
        <v>0</v>
      </c>
      <c r="ED87" s="131">
        <f ca="1">SUM(KH_26_OPT4_KTQT_v4[[#This Row],[CPDP-01]:[CPDP-12]])</f>
        <v>0</v>
      </c>
    </row>
    <row r="88" spans="1:134" ht="14.65" hidden="1" customHeight="1" x14ac:dyDescent="0.35">
      <c r="A88" s="18">
        <v>83</v>
      </c>
      <c r="B88" s="71" t="s">
        <v>95</v>
      </c>
      <c r="C88" s="18" t="str">
        <f>IFERROR(_xlfn.XLOOKUP(KH_26_OPT4_KTQT_v4[[#This Row],[Salesman]],MD_Salesman[Salesman],MD_Salesman[SalesManager]),"")</f>
        <v>Cường</v>
      </c>
      <c r="D88" s="72" t="str">
        <f>IFERROR(INDEX(MD_Customer[Mã khách],MATCH(KH_26_OPT4_KTQT_v4[[#This Row],[Tên khách]],MD_Customer[Tên khách-rút gọn],0)),"")</f>
        <v>200355</v>
      </c>
      <c r="E88" s="7" t="str">
        <f>IFERROR(INDEX(MD_Customer[Parent Account],MATCH(KH_26_OPT4_KTQT_v4[[#This Row],[Tên khách]],MD_Customer[Tên khách-rút gọn],0)),"")</f>
        <v>International Gate SA</v>
      </c>
      <c r="F88" s="35" t="s">
        <v>137</v>
      </c>
      <c r="G88" s="7" t="str">
        <f>IFERROR(INDEX(MD_Customer[Phân loại],MATCH(KH_26_OPT4_KTQT_v4[[#This Row],[Tên khách]],MD_Customer[Tên khách-rút gọn],0)),"")</f>
        <v>Hiện hữu</v>
      </c>
      <c r="H88" s="7" t="str">
        <f>IFERROR(INDEX(MD_Customer[Kênh bán hàng],MATCH(KH_26_OPT4_KTQT_v4[[#This Row],[Tên khách]],MD_Customer[Tên khách-rút gọn],0)),"")</f>
        <v>Xuất khẩu</v>
      </c>
      <c r="I88" s="35" t="s">
        <v>316</v>
      </c>
      <c r="J88" s="7" t="str">
        <f>IFERROR(INDEX(MD_Destination[Nước],MATCH(KH_26_OPT4_KTQT_v4[[#This Row],[Địa điểm đến]],MD_Destination[Địa điểm đến],0)),"")</f>
        <v>Ba Lan</v>
      </c>
      <c r="K88" s="7" t="str">
        <f>IFERROR(INDEX(MD_Destination[Khu vực],MATCH(KH_26_OPT4_KTQT_v4[[#This Row],[Địa điểm đến]],MD_Destination[Địa điểm đến],0)),"")</f>
        <v>Châu Âu</v>
      </c>
      <c r="L88" s="35" t="s">
        <v>285</v>
      </c>
      <c r="M88" s="7" t="str">
        <f>IFERROR(INDEX(MD_SKU[Mã SKU],MATCH(KH_26_OPT4_KTQT_v4[[#This Row],[Tên sản phẩm]],MD_SKU[Tên SKU-rút gọn],0)),"")</f>
        <v>110000355</v>
      </c>
      <c r="N88" s="35" t="s">
        <v>469</v>
      </c>
      <c r="O88" s="7" t="str">
        <f>IFERROR(INDEX(MD_SKU[Ngành hàng],MATCH(KH_26_OPT4_KTQT_v4[[#This Row],[Tên sản phẩm]],MD_SKU[Tên SKU-rút gọn],0)),"")</f>
        <v>rPET</v>
      </c>
      <c r="P88" s="7" t="str">
        <f>IFERROR(INDEX(MD_SKU[Nhóm ngành],MATCH(KH_26_OPT4_KTQT_v4[[#This Row],[Tên sản phẩm]],MD_SKU[Tên SKU-rút gọn],0)),"")</f>
        <v>Hạt PET</v>
      </c>
      <c r="Q88" s="7" t="str">
        <f>IFERROR(
   IF(INDEX(MD_SKU[IV/IM],MATCH(KH_26_OPT4_KTQT_v4[[#This Row],[Tên sản phẩm]],MD_SKU[Tên SKU-rút gọn],0))=0,
      "",
      INDEX(MD_SKU[IV/IM],MATCH(KH_26_OPT4_KTQT_v4[[#This Row],[Tên sản phẩm]],MD_SKU[Tên SKU-rút gọn],0))
   ),
"")</f>
        <v>0.80 ± 0.02</v>
      </c>
      <c r="R88" s="44">
        <f>IFERROR(INDEX(MD_SKU[Application],MATCH(KH_26_OPT4_KTQT_v4[[#This Row],[Tên sản phẩm]],MD_SKU[Tên SKU-rút gọn],0)),"")</f>
        <v>0</v>
      </c>
      <c r="S88" s="7" t="str">
        <f>IFERROR(INDEX(MD_SKU[Phân loại],MATCH(KH_26_OPT4_KTQT_v4[[#This Row],[Tên sản phẩm]],MD_SKU[Tên SKU-rút gọn],0)),"")</f>
        <v>Cũ</v>
      </c>
      <c r="T88" s="7" t="s">
        <v>542</v>
      </c>
      <c r="U88" s="7" t="s">
        <v>1508</v>
      </c>
      <c r="V88" s="70">
        <v>0.8</v>
      </c>
      <c r="W88" s="33"/>
      <c r="X88" s="33">
        <v>22</v>
      </c>
      <c r="Y88" s="33"/>
      <c r="Z88" s="33">
        <v>22</v>
      </c>
      <c r="AA88" s="33"/>
      <c r="AB88" s="33"/>
      <c r="AC88" s="33">
        <v>22</v>
      </c>
      <c r="AD88" s="33"/>
      <c r="AE88" s="33">
        <v>22</v>
      </c>
      <c r="AF88" s="33"/>
      <c r="AG88" s="33">
        <v>22</v>
      </c>
      <c r="AH88" s="33"/>
      <c r="AI88" s="47">
        <f ca="1">SUM(KH_26_OPT4_KTQT_v4[[#This Row],[SL-01]:[SL-12]])</f>
        <v>110</v>
      </c>
      <c r="AJ88" s="47">
        <f ca="1">SUMIFS(DB_25[SL-DB25],DB_25[Mã khách],KH_26_OPT4_KTQT_v4[[#This Row],[Mã khách]],DB_25[Mã sản phẩm],KH_26_OPT4_KTQT_v4[[#This Row],[Mã sản phẩm]])</f>
        <v>176</v>
      </c>
      <c r="AK88" s="20">
        <f ca="1">KH_26_OPT4_KTQT_v4[[#This Row],[SL-KH26]]-KH_26_OPT4_KTQT_v4[[#This Row],[SL-DB25]]</f>
        <v>-66</v>
      </c>
      <c r="AL88" s="21">
        <f ca="1">IFERROR(KH_26_OPT4_KTQT_v4[[#This Row],[SL-+/-]]/KH_26_OPT4_KTQT_v4[[#This Row],[SL-DB25]],0)</f>
        <v>-0.375</v>
      </c>
      <c r="AM88" s="51">
        <v>1200</v>
      </c>
      <c r="AN88" s="51">
        <v>1200</v>
      </c>
      <c r="AO88" s="51">
        <v>1200</v>
      </c>
      <c r="AP88" s="51">
        <v>1200</v>
      </c>
      <c r="AQ88" s="51">
        <v>1200</v>
      </c>
      <c r="AR88" s="51">
        <v>1200</v>
      </c>
      <c r="AS88" s="51">
        <v>1200</v>
      </c>
      <c r="AT88" s="51">
        <v>1200</v>
      </c>
      <c r="AU88" s="51">
        <v>1200</v>
      </c>
      <c r="AV88" s="51">
        <v>1200</v>
      </c>
      <c r="AW88" s="51">
        <v>1200</v>
      </c>
      <c r="AX88" s="51">
        <v>1200</v>
      </c>
      <c r="AY88" s="23">
        <v>1200</v>
      </c>
      <c r="AZ88" s="7"/>
      <c r="BA88" s="24">
        <f>KH_26_OPT4_KTQT_v4[[#This Row],[GB-DB25]]-KH_26_OPT4_KTQT_v4[[#This Row],[GB-KH25]]</f>
        <v>1200</v>
      </c>
      <c r="BB88" s="21">
        <f>IFERROR(KH_26_OPT4_KTQT_v4[[#This Row],[GB-+/-]]/KH_26_OPT4_KTQT_v4[[#This Row],[GB-KH25]],0)</f>
        <v>0</v>
      </c>
      <c r="BC88" s="21" t="s">
        <v>534</v>
      </c>
      <c r="BD88" s="47">
        <f>KH_26_OPT4_KTQT_v4[[#This Row],[SL-01]]*KH_26_OPT4_KTQT_v4[[#This Row],[GB-01]]*EXR</f>
        <v>0</v>
      </c>
      <c r="BE88" s="47">
        <f>KH_26_OPT4_KTQT_v4[[#This Row],[SL-02]]*KH_26_OPT4_KTQT_v4[[#This Row],[GB-02]]*EXR</f>
        <v>699600000</v>
      </c>
      <c r="BF88" s="47">
        <f>KH_26_OPT4_KTQT_v4[[#This Row],[SL-03]]*KH_26_OPT4_KTQT_v4[[#This Row],[GB-03]]*EXR</f>
        <v>0</v>
      </c>
      <c r="BG88" s="47">
        <f>KH_26_OPT4_KTQT_v4[[#This Row],[SL-04]]*KH_26_OPT4_KTQT_v4[[#This Row],[GB-04]]*EXR</f>
        <v>699600000</v>
      </c>
      <c r="BH88" s="47">
        <f>KH_26_OPT4_KTQT_v4[[#This Row],[SL-05]]*KH_26_OPT4_KTQT_v4[[#This Row],[GB-05]]*EXR</f>
        <v>0</v>
      </c>
      <c r="BI88" s="47">
        <f>KH_26_OPT4_KTQT_v4[[#This Row],[SL-06]]*KH_26_OPT4_KTQT_v4[[#This Row],[GB-06]]*EXR</f>
        <v>0</v>
      </c>
      <c r="BJ88" s="47">
        <f>KH_26_OPT4_KTQT_v4[[#This Row],[SL-07]]*KH_26_OPT4_KTQT_v4[[#This Row],[GB-07]]*EXR</f>
        <v>699600000</v>
      </c>
      <c r="BK88" s="47">
        <f>KH_26_OPT4_KTQT_v4[[#This Row],[SL-08]]*KH_26_OPT4_KTQT_v4[[#This Row],[GB-08]]*EXR</f>
        <v>0</v>
      </c>
      <c r="BL88" s="47">
        <f>KH_26_OPT4_KTQT_v4[[#This Row],[SL-09]]*KH_26_OPT4_KTQT_v4[[#This Row],[GB-09]]*EXR</f>
        <v>699600000</v>
      </c>
      <c r="BM88" s="47">
        <f>KH_26_OPT4_KTQT_v4[[#This Row],[SL-10]]*KH_26_OPT4_KTQT_v4[[#This Row],[GB-10]]*EXR</f>
        <v>0</v>
      </c>
      <c r="BN88" s="47">
        <f>KH_26_OPT4_KTQT_v4[[#This Row],[SL-11]]*KH_26_OPT4_KTQT_v4[[#This Row],[GB-11]]*EXR</f>
        <v>699600000</v>
      </c>
      <c r="BO88" s="47">
        <f>KH_26_OPT4_KTQT_v4[[#This Row],[SL-12]]*KH_26_OPT4_KTQT_v4[[#This Row],[GB-12]]*EXR</f>
        <v>0</v>
      </c>
      <c r="BP88" s="47">
        <f ca="1">SUM(KH_26_OPT4_KTQT_v4[[#This Row],[DT-EXW-01]:[DT-EXW-12]])</f>
        <v>3498000000</v>
      </c>
      <c r="BQ88" s="47">
        <f ca="1">SUMIFS(DB_25[DT-DB25],DB_25[Mã khách],KH_26_OPT4_KTQT_v4[[#This Row],[Mã khách]],DB_25[Mã sản phẩm],KH_26_OPT4_KTQT_v4[[#This Row],[Mã sản phẩm]])</f>
        <v>5662826742.673007</v>
      </c>
      <c r="BR88" s="47">
        <f ca="1">KH_26_OPT4_KTQT_v4[[#This Row],[DT-EXW-KH26]]-KH_26_OPT4_KTQT_v4[[#This Row],[DT-EXW-DB25]]</f>
        <v>-2164826742.673007</v>
      </c>
      <c r="BS88" s="21">
        <f ca="1">IFERROR(KH_26_OPT4_KTQT_v4[[#This Row],[DT-EXW-+/-]]/KH_26_OPT4_KTQT_v4[[#This Row],[DT-EXW-DB25]],0)</f>
        <v>-0.38228729944351969</v>
      </c>
      <c r="BT88" s="139"/>
      <c r="BU88" s="57"/>
      <c r="BV88" s="51"/>
      <c r="BW88" s="47">
        <f>IF(KH_26_OPT4_KTQT_v4[[#This Row],[CPHH-%-SL]]="Dthu",KH_26_OPT4_KTQT_v4[[#This Row],[%HH]]*KH_26_OPT4_KTQT_v4[[#This Row],[DT-EXW-01]],KH_26_OPT4_KTQT_v4[[#This Row],[HH-SL]]*KH_26_OPT4_KTQT_v4[[#This Row],[SL-01]])</f>
        <v>0</v>
      </c>
      <c r="BX88" s="47">
        <f>IF(KH_26_OPT4_KTQT_v4[[#This Row],[CPHH-%-SL]]="Dthu",KH_26_OPT4_KTQT_v4[[#This Row],[%HH]]*KH_26_OPT4_KTQT_v4[[#This Row],[DT-EXW-02]],KH_26_OPT4_KTQT_v4[[#This Row],[HH-SL]]*KH_26_OPT4_KTQT_v4[[#This Row],[SL-02]])</f>
        <v>0</v>
      </c>
      <c r="BY88" s="47">
        <f>IF(KH_26_OPT4_KTQT_v4[[#This Row],[CPHH-%-SL]]="Dthu",KH_26_OPT4_KTQT_v4[[#This Row],[%HH]]*KH_26_OPT4_KTQT_v4[[#This Row],[DT-EXW-03]],KH_26_OPT4_KTQT_v4[[#This Row],[HH-SL]]*KH_26_OPT4_KTQT_v4[[#This Row],[SL-03]])</f>
        <v>0</v>
      </c>
      <c r="BZ88" s="47">
        <f>IF(KH_26_OPT4_KTQT_v4[[#This Row],[CPHH-%-SL]]="Dthu",KH_26_OPT4_KTQT_v4[[#This Row],[%HH]]*KH_26_OPT4_KTQT_v4[[#This Row],[DT-EXW-04]],KH_26_OPT4_KTQT_v4[[#This Row],[HH-SL]]*KH_26_OPT4_KTQT_v4[[#This Row],[SL-04]])</f>
        <v>0</v>
      </c>
      <c r="CA88" s="47">
        <f>IF(KH_26_OPT4_KTQT_v4[[#This Row],[CPHH-%-SL]]="Dthu",KH_26_OPT4_KTQT_v4[[#This Row],[%HH]]*KH_26_OPT4_KTQT_v4[[#This Row],[DT-EXW-05]],KH_26_OPT4_KTQT_v4[[#This Row],[HH-SL]]*KH_26_OPT4_KTQT_v4[[#This Row],[SL-05]])</f>
        <v>0</v>
      </c>
      <c r="CB88" s="47">
        <f>IF(KH_26_OPT4_KTQT_v4[[#This Row],[CPHH-%-SL]]="Dthu",KH_26_OPT4_KTQT_v4[[#This Row],[%HH]]*KH_26_OPT4_KTQT_v4[[#This Row],[DT-EXW-06]],KH_26_OPT4_KTQT_v4[[#This Row],[HH-SL]]*KH_26_OPT4_KTQT_v4[[#This Row],[SL-06]])</f>
        <v>0</v>
      </c>
      <c r="CC88" s="47">
        <f>IF(KH_26_OPT4_KTQT_v4[[#This Row],[CPHH-%-SL]]="Dthu",KH_26_OPT4_KTQT_v4[[#This Row],[%HH]]*KH_26_OPT4_KTQT_v4[[#This Row],[DT-EXW-07]],KH_26_OPT4_KTQT_v4[[#This Row],[HH-SL]]*KH_26_OPT4_KTQT_v4[[#This Row],[SL-07]])</f>
        <v>0</v>
      </c>
      <c r="CD88" s="47">
        <f>IF(KH_26_OPT4_KTQT_v4[[#This Row],[CPHH-%-SL]]="Dthu",KH_26_OPT4_KTQT_v4[[#This Row],[%HH]]*KH_26_OPT4_KTQT_v4[[#This Row],[DT-EXW-08]],KH_26_OPT4_KTQT_v4[[#This Row],[HH-SL]]*KH_26_OPT4_KTQT_v4[[#This Row],[SL-08]])</f>
        <v>0</v>
      </c>
      <c r="CE88" s="47">
        <f>IF(KH_26_OPT4_KTQT_v4[[#This Row],[CPHH-%-SL]]="Dthu",KH_26_OPT4_KTQT_v4[[#This Row],[%HH]]*KH_26_OPT4_KTQT_v4[[#This Row],[DT-EXW-09]],KH_26_OPT4_KTQT_v4[[#This Row],[HH-SL]]*KH_26_OPT4_KTQT_v4[[#This Row],[SL-09]])</f>
        <v>0</v>
      </c>
      <c r="CF88" s="47">
        <f>IF(KH_26_OPT4_KTQT_v4[[#This Row],[CPHH-%-SL]]="Dthu",KH_26_OPT4_KTQT_v4[[#This Row],[%HH]]*KH_26_OPT4_KTQT_v4[[#This Row],[DT-EXW-10]],KH_26_OPT4_KTQT_v4[[#This Row],[HH-SL]]*KH_26_OPT4_KTQT_v4[[#This Row],[SL-10]])</f>
        <v>0</v>
      </c>
      <c r="CG88" s="47">
        <f>IF(KH_26_OPT4_KTQT_v4[[#This Row],[CPHH-%-SL]]="Dthu",KH_26_OPT4_KTQT_v4[[#This Row],[%HH]]*KH_26_OPT4_KTQT_v4[[#This Row],[DT-EXW-11]],KH_26_OPT4_KTQT_v4[[#This Row],[HH-SL]]*KH_26_OPT4_KTQT_v4[[#This Row],[SL-11]])</f>
        <v>0</v>
      </c>
      <c r="CH88" s="47">
        <f>IF(KH_26_OPT4_KTQT_v4[[#This Row],[CPHH-%-SL]]="Dthu",KH_26_OPT4_KTQT_v4[[#This Row],[%HH]]*KH_26_OPT4_KTQT_v4[[#This Row],[DT-EXW-12]],KH_26_OPT4_KTQT_v4[[#This Row],[HH-SL]]*KH_26_OPT4_KTQT_v4[[#This Row],[SL-12]])</f>
        <v>0</v>
      </c>
      <c r="CI88" s="47">
        <f ca="1">SUM(KH_26_OPT4_KTQT_v4[[#This Row],[CPHH-01]:[CPHH-12]])</f>
        <v>0</v>
      </c>
      <c r="CJ88" s="47" cm="1">
        <f t="array" ref="CJ88">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88" s="19">
        <f ca="1">SUM(KH_26_OPT4_KTQT_v4[[#This Row],[ĐGVCNĐ-KXK]:[ĐGVCCT-KXK]])</f>
        <v>2698181.8181818179</v>
      </c>
      <c r="CL88" s="47" cm="1">
        <f t="array" ref="CL88">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530000</v>
      </c>
      <c r="CM88" s="47" cm="1">
        <f t="array" ref="CM88">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2168181.8181818179</v>
      </c>
      <c r="CN88" s="47">
        <f ca="1">(KH_26_OPT4_KTQT_v4[[#This Row],[ĐGVC-KNĐ]]+KH_26_OPT4_KTQT_v4[[#This Row],[ĐGVC-KXK]])*KH_26_OPT4_KTQT_v4[[#This Row],[SL-01]]</f>
        <v>0</v>
      </c>
      <c r="CO88" s="47">
        <f ca="1">(KH_26_OPT4_KTQT_v4[[#This Row],[ĐGVC-KNĐ]]+KH_26_OPT4_KTQT_v4[[#This Row],[ĐGVC-KXK]])*KH_26_OPT4_KTQT_v4[[#This Row],[SL-02]]</f>
        <v>59359999.999999993</v>
      </c>
      <c r="CP88" s="47">
        <f ca="1">(KH_26_OPT4_KTQT_v4[[#This Row],[ĐGVC-KNĐ]]+KH_26_OPT4_KTQT_v4[[#This Row],[ĐGVC-KXK]])*KH_26_OPT4_KTQT_v4[[#This Row],[SL-03]]</f>
        <v>0</v>
      </c>
      <c r="CQ88" s="47">
        <f ca="1">(KH_26_OPT4_KTQT_v4[[#This Row],[ĐGVC-KNĐ]]+KH_26_OPT4_KTQT_v4[[#This Row],[ĐGVC-KXK]])*KH_26_OPT4_KTQT_v4[[#This Row],[SL-04]]</f>
        <v>59359999.999999993</v>
      </c>
      <c r="CR88" s="47">
        <f ca="1">(KH_26_OPT4_KTQT_v4[[#This Row],[ĐGVC-KNĐ]]+KH_26_OPT4_KTQT_v4[[#This Row],[ĐGVC-KXK]])*KH_26_OPT4_KTQT_v4[[#This Row],[SL-05]]</f>
        <v>0</v>
      </c>
      <c r="CS88" s="47">
        <f ca="1">(KH_26_OPT4_KTQT_v4[[#This Row],[ĐGVC-KNĐ]]+KH_26_OPT4_KTQT_v4[[#This Row],[ĐGVC-KXK]])*KH_26_OPT4_KTQT_v4[[#This Row],[SL-06]]</f>
        <v>0</v>
      </c>
      <c r="CT88" s="47">
        <f ca="1">(KH_26_OPT4_KTQT_v4[[#This Row],[ĐGVC-KNĐ]]+KH_26_OPT4_KTQT_v4[[#This Row],[ĐGVC-KXK]])*KH_26_OPT4_KTQT_v4[[#This Row],[SL-07]]</f>
        <v>59359999.999999993</v>
      </c>
      <c r="CU88" s="47">
        <f ca="1">(KH_26_OPT4_KTQT_v4[[#This Row],[ĐGVC-KNĐ]]+KH_26_OPT4_KTQT_v4[[#This Row],[ĐGVC-KXK]])*KH_26_OPT4_KTQT_v4[[#This Row],[SL-08]]</f>
        <v>0</v>
      </c>
      <c r="CV88" s="47">
        <f ca="1">(KH_26_OPT4_KTQT_v4[[#This Row],[ĐGVC-KNĐ]]+KH_26_OPT4_KTQT_v4[[#This Row],[ĐGVC-KXK]])*KH_26_OPT4_KTQT_v4[[#This Row],[SL-09]]</f>
        <v>59359999.999999993</v>
      </c>
      <c r="CW88" s="47">
        <f ca="1">(KH_26_OPT4_KTQT_v4[[#This Row],[ĐGVC-KNĐ]]+KH_26_OPT4_KTQT_v4[[#This Row],[ĐGVC-KXK]])*KH_26_OPT4_KTQT_v4[[#This Row],[SL-10]]</f>
        <v>0</v>
      </c>
      <c r="CX88" s="47">
        <f ca="1">(KH_26_OPT4_KTQT_v4[[#This Row],[ĐGVC-KNĐ]]+KH_26_OPT4_KTQT_v4[[#This Row],[ĐGVC-KXK]])*KH_26_OPT4_KTQT_v4[[#This Row],[SL-11]]</f>
        <v>59359999.999999993</v>
      </c>
      <c r="CY88" s="47">
        <f ca="1">(KH_26_OPT4_KTQT_v4[[#This Row],[ĐGVC-KNĐ]]+KH_26_OPT4_KTQT_v4[[#This Row],[ĐGVC-KXK]])*KH_26_OPT4_KTQT_v4[[#This Row],[SL-12]]</f>
        <v>0</v>
      </c>
      <c r="CZ88" s="47">
        <f ca="1">SUM(KH_26_OPT4_KTQT_v4[[#This Row],[CPVC-01]:[CPVC-12]])</f>
        <v>296799999.99999994</v>
      </c>
      <c r="DA88" s="124">
        <f ca="1">KH_26_OPT4_KTQT_v4[[#This Row],[DT-EXW-01]]+KH_26_OPT4_KTQT_v4[[#This Row],[CPVC-01]]+KH_26_OPT4_KTQT_v4[[#This Row],[CPHH-01]]</f>
        <v>0</v>
      </c>
      <c r="DB88" s="47">
        <f ca="1">KH_26_OPT4_KTQT_v4[[#This Row],[DT-EXW-02]]+KH_26_OPT4_KTQT_v4[[#This Row],[CPVC-02]]+KH_26_OPT4_KTQT_v4[[#This Row],[CPHH-02]]</f>
        <v>758960000</v>
      </c>
      <c r="DC88" s="47">
        <f ca="1">KH_26_OPT4_KTQT_v4[[#This Row],[DT-EXW-03]]+KH_26_OPT4_KTQT_v4[[#This Row],[CPVC-03]]+KH_26_OPT4_KTQT_v4[[#This Row],[CPHH-03]]</f>
        <v>0</v>
      </c>
      <c r="DD88" s="47">
        <f ca="1">KH_26_OPT4_KTQT_v4[[#This Row],[DT-EXW-04]]+KH_26_OPT4_KTQT_v4[[#This Row],[CPVC-04]]+KH_26_OPT4_KTQT_v4[[#This Row],[CPHH-04]]</f>
        <v>758960000</v>
      </c>
      <c r="DE88" s="47">
        <f ca="1">KH_26_OPT4_KTQT_v4[[#This Row],[DT-EXW-05]]+KH_26_OPT4_KTQT_v4[[#This Row],[CPVC-05]]+KH_26_OPT4_KTQT_v4[[#This Row],[CPHH-05]]</f>
        <v>0</v>
      </c>
      <c r="DF88" s="47">
        <f ca="1">KH_26_OPT4_KTQT_v4[[#This Row],[DT-EXW-06]]+KH_26_OPT4_KTQT_v4[[#This Row],[CPVC-06]]+KH_26_OPT4_KTQT_v4[[#This Row],[CPHH-06]]</f>
        <v>0</v>
      </c>
      <c r="DG88" s="47">
        <f ca="1">KH_26_OPT4_KTQT_v4[[#This Row],[DT-EXW-07]]+KH_26_OPT4_KTQT_v4[[#This Row],[CPVC-07]]+KH_26_OPT4_KTQT_v4[[#This Row],[CPHH-07]]</f>
        <v>758960000</v>
      </c>
      <c r="DH88" s="47">
        <f ca="1">KH_26_OPT4_KTQT_v4[[#This Row],[DT-EXW-08]]+KH_26_OPT4_KTQT_v4[[#This Row],[CPVC-08]]+KH_26_OPT4_KTQT_v4[[#This Row],[CPHH-08]]</f>
        <v>0</v>
      </c>
      <c r="DI88" s="47">
        <f ca="1">KH_26_OPT4_KTQT_v4[[#This Row],[DT-EXW-09]]+KH_26_OPT4_KTQT_v4[[#This Row],[CPVC-09]]+KH_26_OPT4_KTQT_v4[[#This Row],[CPHH-09]]</f>
        <v>758960000</v>
      </c>
      <c r="DJ88" s="47">
        <f ca="1">KH_26_OPT4_KTQT_v4[[#This Row],[DT-EXW-10]]+KH_26_OPT4_KTQT_v4[[#This Row],[CPVC-10]]+KH_26_OPT4_KTQT_v4[[#This Row],[CPHH-10]]</f>
        <v>0</v>
      </c>
      <c r="DK88" s="47">
        <f ca="1">KH_26_OPT4_KTQT_v4[[#This Row],[DT-EXW-11]]+KH_26_OPT4_KTQT_v4[[#This Row],[CPVC-11]]+KH_26_OPT4_KTQT_v4[[#This Row],[CPHH-11]]</f>
        <v>758960000</v>
      </c>
      <c r="DL88" s="47">
        <f ca="1">KH_26_OPT4_KTQT_v4[[#This Row],[DT-EXW-12]]+KH_26_OPT4_KTQT_v4[[#This Row],[CPVC-12]]+KH_26_OPT4_KTQT_v4[[#This Row],[CPHH-12]]</f>
        <v>0</v>
      </c>
      <c r="DM88" s="47">
        <f ca="1">SUM(KH_26_OPT4_KTQT_v4[[#This Row],[DT-01]:[DT-12]])</f>
        <v>3794800000</v>
      </c>
      <c r="DN88" s="7"/>
      <c r="DO88" s="7"/>
      <c r="DP88" s="125"/>
      <c r="DQ88" s="136">
        <v>0.1</v>
      </c>
      <c r="DR88" s="132">
        <f>IFERROR(KH_26_OPT4_KTQT_v4[[#This Row],[DT-EXW-01]]*KH_26_OPT4_KTQT_v4[[#This Row],[%CPDP]],0)</f>
        <v>0</v>
      </c>
      <c r="DS88" s="132">
        <f>IFERROR(KH_26_OPT4_KTQT_v4[[#This Row],[DT-EXW-02]]*KH_26_OPT4_KTQT_v4[[#This Row],[%CPDP]],0)</f>
        <v>69960000</v>
      </c>
      <c r="DT88" s="132">
        <f>IFERROR(KH_26_OPT4_KTQT_v4[[#This Row],[DT-EXW-03]]*KH_26_OPT4_KTQT_v4[[#This Row],[%CPDP]],0)</f>
        <v>0</v>
      </c>
      <c r="DU88" s="132">
        <f>IFERROR(KH_26_OPT4_KTQT_v4[[#This Row],[DT-EXW-04]]*KH_26_OPT4_KTQT_v4[[#This Row],[%CPDP]],0)</f>
        <v>69960000</v>
      </c>
      <c r="DV88" s="132">
        <f>IFERROR(KH_26_OPT4_KTQT_v4[[#This Row],[DT-EXW-05]]*KH_26_OPT4_KTQT_v4[[#This Row],[%CPDP]],0)</f>
        <v>0</v>
      </c>
      <c r="DW88" s="132">
        <f>IFERROR(KH_26_OPT4_KTQT_v4[[#This Row],[DT-EXW-06]]*KH_26_OPT4_KTQT_v4[[#This Row],[%CPDP]],0)</f>
        <v>0</v>
      </c>
      <c r="DX88" s="132">
        <f>IFERROR(KH_26_OPT4_KTQT_v4[[#This Row],[DT-EXW-07]]*KH_26_OPT4_KTQT_v4[[#This Row],[%CPDP]],0)</f>
        <v>69960000</v>
      </c>
      <c r="DY88" s="132">
        <f>IFERROR(KH_26_OPT4_KTQT_v4[[#This Row],[DT-EXW-08]]*KH_26_OPT4_KTQT_v4[[#This Row],[%CPDP]],0)</f>
        <v>0</v>
      </c>
      <c r="DZ88" s="132">
        <f>IFERROR(KH_26_OPT4_KTQT_v4[[#This Row],[DT-EXW-09]]*KH_26_OPT4_KTQT_v4[[#This Row],[%CPDP]],0)</f>
        <v>69960000</v>
      </c>
      <c r="EA88" s="132">
        <f>IFERROR(KH_26_OPT4_KTQT_v4[[#This Row],[DT-EXW-10]]*KH_26_OPT4_KTQT_v4[[#This Row],[%CPDP]],0)</f>
        <v>0</v>
      </c>
      <c r="EB88" s="132">
        <f>IFERROR(KH_26_OPT4_KTQT_v4[[#This Row],[DT-EXW-11]]*KH_26_OPT4_KTQT_v4[[#This Row],[%CPDP]],0)</f>
        <v>69960000</v>
      </c>
      <c r="EC88" s="132">
        <f>IFERROR(KH_26_OPT4_KTQT_v4[[#This Row],[DT-EXW-12]]*KH_26_OPT4_KTQT_v4[[#This Row],[%CPDP]],0)</f>
        <v>0</v>
      </c>
      <c r="ED88" s="131">
        <f ca="1">SUM(KH_26_OPT4_KTQT_v4[[#This Row],[CPDP-01]:[CPDP-12]])</f>
        <v>349800000</v>
      </c>
    </row>
    <row r="89" spans="1:134" ht="14.65" hidden="1" customHeight="1" x14ac:dyDescent="0.35">
      <c r="A89" s="18">
        <v>84</v>
      </c>
      <c r="B89" s="71" t="s">
        <v>95</v>
      </c>
      <c r="C89" s="18" t="str">
        <f>IFERROR(_xlfn.XLOOKUP(KH_26_OPT4_KTQT_v4[[#This Row],[Salesman]],MD_Salesman[Salesman],MD_Salesman[SalesManager]),"")</f>
        <v>Cường</v>
      </c>
      <c r="D89" s="72" t="str">
        <f>IFERROR(INDEX(MD_Customer[Mã khách],MATCH(KH_26_OPT4_KTQT_v4[[#This Row],[Tên khách]],MD_Customer[Tên khách-rút gọn],0)),"")</f>
        <v>200357</v>
      </c>
      <c r="E89" s="7" t="str">
        <f>IFERROR(INDEX(MD_Customer[Parent Account],MATCH(KH_26_OPT4_KTQT_v4[[#This Row],[Tên khách]],MD_Customer[Tên khách-rút gọn],0)),"")</f>
        <v>Genesis Polymers International</v>
      </c>
      <c r="F89" s="35" t="s">
        <v>126</v>
      </c>
      <c r="G89" s="7" t="str">
        <f>IFERROR(INDEX(MD_Customer[Phân loại],MATCH(KH_26_OPT4_KTQT_v4[[#This Row],[Tên khách]],MD_Customer[Tên khách-rút gọn],0)),"")</f>
        <v>Hiện hữu</v>
      </c>
      <c r="H89" s="7" t="str">
        <f>IFERROR(INDEX(MD_Customer[Kênh bán hàng],MATCH(KH_26_OPT4_KTQT_v4[[#This Row],[Tên khách]],MD_Customer[Tên khách-rút gọn],0)),"")</f>
        <v>Xuất khẩu</v>
      </c>
      <c r="I89" s="35" t="s">
        <v>300</v>
      </c>
      <c r="J89" s="7" t="str">
        <f>IFERROR(INDEX(MD_Destination[Nước],MATCH(KH_26_OPT4_KTQT_v4[[#This Row],[Địa điểm đến]],MD_Destination[Địa điểm đến],0)),"")</f>
        <v>Mexico</v>
      </c>
      <c r="K89" s="7" t="str">
        <f>IFERROR(INDEX(MD_Destination[Khu vực],MATCH(KH_26_OPT4_KTQT_v4[[#This Row],[Địa điểm đến]],MD_Destination[Địa điểm đến],0)),"")</f>
        <v>Châu Mỹ</v>
      </c>
      <c r="L89" s="35" t="s">
        <v>293</v>
      </c>
      <c r="M89" s="7" t="str">
        <f>IFERROR(INDEX(MD_SKU[Mã SKU],MATCH(KH_26_OPT4_KTQT_v4[[#This Row],[Tên sản phẩm]],MD_SKU[Tên SKU-rút gọn],0)),"")</f>
        <v>110000355</v>
      </c>
      <c r="N89" s="35" t="s">
        <v>469</v>
      </c>
      <c r="O89" s="7" t="str">
        <f>IFERROR(INDEX(MD_SKU[Ngành hàng],MATCH(KH_26_OPT4_KTQT_v4[[#This Row],[Tên sản phẩm]],MD_SKU[Tên SKU-rút gọn],0)),"")</f>
        <v>rPET</v>
      </c>
      <c r="P89" s="7" t="str">
        <f>IFERROR(INDEX(MD_SKU[Nhóm ngành],MATCH(KH_26_OPT4_KTQT_v4[[#This Row],[Tên sản phẩm]],MD_SKU[Tên SKU-rút gọn],0)),"")</f>
        <v>Hạt PET</v>
      </c>
      <c r="Q89" s="7" t="str">
        <f>IFERROR(
   IF(INDEX(MD_SKU[IV/IM],MATCH(KH_26_OPT4_KTQT_v4[[#This Row],[Tên sản phẩm]],MD_SKU[Tên SKU-rút gọn],0))=0,
      "",
      INDEX(MD_SKU[IV/IM],MATCH(KH_26_OPT4_KTQT_v4[[#This Row],[Tên sản phẩm]],MD_SKU[Tên SKU-rút gọn],0))
   ),
"")</f>
        <v>0.80 ± 0.02</v>
      </c>
      <c r="R89" s="44">
        <f>IFERROR(INDEX(MD_SKU[Application],MATCH(KH_26_OPT4_KTQT_v4[[#This Row],[Tên sản phẩm]],MD_SKU[Tên SKU-rút gọn],0)),"")</f>
        <v>0</v>
      </c>
      <c r="S89" s="7" t="str">
        <f>IFERROR(INDEX(MD_SKU[Phân loại],MATCH(KH_26_OPT4_KTQT_v4[[#This Row],[Tên sản phẩm]],MD_SKU[Tên SKU-rút gọn],0)),"")</f>
        <v>Cũ</v>
      </c>
      <c r="T89" s="7" t="s">
        <v>542</v>
      </c>
      <c r="U89" s="7" t="s">
        <v>1508</v>
      </c>
      <c r="V89" s="70">
        <v>0.8</v>
      </c>
      <c r="W89" s="33"/>
      <c r="X89" s="33"/>
      <c r="Y89" s="33">
        <v>22</v>
      </c>
      <c r="Z89" s="33"/>
      <c r="AA89" s="33"/>
      <c r="AB89" s="33">
        <v>22</v>
      </c>
      <c r="AC89" s="33"/>
      <c r="AD89" s="33"/>
      <c r="AE89" s="33">
        <v>22</v>
      </c>
      <c r="AF89" s="33"/>
      <c r="AG89" s="33"/>
      <c r="AH89" s="33">
        <v>22</v>
      </c>
      <c r="AI89" s="47">
        <f ca="1">SUM(KH_26_OPT4_KTQT_v4[[#This Row],[SL-01]:[SL-12]])</f>
        <v>88</v>
      </c>
      <c r="AJ89" s="47">
        <f ca="1">SUMIFS(DB_25[SL-DB25],DB_25[Mã khách],KH_26_OPT4_KTQT_v4[[#This Row],[Mã khách]],DB_25[Mã sản phẩm],KH_26_OPT4_KTQT_v4[[#This Row],[Mã sản phẩm]])</f>
        <v>154</v>
      </c>
      <c r="AK89" s="20">
        <f ca="1">KH_26_OPT4_KTQT_v4[[#This Row],[SL-KH26]]-KH_26_OPT4_KTQT_v4[[#This Row],[SL-DB25]]</f>
        <v>-66</v>
      </c>
      <c r="AL89" s="21">
        <f ca="1">IFERROR(KH_26_OPT4_KTQT_v4[[#This Row],[SL-+/-]]/KH_26_OPT4_KTQT_v4[[#This Row],[SL-DB25]],0)</f>
        <v>-0.42857142857142855</v>
      </c>
      <c r="AM89" s="51">
        <v>1200</v>
      </c>
      <c r="AN89" s="51">
        <v>1200</v>
      </c>
      <c r="AO89" s="51">
        <v>1200</v>
      </c>
      <c r="AP89" s="51">
        <v>1200</v>
      </c>
      <c r="AQ89" s="51">
        <v>1200</v>
      </c>
      <c r="AR89" s="51">
        <v>1200</v>
      </c>
      <c r="AS89" s="51">
        <v>1200</v>
      </c>
      <c r="AT89" s="51">
        <v>1200</v>
      </c>
      <c r="AU89" s="51">
        <v>1200</v>
      </c>
      <c r="AV89" s="51">
        <v>1200</v>
      </c>
      <c r="AW89" s="51">
        <v>1200</v>
      </c>
      <c r="AX89" s="51">
        <v>1200</v>
      </c>
      <c r="AY89" s="23">
        <v>1200</v>
      </c>
      <c r="AZ89" s="7"/>
      <c r="BA89" s="24">
        <f>KH_26_OPT4_KTQT_v4[[#This Row],[GB-DB25]]-KH_26_OPT4_KTQT_v4[[#This Row],[GB-KH25]]</f>
        <v>1200</v>
      </c>
      <c r="BB89" s="21">
        <f>IFERROR(KH_26_OPT4_KTQT_v4[[#This Row],[GB-+/-]]/KH_26_OPT4_KTQT_v4[[#This Row],[GB-KH25]],0)</f>
        <v>0</v>
      </c>
      <c r="BC89" s="21"/>
      <c r="BD89" s="47">
        <f>KH_26_OPT4_KTQT_v4[[#This Row],[SL-01]]*KH_26_OPT4_KTQT_v4[[#This Row],[GB-01]]*EXR</f>
        <v>0</v>
      </c>
      <c r="BE89" s="47">
        <f>KH_26_OPT4_KTQT_v4[[#This Row],[SL-02]]*KH_26_OPT4_KTQT_v4[[#This Row],[GB-02]]*EXR</f>
        <v>0</v>
      </c>
      <c r="BF89" s="47">
        <f>KH_26_OPT4_KTQT_v4[[#This Row],[SL-03]]*KH_26_OPT4_KTQT_v4[[#This Row],[GB-03]]*EXR</f>
        <v>699600000</v>
      </c>
      <c r="BG89" s="47">
        <f>KH_26_OPT4_KTQT_v4[[#This Row],[SL-04]]*KH_26_OPT4_KTQT_v4[[#This Row],[GB-04]]*EXR</f>
        <v>0</v>
      </c>
      <c r="BH89" s="47">
        <f>KH_26_OPT4_KTQT_v4[[#This Row],[SL-05]]*KH_26_OPT4_KTQT_v4[[#This Row],[GB-05]]*EXR</f>
        <v>0</v>
      </c>
      <c r="BI89" s="47">
        <f>KH_26_OPT4_KTQT_v4[[#This Row],[SL-06]]*KH_26_OPT4_KTQT_v4[[#This Row],[GB-06]]*EXR</f>
        <v>699600000</v>
      </c>
      <c r="BJ89" s="47">
        <f>KH_26_OPT4_KTQT_v4[[#This Row],[SL-07]]*KH_26_OPT4_KTQT_v4[[#This Row],[GB-07]]*EXR</f>
        <v>0</v>
      </c>
      <c r="BK89" s="47">
        <f>KH_26_OPT4_KTQT_v4[[#This Row],[SL-08]]*KH_26_OPT4_KTQT_v4[[#This Row],[GB-08]]*EXR</f>
        <v>0</v>
      </c>
      <c r="BL89" s="47">
        <f>KH_26_OPT4_KTQT_v4[[#This Row],[SL-09]]*KH_26_OPT4_KTQT_v4[[#This Row],[GB-09]]*EXR</f>
        <v>699600000</v>
      </c>
      <c r="BM89" s="47">
        <f>KH_26_OPT4_KTQT_v4[[#This Row],[SL-10]]*KH_26_OPT4_KTQT_v4[[#This Row],[GB-10]]*EXR</f>
        <v>0</v>
      </c>
      <c r="BN89" s="47">
        <f>KH_26_OPT4_KTQT_v4[[#This Row],[SL-11]]*KH_26_OPT4_KTQT_v4[[#This Row],[GB-11]]*EXR</f>
        <v>0</v>
      </c>
      <c r="BO89" s="47">
        <f>KH_26_OPT4_KTQT_v4[[#This Row],[SL-12]]*KH_26_OPT4_KTQT_v4[[#This Row],[GB-12]]*EXR</f>
        <v>699600000</v>
      </c>
      <c r="BP89" s="47">
        <f ca="1">SUM(KH_26_OPT4_KTQT_v4[[#This Row],[DT-EXW-01]:[DT-EXW-12]])</f>
        <v>2798400000</v>
      </c>
      <c r="BQ89" s="47">
        <f ca="1">SUMIFS(DB_25[DT-DB25],DB_25[Mã khách],KH_26_OPT4_KTQT_v4[[#This Row],[Mã khách]],DB_25[Mã sản phẩm],KH_26_OPT4_KTQT_v4[[#This Row],[Mã sản phẩm]])</f>
        <v>2158996667.898994</v>
      </c>
      <c r="BR89" s="47">
        <f ca="1">KH_26_OPT4_KTQT_v4[[#This Row],[DT-EXW-KH26]]-KH_26_OPT4_KTQT_v4[[#This Row],[DT-EXW-DB25]]</f>
        <v>639403332.10100603</v>
      </c>
      <c r="BS89" s="21">
        <f ca="1">IFERROR(KH_26_OPT4_KTQT_v4[[#This Row],[DT-EXW-+/-]]/KH_26_OPT4_KTQT_v4[[#This Row],[DT-EXW-DB25]],0)</f>
        <v>0.29615762803526463</v>
      </c>
      <c r="BT89" s="139"/>
      <c r="BU89" s="57"/>
      <c r="BV89" s="51"/>
      <c r="BW89" s="47">
        <f>IF(KH_26_OPT4_KTQT_v4[[#This Row],[CPHH-%-SL]]="Dthu",KH_26_OPT4_KTQT_v4[[#This Row],[%HH]]*KH_26_OPT4_KTQT_v4[[#This Row],[DT-EXW-01]],KH_26_OPT4_KTQT_v4[[#This Row],[HH-SL]]*KH_26_OPT4_KTQT_v4[[#This Row],[SL-01]])</f>
        <v>0</v>
      </c>
      <c r="BX89" s="47">
        <f>IF(KH_26_OPT4_KTQT_v4[[#This Row],[CPHH-%-SL]]="Dthu",KH_26_OPT4_KTQT_v4[[#This Row],[%HH]]*KH_26_OPT4_KTQT_v4[[#This Row],[DT-EXW-02]],KH_26_OPT4_KTQT_v4[[#This Row],[HH-SL]]*KH_26_OPT4_KTQT_v4[[#This Row],[SL-02]])</f>
        <v>0</v>
      </c>
      <c r="BY89" s="47">
        <f>IF(KH_26_OPT4_KTQT_v4[[#This Row],[CPHH-%-SL]]="Dthu",KH_26_OPT4_KTQT_v4[[#This Row],[%HH]]*KH_26_OPT4_KTQT_v4[[#This Row],[DT-EXW-03]],KH_26_OPT4_KTQT_v4[[#This Row],[HH-SL]]*KH_26_OPT4_KTQT_v4[[#This Row],[SL-03]])</f>
        <v>0</v>
      </c>
      <c r="BZ89" s="47">
        <f>IF(KH_26_OPT4_KTQT_v4[[#This Row],[CPHH-%-SL]]="Dthu",KH_26_OPT4_KTQT_v4[[#This Row],[%HH]]*KH_26_OPT4_KTQT_v4[[#This Row],[DT-EXW-04]],KH_26_OPT4_KTQT_v4[[#This Row],[HH-SL]]*KH_26_OPT4_KTQT_v4[[#This Row],[SL-04]])</f>
        <v>0</v>
      </c>
      <c r="CA89" s="47">
        <f>IF(KH_26_OPT4_KTQT_v4[[#This Row],[CPHH-%-SL]]="Dthu",KH_26_OPT4_KTQT_v4[[#This Row],[%HH]]*KH_26_OPT4_KTQT_v4[[#This Row],[DT-EXW-05]],KH_26_OPT4_KTQT_v4[[#This Row],[HH-SL]]*KH_26_OPT4_KTQT_v4[[#This Row],[SL-05]])</f>
        <v>0</v>
      </c>
      <c r="CB89" s="47">
        <f>IF(KH_26_OPT4_KTQT_v4[[#This Row],[CPHH-%-SL]]="Dthu",KH_26_OPT4_KTQT_v4[[#This Row],[%HH]]*KH_26_OPT4_KTQT_v4[[#This Row],[DT-EXW-06]],KH_26_OPT4_KTQT_v4[[#This Row],[HH-SL]]*KH_26_OPT4_KTQT_v4[[#This Row],[SL-06]])</f>
        <v>0</v>
      </c>
      <c r="CC89" s="47">
        <f>IF(KH_26_OPT4_KTQT_v4[[#This Row],[CPHH-%-SL]]="Dthu",KH_26_OPT4_KTQT_v4[[#This Row],[%HH]]*KH_26_OPT4_KTQT_v4[[#This Row],[DT-EXW-07]],KH_26_OPT4_KTQT_v4[[#This Row],[HH-SL]]*KH_26_OPT4_KTQT_v4[[#This Row],[SL-07]])</f>
        <v>0</v>
      </c>
      <c r="CD89" s="47">
        <f>IF(KH_26_OPT4_KTQT_v4[[#This Row],[CPHH-%-SL]]="Dthu",KH_26_OPT4_KTQT_v4[[#This Row],[%HH]]*KH_26_OPT4_KTQT_v4[[#This Row],[DT-EXW-08]],KH_26_OPT4_KTQT_v4[[#This Row],[HH-SL]]*KH_26_OPT4_KTQT_v4[[#This Row],[SL-08]])</f>
        <v>0</v>
      </c>
      <c r="CE89" s="47">
        <f>IF(KH_26_OPT4_KTQT_v4[[#This Row],[CPHH-%-SL]]="Dthu",KH_26_OPT4_KTQT_v4[[#This Row],[%HH]]*KH_26_OPT4_KTQT_v4[[#This Row],[DT-EXW-09]],KH_26_OPT4_KTQT_v4[[#This Row],[HH-SL]]*KH_26_OPT4_KTQT_v4[[#This Row],[SL-09]])</f>
        <v>0</v>
      </c>
      <c r="CF89" s="47">
        <f>IF(KH_26_OPT4_KTQT_v4[[#This Row],[CPHH-%-SL]]="Dthu",KH_26_OPT4_KTQT_v4[[#This Row],[%HH]]*KH_26_OPT4_KTQT_v4[[#This Row],[DT-EXW-10]],KH_26_OPT4_KTQT_v4[[#This Row],[HH-SL]]*KH_26_OPT4_KTQT_v4[[#This Row],[SL-10]])</f>
        <v>0</v>
      </c>
      <c r="CG89" s="47">
        <f>IF(KH_26_OPT4_KTQT_v4[[#This Row],[CPHH-%-SL]]="Dthu",KH_26_OPT4_KTQT_v4[[#This Row],[%HH]]*KH_26_OPT4_KTQT_v4[[#This Row],[DT-EXW-11]],KH_26_OPT4_KTQT_v4[[#This Row],[HH-SL]]*KH_26_OPT4_KTQT_v4[[#This Row],[SL-11]])</f>
        <v>0</v>
      </c>
      <c r="CH89" s="47">
        <f>IF(KH_26_OPT4_KTQT_v4[[#This Row],[CPHH-%-SL]]="Dthu",KH_26_OPT4_KTQT_v4[[#This Row],[%HH]]*KH_26_OPT4_KTQT_v4[[#This Row],[DT-EXW-12]],KH_26_OPT4_KTQT_v4[[#This Row],[HH-SL]]*KH_26_OPT4_KTQT_v4[[#This Row],[SL-12]])</f>
        <v>0</v>
      </c>
      <c r="CI89" s="47">
        <f ca="1">SUM(KH_26_OPT4_KTQT_v4[[#This Row],[CPHH-01]:[CPHH-12]])</f>
        <v>0</v>
      </c>
      <c r="CJ89" s="47" cm="1">
        <f t="array" ref="CJ89">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89" s="19">
        <f ca="1">SUM(KH_26_OPT4_KTQT_v4[[#This Row],[ĐGVCNĐ-KXK]:[ĐGVCCT-KXK]])</f>
        <v>3420909.0909090908</v>
      </c>
      <c r="CL89" s="47" cm="1">
        <f t="array" ref="CL89">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530000</v>
      </c>
      <c r="CM89" s="47" cm="1">
        <f t="array" ref="CM89">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2890909.0909090908</v>
      </c>
      <c r="CN89" s="47">
        <f ca="1">(KH_26_OPT4_KTQT_v4[[#This Row],[ĐGVC-KNĐ]]+KH_26_OPT4_KTQT_v4[[#This Row],[ĐGVC-KXK]])*KH_26_OPT4_KTQT_v4[[#This Row],[SL-01]]</f>
        <v>0</v>
      </c>
      <c r="CO89" s="47">
        <f ca="1">(KH_26_OPT4_KTQT_v4[[#This Row],[ĐGVC-KNĐ]]+KH_26_OPT4_KTQT_v4[[#This Row],[ĐGVC-KXK]])*KH_26_OPT4_KTQT_v4[[#This Row],[SL-02]]</f>
        <v>0</v>
      </c>
      <c r="CP89" s="47">
        <f ca="1">(KH_26_OPT4_KTQT_v4[[#This Row],[ĐGVC-KNĐ]]+KH_26_OPT4_KTQT_v4[[#This Row],[ĐGVC-KXK]])*KH_26_OPT4_KTQT_v4[[#This Row],[SL-03]]</f>
        <v>75260000</v>
      </c>
      <c r="CQ89" s="47">
        <f ca="1">(KH_26_OPT4_KTQT_v4[[#This Row],[ĐGVC-KNĐ]]+KH_26_OPT4_KTQT_v4[[#This Row],[ĐGVC-KXK]])*KH_26_OPT4_KTQT_v4[[#This Row],[SL-04]]</f>
        <v>0</v>
      </c>
      <c r="CR89" s="47">
        <f ca="1">(KH_26_OPT4_KTQT_v4[[#This Row],[ĐGVC-KNĐ]]+KH_26_OPT4_KTQT_v4[[#This Row],[ĐGVC-KXK]])*KH_26_OPT4_KTQT_v4[[#This Row],[SL-05]]</f>
        <v>0</v>
      </c>
      <c r="CS89" s="47">
        <f ca="1">(KH_26_OPT4_KTQT_v4[[#This Row],[ĐGVC-KNĐ]]+KH_26_OPT4_KTQT_v4[[#This Row],[ĐGVC-KXK]])*KH_26_OPT4_KTQT_v4[[#This Row],[SL-06]]</f>
        <v>75260000</v>
      </c>
      <c r="CT89" s="47">
        <f ca="1">(KH_26_OPT4_KTQT_v4[[#This Row],[ĐGVC-KNĐ]]+KH_26_OPT4_KTQT_v4[[#This Row],[ĐGVC-KXK]])*KH_26_OPT4_KTQT_v4[[#This Row],[SL-07]]</f>
        <v>0</v>
      </c>
      <c r="CU89" s="47">
        <f ca="1">(KH_26_OPT4_KTQT_v4[[#This Row],[ĐGVC-KNĐ]]+KH_26_OPT4_KTQT_v4[[#This Row],[ĐGVC-KXK]])*KH_26_OPT4_KTQT_v4[[#This Row],[SL-08]]</f>
        <v>0</v>
      </c>
      <c r="CV89" s="47">
        <f ca="1">(KH_26_OPT4_KTQT_v4[[#This Row],[ĐGVC-KNĐ]]+KH_26_OPT4_KTQT_v4[[#This Row],[ĐGVC-KXK]])*KH_26_OPT4_KTQT_v4[[#This Row],[SL-09]]</f>
        <v>75260000</v>
      </c>
      <c r="CW89" s="47">
        <f ca="1">(KH_26_OPT4_KTQT_v4[[#This Row],[ĐGVC-KNĐ]]+KH_26_OPT4_KTQT_v4[[#This Row],[ĐGVC-KXK]])*KH_26_OPT4_KTQT_v4[[#This Row],[SL-10]]</f>
        <v>0</v>
      </c>
      <c r="CX89" s="47">
        <f ca="1">(KH_26_OPT4_KTQT_v4[[#This Row],[ĐGVC-KNĐ]]+KH_26_OPT4_KTQT_v4[[#This Row],[ĐGVC-KXK]])*KH_26_OPT4_KTQT_v4[[#This Row],[SL-11]]</f>
        <v>0</v>
      </c>
      <c r="CY89" s="47">
        <f ca="1">(KH_26_OPT4_KTQT_v4[[#This Row],[ĐGVC-KNĐ]]+KH_26_OPT4_KTQT_v4[[#This Row],[ĐGVC-KXK]])*KH_26_OPT4_KTQT_v4[[#This Row],[SL-12]]</f>
        <v>75260000</v>
      </c>
      <c r="CZ89" s="47">
        <f ca="1">SUM(KH_26_OPT4_KTQT_v4[[#This Row],[CPVC-01]:[CPVC-12]])</f>
        <v>301040000</v>
      </c>
      <c r="DA89" s="124">
        <f ca="1">KH_26_OPT4_KTQT_v4[[#This Row],[DT-EXW-01]]+KH_26_OPT4_KTQT_v4[[#This Row],[CPVC-01]]+KH_26_OPT4_KTQT_v4[[#This Row],[CPHH-01]]</f>
        <v>0</v>
      </c>
      <c r="DB89" s="47">
        <f ca="1">KH_26_OPT4_KTQT_v4[[#This Row],[DT-EXW-02]]+KH_26_OPT4_KTQT_v4[[#This Row],[CPVC-02]]+KH_26_OPT4_KTQT_v4[[#This Row],[CPHH-02]]</f>
        <v>0</v>
      </c>
      <c r="DC89" s="47">
        <f ca="1">KH_26_OPT4_KTQT_v4[[#This Row],[DT-EXW-03]]+KH_26_OPT4_KTQT_v4[[#This Row],[CPVC-03]]+KH_26_OPT4_KTQT_v4[[#This Row],[CPHH-03]]</f>
        <v>774860000</v>
      </c>
      <c r="DD89" s="47">
        <f ca="1">KH_26_OPT4_KTQT_v4[[#This Row],[DT-EXW-04]]+KH_26_OPT4_KTQT_v4[[#This Row],[CPVC-04]]+KH_26_OPT4_KTQT_v4[[#This Row],[CPHH-04]]</f>
        <v>0</v>
      </c>
      <c r="DE89" s="47">
        <f ca="1">KH_26_OPT4_KTQT_v4[[#This Row],[DT-EXW-05]]+KH_26_OPT4_KTQT_v4[[#This Row],[CPVC-05]]+KH_26_OPT4_KTQT_v4[[#This Row],[CPHH-05]]</f>
        <v>0</v>
      </c>
      <c r="DF89" s="47">
        <f ca="1">KH_26_OPT4_KTQT_v4[[#This Row],[DT-EXW-06]]+KH_26_OPT4_KTQT_v4[[#This Row],[CPVC-06]]+KH_26_OPT4_KTQT_v4[[#This Row],[CPHH-06]]</f>
        <v>774860000</v>
      </c>
      <c r="DG89" s="47">
        <f ca="1">KH_26_OPT4_KTQT_v4[[#This Row],[DT-EXW-07]]+KH_26_OPT4_KTQT_v4[[#This Row],[CPVC-07]]+KH_26_OPT4_KTQT_v4[[#This Row],[CPHH-07]]</f>
        <v>0</v>
      </c>
      <c r="DH89" s="47">
        <f ca="1">KH_26_OPT4_KTQT_v4[[#This Row],[DT-EXW-08]]+KH_26_OPT4_KTQT_v4[[#This Row],[CPVC-08]]+KH_26_OPT4_KTQT_v4[[#This Row],[CPHH-08]]</f>
        <v>0</v>
      </c>
      <c r="DI89" s="47">
        <f ca="1">KH_26_OPT4_KTQT_v4[[#This Row],[DT-EXW-09]]+KH_26_OPT4_KTQT_v4[[#This Row],[CPVC-09]]+KH_26_OPT4_KTQT_v4[[#This Row],[CPHH-09]]</f>
        <v>774860000</v>
      </c>
      <c r="DJ89" s="47">
        <f ca="1">KH_26_OPT4_KTQT_v4[[#This Row],[DT-EXW-10]]+KH_26_OPT4_KTQT_v4[[#This Row],[CPVC-10]]+KH_26_OPT4_KTQT_v4[[#This Row],[CPHH-10]]</f>
        <v>0</v>
      </c>
      <c r="DK89" s="47">
        <f ca="1">KH_26_OPT4_KTQT_v4[[#This Row],[DT-EXW-11]]+KH_26_OPT4_KTQT_v4[[#This Row],[CPVC-11]]+KH_26_OPT4_KTQT_v4[[#This Row],[CPHH-11]]</f>
        <v>0</v>
      </c>
      <c r="DL89" s="47">
        <f ca="1">KH_26_OPT4_KTQT_v4[[#This Row],[DT-EXW-12]]+KH_26_OPT4_KTQT_v4[[#This Row],[CPVC-12]]+KH_26_OPT4_KTQT_v4[[#This Row],[CPHH-12]]</f>
        <v>774860000</v>
      </c>
      <c r="DM89" s="47">
        <f ca="1">SUM(KH_26_OPT4_KTQT_v4[[#This Row],[DT-01]:[DT-12]])</f>
        <v>3099440000</v>
      </c>
      <c r="DN89" s="7"/>
      <c r="DO89" s="7"/>
      <c r="DP89" s="125"/>
      <c r="DQ89" s="136"/>
      <c r="DR89" s="132">
        <f>IFERROR(KH_26_OPT4_KTQT_v4[[#This Row],[DT-EXW-01]]*KH_26_OPT4_KTQT_v4[[#This Row],[%CPDP]],0)</f>
        <v>0</v>
      </c>
      <c r="DS89" s="132">
        <f>IFERROR(KH_26_OPT4_KTQT_v4[[#This Row],[DT-EXW-02]]*KH_26_OPT4_KTQT_v4[[#This Row],[%CPDP]],0)</f>
        <v>0</v>
      </c>
      <c r="DT89" s="132">
        <f>IFERROR(KH_26_OPT4_KTQT_v4[[#This Row],[DT-EXW-03]]*KH_26_OPT4_KTQT_v4[[#This Row],[%CPDP]],0)</f>
        <v>0</v>
      </c>
      <c r="DU89" s="132">
        <f>IFERROR(KH_26_OPT4_KTQT_v4[[#This Row],[DT-EXW-04]]*KH_26_OPT4_KTQT_v4[[#This Row],[%CPDP]],0)</f>
        <v>0</v>
      </c>
      <c r="DV89" s="132">
        <f>IFERROR(KH_26_OPT4_KTQT_v4[[#This Row],[DT-EXW-05]]*KH_26_OPT4_KTQT_v4[[#This Row],[%CPDP]],0)</f>
        <v>0</v>
      </c>
      <c r="DW89" s="132">
        <f>IFERROR(KH_26_OPT4_KTQT_v4[[#This Row],[DT-EXW-06]]*KH_26_OPT4_KTQT_v4[[#This Row],[%CPDP]],0)</f>
        <v>0</v>
      </c>
      <c r="DX89" s="132">
        <f>IFERROR(KH_26_OPT4_KTQT_v4[[#This Row],[DT-EXW-07]]*KH_26_OPT4_KTQT_v4[[#This Row],[%CPDP]],0)</f>
        <v>0</v>
      </c>
      <c r="DY89" s="132">
        <f>IFERROR(KH_26_OPT4_KTQT_v4[[#This Row],[DT-EXW-08]]*KH_26_OPT4_KTQT_v4[[#This Row],[%CPDP]],0)</f>
        <v>0</v>
      </c>
      <c r="DZ89" s="132">
        <f>IFERROR(KH_26_OPT4_KTQT_v4[[#This Row],[DT-EXW-09]]*KH_26_OPT4_KTQT_v4[[#This Row],[%CPDP]],0)</f>
        <v>0</v>
      </c>
      <c r="EA89" s="132">
        <f>IFERROR(KH_26_OPT4_KTQT_v4[[#This Row],[DT-EXW-10]]*KH_26_OPT4_KTQT_v4[[#This Row],[%CPDP]],0)</f>
        <v>0</v>
      </c>
      <c r="EB89" s="132">
        <f>IFERROR(KH_26_OPT4_KTQT_v4[[#This Row],[DT-EXW-11]]*KH_26_OPT4_KTQT_v4[[#This Row],[%CPDP]],0)</f>
        <v>0</v>
      </c>
      <c r="EC89" s="132">
        <f>IFERROR(KH_26_OPT4_KTQT_v4[[#This Row],[DT-EXW-12]]*KH_26_OPT4_KTQT_v4[[#This Row],[%CPDP]],0)</f>
        <v>0</v>
      </c>
      <c r="ED89" s="131">
        <f ca="1">SUM(KH_26_OPT4_KTQT_v4[[#This Row],[CPDP-01]:[CPDP-12]])</f>
        <v>0</v>
      </c>
    </row>
    <row r="90" spans="1:134" ht="14.65" hidden="1" customHeight="1" x14ac:dyDescent="0.35">
      <c r="A90" s="18">
        <v>85</v>
      </c>
      <c r="B90" s="71" t="s">
        <v>115</v>
      </c>
      <c r="C90" s="18" t="str">
        <f>IFERROR(_xlfn.XLOOKUP(KH_26_OPT4_KTQT_v4[[#This Row],[Salesman]],MD_Salesman[Salesman],MD_Salesman[SalesManager]),"")</f>
        <v>Quốc Anh</v>
      </c>
      <c r="D90" s="72" t="str">
        <f>IFERROR(INDEX(MD_Customer[Mã khách],MATCH(KH_26_OPT4_KTQT_v4[[#This Row],[Tên khách]],MD_Customer[Tên khách-rút gọn],0)),"")</f>
        <v>200390</v>
      </c>
      <c r="E90" s="7" t="str">
        <f>IFERROR(INDEX(MD_Customer[Parent Account],MATCH(KH_26_OPT4_KTQT_v4[[#This Row],[Tên khách]],MD_Customer[Tên khách-rút gọn],0)),"")</f>
        <v>Fega</v>
      </c>
      <c r="F90" s="35" t="s">
        <v>328</v>
      </c>
      <c r="G90" s="7" t="str">
        <f>IFERROR(INDEX(MD_Customer[Phân loại],MATCH(KH_26_OPT4_KTQT_v4[[#This Row],[Tên khách]],MD_Customer[Tên khách-rút gọn],0)),"")</f>
        <v>Hiện hữu</v>
      </c>
      <c r="H90" s="7" t="str">
        <f>IFERROR(INDEX(MD_Customer[Kênh bán hàng],MATCH(KH_26_OPT4_KTQT_v4[[#This Row],[Tên khách]],MD_Customer[Tên khách-rút gọn],0)),"")</f>
        <v>Xuất khẩu</v>
      </c>
      <c r="I90" s="35" t="s">
        <v>309</v>
      </c>
      <c r="J90" s="7" t="str">
        <f>IFERROR(INDEX(MD_Destination[Nước],MATCH(KH_26_OPT4_KTQT_v4[[#This Row],[Địa điểm đến]],MD_Destination[Địa điểm đến],0)),"")</f>
        <v>Hy lạp</v>
      </c>
      <c r="K90" s="7" t="str">
        <f>IFERROR(INDEX(MD_Destination[Khu vực],MATCH(KH_26_OPT4_KTQT_v4[[#This Row],[Địa điểm đến]],MD_Destination[Địa điểm đến],0)),"")</f>
        <v>Châu Âu</v>
      </c>
      <c r="L90" s="35" t="s">
        <v>278</v>
      </c>
      <c r="M90" s="7" t="str">
        <f>IFERROR(INDEX(MD_SKU[Mã SKU],MATCH(KH_26_OPT4_KTQT_v4[[#This Row],[Tên sản phẩm]],MD_SKU[Tên SKU-rút gọn],0)),"")</f>
        <v>110000359</v>
      </c>
      <c r="N90" s="35" t="s">
        <v>468</v>
      </c>
      <c r="O90" s="7" t="str">
        <f>IFERROR(INDEX(MD_SKU[Ngành hàng],MATCH(KH_26_OPT4_KTQT_v4[[#This Row],[Tên sản phẩm]],MD_SKU[Tên SKU-rút gọn],0)),"")</f>
        <v>rPET</v>
      </c>
      <c r="P90" s="7" t="str">
        <f>IFERROR(INDEX(MD_SKU[Nhóm ngành],MATCH(KH_26_OPT4_KTQT_v4[[#This Row],[Tên sản phẩm]],MD_SKU[Tên SKU-rút gọn],0)),"")</f>
        <v>Hạt PET</v>
      </c>
      <c r="Q90" s="7" t="str">
        <f>IFERROR(
   IF(INDEX(MD_SKU[IV/IM],MATCH(KH_26_OPT4_KTQT_v4[[#This Row],[Tên sản phẩm]],MD_SKU[Tên SKU-rút gọn],0))=0,
      "",
      INDEX(MD_SKU[IV/IM],MATCH(KH_26_OPT4_KTQT_v4[[#This Row],[Tên sản phẩm]],MD_SKU[Tên SKU-rút gọn],0))
   ),
"")</f>
        <v>0.70 ± 0.02</v>
      </c>
      <c r="R90" s="44">
        <f>IFERROR(INDEX(MD_SKU[Application],MATCH(KH_26_OPT4_KTQT_v4[[#This Row],[Tên sản phẩm]],MD_SKU[Tên SKU-rút gọn],0)),"")</f>
        <v>0</v>
      </c>
      <c r="S90" s="7" t="str">
        <f>IFERROR(INDEX(MD_SKU[Phân loại],MATCH(KH_26_OPT4_KTQT_v4[[#This Row],[Tên sản phẩm]],MD_SKU[Tên SKU-rút gọn],0)),"")</f>
        <v>Cũ</v>
      </c>
      <c r="T90" s="7" t="s">
        <v>542</v>
      </c>
      <c r="U90" s="157" t="s">
        <v>1508</v>
      </c>
      <c r="V90" s="70">
        <v>0.8</v>
      </c>
      <c r="W90" s="7"/>
      <c r="X90" s="7">
        <v>22</v>
      </c>
      <c r="Y90" s="7"/>
      <c r="Z90" s="7"/>
      <c r="AA90" s="7"/>
      <c r="AB90" s="7">
        <v>22</v>
      </c>
      <c r="AC90" s="7"/>
      <c r="AD90" s="7"/>
      <c r="AE90" s="7"/>
      <c r="AF90" s="7">
        <v>22</v>
      </c>
      <c r="AG90" s="7"/>
      <c r="AH90" s="7">
        <v>22</v>
      </c>
      <c r="AI90" s="47">
        <f ca="1">SUM(KH_26_OPT4_KTQT_v4[[#This Row],[SL-01]:[SL-12]])</f>
        <v>88</v>
      </c>
      <c r="AJ90" s="47">
        <f ca="1">SUMIFS(DB_25[SL-DB25],DB_25[Mã khách],KH_26_OPT4_KTQT_v4[[#This Row],[Mã khách]],DB_25[Mã sản phẩm],KH_26_OPT4_KTQT_v4[[#This Row],[Mã sản phẩm]])</f>
        <v>110</v>
      </c>
      <c r="AK90" s="20">
        <f ca="1">KH_26_OPT4_KTQT_v4[[#This Row],[SL-KH26]]-KH_26_OPT4_KTQT_v4[[#This Row],[SL-DB25]]</f>
        <v>-22</v>
      </c>
      <c r="AL90" s="21">
        <f ca="1">IFERROR(KH_26_OPT4_KTQT_v4[[#This Row],[SL-+/-]]/KH_26_OPT4_KTQT_v4[[#This Row],[SL-DB25]],0)</f>
        <v>-0.2</v>
      </c>
      <c r="AM90" s="51">
        <v>970</v>
      </c>
      <c r="AN90" s="51">
        <v>970</v>
      </c>
      <c r="AO90" s="51">
        <v>970</v>
      </c>
      <c r="AP90" s="51">
        <v>970</v>
      </c>
      <c r="AQ90" s="51">
        <v>970</v>
      </c>
      <c r="AR90" s="51">
        <v>970</v>
      </c>
      <c r="AS90" s="51">
        <v>970</v>
      </c>
      <c r="AT90" s="51">
        <v>970</v>
      </c>
      <c r="AU90" s="51">
        <v>970</v>
      </c>
      <c r="AV90" s="51">
        <v>970</v>
      </c>
      <c r="AW90" s="51">
        <v>970</v>
      </c>
      <c r="AX90" s="51">
        <v>970</v>
      </c>
      <c r="AY90" s="23">
        <v>970</v>
      </c>
      <c r="AZ90" s="7"/>
      <c r="BA90" s="24">
        <f>KH_26_OPT4_KTQT_v4[[#This Row],[GB-DB25]]-KH_26_OPT4_KTQT_v4[[#This Row],[GB-KH25]]</f>
        <v>970</v>
      </c>
      <c r="BB90" s="21">
        <f>IFERROR(KH_26_OPT4_KTQT_v4[[#This Row],[GB-+/-]]/KH_26_OPT4_KTQT_v4[[#This Row],[GB-KH25]],0)</f>
        <v>0</v>
      </c>
      <c r="BC90" s="21"/>
      <c r="BD90" s="47">
        <f>KH_26_OPT4_KTQT_v4[[#This Row],[SL-01]]*KH_26_OPT4_KTQT_v4[[#This Row],[GB-01]]*EXR</f>
        <v>0</v>
      </c>
      <c r="BE90" s="47">
        <f>KH_26_OPT4_KTQT_v4[[#This Row],[SL-02]]*KH_26_OPT4_KTQT_v4[[#This Row],[GB-02]]*EXR</f>
        <v>565510000</v>
      </c>
      <c r="BF90" s="47">
        <f>KH_26_OPT4_KTQT_v4[[#This Row],[SL-03]]*KH_26_OPT4_KTQT_v4[[#This Row],[GB-03]]*EXR</f>
        <v>0</v>
      </c>
      <c r="BG90" s="47">
        <f>KH_26_OPT4_KTQT_v4[[#This Row],[SL-04]]*KH_26_OPT4_KTQT_v4[[#This Row],[GB-04]]*EXR</f>
        <v>0</v>
      </c>
      <c r="BH90" s="47">
        <f>KH_26_OPT4_KTQT_v4[[#This Row],[SL-05]]*KH_26_OPT4_KTQT_v4[[#This Row],[GB-05]]*EXR</f>
        <v>0</v>
      </c>
      <c r="BI90" s="47">
        <f>KH_26_OPT4_KTQT_v4[[#This Row],[SL-06]]*KH_26_OPT4_KTQT_v4[[#This Row],[GB-06]]*EXR</f>
        <v>565510000</v>
      </c>
      <c r="BJ90" s="47">
        <f>KH_26_OPT4_KTQT_v4[[#This Row],[SL-07]]*KH_26_OPT4_KTQT_v4[[#This Row],[GB-07]]*EXR</f>
        <v>0</v>
      </c>
      <c r="BK90" s="47">
        <f>KH_26_OPT4_KTQT_v4[[#This Row],[SL-08]]*KH_26_OPT4_KTQT_v4[[#This Row],[GB-08]]*EXR</f>
        <v>0</v>
      </c>
      <c r="BL90" s="47">
        <f>KH_26_OPT4_KTQT_v4[[#This Row],[SL-09]]*KH_26_OPT4_KTQT_v4[[#This Row],[GB-09]]*EXR</f>
        <v>0</v>
      </c>
      <c r="BM90" s="47">
        <f>KH_26_OPT4_KTQT_v4[[#This Row],[SL-10]]*KH_26_OPT4_KTQT_v4[[#This Row],[GB-10]]*EXR</f>
        <v>565510000</v>
      </c>
      <c r="BN90" s="47">
        <f>KH_26_OPT4_KTQT_v4[[#This Row],[SL-11]]*KH_26_OPT4_KTQT_v4[[#This Row],[GB-11]]*EXR</f>
        <v>0</v>
      </c>
      <c r="BO90" s="47">
        <f>KH_26_OPT4_KTQT_v4[[#This Row],[SL-12]]*KH_26_OPT4_KTQT_v4[[#This Row],[GB-12]]*EXR</f>
        <v>565510000</v>
      </c>
      <c r="BP90" s="47">
        <f ca="1">SUM(KH_26_OPT4_KTQT_v4[[#This Row],[DT-EXW-01]:[DT-EXW-12]])</f>
        <v>2262040000</v>
      </c>
      <c r="BQ90" s="47">
        <f ca="1">SUMIFS(DB_25[DT-DB25],DB_25[Mã khách],KH_26_OPT4_KTQT_v4[[#This Row],[Mã khách]],DB_25[Mã sản phẩm],KH_26_OPT4_KTQT_v4[[#This Row],[Mã sản phẩm]])</f>
        <v>1856170665.9078536</v>
      </c>
      <c r="BR90" s="19">
        <f ca="1">KH_26_OPT4_KTQT_v4[[#This Row],[DT-EXW-KH26]]-KH_26_OPT4_KTQT_v4[[#This Row],[DT-EXW-DB25]]</f>
        <v>405869334.0921464</v>
      </c>
      <c r="BS90" s="21">
        <f ca="1">IFERROR(KH_26_OPT4_KTQT_v4[[#This Row],[DT-EXW-+/-]]/KH_26_OPT4_KTQT_v4[[#This Row],[DT-EXW-DB25]],0)</f>
        <v>0.21865949157947479</v>
      </c>
      <c r="BT90" s="139"/>
      <c r="BU90" s="57"/>
      <c r="BV90" s="51"/>
      <c r="BW90" s="47">
        <f>IF(KH_26_OPT4_KTQT_v4[[#This Row],[CPHH-%-SL]]="Dthu",KH_26_OPT4_KTQT_v4[[#This Row],[%HH]]*KH_26_OPT4_KTQT_v4[[#This Row],[DT-EXW-01]],KH_26_OPT4_KTQT_v4[[#This Row],[HH-SL]]*KH_26_OPT4_KTQT_v4[[#This Row],[SL-01]])</f>
        <v>0</v>
      </c>
      <c r="BX90" s="47">
        <f>IF(KH_26_OPT4_KTQT_v4[[#This Row],[CPHH-%-SL]]="Dthu",KH_26_OPT4_KTQT_v4[[#This Row],[%HH]]*KH_26_OPT4_KTQT_v4[[#This Row],[DT-EXW-02]],KH_26_OPT4_KTQT_v4[[#This Row],[HH-SL]]*KH_26_OPT4_KTQT_v4[[#This Row],[SL-02]])</f>
        <v>0</v>
      </c>
      <c r="BY90" s="47">
        <f>IF(KH_26_OPT4_KTQT_v4[[#This Row],[CPHH-%-SL]]="Dthu",KH_26_OPT4_KTQT_v4[[#This Row],[%HH]]*KH_26_OPT4_KTQT_v4[[#This Row],[DT-EXW-03]],KH_26_OPT4_KTQT_v4[[#This Row],[HH-SL]]*KH_26_OPT4_KTQT_v4[[#This Row],[SL-03]])</f>
        <v>0</v>
      </c>
      <c r="BZ90" s="47">
        <f>IF(KH_26_OPT4_KTQT_v4[[#This Row],[CPHH-%-SL]]="Dthu",KH_26_OPT4_KTQT_v4[[#This Row],[%HH]]*KH_26_OPT4_KTQT_v4[[#This Row],[DT-EXW-04]],KH_26_OPT4_KTQT_v4[[#This Row],[HH-SL]]*KH_26_OPT4_KTQT_v4[[#This Row],[SL-04]])</f>
        <v>0</v>
      </c>
      <c r="CA90" s="47">
        <f>IF(KH_26_OPT4_KTQT_v4[[#This Row],[CPHH-%-SL]]="Dthu",KH_26_OPT4_KTQT_v4[[#This Row],[%HH]]*KH_26_OPT4_KTQT_v4[[#This Row],[DT-EXW-05]],KH_26_OPT4_KTQT_v4[[#This Row],[HH-SL]]*KH_26_OPT4_KTQT_v4[[#This Row],[SL-05]])</f>
        <v>0</v>
      </c>
      <c r="CB90" s="47">
        <f>IF(KH_26_OPT4_KTQT_v4[[#This Row],[CPHH-%-SL]]="Dthu",KH_26_OPT4_KTQT_v4[[#This Row],[%HH]]*KH_26_OPT4_KTQT_v4[[#This Row],[DT-EXW-06]],KH_26_OPT4_KTQT_v4[[#This Row],[HH-SL]]*KH_26_OPT4_KTQT_v4[[#This Row],[SL-06]])</f>
        <v>0</v>
      </c>
      <c r="CC90" s="47">
        <f>IF(KH_26_OPT4_KTQT_v4[[#This Row],[CPHH-%-SL]]="Dthu",KH_26_OPT4_KTQT_v4[[#This Row],[%HH]]*KH_26_OPT4_KTQT_v4[[#This Row],[DT-EXW-07]],KH_26_OPT4_KTQT_v4[[#This Row],[HH-SL]]*KH_26_OPT4_KTQT_v4[[#This Row],[SL-07]])</f>
        <v>0</v>
      </c>
      <c r="CD90" s="47">
        <f>IF(KH_26_OPT4_KTQT_v4[[#This Row],[CPHH-%-SL]]="Dthu",KH_26_OPT4_KTQT_v4[[#This Row],[%HH]]*KH_26_OPT4_KTQT_v4[[#This Row],[DT-EXW-08]],KH_26_OPT4_KTQT_v4[[#This Row],[HH-SL]]*KH_26_OPT4_KTQT_v4[[#This Row],[SL-08]])</f>
        <v>0</v>
      </c>
      <c r="CE90" s="47">
        <f>IF(KH_26_OPT4_KTQT_v4[[#This Row],[CPHH-%-SL]]="Dthu",KH_26_OPT4_KTQT_v4[[#This Row],[%HH]]*KH_26_OPT4_KTQT_v4[[#This Row],[DT-EXW-09]],KH_26_OPT4_KTQT_v4[[#This Row],[HH-SL]]*KH_26_OPT4_KTQT_v4[[#This Row],[SL-09]])</f>
        <v>0</v>
      </c>
      <c r="CF90" s="47">
        <f>IF(KH_26_OPT4_KTQT_v4[[#This Row],[CPHH-%-SL]]="Dthu",KH_26_OPT4_KTQT_v4[[#This Row],[%HH]]*KH_26_OPT4_KTQT_v4[[#This Row],[DT-EXW-10]],KH_26_OPT4_KTQT_v4[[#This Row],[HH-SL]]*KH_26_OPT4_KTQT_v4[[#This Row],[SL-10]])</f>
        <v>0</v>
      </c>
      <c r="CG90" s="47">
        <f>IF(KH_26_OPT4_KTQT_v4[[#This Row],[CPHH-%-SL]]="Dthu",KH_26_OPT4_KTQT_v4[[#This Row],[%HH]]*KH_26_OPT4_KTQT_v4[[#This Row],[DT-EXW-11]],KH_26_OPT4_KTQT_v4[[#This Row],[HH-SL]]*KH_26_OPT4_KTQT_v4[[#This Row],[SL-11]])</f>
        <v>0</v>
      </c>
      <c r="CH90" s="47">
        <f>IF(KH_26_OPT4_KTQT_v4[[#This Row],[CPHH-%-SL]]="Dthu",KH_26_OPT4_KTQT_v4[[#This Row],[%HH]]*KH_26_OPT4_KTQT_v4[[#This Row],[DT-EXW-12]],KH_26_OPT4_KTQT_v4[[#This Row],[HH-SL]]*KH_26_OPT4_KTQT_v4[[#This Row],[SL-12]])</f>
        <v>0</v>
      </c>
      <c r="CI90" s="47">
        <f ca="1">SUM(KH_26_OPT4_KTQT_v4[[#This Row],[CPHH-01]:[CPHH-12]])</f>
        <v>0</v>
      </c>
      <c r="CJ90" s="47" cm="1">
        <f t="array" ref="CJ90">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90" s="19">
        <f ca="1">SUM(KH_26_OPT4_KTQT_v4[[#This Row],[ĐGVCNĐ-KXK]:[ĐGVCCT-KXK]])</f>
        <v>530000</v>
      </c>
      <c r="CL90" s="47" cm="1">
        <f t="array" ref="CL90">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530000</v>
      </c>
      <c r="CM90" s="47" cm="1">
        <f t="array" ref="CM90">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90" s="47">
        <f ca="1">(KH_26_OPT4_KTQT_v4[[#This Row],[ĐGVC-KNĐ]]+KH_26_OPT4_KTQT_v4[[#This Row],[ĐGVC-KXK]])*KH_26_OPT4_KTQT_v4[[#This Row],[SL-01]]</f>
        <v>0</v>
      </c>
      <c r="CO90" s="47">
        <f ca="1">(KH_26_OPT4_KTQT_v4[[#This Row],[ĐGVC-KNĐ]]+KH_26_OPT4_KTQT_v4[[#This Row],[ĐGVC-KXK]])*KH_26_OPT4_KTQT_v4[[#This Row],[SL-02]]</f>
        <v>11660000</v>
      </c>
      <c r="CP90" s="47">
        <f ca="1">(KH_26_OPT4_KTQT_v4[[#This Row],[ĐGVC-KNĐ]]+KH_26_OPT4_KTQT_v4[[#This Row],[ĐGVC-KXK]])*KH_26_OPT4_KTQT_v4[[#This Row],[SL-03]]</f>
        <v>0</v>
      </c>
      <c r="CQ90" s="47">
        <f ca="1">(KH_26_OPT4_KTQT_v4[[#This Row],[ĐGVC-KNĐ]]+KH_26_OPT4_KTQT_v4[[#This Row],[ĐGVC-KXK]])*KH_26_OPT4_KTQT_v4[[#This Row],[SL-04]]</f>
        <v>0</v>
      </c>
      <c r="CR90" s="47">
        <f ca="1">(KH_26_OPT4_KTQT_v4[[#This Row],[ĐGVC-KNĐ]]+KH_26_OPT4_KTQT_v4[[#This Row],[ĐGVC-KXK]])*KH_26_OPT4_KTQT_v4[[#This Row],[SL-05]]</f>
        <v>0</v>
      </c>
      <c r="CS90" s="47">
        <f ca="1">(KH_26_OPT4_KTQT_v4[[#This Row],[ĐGVC-KNĐ]]+KH_26_OPT4_KTQT_v4[[#This Row],[ĐGVC-KXK]])*KH_26_OPT4_KTQT_v4[[#This Row],[SL-06]]</f>
        <v>11660000</v>
      </c>
      <c r="CT90" s="47">
        <f ca="1">(KH_26_OPT4_KTQT_v4[[#This Row],[ĐGVC-KNĐ]]+KH_26_OPT4_KTQT_v4[[#This Row],[ĐGVC-KXK]])*KH_26_OPT4_KTQT_v4[[#This Row],[SL-07]]</f>
        <v>0</v>
      </c>
      <c r="CU90" s="47">
        <f ca="1">(KH_26_OPT4_KTQT_v4[[#This Row],[ĐGVC-KNĐ]]+KH_26_OPT4_KTQT_v4[[#This Row],[ĐGVC-KXK]])*KH_26_OPT4_KTQT_v4[[#This Row],[SL-08]]</f>
        <v>0</v>
      </c>
      <c r="CV90" s="47">
        <f ca="1">(KH_26_OPT4_KTQT_v4[[#This Row],[ĐGVC-KNĐ]]+KH_26_OPT4_KTQT_v4[[#This Row],[ĐGVC-KXK]])*KH_26_OPT4_KTQT_v4[[#This Row],[SL-09]]</f>
        <v>0</v>
      </c>
      <c r="CW90" s="47">
        <f ca="1">(KH_26_OPT4_KTQT_v4[[#This Row],[ĐGVC-KNĐ]]+KH_26_OPT4_KTQT_v4[[#This Row],[ĐGVC-KXK]])*KH_26_OPT4_KTQT_v4[[#This Row],[SL-10]]</f>
        <v>11660000</v>
      </c>
      <c r="CX90" s="47">
        <f ca="1">(KH_26_OPT4_KTQT_v4[[#This Row],[ĐGVC-KNĐ]]+KH_26_OPT4_KTQT_v4[[#This Row],[ĐGVC-KXK]])*KH_26_OPT4_KTQT_v4[[#This Row],[SL-11]]</f>
        <v>0</v>
      </c>
      <c r="CY90" s="47">
        <f ca="1">(KH_26_OPT4_KTQT_v4[[#This Row],[ĐGVC-KNĐ]]+KH_26_OPT4_KTQT_v4[[#This Row],[ĐGVC-KXK]])*KH_26_OPT4_KTQT_v4[[#This Row],[SL-12]]</f>
        <v>11660000</v>
      </c>
      <c r="CZ90" s="47">
        <f ca="1">SUM(KH_26_OPT4_KTQT_v4[[#This Row],[CPVC-01]:[CPVC-12]])</f>
        <v>46640000</v>
      </c>
      <c r="DA90" s="124">
        <f ca="1">KH_26_OPT4_KTQT_v4[[#This Row],[DT-EXW-01]]+KH_26_OPT4_KTQT_v4[[#This Row],[CPVC-01]]+KH_26_OPT4_KTQT_v4[[#This Row],[CPHH-01]]</f>
        <v>0</v>
      </c>
      <c r="DB90" s="47">
        <f ca="1">KH_26_OPT4_KTQT_v4[[#This Row],[DT-EXW-02]]+KH_26_OPT4_KTQT_v4[[#This Row],[CPVC-02]]+KH_26_OPT4_KTQT_v4[[#This Row],[CPHH-02]]</f>
        <v>577170000</v>
      </c>
      <c r="DC90" s="47">
        <f ca="1">KH_26_OPT4_KTQT_v4[[#This Row],[DT-EXW-03]]+KH_26_OPT4_KTQT_v4[[#This Row],[CPVC-03]]+KH_26_OPT4_KTQT_v4[[#This Row],[CPHH-03]]</f>
        <v>0</v>
      </c>
      <c r="DD90" s="47">
        <f ca="1">KH_26_OPT4_KTQT_v4[[#This Row],[DT-EXW-04]]+KH_26_OPT4_KTQT_v4[[#This Row],[CPVC-04]]+KH_26_OPT4_KTQT_v4[[#This Row],[CPHH-04]]</f>
        <v>0</v>
      </c>
      <c r="DE90" s="47">
        <f ca="1">KH_26_OPT4_KTQT_v4[[#This Row],[DT-EXW-05]]+KH_26_OPT4_KTQT_v4[[#This Row],[CPVC-05]]+KH_26_OPT4_KTQT_v4[[#This Row],[CPHH-05]]</f>
        <v>0</v>
      </c>
      <c r="DF90" s="47">
        <f ca="1">KH_26_OPT4_KTQT_v4[[#This Row],[DT-EXW-06]]+KH_26_OPT4_KTQT_v4[[#This Row],[CPVC-06]]+KH_26_OPT4_KTQT_v4[[#This Row],[CPHH-06]]</f>
        <v>577170000</v>
      </c>
      <c r="DG90" s="47">
        <f ca="1">KH_26_OPT4_KTQT_v4[[#This Row],[DT-EXW-07]]+KH_26_OPT4_KTQT_v4[[#This Row],[CPVC-07]]+KH_26_OPT4_KTQT_v4[[#This Row],[CPHH-07]]</f>
        <v>0</v>
      </c>
      <c r="DH90" s="47">
        <f ca="1">KH_26_OPT4_KTQT_v4[[#This Row],[DT-EXW-08]]+KH_26_OPT4_KTQT_v4[[#This Row],[CPVC-08]]+KH_26_OPT4_KTQT_v4[[#This Row],[CPHH-08]]</f>
        <v>0</v>
      </c>
      <c r="DI90" s="47">
        <f ca="1">KH_26_OPT4_KTQT_v4[[#This Row],[DT-EXW-09]]+KH_26_OPT4_KTQT_v4[[#This Row],[CPVC-09]]+KH_26_OPT4_KTQT_v4[[#This Row],[CPHH-09]]</f>
        <v>0</v>
      </c>
      <c r="DJ90" s="47">
        <f ca="1">KH_26_OPT4_KTQT_v4[[#This Row],[DT-EXW-10]]+KH_26_OPT4_KTQT_v4[[#This Row],[CPVC-10]]+KH_26_OPT4_KTQT_v4[[#This Row],[CPHH-10]]</f>
        <v>577170000</v>
      </c>
      <c r="DK90" s="47">
        <f ca="1">KH_26_OPT4_KTQT_v4[[#This Row],[DT-EXW-11]]+KH_26_OPT4_KTQT_v4[[#This Row],[CPVC-11]]+KH_26_OPT4_KTQT_v4[[#This Row],[CPHH-11]]</f>
        <v>0</v>
      </c>
      <c r="DL90" s="47">
        <f ca="1">KH_26_OPT4_KTQT_v4[[#This Row],[DT-EXW-12]]+KH_26_OPT4_KTQT_v4[[#This Row],[CPVC-12]]+KH_26_OPT4_KTQT_v4[[#This Row],[CPHH-12]]</f>
        <v>577170000</v>
      </c>
      <c r="DM90" s="47">
        <f ca="1">SUM(KH_26_OPT4_KTQT_v4[[#This Row],[DT-01]:[DT-12]])</f>
        <v>2308680000</v>
      </c>
      <c r="DN90" s="7"/>
      <c r="DO90" s="7"/>
      <c r="DP90" s="125"/>
      <c r="DQ90" s="136"/>
      <c r="DR90" s="132">
        <f>IFERROR(KH_26_OPT4_KTQT_v4[[#This Row],[DT-EXW-01]]*KH_26_OPT4_KTQT_v4[[#This Row],[%CPDP]],0)</f>
        <v>0</v>
      </c>
      <c r="DS90" s="132">
        <f>IFERROR(KH_26_OPT4_KTQT_v4[[#This Row],[DT-EXW-02]]*KH_26_OPT4_KTQT_v4[[#This Row],[%CPDP]],0)</f>
        <v>0</v>
      </c>
      <c r="DT90" s="132">
        <f>IFERROR(KH_26_OPT4_KTQT_v4[[#This Row],[DT-EXW-03]]*KH_26_OPT4_KTQT_v4[[#This Row],[%CPDP]],0)</f>
        <v>0</v>
      </c>
      <c r="DU90" s="132">
        <f>IFERROR(KH_26_OPT4_KTQT_v4[[#This Row],[DT-EXW-04]]*KH_26_OPT4_KTQT_v4[[#This Row],[%CPDP]],0)</f>
        <v>0</v>
      </c>
      <c r="DV90" s="132">
        <f>IFERROR(KH_26_OPT4_KTQT_v4[[#This Row],[DT-EXW-05]]*KH_26_OPT4_KTQT_v4[[#This Row],[%CPDP]],0)</f>
        <v>0</v>
      </c>
      <c r="DW90" s="132">
        <f>IFERROR(KH_26_OPT4_KTQT_v4[[#This Row],[DT-EXW-06]]*KH_26_OPT4_KTQT_v4[[#This Row],[%CPDP]],0)</f>
        <v>0</v>
      </c>
      <c r="DX90" s="132">
        <f>IFERROR(KH_26_OPT4_KTQT_v4[[#This Row],[DT-EXW-07]]*KH_26_OPT4_KTQT_v4[[#This Row],[%CPDP]],0)</f>
        <v>0</v>
      </c>
      <c r="DY90" s="132">
        <f>IFERROR(KH_26_OPT4_KTQT_v4[[#This Row],[DT-EXW-08]]*KH_26_OPT4_KTQT_v4[[#This Row],[%CPDP]],0)</f>
        <v>0</v>
      </c>
      <c r="DZ90" s="132">
        <f>IFERROR(KH_26_OPT4_KTQT_v4[[#This Row],[DT-EXW-09]]*KH_26_OPT4_KTQT_v4[[#This Row],[%CPDP]],0)</f>
        <v>0</v>
      </c>
      <c r="EA90" s="132">
        <f>IFERROR(KH_26_OPT4_KTQT_v4[[#This Row],[DT-EXW-10]]*KH_26_OPT4_KTQT_v4[[#This Row],[%CPDP]],0)</f>
        <v>0</v>
      </c>
      <c r="EB90" s="132">
        <f>IFERROR(KH_26_OPT4_KTQT_v4[[#This Row],[DT-EXW-11]]*KH_26_OPT4_KTQT_v4[[#This Row],[%CPDP]],0)</f>
        <v>0</v>
      </c>
      <c r="EC90" s="132">
        <f>IFERROR(KH_26_OPT4_KTQT_v4[[#This Row],[DT-EXW-12]]*KH_26_OPT4_KTQT_v4[[#This Row],[%CPDP]],0)</f>
        <v>0</v>
      </c>
      <c r="ED90" s="131">
        <f ca="1">SUM(KH_26_OPT4_KTQT_v4[[#This Row],[CPDP-01]:[CPDP-12]])</f>
        <v>0</v>
      </c>
    </row>
    <row r="91" spans="1:134" ht="14.65" hidden="1" customHeight="1" x14ac:dyDescent="0.35">
      <c r="A91" s="18">
        <v>86</v>
      </c>
      <c r="B91" s="71" t="s">
        <v>115</v>
      </c>
      <c r="C91" s="18" t="str">
        <f>IFERROR(_xlfn.XLOOKUP(KH_26_OPT4_KTQT_v4[[#This Row],[Salesman]],MD_Salesman[Salesman],MD_Salesman[SalesManager]),"")</f>
        <v>Quốc Anh</v>
      </c>
      <c r="D91" s="72" t="str">
        <f>IFERROR(INDEX(MD_Customer[Mã khách],MATCH(KH_26_OPT4_KTQT_v4[[#This Row],[Tên khách]],MD_Customer[Tên khách-rút gọn],0)),"")</f>
        <v>105351</v>
      </c>
      <c r="E91" s="7" t="str">
        <f>IFERROR(INDEX(MD_Customer[Parent Account],MATCH(KH_26_OPT4_KTQT_v4[[#This Row],[Tên khách]],MD_Customer[Tên khách-rút gọn],0)),"")</f>
        <v>ĐÔ THÀNH</v>
      </c>
      <c r="F91" s="35" t="s">
        <v>105</v>
      </c>
      <c r="G91" s="7" t="str">
        <f>IFERROR(INDEX(MD_Customer[Phân loại],MATCH(KH_26_OPT4_KTQT_v4[[#This Row],[Tên khách]],MD_Customer[Tên khách-rút gọn],0)),"")</f>
        <v>Hiện hữu</v>
      </c>
      <c r="H91" s="7" t="str">
        <f>IFERROR(INDEX(MD_Customer[Kênh bán hàng],MATCH(KH_26_OPT4_KTQT_v4[[#This Row],[Tên khách]],MD_Customer[Tên khách-rút gọn],0)),"")</f>
        <v>Nội địa</v>
      </c>
      <c r="I91" s="35" t="s">
        <v>261</v>
      </c>
      <c r="J91" s="7" t="str">
        <f>IFERROR(INDEX(MD_Destination[Nước],MATCH(KH_26_OPT4_KTQT_v4[[#This Row],[Địa điểm đến]],MD_Destination[Địa điểm đến],0)),"")</f>
        <v>Việt Nam</v>
      </c>
      <c r="K91" s="7" t="str">
        <f>IFERROR(INDEX(MD_Destination[Khu vực],MATCH(KH_26_OPT4_KTQT_v4[[#This Row],[Địa điểm đến]],MD_Destination[Địa điểm đến],0)),"")</f>
        <v>Châu Á</v>
      </c>
      <c r="L91" s="35" t="s">
        <v>262</v>
      </c>
      <c r="M91" s="7" t="str">
        <f>IFERROR(INDEX(MD_SKU[Mã SKU],MATCH(KH_26_OPT4_KTQT_v4[[#This Row],[Tên sản phẩm]],MD_SKU[Tên SKU-rút gọn],0)),"")</f>
        <v>110000354</v>
      </c>
      <c r="N91" s="35" t="s">
        <v>456</v>
      </c>
      <c r="O91" s="7" t="str">
        <f>IFERROR(INDEX(MD_SKU[Ngành hàng],MATCH(KH_26_OPT4_KTQT_v4[[#This Row],[Tên sản phẩm]],MD_SKU[Tên SKU-rút gọn],0)),"")</f>
        <v>rPET</v>
      </c>
      <c r="P91" s="7" t="str">
        <f>IFERROR(INDEX(MD_SKU[Nhóm ngành],MATCH(KH_26_OPT4_KTQT_v4[[#This Row],[Tên sản phẩm]],MD_SKU[Tên SKU-rút gọn],0)),"")</f>
        <v>Hạt PET</v>
      </c>
      <c r="Q91" s="7" t="str">
        <f>IFERROR(
   IF(INDEX(MD_SKU[IV/IM],MATCH(KH_26_OPT4_KTQT_v4[[#This Row],[Tên sản phẩm]],MD_SKU[Tên SKU-rút gọn],0))=0,
      "",
      INDEX(MD_SKU[IV/IM],MATCH(KH_26_OPT4_KTQT_v4[[#This Row],[Tên sản phẩm]],MD_SKU[Tên SKU-rút gọn],0))
   ),
"")</f>
        <v>0.78 ± 0.02</v>
      </c>
      <c r="R91" s="44">
        <f>IFERROR(INDEX(MD_SKU[Application],MATCH(KH_26_OPT4_KTQT_v4[[#This Row],[Tên sản phẩm]],MD_SKU[Tên SKU-rút gọn],0)),"")</f>
        <v>0</v>
      </c>
      <c r="S91" s="7" t="str">
        <f>IFERROR(INDEX(MD_SKU[Phân loại],MATCH(KH_26_OPT4_KTQT_v4[[#This Row],[Tên sản phẩm]],MD_SKU[Tên SKU-rút gọn],0)),"")</f>
        <v>Cũ</v>
      </c>
      <c r="T91" s="180" t="s">
        <v>105</v>
      </c>
      <c r="U91" s="7" t="s">
        <v>1508</v>
      </c>
      <c r="V91" s="70">
        <v>0.8</v>
      </c>
      <c r="W91" s="33"/>
      <c r="X91" s="33"/>
      <c r="Y91" s="33"/>
      <c r="Z91" s="33"/>
      <c r="AA91" s="33"/>
      <c r="AB91" s="33">
        <v>11</v>
      </c>
      <c r="AC91" s="33">
        <v>11</v>
      </c>
      <c r="AD91" s="33">
        <v>11</v>
      </c>
      <c r="AE91" s="33">
        <v>11</v>
      </c>
      <c r="AF91" s="33">
        <v>11</v>
      </c>
      <c r="AG91" s="33">
        <v>11</v>
      </c>
      <c r="AH91" s="33">
        <v>11</v>
      </c>
      <c r="AI91" s="47">
        <f ca="1">SUM(KH_26_OPT4_KTQT_v4[[#This Row],[SL-01]:[SL-12]])</f>
        <v>77</v>
      </c>
      <c r="AJ91" s="47">
        <f ca="1">SUMIFS(DB_25[SL-DB25],DB_25[Mã khách],KH_26_OPT4_KTQT_v4[[#This Row],[Mã khách]],DB_25[Mã sản phẩm],KH_26_OPT4_KTQT_v4[[#This Row],[Mã sản phẩm]])</f>
        <v>3.3</v>
      </c>
      <c r="AK91" s="20">
        <f ca="1">KH_26_OPT4_KTQT_v4[[#This Row],[SL-KH26]]-KH_26_OPT4_KTQT_v4[[#This Row],[SL-DB25]]</f>
        <v>73.7</v>
      </c>
      <c r="AL91" s="21">
        <f ca="1">IFERROR(KH_26_OPT4_KTQT_v4[[#This Row],[SL-+/-]]/KH_26_OPT4_KTQT_v4[[#This Row],[SL-DB25]],0)</f>
        <v>22.333333333333336</v>
      </c>
      <c r="AM91" s="51">
        <v>1150</v>
      </c>
      <c r="AN91" s="51">
        <v>1150</v>
      </c>
      <c r="AO91" s="51">
        <v>1150</v>
      </c>
      <c r="AP91" s="51">
        <v>1150</v>
      </c>
      <c r="AQ91" s="51">
        <v>1150</v>
      </c>
      <c r="AR91" s="51">
        <v>1150</v>
      </c>
      <c r="AS91" s="51">
        <v>1150</v>
      </c>
      <c r="AT91" s="51">
        <v>1150</v>
      </c>
      <c r="AU91" s="51">
        <v>1150</v>
      </c>
      <c r="AV91" s="51">
        <v>1150</v>
      </c>
      <c r="AW91" s="51">
        <v>1150</v>
      </c>
      <c r="AX91" s="51">
        <v>1150</v>
      </c>
      <c r="AY91" s="23">
        <v>1150</v>
      </c>
      <c r="AZ91" s="7"/>
      <c r="BA91" s="24">
        <f>KH_26_OPT4_KTQT_v4[[#This Row],[GB-DB25]]-KH_26_OPT4_KTQT_v4[[#This Row],[GB-KH25]]</f>
        <v>1150</v>
      </c>
      <c r="BB91" s="21">
        <f>IFERROR(KH_26_OPT4_KTQT_v4[[#This Row],[GB-+/-]]/KH_26_OPT4_KTQT_v4[[#This Row],[GB-KH25]],0)</f>
        <v>0</v>
      </c>
      <c r="BC91" s="21"/>
      <c r="BD91" s="47">
        <f>KH_26_OPT4_KTQT_v4[[#This Row],[SL-01]]*KH_26_OPT4_KTQT_v4[[#This Row],[GB-01]]*EXR</f>
        <v>0</v>
      </c>
      <c r="BE91" s="47">
        <f>KH_26_OPT4_KTQT_v4[[#This Row],[SL-02]]*KH_26_OPT4_KTQT_v4[[#This Row],[GB-02]]*EXR</f>
        <v>0</v>
      </c>
      <c r="BF91" s="47">
        <f>KH_26_OPT4_KTQT_v4[[#This Row],[SL-03]]*KH_26_OPT4_KTQT_v4[[#This Row],[GB-03]]*EXR</f>
        <v>0</v>
      </c>
      <c r="BG91" s="47">
        <f>KH_26_OPT4_KTQT_v4[[#This Row],[SL-04]]*KH_26_OPT4_KTQT_v4[[#This Row],[GB-04]]*EXR</f>
        <v>0</v>
      </c>
      <c r="BH91" s="47">
        <f>KH_26_OPT4_KTQT_v4[[#This Row],[SL-05]]*KH_26_OPT4_KTQT_v4[[#This Row],[GB-05]]*EXR</f>
        <v>0</v>
      </c>
      <c r="BI91" s="47">
        <f>KH_26_OPT4_KTQT_v4[[#This Row],[SL-06]]*KH_26_OPT4_KTQT_v4[[#This Row],[GB-06]]*EXR</f>
        <v>335225000</v>
      </c>
      <c r="BJ91" s="47">
        <f>KH_26_OPT4_KTQT_v4[[#This Row],[SL-07]]*KH_26_OPT4_KTQT_v4[[#This Row],[GB-07]]*EXR</f>
        <v>335225000</v>
      </c>
      <c r="BK91" s="47">
        <f>KH_26_OPT4_KTQT_v4[[#This Row],[SL-08]]*KH_26_OPT4_KTQT_v4[[#This Row],[GB-08]]*EXR</f>
        <v>335225000</v>
      </c>
      <c r="BL91" s="47">
        <f>KH_26_OPT4_KTQT_v4[[#This Row],[SL-09]]*KH_26_OPT4_KTQT_v4[[#This Row],[GB-09]]*EXR</f>
        <v>335225000</v>
      </c>
      <c r="BM91" s="47">
        <f>KH_26_OPT4_KTQT_v4[[#This Row],[SL-10]]*KH_26_OPT4_KTQT_v4[[#This Row],[GB-10]]*EXR</f>
        <v>335225000</v>
      </c>
      <c r="BN91" s="47">
        <f>KH_26_OPT4_KTQT_v4[[#This Row],[SL-11]]*KH_26_OPT4_KTQT_v4[[#This Row],[GB-11]]*EXR</f>
        <v>335225000</v>
      </c>
      <c r="BO91" s="47">
        <f>KH_26_OPT4_KTQT_v4[[#This Row],[SL-12]]*KH_26_OPT4_KTQT_v4[[#This Row],[GB-12]]*EXR</f>
        <v>335225000</v>
      </c>
      <c r="BP91" s="47">
        <f ca="1">SUM(KH_26_OPT4_KTQT_v4[[#This Row],[DT-EXW-01]:[DT-EXW-12]])</f>
        <v>2346575000</v>
      </c>
      <c r="BQ91" s="47">
        <f ca="1">SUMIFS(DB_25[DT-DB25],DB_25[Mã khách],KH_26_OPT4_KTQT_v4[[#This Row],[Mã khách]],DB_25[Mã sản phẩm],KH_26_OPT4_KTQT_v4[[#This Row],[Mã sản phẩm]])</f>
        <v>110716727.34879406</v>
      </c>
      <c r="BR91" s="47">
        <f ca="1">KH_26_OPT4_KTQT_v4[[#This Row],[DT-EXW-KH26]]-KH_26_OPT4_KTQT_v4[[#This Row],[DT-EXW-DB25]]</f>
        <v>2235858272.651206</v>
      </c>
      <c r="BS91" s="21">
        <f ca="1">IFERROR(KH_26_OPT4_KTQT_v4[[#This Row],[DT-EXW-+/-]]/KH_26_OPT4_KTQT_v4[[#This Row],[DT-EXW-DB25]],0)</f>
        <v>20.194403557535782</v>
      </c>
      <c r="BT91" s="139"/>
      <c r="BU91" s="57"/>
      <c r="BV91" s="51"/>
      <c r="BW91" s="47">
        <f>IF(KH_26_OPT4_KTQT_v4[[#This Row],[CPHH-%-SL]]="Dthu",KH_26_OPT4_KTQT_v4[[#This Row],[%HH]]*KH_26_OPT4_KTQT_v4[[#This Row],[DT-EXW-01]],KH_26_OPT4_KTQT_v4[[#This Row],[HH-SL]]*KH_26_OPT4_KTQT_v4[[#This Row],[SL-01]])</f>
        <v>0</v>
      </c>
      <c r="BX91" s="47">
        <f>IF(KH_26_OPT4_KTQT_v4[[#This Row],[CPHH-%-SL]]="Dthu",KH_26_OPT4_KTQT_v4[[#This Row],[%HH]]*KH_26_OPT4_KTQT_v4[[#This Row],[DT-EXW-02]],KH_26_OPT4_KTQT_v4[[#This Row],[HH-SL]]*KH_26_OPT4_KTQT_v4[[#This Row],[SL-02]])</f>
        <v>0</v>
      </c>
      <c r="BY91" s="47">
        <f>IF(KH_26_OPT4_KTQT_v4[[#This Row],[CPHH-%-SL]]="Dthu",KH_26_OPT4_KTQT_v4[[#This Row],[%HH]]*KH_26_OPT4_KTQT_v4[[#This Row],[DT-EXW-03]],KH_26_OPT4_KTQT_v4[[#This Row],[HH-SL]]*KH_26_OPT4_KTQT_v4[[#This Row],[SL-03]])</f>
        <v>0</v>
      </c>
      <c r="BZ91" s="47">
        <f>IF(KH_26_OPT4_KTQT_v4[[#This Row],[CPHH-%-SL]]="Dthu",KH_26_OPT4_KTQT_v4[[#This Row],[%HH]]*KH_26_OPT4_KTQT_v4[[#This Row],[DT-EXW-04]],KH_26_OPT4_KTQT_v4[[#This Row],[HH-SL]]*KH_26_OPT4_KTQT_v4[[#This Row],[SL-04]])</f>
        <v>0</v>
      </c>
      <c r="CA91" s="47">
        <f>IF(KH_26_OPT4_KTQT_v4[[#This Row],[CPHH-%-SL]]="Dthu",KH_26_OPT4_KTQT_v4[[#This Row],[%HH]]*KH_26_OPT4_KTQT_v4[[#This Row],[DT-EXW-05]],KH_26_OPT4_KTQT_v4[[#This Row],[HH-SL]]*KH_26_OPT4_KTQT_v4[[#This Row],[SL-05]])</f>
        <v>0</v>
      </c>
      <c r="CB91" s="47">
        <f>IF(KH_26_OPT4_KTQT_v4[[#This Row],[CPHH-%-SL]]="Dthu",KH_26_OPT4_KTQT_v4[[#This Row],[%HH]]*KH_26_OPT4_KTQT_v4[[#This Row],[DT-EXW-06]],KH_26_OPT4_KTQT_v4[[#This Row],[HH-SL]]*KH_26_OPT4_KTQT_v4[[#This Row],[SL-06]])</f>
        <v>0</v>
      </c>
      <c r="CC91" s="47">
        <f>IF(KH_26_OPT4_KTQT_v4[[#This Row],[CPHH-%-SL]]="Dthu",KH_26_OPT4_KTQT_v4[[#This Row],[%HH]]*KH_26_OPT4_KTQT_v4[[#This Row],[DT-EXW-07]],KH_26_OPT4_KTQT_v4[[#This Row],[HH-SL]]*KH_26_OPT4_KTQT_v4[[#This Row],[SL-07]])</f>
        <v>0</v>
      </c>
      <c r="CD91" s="47">
        <f>IF(KH_26_OPT4_KTQT_v4[[#This Row],[CPHH-%-SL]]="Dthu",KH_26_OPT4_KTQT_v4[[#This Row],[%HH]]*KH_26_OPT4_KTQT_v4[[#This Row],[DT-EXW-08]],KH_26_OPT4_KTQT_v4[[#This Row],[HH-SL]]*KH_26_OPT4_KTQT_v4[[#This Row],[SL-08]])</f>
        <v>0</v>
      </c>
      <c r="CE91" s="47">
        <f>IF(KH_26_OPT4_KTQT_v4[[#This Row],[CPHH-%-SL]]="Dthu",KH_26_OPT4_KTQT_v4[[#This Row],[%HH]]*KH_26_OPT4_KTQT_v4[[#This Row],[DT-EXW-09]],KH_26_OPT4_KTQT_v4[[#This Row],[HH-SL]]*KH_26_OPT4_KTQT_v4[[#This Row],[SL-09]])</f>
        <v>0</v>
      </c>
      <c r="CF91" s="47">
        <f>IF(KH_26_OPT4_KTQT_v4[[#This Row],[CPHH-%-SL]]="Dthu",KH_26_OPT4_KTQT_v4[[#This Row],[%HH]]*KH_26_OPT4_KTQT_v4[[#This Row],[DT-EXW-10]],KH_26_OPT4_KTQT_v4[[#This Row],[HH-SL]]*KH_26_OPT4_KTQT_v4[[#This Row],[SL-10]])</f>
        <v>0</v>
      </c>
      <c r="CG91" s="47">
        <f>IF(KH_26_OPT4_KTQT_v4[[#This Row],[CPHH-%-SL]]="Dthu",KH_26_OPT4_KTQT_v4[[#This Row],[%HH]]*KH_26_OPT4_KTQT_v4[[#This Row],[DT-EXW-11]],KH_26_OPT4_KTQT_v4[[#This Row],[HH-SL]]*KH_26_OPT4_KTQT_v4[[#This Row],[SL-11]])</f>
        <v>0</v>
      </c>
      <c r="CH91" s="47">
        <f>IF(KH_26_OPT4_KTQT_v4[[#This Row],[CPHH-%-SL]]="Dthu",KH_26_OPT4_KTQT_v4[[#This Row],[%HH]]*KH_26_OPT4_KTQT_v4[[#This Row],[DT-EXW-12]],KH_26_OPT4_KTQT_v4[[#This Row],[HH-SL]]*KH_26_OPT4_KTQT_v4[[#This Row],[SL-12]])</f>
        <v>0</v>
      </c>
      <c r="CI91" s="47">
        <f ca="1">SUM(KH_26_OPT4_KTQT_v4[[#This Row],[CPHH-01]:[CPHH-12]])</f>
        <v>0</v>
      </c>
      <c r="CJ91" s="47" cm="1">
        <f t="array" ref="CJ91">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91" s="19">
        <f ca="1">SUM(KH_26_OPT4_KTQT_v4[[#This Row],[ĐGVCNĐ-KXK]:[ĐGVCCT-KXK]])</f>
        <v>0</v>
      </c>
      <c r="CL91" s="47" cm="1">
        <f t="array" ref="CL91">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91" s="47" cm="1">
        <f t="array" ref="CM91">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91" s="47">
        <f ca="1">(KH_26_OPT4_KTQT_v4[[#This Row],[ĐGVC-KNĐ]]+KH_26_OPT4_KTQT_v4[[#This Row],[ĐGVC-KXK]])*KH_26_OPT4_KTQT_v4[[#This Row],[SL-01]]</f>
        <v>0</v>
      </c>
      <c r="CO91" s="47">
        <f ca="1">(KH_26_OPT4_KTQT_v4[[#This Row],[ĐGVC-KNĐ]]+KH_26_OPT4_KTQT_v4[[#This Row],[ĐGVC-KXK]])*KH_26_OPT4_KTQT_v4[[#This Row],[SL-02]]</f>
        <v>0</v>
      </c>
      <c r="CP91" s="47">
        <f ca="1">(KH_26_OPT4_KTQT_v4[[#This Row],[ĐGVC-KNĐ]]+KH_26_OPT4_KTQT_v4[[#This Row],[ĐGVC-KXK]])*KH_26_OPT4_KTQT_v4[[#This Row],[SL-03]]</f>
        <v>0</v>
      </c>
      <c r="CQ91" s="47">
        <f ca="1">(KH_26_OPT4_KTQT_v4[[#This Row],[ĐGVC-KNĐ]]+KH_26_OPT4_KTQT_v4[[#This Row],[ĐGVC-KXK]])*KH_26_OPT4_KTQT_v4[[#This Row],[SL-04]]</f>
        <v>0</v>
      </c>
      <c r="CR91" s="47">
        <f ca="1">(KH_26_OPT4_KTQT_v4[[#This Row],[ĐGVC-KNĐ]]+KH_26_OPT4_KTQT_v4[[#This Row],[ĐGVC-KXK]])*KH_26_OPT4_KTQT_v4[[#This Row],[SL-05]]</f>
        <v>0</v>
      </c>
      <c r="CS91" s="47">
        <f ca="1">(KH_26_OPT4_KTQT_v4[[#This Row],[ĐGVC-KNĐ]]+KH_26_OPT4_KTQT_v4[[#This Row],[ĐGVC-KXK]])*KH_26_OPT4_KTQT_v4[[#This Row],[SL-06]]</f>
        <v>0</v>
      </c>
      <c r="CT91" s="47">
        <f ca="1">(KH_26_OPT4_KTQT_v4[[#This Row],[ĐGVC-KNĐ]]+KH_26_OPT4_KTQT_v4[[#This Row],[ĐGVC-KXK]])*KH_26_OPT4_KTQT_v4[[#This Row],[SL-07]]</f>
        <v>0</v>
      </c>
      <c r="CU91" s="47">
        <f ca="1">(KH_26_OPT4_KTQT_v4[[#This Row],[ĐGVC-KNĐ]]+KH_26_OPT4_KTQT_v4[[#This Row],[ĐGVC-KXK]])*KH_26_OPT4_KTQT_v4[[#This Row],[SL-08]]</f>
        <v>0</v>
      </c>
      <c r="CV91" s="47">
        <f ca="1">(KH_26_OPT4_KTQT_v4[[#This Row],[ĐGVC-KNĐ]]+KH_26_OPT4_KTQT_v4[[#This Row],[ĐGVC-KXK]])*KH_26_OPT4_KTQT_v4[[#This Row],[SL-09]]</f>
        <v>0</v>
      </c>
      <c r="CW91" s="47">
        <f ca="1">(KH_26_OPT4_KTQT_v4[[#This Row],[ĐGVC-KNĐ]]+KH_26_OPT4_KTQT_v4[[#This Row],[ĐGVC-KXK]])*KH_26_OPT4_KTQT_v4[[#This Row],[SL-10]]</f>
        <v>0</v>
      </c>
      <c r="CX91" s="47">
        <f ca="1">(KH_26_OPT4_KTQT_v4[[#This Row],[ĐGVC-KNĐ]]+KH_26_OPT4_KTQT_v4[[#This Row],[ĐGVC-KXK]])*KH_26_OPT4_KTQT_v4[[#This Row],[SL-11]]</f>
        <v>0</v>
      </c>
      <c r="CY91" s="47">
        <f ca="1">(KH_26_OPT4_KTQT_v4[[#This Row],[ĐGVC-KNĐ]]+KH_26_OPT4_KTQT_v4[[#This Row],[ĐGVC-KXK]])*KH_26_OPT4_KTQT_v4[[#This Row],[SL-12]]</f>
        <v>0</v>
      </c>
      <c r="CZ91" s="47">
        <f ca="1">SUM(KH_26_OPT4_KTQT_v4[[#This Row],[CPVC-01]:[CPVC-12]])</f>
        <v>0</v>
      </c>
      <c r="DA91" s="124">
        <f ca="1">KH_26_OPT4_KTQT_v4[[#This Row],[DT-EXW-01]]+KH_26_OPT4_KTQT_v4[[#This Row],[CPVC-01]]+KH_26_OPT4_KTQT_v4[[#This Row],[CPHH-01]]</f>
        <v>0</v>
      </c>
      <c r="DB91" s="47">
        <f ca="1">KH_26_OPT4_KTQT_v4[[#This Row],[DT-EXW-02]]+KH_26_OPT4_KTQT_v4[[#This Row],[CPVC-02]]+KH_26_OPT4_KTQT_v4[[#This Row],[CPHH-02]]</f>
        <v>0</v>
      </c>
      <c r="DC91" s="47">
        <f ca="1">KH_26_OPT4_KTQT_v4[[#This Row],[DT-EXW-03]]+KH_26_OPT4_KTQT_v4[[#This Row],[CPVC-03]]+KH_26_OPT4_KTQT_v4[[#This Row],[CPHH-03]]</f>
        <v>0</v>
      </c>
      <c r="DD91" s="47">
        <f ca="1">KH_26_OPT4_KTQT_v4[[#This Row],[DT-EXW-04]]+KH_26_OPT4_KTQT_v4[[#This Row],[CPVC-04]]+KH_26_OPT4_KTQT_v4[[#This Row],[CPHH-04]]</f>
        <v>0</v>
      </c>
      <c r="DE91" s="47">
        <f ca="1">KH_26_OPT4_KTQT_v4[[#This Row],[DT-EXW-05]]+KH_26_OPT4_KTQT_v4[[#This Row],[CPVC-05]]+KH_26_OPT4_KTQT_v4[[#This Row],[CPHH-05]]</f>
        <v>0</v>
      </c>
      <c r="DF91" s="47">
        <f ca="1">KH_26_OPT4_KTQT_v4[[#This Row],[DT-EXW-06]]+KH_26_OPT4_KTQT_v4[[#This Row],[CPVC-06]]+KH_26_OPT4_KTQT_v4[[#This Row],[CPHH-06]]</f>
        <v>335225000</v>
      </c>
      <c r="DG91" s="47">
        <f ca="1">KH_26_OPT4_KTQT_v4[[#This Row],[DT-EXW-07]]+KH_26_OPT4_KTQT_v4[[#This Row],[CPVC-07]]+KH_26_OPT4_KTQT_v4[[#This Row],[CPHH-07]]</f>
        <v>335225000</v>
      </c>
      <c r="DH91" s="47">
        <f ca="1">KH_26_OPT4_KTQT_v4[[#This Row],[DT-EXW-08]]+KH_26_OPT4_KTQT_v4[[#This Row],[CPVC-08]]+KH_26_OPT4_KTQT_v4[[#This Row],[CPHH-08]]</f>
        <v>335225000</v>
      </c>
      <c r="DI91" s="47">
        <f ca="1">KH_26_OPT4_KTQT_v4[[#This Row],[DT-EXW-09]]+KH_26_OPT4_KTQT_v4[[#This Row],[CPVC-09]]+KH_26_OPT4_KTQT_v4[[#This Row],[CPHH-09]]</f>
        <v>335225000</v>
      </c>
      <c r="DJ91" s="47">
        <f ca="1">KH_26_OPT4_KTQT_v4[[#This Row],[DT-EXW-10]]+KH_26_OPT4_KTQT_v4[[#This Row],[CPVC-10]]+KH_26_OPT4_KTQT_v4[[#This Row],[CPHH-10]]</f>
        <v>335225000</v>
      </c>
      <c r="DK91" s="47">
        <f ca="1">KH_26_OPT4_KTQT_v4[[#This Row],[DT-EXW-11]]+KH_26_OPT4_KTQT_v4[[#This Row],[CPVC-11]]+KH_26_OPT4_KTQT_v4[[#This Row],[CPHH-11]]</f>
        <v>335225000</v>
      </c>
      <c r="DL91" s="47">
        <f ca="1">KH_26_OPT4_KTQT_v4[[#This Row],[DT-EXW-12]]+KH_26_OPT4_KTQT_v4[[#This Row],[CPVC-12]]+KH_26_OPT4_KTQT_v4[[#This Row],[CPHH-12]]</f>
        <v>335225000</v>
      </c>
      <c r="DM91" s="47">
        <f ca="1">SUM(KH_26_OPT4_KTQT_v4[[#This Row],[DT-01]:[DT-12]])</f>
        <v>2346575000</v>
      </c>
      <c r="DN91" s="7"/>
      <c r="DO91" s="7"/>
      <c r="DP91" s="125"/>
      <c r="DQ91" s="136"/>
      <c r="DR91" s="132">
        <f>IFERROR(KH_26_OPT4_KTQT_v4[[#This Row],[DT-EXW-01]]*KH_26_OPT4_KTQT_v4[[#This Row],[%CPDP]],0)</f>
        <v>0</v>
      </c>
      <c r="DS91" s="132">
        <f>IFERROR(KH_26_OPT4_KTQT_v4[[#This Row],[DT-EXW-02]]*KH_26_OPT4_KTQT_v4[[#This Row],[%CPDP]],0)</f>
        <v>0</v>
      </c>
      <c r="DT91" s="132">
        <f>IFERROR(KH_26_OPT4_KTQT_v4[[#This Row],[DT-EXW-03]]*KH_26_OPT4_KTQT_v4[[#This Row],[%CPDP]],0)</f>
        <v>0</v>
      </c>
      <c r="DU91" s="132">
        <f>IFERROR(KH_26_OPT4_KTQT_v4[[#This Row],[DT-EXW-04]]*KH_26_OPT4_KTQT_v4[[#This Row],[%CPDP]],0)</f>
        <v>0</v>
      </c>
      <c r="DV91" s="132">
        <f>IFERROR(KH_26_OPT4_KTQT_v4[[#This Row],[DT-EXW-05]]*KH_26_OPT4_KTQT_v4[[#This Row],[%CPDP]],0)</f>
        <v>0</v>
      </c>
      <c r="DW91" s="132">
        <f>IFERROR(KH_26_OPT4_KTQT_v4[[#This Row],[DT-EXW-06]]*KH_26_OPT4_KTQT_v4[[#This Row],[%CPDP]],0)</f>
        <v>0</v>
      </c>
      <c r="DX91" s="132">
        <f>IFERROR(KH_26_OPT4_KTQT_v4[[#This Row],[DT-EXW-07]]*KH_26_OPT4_KTQT_v4[[#This Row],[%CPDP]],0)</f>
        <v>0</v>
      </c>
      <c r="DY91" s="132">
        <f>IFERROR(KH_26_OPT4_KTQT_v4[[#This Row],[DT-EXW-08]]*KH_26_OPT4_KTQT_v4[[#This Row],[%CPDP]],0)</f>
        <v>0</v>
      </c>
      <c r="DZ91" s="132">
        <f>IFERROR(KH_26_OPT4_KTQT_v4[[#This Row],[DT-EXW-09]]*KH_26_OPT4_KTQT_v4[[#This Row],[%CPDP]],0)</f>
        <v>0</v>
      </c>
      <c r="EA91" s="132">
        <f>IFERROR(KH_26_OPT4_KTQT_v4[[#This Row],[DT-EXW-10]]*KH_26_OPT4_KTQT_v4[[#This Row],[%CPDP]],0)</f>
        <v>0</v>
      </c>
      <c r="EB91" s="132">
        <f>IFERROR(KH_26_OPT4_KTQT_v4[[#This Row],[DT-EXW-11]]*KH_26_OPT4_KTQT_v4[[#This Row],[%CPDP]],0)</f>
        <v>0</v>
      </c>
      <c r="EC91" s="132">
        <f>IFERROR(KH_26_OPT4_KTQT_v4[[#This Row],[DT-EXW-12]]*KH_26_OPT4_KTQT_v4[[#This Row],[%CPDP]],0)</f>
        <v>0</v>
      </c>
      <c r="ED91" s="131">
        <f ca="1">SUM(KH_26_OPT4_KTQT_v4[[#This Row],[CPDP-01]:[CPDP-12]])</f>
        <v>0</v>
      </c>
    </row>
    <row r="92" spans="1:134" ht="14.65" hidden="1" customHeight="1" x14ac:dyDescent="0.35">
      <c r="A92" s="18">
        <v>87</v>
      </c>
      <c r="B92" s="71" t="s">
        <v>104</v>
      </c>
      <c r="C92" s="18" t="str">
        <f>IFERROR(_xlfn.XLOOKUP(KH_26_OPT4_KTQT_v4[[#This Row],[Salesman]],MD_Salesman[Salesman],MD_Salesman[SalesManager]),"")</f>
        <v>Quốc Anh</v>
      </c>
      <c r="D92" s="72" t="str">
        <f>IFERROR(INDEX(MD_Customer[Mã khách],MATCH(KH_26_OPT4_KTQT_v4[[#This Row],[Tên khách]],MD_Customer[Tên khách-rút gọn],0)),"")</f>
        <v>200332</v>
      </c>
      <c r="E92" s="7" t="str">
        <f>IFERROR(INDEX(MD_Customer[Parent Account],MATCH(KH_26_OPT4_KTQT_v4[[#This Row],[Tên khách]],MD_Customer[Tên khách-rút gọn],0)),"")</f>
        <v>OUTEIRINHO TURISMO E INDUSTRIA SA</v>
      </c>
      <c r="F92" s="35" t="s">
        <v>9</v>
      </c>
      <c r="G92" s="7" t="str">
        <f>IFERROR(INDEX(MD_Customer[Phân loại],MATCH(KH_26_OPT4_KTQT_v4[[#This Row],[Tên khách]],MD_Customer[Tên khách-rút gọn],0)),"")</f>
        <v>Hiện hữu</v>
      </c>
      <c r="H92" s="7" t="str">
        <f>IFERROR(INDEX(MD_Customer[Kênh bán hàng],MATCH(KH_26_OPT4_KTQT_v4[[#This Row],[Tên khách]],MD_Customer[Tên khách-rút gọn],0)),"")</f>
        <v>Xuất khẩu</v>
      </c>
      <c r="I92" s="35" t="s">
        <v>282</v>
      </c>
      <c r="J92" s="7" t="str">
        <f>IFERROR(INDEX(MD_Destination[Nước],MATCH(KH_26_OPT4_KTQT_v4[[#This Row],[Địa điểm đến]],MD_Destination[Địa điểm đến],0)),"")</f>
        <v>Bồ Đào Nha</v>
      </c>
      <c r="K92" s="7" t="str">
        <f>IFERROR(INDEX(MD_Destination[Khu vực],MATCH(KH_26_OPT4_KTQT_v4[[#This Row],[Địa điểm đến]],MD_Destination[Địa điểm đến],0)),"")</f>
        <v>Châu Âu</v>
      </c>
      <c r="L92" s="35" t="s">
        <v>278</v>
      </c>
      <c r="M92" s="7" t="str">
        <f>IFERROR(INDEX(MD_SKU[Mã SKU],MATCH(KH_26_OPT4_KTQT_v4[[#This Row],[Tên sản phẩm]],MD_SKU[Tên SKU-rút gọn],0)),"")</f>
        <v>110000496</v>
      </c>
      <c r="N92" s="35" t="s">
        <v>499</v>
      </c>
      <c r="O92" s="7" t="str">
        <f>IFERROR(INDEX(MD_SKU[Ngành hàng],MATCH(KH_26_OPT4_KTQT_v4[[#This Row],[Tên sản phẩm]],MD_SKU[Tên SKU-rút gọn],0)),"")</f>
        <v>rHDPE ép</v>
      </c>
      <c r="P92" s="7" t="str">
        <f>IFERROR(INDEX(MD_SKU[Nhóm ngành],MATCH(KH_26_OPT4_KTQT_v4[[#This Row],[Tên sản phẩm]],MD_SKU[Tên SKU-rút gọn],0)),"")</f>
        <v>Hạt HD ép</v>
      </c>
      <c r="Q92" s="7" t="str">
        <f>IFERROR(
   IF(INDEX(MD_SKU[IV/IM],MATCH(KH_26_OPT4_KTQT_v4[[#This Row],[Tên sản phẩm]],MD_SKU[Tên SKU-rút gọn],0))=0,
      "",
      INDEX(MD_SKU[IV/IM],MATCH(KH_26_OPT4_KTQT_v4[[#This Row],[Tên sản phẩm]],MD_SKU[Tên SKU-rút gọn],0))
   ),
"")</f>
        <v/>
      </c>
      <c r="R92" s="44">
        <f>IFERROR(INDEX(MD_SKU[Application],MATCH(KH_26_OPT4_KTQT_v4[[#This Row],[Tên sản phẩm]],MD_SKU[Tên SKU-rút gọn],0)),"")</f>
        <v>0</v>
      </c>
      <c r="S92" s="7" t="str">
        <f>IFERROR(INDEX(MD_SKU[Phân loại],MATCH(KH_26_OPT4_KTQT_v4[[#This Row],[Tên sản phẩm]],MD_SKU[Tên SKU-rút gọn],0)),"")</f>
        <v>Cũ</v>
      </c>
      <c r="T92" s="7" t="s">
        <v>9</v>
      </c>
      <c r="U92" s="7" t="s">
        <v>1508</v>
      </c>
      <c r="V92" s="70">
        <v>0.8</v>
      </c>
      <c r="W92" s="33"/>
      <c r="X92" s="33"/>
      <c r="Y92" s="33"/>
      <c r="Z92" s="33"/>
      <c r="AA92" s="33"/>
      <c r="AB92" s="33"/>
      <c r="AC92" s="33"/>
      <c r="AD92" s="33"/>
      <c r="AE92" s="33"/>
      <c r="AF92" s="33"/>
      <c r="AG92" s="33"/>
      <c r="AH92" s="33"/>
      <c r="AI92" s="47">
        <f ca="1">SUM(KH_26_OPT4_KTQT_v4[[#This Row],[SL-01]:[SL-12]])</f>
        <v>0</v>
      </c>
      <c r="AJ92" s="47">
        <f ca="1">SUMIFS(DB_25[SL-DB25],DB_25[Mã khách],KH_26_OPT4_KTQT_v4[[#This Row],[Mã khách]],DB_25[Mã sản phẩm],KH_26_OPT4_KTQT_v4[[#This Row],[Mã sản phẩm]])</f>
        <v>25</v>
      </c>
      <c r="AK92" s="20">
        <f ca="1">KH_26_OPT4_KTQT_v4[[#This Row],[SL-KH26]]-KH_26_OPT4_KTQT_v4[[#This Row],[SL-DB25]]</f>
        <v>-25</v>
      </c>
      <c r="AL92" s="21">
        <f ca="1">IFERROR(KH_26_OPT4_KTQT_v4[[#This Row],[SL-+/-]]/KH_26_OPT4_KTQT_v4[[#This Row],[SL-DB25]],0)</f>
        <v>-1</v>
      </c>
      <c r="AM92" s="51">
        <v>930</v>
      </c>
      <c r="AN92" s="51">
        <v>930</v>
      </c>
      <c r="AO92" s="51">
        <v>930</v>
      </c>
      <c r="AP92" s="51">
        <v>930</v>
      </c>
      <c r="AQ92" s="51">
        <v>930</v>
      </c>
      <c r="AR92" s="51">
        <v>930</v>
      </c>
      <c r="AS92" s="51">
        <v>930</v>
      </c>
      <c r="AT92" s="51">
        <v>930</v>
      </c>
      <c r="AU92" s="51">
        <v>930</v>
      </c>
      <c r="AV92" s="51">
        <v>930</v>
      </c>
      <c r="AW92" s="51">
        <v>930</v>
      </c>
      <c r="AX92" s="51">
        <v>930</v>
      </c>
      <c r="AY92" s="23">
        <v>930</v>
      </c>
      <c r="AZ92" s="7"/>
      <c r="BA92" s="24">
        <f>KH_26_OPT4_KTQT_v4[[#This Row],[GB-DB25]]-KH_26_OPT4_KTQT_v4[[#This Row],[GB-KH25]]</f>
        <v>930</v>
      </c>
      <c r="BB92" s="21">
        <f>IFERROR(KH_26_OPT4_KTQT_v4[[#This Row],[GB-+/-]]/KH_26_OPT4_KTQT_v4[[#This Row],[GB-KH25]],0)</f>
        <v>0</v>
      </c>
      <c r="BC92" s="21"/>
      <c r="BD92" s="47">
        <f>KH_26_OPT4_KTQT_v4[[#This Row],[SL-01]]*KH_26_OPT4_KTQT_v4[[#This Row],[GB-01]]*EXR</f>
        <v>0</v>
      </c>
      <c r="BE92" s="47">
        <f>KH_26_OPT4_KTQT_v4[[#This Row],[SL-02]]*KH_26_OPT4_KTQT_v4[[#This Row],[GB-02]]*EXR</f>
        <v>0</v>
      </c>
      <c r="BF92" s="47">
        <f>KH_26_OPT4_KTQT_v4[[#This Row],[SL-03]]*KH_26_OPT4_KTQT_v4[[#This Row],[GB-03]]*EXR</f>
        <v>0</v>
      </c>
      <c r="BG92" s="47">
        <f>KH_26_OPT4_KTQT_v4[[#This Row],[SL-04]]*KH_26_OPT4_KTQT_v4[[#This Row],[GB-04]]*EXR</f>
        <v>0</v>
      </c>
      <c r="BH92" s="47">
        <f>KH_26_OPT4_KTQT_v4[[#This Row],[SL-05]]*KH_26_OPT4_KTQT_v4[[#This Row],[GB-05]]*EXR</f>
        <v>0</v>
      </c>
      <c r="BI92" s="47">
        <f>KH_26_OPT4_KTQT_v4[[#This Row],[SL-06]]*KH_26_OPT4_KTQT_v4[[#This Row],[GB-06]]*EXR</f>
        <v>0</v>
      </c>
      <c r="BJ92" s="47">
        <f>KH_26_OPT4_KTQT_v4[[#This Row],[SL-07]]*KH_26_OPT4_KTQT_v4[[#This Row],[GB-07]]*EXR</f>
        <v>0</v>
      </c>
      <c r="BK92" s="47">
        <f>KH_26_OPT4_KTQT_v4[[#This Row],[SL-08]]*KH_26_OPT4_KTQT_v4[[#This Row],[GB-08]]*EXR</f>
        <v>0</v>
      </c>
      <c r="BL92" s="47">
        <f>KH_26_OPT4_KTQT_v4[[#This Row],[SL-09]]*KH_26_OPT4_KTQT_v4[[#This Row],[GB-09]]*EXR</f>
        <v>0</v>
      </c>
      <c r="BM92" s="47">
        <f>KH_26_OPT4_KTQT_v4[[#This Row],[SL-10]]*KH_26_OPT4_KTQT_v4[[#This Row],[GB-10]]*EXR</f>
        <v>0</v>
      </c>
      <c r="BN92" s="47">
        <f>KH_26_OPT4_KTQT_v4[[#This Row],[SL-11]]*KH_26_OPT4_KTQT_v4[[#This Row],[GB-11]]*EXR</f>
        <v>0</v>
      </c>
      <c r="BO92" s="47">
        <f>KH_26_OPT4_KTQT_v4[[#This Row],[SL-12]]*KH_26_OPT4_KTQT_v4[[#This Row],[GB-12]]*EXR</f>
        <v>0</v>
      </c>
      <c r="BP92" s="47">
        <f ca="1">SUM(KH_26_OPT4_KTQT_v4[[#This Row],[DT-EXW-01]:[DT-EXW-12]])</f>
        <v>0</v>
      </c>
      <c r="BQ92" s="47">
        <f ca="1">SUMIFS(DB_25[DT-DB25],DB_25[Mã khách],KH_26_OPT4_KTQT_v4[[#This Row],[Mã khách]],DB_25[Mã sản phẩm],KH_26_OPT4_KTQT_v4[[#This Row],[Mã sản phẩm]])</f>
        <v>745597000</v>
      </c>
      <c r="BR92" s="47">
        <f ca="1">KH_26_OPT4_KTQT_v4[[#This Row],[DT-EXW-KH26]]-KH_26_OPT4_KTQT_v4[[#This Row],[DT-EXW-DB25]]</f>
        <v>-745597000</v>
      </c>
      <c r="BS92" s="21">
        <f ca="1">IFERROR(KH_26_OPT4_KTQT_v4[[#This Row],[DT-EXW-+/-]]/KH_26_OPT4_KTQT_v4[[#This Row],[DT-EXW-DB25]],0)</f>
        <v>-1</v>
      </c>
      <c r="BT92" s="139"/>
      <c r="BU92" s="57"/>
      <c r="BV92" s="51"/>
      <c r="BW92" s="47">
        <f>IF(KH_26_OPT4_KTQT_v4[[#This Row],[CPHH-%-SL]]="Dthu",KH_26_OPT4_KTQT_v4[[#This Row],[%HH]]*KH_26_OPT4_KTQT_v4[[#This Row],[DT-EXW-01]],KH_26_OPT4_KTQT_v4[[#This Row],[HH-SL]]*KH_26_OPT4_KTQT_v4[[#This Row],[SL-01]])</f>
        <v>0</v>
      </c>
      <c r="BX92" s="47">
        <f>IF(KH_26_OPT4_KTQT_v4[[#This Row],[CPHH-%-SL]]="Dthu",KH_26_OPT4_KTQT_v4[[#This Row],[%HH]]*KH_26_OPT4_KTQT_v4[[#This Row],[DT-EXW-02]],KH_26_OPT4_KTQT_v4[[#This Row],[HH-SL]]*KH_26_OPT4_KTQT_v4[[#This Row],[SL-02]])</f>
        <v>0</v>
      </c>
      <c r="BY92" s="47">
        <f>IF(KH_26_OPT4_KTQT_v4[[#This Row],[CPHH-%-SL]]="Dthu",KH_26_OPT4_KTQT_v4[[#This Row],[%HH]]*KH_26_OPT4_KTQT_v4[[#This Row],[DT-EXW-03]],KH_26_OPT4_KTQT_v4[[#This Row],[HH-SL]]*KH_26_OPT4_KTQT_v4[[#This Row],[SL-03]])</f>
        <v>0</v>
      </c>
      <c r="BZ92" s="47">
        <f>IF(KH_26_OPT4_KTQT_v4[[#This Row],[CPHH-%-SL]]="Dthu",KH_26_OPT4_KTQT_v4[[#This Row],[%HH]]*KH_26_OPT4_KTQT_v4[[#This Row],[DT-EXW-04]],KH_26_OPT4_KTQT_v4[[#This Row],[HH-SL]]*KH_26_OPT4_KTQT_v4[[#This Row],[SL-04]])</f>
        <v>0</v>
      </c>
      <c r="CA92" s="47">
        <f>IF(KH_26_OPT4_KTQT_v4[[#This Row],[CPHH-%-SL]]="Dthu",KH_26_OPT4_KTQT_v4[[#This Row],[%HH]]*KH_26_OPT4_KTQT_v4[[#This Row],[DT-EXW-05]],KH_26_OPT4_KTQT_v4[[#This Row],[HH-SL]]*KH_26_OPT4_KTQT_v4[[#This Row],[SL-05]])</f>
        <v>0</v>
      </c>
      <c r="CB92" s="47">
        <f>IF(KH_26_OPT4_KTQT_v4[[#This Row],[CPHH-%-SL]]="Dthu",KH_26_OPT4_KTQT_v4[[#This Row],[%HH]]*KH_26_OPT4_KTQT_v4[[#This Row],[DT-EXW-06]],KH_26_OPT4_KTQT_v4[[#This Row],[HH-SL]]*KH_26_OPT4_KTQT_v4[[#This Row],[SL-06]])</f>
        <v>0</v>
      </c>
      <c r="CC92" s="47">
        <f>IF(KH_26_OPT4_KTQT_v4[[#This Row],[CPHH-%-SL]]="Dthu",KH_26_OPT4_KTQT_v4[[#This Row],[%HH]]*KH_26_OPT4_KTQT_v4[[#This Row],[DT-EXW-07]],KH_26_OPT4_KTQT_v4[[#This Row],[HH-SL]]*KH_26_OPT4_KTQT_v4[[#This Row],[SL-07]])</f>
        <v>0</v>
      </c>
      <c r="CD92" s="47">
        <f>IF(KH_26_OPT4_KTQT_v4[[#This Row],[CPHH-%-SL]]="Dthu",KH_26_OPT4_KTQT_v4[[#This Row],[%HH]]*KH_26_OPT4_KTQT_v4[[#This Row],[DT-EXW-08]],KH_26_OPT4_KTQT_v4[[#This Row],[HH-SL]]*KH_26_OPT4_KTQT_v4[[#This Row],[SL-08]])</f>
        <v>0</v>
      </c>
      <c r="CE92" s="47">
        <f>IF(KH_26_OPT4_KTQT_v4[[#This Row],[CPHH-%-SL]]="Dthu",KH_26_OPT4_KTQT_v4[[#This Row],[%HH]]*KH_26_OPT4_KTQT_v4[[#This Row],[DT-EXW-09]],KH_26_OPT4_KTQT_v4[[#This Row],[HH-SL]]*KH_26_OPT4_KTQT_v4[[#This Row],[SL-09]])</f>
        <v>0</v>
      </c>
      <c r="CF92" s="47">
        <f>IF(KH_26_OPT4_KTQT_v4[[#This Row],[CPHH-%-SL]]="Dthu",KH_26_OPT4_KTQT_v4[[#This Row],[%HH]]*KH_26_OPT4_KTQT_v4[[#This Row],[DT-EXW-10]],KH_26_OPT4_KTQT_v4[[#This Row],[HH-SL]]*KH_26_OPT4_KTQT_v4[[#This Row],[SL-10]])</f>
        <v>0</v>
      </c>
      <c r="CG92" s="47">
        <f>IF(KH_26_OPT4_KTQT_v4[[#This Row],[CPHH-%-SL]]="Dthu",KH_26_OPT4_KTQT_v4[[#This Row],[%HH]]*KH_26_OPT4_KTQT_v4[[#This Row],[DT-EXW-11]],KH_26_OPT4_KTQT_v4[[#This Row],[HH-SL]]*KH_26_OPT4_KTQT_v4[[#This Row],[SL-11]])</f>
        <v>0</v>
      </c>
      <c r="CH92" s="47">
        <f>IF(KH_26_OPT4_KTQT_v4[[#This Row],[CPHH-%-SL]]="Dthu",KH_26_OPT4_KTQT_v4[[#This Row],[%HH]]*KH_26_OPT4_KTQT_v4[[#This Row],[DT-EXW-12]],KH_26_OPT4_KTQT_v4[[#This Row],[HH-SL]]*KH_26_OPT4_KTQT_v4[[#This Row],[SL-12]])</f>
        <v>0</v>
      </c>
      <c r="CI92" s="47">
        <f ca="1">SUM(KH_26_OPT4_KTQT_v4[[#This Row],[CPHH-01]:[CPHH-12]])</f>
        <v>0</v>
      </c>
      <c r="CJ92" s="47" cm="1">
        <f t="array" ref="CJ92">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92" s="19">
        <f ca="1">SUM(KH_26_OPT4_KTQT_v4[[#This Row],[ĐGVCNĐ-KXK]:[ĐGVCCT-KXK]])</f>
        <v>530000</v>
      </c>
      <c r="CL92" s="47" cm="1">
        <f t="array" ref="CL92">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530000</v>
      </c>
      <c r="CM92" s="47" cm="1">
        <f t="array" ref="CM92">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92" s="47">
        <f ca="1">(KH_26_OPT4_KTQT_v4[[#This Row],[ĐGVC-KNĐ]]+KH_26_OPT4_KTQT_v4[[#This Row],[ĐGVC-KXK]])*KH_26_OPT4_KTQT_v4[[#This Row],[SL-01]]</f>
        <v>0</v>
      </c>
      <c r="CO92" s="47">
        <f ca="1">(KH_26_OPT4_KTQT_v4[[#This Row],[ĐGVC-KNĐ]]+KH_26_OPT4_KTQT_v4[[#This Row],[ĐGVC-KXK]])*KH_26_OPT4_KTQT_v4[[#This Row],[SL-02]]</f>
        <v>0</v>
      </c>
      <c r="CP92" s="47">
        <f ca="1">(KH_26_OPT4_KTQT_v4[[#This Row],[ĐGVC-KNĐ]]+KH_26_OPT4_KTQT_v4[[#This Row],[ĐGVC-KXK]])*KH_26_OPT4_KTQT_v4[[#This Row],[SL-03]]</f>
        <v>0</v>
      </c>
      <c r="CQ92" s="47">
        <f ca="1">(KH_26_OPT4_KTQT_v4[[#This Row],[ĐGVC-KNĐ]]+KH_26_OPT4_KTQT_v4[[#This Row],[ĐGVC-KXK]])*KH_26_OPT4_KTQT_v4[[#This Row],[SL-04]]</f>
        <v>0</v>
      </c>
      <c r="CR92" s="47">
        <f ca="1">(KH_26_OPT4_KTQT_v4[[#This Row],[ĐGVC-KNĐ]]+KH_26_OPT4_KTQT_v4[[#This Row],[ĐGVC-KXK]])*KH_26_OPT4_KTQT_v4[[#This Row],[SL-05]]</f>
        <v>0</v>
      </c>
      <c r="CS92" s="47">
        <f ca="1">(KH_26_OPT4_KTQT_v4[[#This Row],[ĐGVC-KNĐ]]+KH_26_OPT4_KTQT_v4[[#This Row],[ĐGVC-KXK]])*KH_26_OPT4_KTQT_v4[[#This Row],[SL-06]]</f>
        <v>0</v>
      </c>
      <c r="CT92" s="47">
        <f ca="1">(KH_26_OPT4_KTQT_v4[[#This Row],[ĐGVC-KNĐ]]+KH_26_OPT4_KTQT_v4[[#This Row],[ĐGVC-KXK]])*KH_26_OPT4_KTQT_v4[[#This Row],[SL-07]]</f>
        <v>0</v>
      </c>
      <c r="CU92" s="47">
        <f ca="1">(KH_26_OPT4_KTQT_v4[[#This Row],[ĐGVC-KNĐ]]+KH_26_OPT4_KTQT_v4[[#This Row],[ĐGVC-KXK]])*KH_26_OPT4_KTQT_v4[[#This Row],[SL-08]]</f>
        <v>0</v>
      </c>
      <c r="CV92" s="47">
        <f ca="1">(KH_26_OPT4_KTQT_v4[[#This Row],[ĐGVC-KNĐ]]+KH_26_OPT4_KTQT_v4[[#This Row],[ĐGVC-KXK]])*KH_26_OPT4_KTQT_v4[[#This Row],[SL-09]]</f>
        <v>0</v>
      </c>
      <c r="CW92" s="47">
        <f ca="1">(KH_26_OPT4_KTQT_v4[[#This Row],[ĐGVC-KNĐ]]+KH_26_OPT4_KTQT_v4[[#This Row],[ĐGVC-KXK]])*KH_26_OPT4_KTQT_v4[[#This Row],[SL-10]]</f>
        <v>0</v>
      </c>
      <c r="CX92" s="47">
        <f ca="1">(KH_26_OPT4_KTQT_v4[[#This Row],[ĐGVC-KNĐ]]+KH_26_OPT4_KTQT_v4[[#This Row],[ĐGVC-KXK]])*KH_26_OPT4_KTQT_v4[[#This Row],[SL-11]]</f>
        <v>0</v>
      </c>
      <c r="CY92" s="47">
        <f ca="1">(KH_26_OPT4_KTQT_v4[[#This Row],[ĐGVC-KNĐ]]+KH_26_OPT4_KTQT_v4[[#This Row],[ĐGVC-KXK]])*KH_26_OPT4_KTQT_v4[[#This Row],[SL-12]]</f>
        <v>0</v>
      </c>
      <c r="CZ92" s="47">
        <f ca="1">SUM(KH_26_OPT4_KTQT_v4[[#This Row],[CPVC-01]:[CPVC-12]])</f>
        <v>0</v>
      </c>
      <c r="DA92" s="124">
        <f ca="1">KH_26_OPT4_KTQT_v4[[#This Row],[DT-EXW-01]]+KH_26_OPT4_KTQT_v4[[#This Row],[CPVC-01]]+KH_26_OPT4_KTQT_v4[[#This Row],[CPHH-01]]</f>
        <v>0</v>
      </c>
      <c r="DB92" s="47">
        <f ca="1">KH_26_OPT4_KTQT_v4[[#This Row],[DT-EXW-02]]+KH_26_OPT4_KTQT_v4[[#This Row],[CPVC-02]]+KH_26_OPT4_KTQT_v4[[#This Row],[CPHH-02]]</f>
        <v>0</v>
      </c>
      <c r="DC92" s="47">
        <f ca="1">KH_26_OPT4_KTQT_v4[[#This Row],[DT-EXW-03]]+KH_26_OPT4_KTQT_v4[[#This Row],[CPVC-03]]+KH_26_OPT4_KTQT_v4[[#This Row],[CPHH-03]]</f>
        <v>0</v>
      </c>
      <c r="DD92" s="47">
        <f ca="1">KH_26_OPT4_KTQT_v4[[#This Row],[DT-EXW-04]]+KH_26_OPT4_KTQT_v4[[#This Row],[CPVC-04]]+KH_26_OPT4_KTQT_v4[[#This Row],[CPHH-04]]</f>
        <v>0</v>
      </c>
      <c r="DE92" s="47">
        <f ca="1">KH_26_OPT4_KTQT_v4[[#This Row],[DT-EXW-05]]+KH_26_OPT4_KTQT_v4[[#This Row],[CPVC-05]]+KH_26_OPT4_KTQT_v4[[#This Row],[CPHH-05]]</f>
        <v>0</v>
      </c>
      <c r="DF92" s="47">
        <f ca="1">KH_26_OPT4_KTQT_v4[[#This Row],[DT-EXW-06]]+KH_26_OPT4_KTQT_v4[[#This Row],[CPVC-06]]+KH_26_OPT4_KTQT_v4[[#This Row],[CPHH-06]]</f>
        <v>0</v>
      </c>
      <c r="DG92" s="47">
        <f ca="1">KH_26_OPT4_KTQT_v4[[#This Row],[DT-EXW-07]]+KH_26_OPT4_KTQT_v4[[#This Row],[CPVC-07]]+KH_26_OPT4_KTQT_v4[[#This Row],[CPHH-07]]</f>
        <v>0</v>
      </c>
      <c r="DH92" s="47">
        <f ca="1">KH_26_OPT4_KTQT_v4[[#This Row],[DT-EXW-08]]+KH_26_OPT4_KTQT_v4[[#This Row],[CPVC-08]]+KH_26_OPT4_KTQT_v4[[#This Row],[CPHH-08]]</f>
        <v>0</v>
      </c>
      <c r="DI92" s="47">
        <f ca="1">KH_26_OPT4_KTQT_v4[[#This Row],[DT-EXW-09]]+KH_26_OPT4_KTQT_v4[[#This Row],[CPVC-09]]+KH_26_OPT4_KTQT_v4[[#This Row],[CPHH-09]]</f>
        <v>0</v>
      </c>
      <c r="DJ92" s="47">
        <f ca="1">KH_26_OPT4_KTQT_v4[[#This Row],[DT-EXW-10]]+KH_26_OPT4_KTQT_v4[[#This Row],[CPVC-10]]+KH_26_OPT4_KTQT_v4[[#This Row],[CPHH-10]]</f>
        <v>0</v>
      </c>
      <c r="DK92" s="47">
        <f ca="1">KH_26_OPT4_KTQT_v4[[#This Row],[DT-EXW-11]]+KH_26_OPT4_KTQT_v4[[#This Row],[CPVC-11]]+KH_26_OPT4_KTQT_v4[[#This Row],[CPHH-11]]</f>
        <v>0</v>
      </c>
      <c r="DL92" s="47">
        <f ca="1">KH_26_OPT4_KTQT_v4[[#This Row],[DT-EXW-12]]+KH_26_OPT4_KTQT_v4[[#This Row],[CPVC-12]]+KH_26_OPT4_KTQT_v4[[#This Row],[CPHH-12]]</f>
        <v>0</v>
      </c>
      <c r="DM92" s="47">
        <f ca="1">SUM(KH_26_OPT4_KTQT_v4[[#This Row],[DT-01]:[DT-12]])</f>
        <v>0</v>
      </c>
      <c r="DN92" s="7"/>
      <c r="DO92" s="7"/>
      <c r="DP92" s="125"/>
      <c r="DQ92" s="136"/>
      <c r="DR92" s="132">
        <f>IFERROR(KH_26_OPT4_KTQT_v4[[#This Row],[DT-EXW-01]]*KH_26_OPT4_KTQT_v4[[#This Row],[%CPDP]],0)</f>
        <v>0</v>
      </c>
      <c r="DS92" s="132">
        <f>IFERROR(KH_26_OPT4_KTQT_v4[[#This Row],[DT-EXW-02]]*KH_26_OPT4_KTQT_v4[[#This Row],[%CPDP]],0)</f>
        <v>0</v>
      </c>
      <c r="DT92" s="132">
        <f>IFERROR(KH_26_OPT4_KTQT_v4[[#This Row],[DT-EXW-03]]*KH_26_OPT4_KTQT_v4[[#This Row],[%CPDP]],0)</f>
        <v>0</v>
      </c>
      <c r="DU92" s="132">
        <f>IFERROR(KH_26_OPT4_KTQT_v4[[#This Row],[DT-EXW-04]]*KH_26_OPT4_KTQT_v4[[#This Row],[%CPDP]],0)</f>
        <v>0</v>
      </c>
      <c r="DV92" s="132">
        <f>IFERROR(KH_26_OPT4_KTQT_v4[[#This Row],[DT-EXW-05]]*KH_26_OPT4_KTQT_v4[[#This Row],[%CPDP]],0)</f>
        <v>0</v>
      </c>
      <c r="DW92" s="132">
        <f>IFERROR(KH_26_OPT4_KTQT_v4[[#This Row],[DT-EXW-06]]*KH_26_OPT4_KTQT_v4[[#This Row],[%CPDP]],0)</f>
        <v>0</v>
      </c>
      <c r="DX92" s="132">
        <f>IFERROR(KH_26_OPT4_KTQT_v4[[#This Row],[DT-EXW-07]]*KH_26_OPT4_KTQT_v4[[#This Row],[%CPDP]],0)</f>
        <v>0</v>
      </c>
      <c r="DY92" s="132">
        <f>IFERROR(KH_26_OPT4_KTQT_v4[[#This Row],[DT-EXW-08]]*KH_26_OPT4_KTQT_v4[[#This Row],[%CPDP]],0)</f>
        <v>0</v>
      </c>
      <c r="DZ92" s="132">
        <f>IFERROR(KH_26_OPT4_KTQT_v4[[#This Row],[DT-EXW-09]]*KH_26_OPT4_KTQT_v4[[#This Row],[%CPDP]],0)</f>
        <v>0</v>
      </c>
      <c r="EA92" s="132">
        <f>IFERROR(KH_26_OPT4_KTQT_v4[[#This Row],[DT-EXW-10]]*KH_26_OPT4_KTQT_v4[[#This Row],[%CPDP]],0)</f>
        <v>0</v>
      </c>
      <c r="EB92" s="132">
        <f>IFERROR(KH_26_OPT4_KTQT_v4[[#This Row],[DT-EXW-11]]*KH_26_OPT4_KTQT_v4[[#This Row],[%CPDP]],0)</f>
        <v>0</v>
      </c>
      <c r="EC92" s="132">
        <f>IFERROR(KH_26_OPT4_KTQT_v4[[#This Row],[DT-EXW-12]]*KH_26_OPT4_KTQT_v4[[#This Row],[%CPDP]],0)</f>
        <v>0</v>
      </c>
      <c r="ED92" s="131">
        <f ca="1">SUM(KH_26_OPT4_KTQT_v4[[#This Row],[CPDP-01]:[CPDP-12]])</f>
        <v>0</v>
      </c>
    </row>
    <row r="93" spans="1:134" ht="14.65" hidden="1" customHeight="1" x14ac:dyDescent="0.35">
      <c r="A93" s="18">
        <v>88</v>
      </c>
      <c r="B93" s="71" t="s">
        <v>115</v>
      </c>
      <c r="C93" s="18" t="str">
        <f>IFERROR(_xlfn.XLOOKUP(KH_26_OPT4_KTQT_v4[[#This Row],[Salesman]],MD_Salesman[Salesman],MD_Salesman[SalesManager]),"")</f>
        <v>Quốc Anh</v>
      </c>
      <c r="D93" s="72" t="str">
        <f>IFERROR(INDEX(MD_Customer[Mã khách],MATCH(KH_26_OPT4_KTQT_v4[[#This Row],[Tên khách]],MD_Customer[Tên khách-rút gọn],0)),"")</f>
        <v>105324</v>
      </c>
      <c r="E93" s="7" t="str">
        <f>IFERROR(INDEX(MD_Customer[Parent Account],MATCH(KH_26_OPT4_KTQT_v4[[#This Row],[Tên khách]],MD_Customer[Tên khách-rút gọn],0)),"")</f>
        <v>NHỰA TRƯỜNG AN</v>
      </c>
      <c r="F93" s="35" t="s">
        <v>58</v>
      </c>
      <c r="G93" s="7" t="str">
        <f>IFERROR(INDEX(MD_Customer[Phân loại],MATCH(KH_26_OPT4_KTQT_v4[[#This Row],[Tên khách]],MD_Customer[Tên khách-rút gọn],0)),"")</f>
        <v>Hiện hữu</v>
      </c>
      <c r="H93" s="7" t="str">
        <f>IFERROR(INDEX(MD_Customer[Kênh bán hàng],MATCH(KH_26_OPT4_KTQT_v4[[#This Row],[Tên khách]],MD_Customer[Tên khách-rút gọn],0)),"")</f>
        <v>Nội địa</v>
      </c>
      <c r="I93" s="35" t="s">
        <v>258</v>
      </c>
      <c r="J93" s="7" t="str">
        <f>IFERROR(INDEX(MD_Destination[Nước],MATCH(KH_26_OPT4_KTQT_v4[[#This Row],[Địa điểm đến]],MD_Destination[Địa điểm đến],0)),"")</f>
        <v>Việt Nam</v>
      </c>
      <c r="K93" s="7" t="str">
        <f>IFERROR(INDEX(MD_Destination[Khu vực],MATCH(KH_26_OPT4_KTQT_v4[[#This Row],[Địa điểm đến]],MD_Destination[Địa điểm đến],0)),"")</f>
        <v>Châu Á</v>
      </c>
      <c r="L93" s="35" t="s">
        <v>262</v>
      </c>
      <c r="M93" s="7" t="str">
        <f>IFERROR(INDEX(MD_SKU[Mã SKU],MATCH(KH_26_OPT4_KTQT_v4[[#This Row],[Tên sản phẩm]],MD_SKU[Tên SKU-rút gọn],0)),"")</f>
        <v>110000407</v>
      </c>
      <c r="N93" s="35" t="s">
        <v>470</v>
      </c>
      <c r="O93" s="7" t="str">
        <f>IFERROR(INDEX(MD_SKU[Ngành hàng],MATCH(KH_26_OPT4_KTQT_v4[[#This Row],[Tên sản phẩm]],MD_SKU[Tên SKU-rút gọn],0)),"")</f>
        <v>rHDPE ép</v>
      </c>
      <c r="P93" s="7" t="str">
        <f>IFERROR(INDEX(MD_SKU[Nhóm ngành],MATCH(KH_26_OPT4_KTQT_v4[[#This Row],[Tên sản phẩm]],MD_SKU[Tên SKU-rút gọn],0)),"")</f>
        <v>Vảy HD ép</v>
      </c>
      <c r="Q93" s="7" t="str">
        <f>IFERROR(
   IF(INDEX(MD_SKU[IV/IM],MATCH(KH_26_OPT4_KTQT_v4[[#This Row],[Tên sản phẩm]],MD_SKU[Tên SKU-rút gọn],0))=0,
      "",
      INDEX(MD_SKU[IV/IM],MATCH(KH_26_OPT4_KTQT_v4[[#This Row],[Tên sản phẩm]],MD_SKU[Tên SKU-rút gọn],0))
   ),
"")</f>
        <v/>
      </c>
      <c r="R93" s="44">
        <f>IFERROR(INDEX(MD_SKU[Application],MATCH(KH_26_OPT4_KTQT_v4[[#This Row],[Tên sản phẩm]],MD_SKU[Tên SKU-rút gọn],0)),"")</f>
        <v>0</v>
      </c>
      <c r="S93" s="7" t="str">
        <f>IFERROR(INDEX(MD_SKU[Phân loại],MATCH(KH_26_OPT4_KTQT_v4[[#This Row],[Tên sản phẩm]],MD_SKU[Tên SKU-rút gọn],0)),"")</f>
        <v>Cũ</v>
      </c>
      <c r="T93" s="7" t="s">
        <v>58</v>
      </c>
      <c r="U93" s="7" t="s">
        <v>1508</v>
      </c>
      <c r="V93" s="70">
        <v>0.8</v>
      </c>
      <c r="W93" s="33"/>
      <c r="X93" s="33"/>
      <c r="Y93" s="33"/>
      <c r="Z93" s="33"/>
      <c r="AA93" s="33"/>
      <c r="AB93" s="33"/>
      <c r="AC93" s="33"/>
      <c r="AD93" s="33"/>
      <c r="AE93" s="33"/>
      <c r="AF93" s="33"/>
      <c r="AG93" s="33"/>
      <c r="AH93" s="33"/>
      <c r="AI93" s="47">
        <f ca="1">SUM(KH_26_OPT4_KTQT_v4[[#This Row],[SL-01]:[SL-12]])</f>
        <v>0</v>
      </c>
      <c r="AJ93" s="47">
        <f ca="1">SUMIFS(DB_25[SL-DB25],DB_25[Mã khách],KH_26_OPT4_KTQT_v4[[#This Row],[Mã khách]],DB_25[Mã sản phẩm],KH_26_OPT4_KTQT_v4[[#This Row],[Mã sản phẩm]])</f>
        <v>148.5</v>
      </c>
      <c r="AK93" s="20">
        <f ca="1">KH_26_OPT4_KTQT_v4[[#This Row],[SL-KH26]]-KH_26_OPT4_KTQT_v4[[#This Row],[SL-DB25]]</f>
        <v>-148.5</v>
      </c>
      <c r="AL93" s="21">
        <f ca="1">IFERROR(KH_26_OPT4_KTQT_v4[[#This Row],[SL-+/-]]/KH_26_OPT4_KTQT_v4[[#This Row],[SL-DB25]],0)</f>
        <v>-1</v>
      </c>
      <c r="AM93" s="51">
        <v>560</v>
      </c>
      <c r="AN93" s="51">
        <v>560</v>
      </c>
      <c r="AO93" s="51">
        <v>560</v>
      </c>
      <c r="AP93" s="51">
        <v>560</v>
      </c>
      <c r="AQ93" s="51">
        <v>560</v>
      </c>
      <c r="AR93" s="51">
        <v>560</v>
      </c>
      <c r="AS93" s="51">
        <v>560</v>
      </c>
      <c r="AT93" s="51">
        <v>560</v>
      </c>
      <c r="AU93" s="51">
        <v>560</v>
      </c>
      <c r="AV93" s="51">
        <v>560</v>
      </c>
      <c r="AW93" s="51">
        <v>560</v>
      </c>
      <c r="AX93" s="51">
        <v>560</v>
      </c>
      <c r="AY93" s="23">
        <v>560</v>
      </c>
      <c r="AZ93" s="7"/>
      <c r="BA93" s="24">
        <f>KH_26_OPT4_KTQT_v4[[#This Row],[GB-DB25]]-KH_26_OPT4_KTQT_v4[[#This Row],[GB-KH25]]</f>
        <v>560</v>
      </c>
      <c r="BB93" s="21">
        <f>IFERROR(KH_26_OPT4_KTQT_v4[[#This Row],[GB-+/-]]/KH_26_OPT4_KTQT_v4[[#This Row],[GB-KH25]],0)</f>
        <v>0</v>
      </c>
      <c r="BC93" s="21"/>
      <c r="BD93" s="47">
        <f>KH_26_OPT4_KTQT_v4[[#This Row],[SL-01]]*KH_26_OPT4_KTQT_v4[[#This Row],[GB-01]]*EXR</f>
        <v>0</v>
      </c>
      <c r="BE93" s="47">
        <f>KH_26_OPT4_KTQT_v4[[#This Row],[SL-02]]*KH_26_OPT4_KTQT_v4[[#This Row],[GB-02]]*EXR</f>
        <v>0</v>
      </c>
      <c r="BF93" s="47">
        <f>KH_26_OPT4_KTQT_v4[[#This Row],[SL-03]]*KH_26_OPT4_KTQT_v4[[#This Row],[GB-03]]*EXR</f>
        <v>0</v>
      </c>
      <c r="BG93" s="47">
        <f>KH_26_OPT4_KTQT_v4[[#This Row],[SL-04]]*KH_26_OPT4_KTQT_v4[[#This Row],[GB-04]]*EXR</f>
        <v>0</v>
      </c>
      <c r="BH93" s="47">
        <f>KH_26_OPT4_KTQT_v4[[#This Row],[SL-05]]*KH_26_OPT4_KTQT_v4[[#This Row],[GB-05]]*EXR</f>
        <v>0</v>
      </c>
      <c r="BI93" s="47">
        <f>KH_26_OPT4_KTQT_v4[[#This Row],[SL-06]]*KH_26_OPT4_KTQT_v4[[#This Row],[GB-06]]*EXR</f>
        <v>0</v>
      </c>
      <c r="BJ93" s="47">
        <f>KH_26_OPT4_KTQT_v4[[#This Row],[SL-07]]*KH_26_OPT4_KTQT_v4[[#This Row],[GB-07]]*EXR</f>
        <v>0</v>
      </c>
      <c r="BK93" s="47">
        <f>KH_26_OPT4_KTQT_v4[[#This Row],[SL-08]]*KH_26_OPT4_KTQT_v4[[#This Row],[GB-08]]*EXR</f>
        <v>0</v>
      </c>
      <c r="BL93" s="47">
        <f>KH_26_OPT4_KTQT_v4[[#This Row],[SL-09]]*KH_26_OPT4_KTQT_v4[[#This Row],[GB-09]]*EXR</f>
        <v>0</v>
      </c>
      <c r="BM93" s="47">
        <f>KH_26_OPT4_KTQT_v4[[#This Row],[SL-10]]*KH_26_OPT4_KTQT_v4[[#This Row],[GB-10]]*EXR</f>
        <v>0</v>
      </c>
      <c r="BN93" s="47">
        <f>KH_26_OPT4_KTQT_v4[[#This Row],[SL-11]]*KH_26_OPT4_KTQT_v4[[#This Row],[GB-11]]*EXR</f>
        <v>0</v>
      </c>
      <c r="BO93" s="47">
        <f>KH_26_OPT4_KTQT_v4[[#This Row],[SL-12]]*KH_26_OPT4_KTQT_v4[[#This Row],[GB-12]]*EXR</f>
        <v>0</v>
      </c>
      <c r="BP93" s="47">
        <f ca="1">SUM(KH_26_OPT4_KTQT_v4[[#This Row],[DT-EXW-01]:[DT-EXW-12]])</f>
        <v>0</v>
      </c>
      <c r="BQ93" s="47">
        <f ca="1">SUMIFS(DB_25[DT-DB25],DB_25[Mã khách],KH_26_OPT4_KTQT_v4[[#This Row],[Mã khách]],DB_25[Mã sản phẩm],KH_26_OPT4_KTQT_v4[[#This Row],[Mã sản phẩm]])</f>
        <v>1919102376.6605599</v>
      </c>
      <c r="BR93" s="47">
        <f ca="1">KH_26_OPT4_KTQT_v4[[#This Row],[DT-EXW-KH26]]-KH_26_OPT4_KTQT_v4[[#This Row],[DT-EXW-DB25]]</f>
        <v>-1919102376.6605599</v>
      </c>
      <c r="BS93" s="21">
        <f ca="1">IFERROR(KH_26_OPT4_KTQT_v4[[#This Row],[DT-EXW-+/-]]/KH_26_OPT4_KTQT_v4[[#This Row],[DT-EXW-DB25]],0)</f>
        <v>-1</v>
      </c>
      <c r="BT93" s="139"/>
      <c r="BU93" s="57"/>
      <c r="BV93" s="51"/>
      <c r="BW93" s="47">
        <f>IF(KH_26_OPT4_KTQT_v4[[#This Row],[CPHH-%-SL]]="Dthu",KH_26_OPT4_KTQT_v4[[#This Row],[%HH]]*KH_26_OPT4_KTQT_v4[[#This Row],[DT-EXW-01]],KH_26_OPT4_KTQT_v4[[#This Row],[HH-SL]]*KH_26_OPT4_KTQT_v4[[#This Row],[SL-01]])</f>
        <v>0</v>
      </c>
      <c r="BX93" s="47">
        <f>IF(KH_26_OPT4_KTQT_v4[[#This Row],[CPHH-%-SL]]="Dthu",KH_26_OPT4_KTQT_v4[[#This Row],[%HH]]*KH_26_OPT4_KTQT_v4[[#This Row],[DT-EXW-02]],KH_26_OPT4_KTQT_v4[[#This Row],[HH-SL]]*KH_26_OPT4_KTQT_v4[[#This Row],[SL-02]])</f>
        <v>0</v>
      </c>
      <c r="BY93" s="47">
        <f>IF(KH_26_OPT4_KTQT_v4[[#This Row],[CPHH-%-SL]]="Dthu",KH_26_OPT4_KTQT_v4[[#This Row],[%HH]]*KH_26_OPT4_KTQT_v4[[#This Row],[DT-EXW-03]],KH_26_OPT4_KTQT_v4[[#This Row],[HH-SL]]*KH_26_OPT4_KTQT_v4[[#This Row],[SL-03]])</f>
        <v>0</v>
      </c>
      <c r="BZ93" s="47">
        <f>IF(KH_26_OPT4_KTQT_v4[[#This Row],[CPHH-%-SL]]="Dthu",KH_26_OPT4_KTQT_v4[[#This Row],[%HH]]*KH_26_OPT4_KTQT_v4[[#This Row],[DT-EXW-04]],KH_26_OPT4_KTQT_v4[[#This Row],[HH-SL]]*KH_26_OPT4_KTQT_v4[[#This Row],[SL-04]])</f>
        <v>0</v>
      </c>
      <c r="CA93" s="47">
        <f>IF(KH_26_OPT4_KTQT_v4[[#This Row],[CPHH-%-SL]]="Dthu",KH_26_OPT4_KTQT_v4[[#This Row],[%HH]]*KH_26_OPT4_KTQT_v4[[#This Row],[DT-EXW-05]],KH_26_OPT4_KTQT_v4[[#This Row],[HH-SL]]*KH_26_OPT4_KTQT_v4[[#This Row],[SL-05]])</f>
        <v>0</v>
      </c>
      <c r="CB93" s="47">
        <f>IF(KH_26_OPT4_KTQT_v4[[#This Row],[CPHH-%-SL]]="Dthu",KH_26_OPT4_KTQT_v4[[#This Row],[%HH]]*KH_26_OPT4_KTQT_v4[[#This Row],[DT-EXW-06]],KH_26_OPT4_KTQT_v4[[#This Row],[HH-SL]]*KH_26_OPT4_KTQT_v4[[#This Row],[SL-06]])</f>
        <v>0</v>
      </c>
      <c r="CC93" s="47">
        <f>IF(KH_26_OPT4_KTQT_v4[[#This Row],[CPHH-%-SL]]="Dthu",KH_26_OPT4_KTQT_v4[[#This Row],[%HH]]*KH_26_OPT4_KTQT_v4[[#This Row],[DT-EXW-07]],KH_26_OPT4_KTQT_v4[[#This Row],[HH-SL]]*KH_26_OPT4_KTQT_v4[[#This Row],[SL-07]])</f>
        <v>0</v>
      </c>
      <c r="CD93" s="47">
        <f>IF(KH_26_OPT4_KTQT_v4[[#This Row],[CPHH-%-SL]]="Dthu",KH_26_OPT4_KTQT_v4[[#This Row],[%HH]]*KH_26_OPT4_KTQT_v4[[#This Row],[DT-EXW-08]],KH_26_OPT4_KTQT_v4[[#This Row],[HH-SL]]*KH_26_OPT4_KTQT_v4[[#This Row],[SL-08]])</f>
        <v>0</v>
      </c>
      <c r="CE93" s="47">
        <f>IF(KH_26_OPT4_KTQT_v4[[#This Row],[CPHH-%-SL]]="Dthu",KH_26_OPT4_KTQT_v4[[#This Row],[%HH]]*KH_26_OPT4_KTQT_v4[[#This Row],[DT-EXW-09]],KH_26_OPT4_KTQT_v4[[#This Row],[HH-SL]]*KH_26_OPT4_KTQT_v4[[#This Row],[SL-09]])</f>
        <v>0</v>
      </c>
      <c r="CF93" s="47">
        <f>IF(KH_26_OPT4_KTQT_v4[[#This Row],[CPHH-%-SL]]="Dthu",KH_26_OPT4_KTQT_v4[[#This Row],[%HH]]*KH_26_OPT4_KTQT_v4[[#This Row],[DT-EXW-10]],KH_26_OPT4_KTQT_v4[[#This Row],[HH-SL]]*KH_26_OPT4_KTQT_v4[[#This Row],[SL-10]])</f>
        <v>0</v>
      </c>
      <c r="CG93" s="47">
        <f>IF(KH_26_OPT4_KTQT_v4[[#This Row],[CPHH-%-SL]]="Dthu",KH_26_OPT4_KTQT_v4[[#This Row],[%HH]]*KH_26_OPT4_KTQT_v4[[#This Row],[DT-EXW-11]],KH_26_OPT4_KTQT_v4[[#This Row],[HH-SL]]*KH_26_OPT4_KTQT_v4[[#This Row],[SL-11]])</f>
        <v>0</v>
      </c>
      <c r="CH93" s="47">
        <f>IF(KH_26_OPT4_KTQT_v4[[#This Row],[CPHH-%-SL]]="Dthu",KH_26_OPT4_KTQT_v4[[#This Row],[%HH]]*KH_26_OPT4_KTQT_v4[[#This Row],[DT-EXW-12]],KH_26_OPT4_KTQT_v4[[#This Row],[HH-SL]]*KH_26_OPT4_KTQT_v4[[#This Row],[SL-12]])</f>
        <v>0</v>
      </c>
      <c r="CI93" s="47">
        <f ca="1">SUM(KH_26_OPT4_KTQT_v4[[#This Row],[CPHH-01]:[CPHH-12]])</f>
        <v>0</v>
      </c>
      <c r="CJ93" s="47" cm="1">
        <f t="array" ref="CJ93">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93" s="19">
        <f ca="1">SUM(KH_26_OPT4_KTQT_v4[[#This Row],[ĐGVCNĐ-KXK]:[ĐGVCCT-KXK]])</f>
        <v>0</v>
      </c>
      <c r="CL93" s="47" cm="1">
        <f t="array" ref="CL93">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93" s="47" cm="1">
        <f t="array" ref="CM93">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93" s="47">
        <f ca="1">(KH_26_OPT4_KTQT_v4[[#This Row],[ĐGVC-KNĐ]]+KH_26_OPT4_KTQT_v4[[#This Row],[ĐGVC-KXK]])*KH_26_OPT4_KTQT_v4[[#This Row],[SL-01]]</f>
        <v>0</v>
      </c>
      <c r="CO93" s="47">
        <f ca="1">(KH_26_OPT4_KTQT_v4[[#This Row],[ĐGVC-KNĐ]]+KH_26_OPT4_KTQT_v4[[#This Row],[ĐGVC-KXK]])*KH_26_OPT4_KTQT_v4[[#This Row],[SL-02]]</f>
        <v>0</v>
      </c>
      <c r="CP93" s="47">
        <f ca="1">(KH_26_OPT4_KTQT_v4[[#This Row],[ĐGVC-KNĐ]]+KH_26_OPT4_KTQT_v4[[#This Row],[ĐGVC-KXK]])*KH_26_OPT4_KTQT_v4[[#This Row],[SL-03]]</f>
        <v>0</v>
      </c>
      <c r="CQ93" s="47">
        <f ca="1">(KH_26_OPT4_KTQT_v4[[#This Row],[ĐGVC-KNĐ]]+KH_26_OPT4_KTQT_v4[[#This Row],[ĐGVC-KXK]])*KH_26_OPT4_KTQT_v4[[#This Row],[SL-04]]</f>
        <v>0</v>
      </c>
      <c r="CR93" s="47">
        <f ca="1">(KH_26_OPT4_KTQT_v4[[#This Row],[ĐGVC-KNĐ]]+KH_26_OPT4_KTQT_v4[[#This Row],[ĐGVC-KXK]])*KH_26_OPT4_KTQT_v4[[#This Row],[SL-05]]</f>
        <v>0</v>
      </c>
      <c r="CS93" s="47">
        <f ca="1">(KH_26_OPT4_KTQT_v4[[#This Row],[ĐGVC-KNĐ]]+KH_26_OPT4_KTQT_v4[[#This Row],[ĐGVC-KXK]])*KH_26_OPT4_KTQT_v4[[#This Row],[SL-06]]</f>
        <v>0</v>
      </c>
      <c r="CT93" s="47">
        <f ca="1">(KH_26_OPT4_KTQT_v4[[#This Row],[ĐGVC-KNĐ]]+KH_26_OPT4_KTQT_v4[[#This Row],[ĐGVC-KXK]])*KH_26_OPT4_KTQT_v4[[#This Row],[SL-07]]</f>
        <v>0</v>
      </c>
      <c r="CU93" s="47">
        <f ca="1">(KH_26_OPT4_KTQT_v4[[#This Row],[ĐGVC-KNĐ]]+KH_26_OPT4_KTQT_v4[[#This Row],[ĐGVC-KXK]])*KH_26_OPT4_KTQT_v4[[#This Row],[SL-08]]</f>
        <v>0</v>
      </c>
      <c r="CV93" s="47">
        <f ca="1">(KH_26_OPT4_KTQT_v4[[#This Row],[ĐGVC-KNĐ]]+KH_26_OPT4_KTQT_v4[[#This Row],[ĐGVC-KXK]])*KH_26_OPT4_KTQT_v4[[#This Row],[SL-09]]</f>
        <v>0</v>
      </c>
      <c r="CW93" s="47">
        <f ca="1">(KH_26_OPT4_KTQT_v4[[#This Row],[ĐGVC-KNĐ]]+KH_26_OPT4_KTQT_v4[[#This Row],[ĐGVC-KXK]])*KH_26_OPT4_KTQT_v4[[#This Row],[SL-10]]</f>
        <v>0</v>
      </c>
      <c r="CX93" s="47">
        <f ca="1">(KH_26_OPT4_KTQT_v4[[#This Row],[ĐGVC-KNĐ]]+KH_26_OPT4_KTQT_v4[[#This Row],[ĐGVC-KXK]])*KH_26_OPT4_KTQT_v4[[#This Row],[SL-11]]</f>
        <v>0</v>
      </c>
      <c r="CY93" s="47">
        <f ca="1">(KH_26_OPT4_KTQT_v4[[#This Row],[ĐGVC-KNĐ]]+KH_26_OPT4_KTQT_v4[[#This Row],[ĐGVC-KXK]])*KH_26_OPT4_KTQT_v4[[#This Row],[SL-12]]</f>
        <v>0</v>
      </c>
      <c r="CZ93" s="47">
        <f ca="1">SUM(KH_26_OPT4_KTQT_v4[[#This Row],[CPVC-01]:[CPVC-12]])</f>
        <v>0</v>
      </c>
      <c r="DA93" s="124">
        <f ca="1">KH_26_OPT4_KTQT_v4[[#This Row],[DT-EXW-01]]+KH_26_OPT4_KTQT_v4[[#This Row],[CPVC-01]]+KH_26_OPT4_KTQT_v4[[#This Row],[CPHH-01]]</f>
        <v>0</v>
      </c>
      <c r="DB93" s="47">
        <f ca="1">KH_26_OPT4_KTQT_v4[[#This Row],[DT-EXW-02]]+KH_26_OPT4_KTQT_v4[[#This Row],[CPVC-02]]+KH_26_OPT4_KTQT_v4[[#This Row],[CPHH-02]]</f>
        <v>0</v>
      </c>
      <c r="DC93" s="47">
        <f ca="1">KH_26_OPT4_KTQT_v4[[#This Row],[DT-EXW-03]]+KH_26_OPT4_KTQT_v4[[#This Row],[CPVC-03]]+KH_26_OPT4_KTQT_v4[[#This Row],[CPHH-03]]</f>
        <v>0</v>
      </c>
      <c r="DD93" s="47">
        <f ca="1">KH_26_OPT4_KTQT_v4[[#This Row],[DT-EXW-04]]+KH_26_OPT4_KTQT_v4[[#This Row],[CPVC-04]]+KH_26_OPT4_KTQT_v4[[#This Row],[CPHH-04]]</f>
        <v>0</v>
      </c>
      <c r="DE93" s="47">
        <f ca="1">KH_26_OPT4_KTQT_v4[[#This Row],[DT-EXW-05]]+KH_26_OPT4_KTQT_v4[[#This Row],[CPVC-05]]+KH_26_OPT4_KTQT_v4[[#This Row],[CPHH-05]]</f>
        <v>0</v>
      </c>
      <c r="DF93" s="47">
        <f ca="1">KH_26_OPT4_KTQT_v4[[#This Row],[DT-EXW-06]]+KH_26_OPT4_KTQT_v4[[#This Row],[CPVC-06]]+KH_26_OPT4_KTQT_v4[[#This Row],[CPHH-06]]</f>
        <v>0</v>
      </c>
      <c r="DG93" s="47">
        <f ca="1">KH_26_OPT4_KTQT_v4[[#This Row],[DT-EXW-07]]+KH_26_OPT4_KTQT_v4[[#This Row],[CPVC-07]]+KH_26_OPT4_KTQT_v4[[#This Row],[CPHH-07]]</f>
        <v>0</v>
      </c>
      <c r="DH93" s="47">
        <f ca="1">KH_26_OPT4_KTQT_v4[[#This Row],[DT-EXW-08]]+KH_26_OPT4_KTQT_v4[[#This Row],[CPVC-08]]+KH_26_OPT4_KTQT_v4[[#This Row],[CPHH-08]]</f>
        <v>0</v>
      </c>
      <c r="DI93" s="47">
        <f ca="1">KH_26_OPT4_KTQT_v4[[#This Row],[DT-EXW-09]]+KH_26_OPT4_KTQT_v4[[#This Row],[CPVC-09]]+KH_26_OPT4_KTQT_v4[[#This Row],[CPHH-09]]</f>
        <v>0</v>
      </c>
      <c r="DJ93" s="47">
        <f ca="1">KH_26_OPT4_KTQT_v4[[#This Row],[DT-EXW-10]]+KH_26_OPT4_KTQT_v4[[#This Row],[CPVC-10]]+KH_26_OPT4_KTQT_v4[[#This Row],[CPHH-10]]</f>
        <v>0</v>
      </c>
      <c r="DK93" s="47">
        <f ca="1">KH_26_OPT4_KTQT_v4[[#This Row],[DT-EXW-11]]+KH_26_OPT4_KTQT_v4[[#This Row],[CPVC-11]]+KH_26_OPT4_KTQT_v4[[#This Row],[CPHH-11]]</f>
        <v>0</v>
      </c>
      <c r="DL93" s="47">
        <f ca="1">KH_26_OPT4_KTQT_v4[[#This Row],[DT-EXW-12]]+KH_26_OPT4_KTQT_v4[[#This Row],[CPVC-12]]+KH_26_OPT4_KTQT_v4[[#This Row],[CPHH-12]]</f>
        <v>0</v>
      </c>
      <c r="DM93" s="47">
        <f ca="1">SUM(KH_26_OPT4_KTQT_v4[[#This Row],[DT-01]:[DT-12]])</f>
        <v>0</v>
      </c>
      <c r="DN93" s="7"/>
      <c r="DO93" s="7"/>
      <c r="DP93" s="125"/>
      <c r="DQ93" s="136"/>
      <c r="DR93" s="132">
        <f>IFERROR(KH_26_OPT4_KTQT_v4[[#This Row],[DT-EXW-01]]*KH_26_OPT4_KTQT_v4[[#This Row],[%CPDP]],0)</f>
        <v>0</v>
      </c>
      <c r="DS93" s="132">
        <f>IFERROR(KH_26_OPT4_KTQT_v4[[#This Row],[DT-EXW-02]]*KH_26_OPT4_KTQT_v4[[#This Row],[%CPDP]],0)</f>
        <v>0</v>
      </c>
      <c r="DT93" s="132">
        <f>IFERROR(KH_26_OPT4_KTQT_v4[[#This Row],[DT-EXW-03]]*KH_26_OPT4_KTQT_v4[[#This Row],[%CPDP]],0)</f>
        <v>0</v>
      </c>
      <c r="DU93" s="132">
        <f>IFERROR(KH_26_OPT4_KTQT_v4[[#This Row],[DT-EXW-04]]*KH_26_OPT4_KTQT_v4[[#This Row],[%CPDP]],0)</f>
        <v>0</v>
      </c>
      <c r="DV93" s="132">
        <f>IFERROR(KH_26_OPT4_KTQT_v4[[#This Row],[DT-EXW-05]]*KH_26_OPT4_KTQT_v4[[#This Row],[%CPDP]],0)</f>
        <v>0</v>
      </c>
      <c r="DW93" s="132">
        <f>IFERROR(KH_26_OPT4_KTQT_v4[[#This Row],[DT-EXW-06]]*KH_26_OPT4_KTQT_v4[[#This Row],[%CPDP]],0)</f>
        <v>0</v>
      </c>
      <c r="DX93" s="132">
        <f>IFERROR(KH_26_OPT4_KTQT_v4[[#This Row],[DT-EXW-07]]*KH_26_OPT4_KTQT_v4[[#This Row],[%CPDP]],0)</f>
        <v>0</v>
      </c>
      <c r="DY93" s="132">
        <f>IFERROR(KH_26_OPT4_KTQT_v4[[#This Row],[DT-EXW-08]]*KH_26_OPT4_KTQT_v4[[#This Row],[%CPDP]],0)</f>
        <v>0</v>
      </c>
      <c r="DZ93" s="132">
        <f>IFERROR(KH_26_OPT4_KTQT_v4[[#This Row],[DT-EXW-09]]*KH_26_OPT4_KTQT_v4[[#This Row],[%CPDP]],0)</f>
        <v>0</v>
      </c>
      <c r="EA93" s="132">
        <f>IFERROR(KH_26_OPT4_KTQT_v4[[#This Row],[DT-EXW-10]]*KH_26_OPT4_KTQT_v4[[#This Row],[%CPDP]],0)</f>
        <v>0</v>
      </c>
      <c r="EB93" s="132">
        <f>IFERROR(KH_26_OPT4_KTQT_v4[[#This Row],[DT-EXW-11]]*KH_26_OPT4_KTQT_v4[[#This Row],[%CPDP]],0)</f>
        <v>0</v>
      </c>
      <c r="EC93" s="132">
        <f>IFERROR(KH_26_OPT4_KTQT_v4[[#This Row],[DT-EXW-12]]*KH_26_OPT4_KTQT_v4[[#This Row],[%CPDP]],0)</f>
        <v>0</v>
      </c>
      <c r="ED93" s="131">
        <f ca="1">SUM(KH_26_OPT4_KTQT_v4[[#This Row],[CPDP-01]:[CPDP-12]])</f>
        <v>0</v>
      </c>
    </row>
    <row r="94" spans="1:134" ht="14.65" hidden="1" customHeight="1" x14ac:dyDescent="0.35">
      <c r="A94" s="18">
        <v>89</v>
      </c>
      <c r="B94" s="71" t="s">
        <v>115</v>
      </c>
      <c r="C94" s="18" t="str">
        <f>IFERROR(_xlfn.XLOOKUP(KH_26_OPT4_KTQT_v4[[#This Row],[Salesman]],MD_Salesman[Salesman],MD_Salesman[SalesManager]),"")</f>
        <v>Quốc Anh</v>
      </c>
      <c r="D94" s="72" t="str">
        <f>IFERROR(INDEX(MD_Customer[Mã khách],MATCH(KH_26_OPT4_KTQT_v4[[#This Row],[Tên khách]],MD_Customer[Tên khách-rút gọn],0)),"")</f>
        <v>105339</v>
      </c>
      <c r="E94" s="7" t="str">
        <f>IFERROR(INDEX(MD_Customer[Parent Account],MATCH(KH_26_OPT4_KTQT_v4[[#This Row],[Tên khách]],MD_Customer[Tên khách-rút gọn],0)),"")</f>
        <v>HUY THÀNH</v>
      </c>
      <c r="F94" s="35" t="s">
        <v>57</v>
      </c>
      <c r="G94" s="7" t="str">
        <f>IFERROR(INDEX(MD_Customer[Phân loại],MATCH(KH_26_OPT4_KTQT_v4[[#This Row],[Tên khách]],MD_Customer[Tên khách-rút gọn],0)),"")</f>
        <v>Hiện hữu</v>
      </c>
      <c r="H94" s="7" t="str">
        <f>IFERROR(INDEX(MD_Customer[Kênh bán hàng],MATCH(KH_26_OPT4_KTQT_v4[[#This Row],[Tên khách]],MD_Customer[Tên khách-rút gọn],0)),"")</f>
        <v>Nội địa</v>
      </c>
      <c r="I94" s="35" t="s">
        <v>258</v>
      </c>
      <c r="J94" s="7" t="str">
        <f>IFERROR(INDEX(MD_Destination[Nước],MATCH(KH_26_OPT4_KTQT_v4[[#This Row],[Địa điểm đến]],MD_Destination[Địa điểm đến],0)),"")</f>
        <v>Việt Nam</v>
      </c>
      <c r="K94" s="7" t="str">
        <f>IFERROR(INDEX(MD_Destination[Khu vực],MATCH(KH_26_OPT4_KTQT_v4[[#This Row],[Địa điểm đến]],MD_Destination[Địa điểm đến],0)),"")</f>
        <v>Châu Á</v>
      </c>
      <c r="L94" s="35" t="s">
        <v>262</v>
      </c>
      <c r="M94" s="7" t="str">
        <f>IFERROR(INDEX(MD_SKU[Mã SKU],MATCH(KH_26_OPT4_KTQT_v4[[#This Row],[Tên sản phẩm]],MD_SKU[Tên SKU-rút gọn],0)),"")</f>
        <v>110000361</v>
      </c>
      <c r="N94" s="35" t="s">
        <v>458</v>
      </c>
      <c r="O94" s="7" t="str">
        <f>IFERROR(INDEX(MD_SKU[Ngành hàng],MATCH(KH_26_OPT4_KTQT_v4[[#This Row],[Tên sản phẩm]],MD_SKU[Tên SKU-rút gọn],0)),"")</f>
        <v>rHDPE ép</v>
      </c>
      <c r="P94" s="7" t="str">
        <f>IFERROR(INDEX(MD_SKU[Nhóm ngành],MATCH(KH_26_OPT4_KTQT_v4[[#This Row],[Tên sản phẩm]],MD_SKU[Tên SKU-rút gọn],0)),"")</f>
        <v>Hạt HD ép</v>
      </c>
      <c r="Q94" s="7" t="str">
        <f>IFERROR(
   IF(INDEX(MD_SKU[IV/IM],MATCH(KH_26_OPT4_KTQT_v4[[#This Row],[Tên sản phẩm]],MD_SKU[Tên SKU-rút gọn],0))=0,
      "",
      INDEX(MD_SKU[IV/IM],MATCH(KH_26_OPT4_KTQT_v4[[#This Row],[Tên sản phẩm]],MD_SKU[Tên SKU-rút gọn],0))
   ),
"")</f>
        <v/>
      </c>
      <c r="R94" s="44">
        <f>IFERROR(INDEX(MD_SKU[Application],MATCH(KH_26_OPT4_KTQT_v4[[#This Row],[Tên sản phẩm]],MD_SKU[Tên SKU-rút gọn],0)),"")</f>
        <v>0</v>
      </c>
      <c r="S94" s="7" t="str">
        <f>IFERROR(INDEX(MD_SKU[Phân loại],MATCH(KH_26_OPT4_KTQT_v4[[#This Row],[Tên sản phẩm]],MD_SKU[Tên SKU-rút gọn],0)),"")</f>
        <v>Cũ</v>
      </c>
      <c r="T94" s="7" t="s">
        <v>57</v>
      </c>
      <c r="U94" s="7" t="s">
        <v>1508</v>
      </c>
      <c r="V94" s="70">
        <v>0.8</v>
      </c>
      <c r="W94" s="33"/>
      <c r="X94" s="33"/>
      <c r="Y94" s="33"/>
      <c r="Z94" s="33"/>
      <c r="AA94" s="33"/>
      <c r="AB94" s="33"/>
      <c r="AC94" s="33"/>
      <c r="AD94" s="33"/>
      <c r="AE94" s="33"/>
      <c r="AF94" s="33"/>
      <c r="AG94" s="33"/>
      <c r="AH94" s="33"/>
      <c r="AI94" s="47">
        <f ca="1">SUM(KH_26_OPT4_KTQT_v4[[#This Row],[SL-01]:[SL-12]])</f>
        <v>0</v>
      </c>
      <c r="AJ94" s="47">
        <f ca="1">SUMIFS(DB_25[SL-DB25],DB_25[Mã khách],KH_26_OPT4_KTQT_v4[[#This Row],[Mã khách]],DB_25[Mã sản phẩm],KH_26_OPT4_KTQT_v4[[#This Row],[Mã sản phẩm]])</f>
        <v>66.125</v>
      </c>
      <c r="AK94" s="20">
        <f ca="1">KH_26_OPT4_KTQT_v4[[#This Row],[SL-KH26]]-KH_26_OPT4_KTQT_v4[[#This Row],[SL-DB25]]</f>
        <v>-66.125</v>
      </c>
      <c r="AL94" s="21">
        <f ca="1">IFERROR(KH_26_OPT4_KTQT_v4[[#This Row],[SL-+/-]]/KH_26_OPT4_KTQT_v4[[#This Row],[SL-DB25]],0)</f>
        <v>-1</v>
      </c>
      <c r="AM94" s="51">
        <v>695</v>
      </c>
      <c r="AN94" s="51">
        <v>695</v>
      </c>
      <c r="AO94" s="51">
        <v>695</v>
      </c>
      <c r="AP94" s="51">
        <v>695</v>
      </c>
      <c r="AQ94" s="51">
        <v>695</v>
      </c>
      <c r="AR94" s="51">
        <v>695</v>
      </c>
      <c r="AS94" s="51">
        <v>695</v>
      </c>
      <c r="AT94" s="51">
        <v>695</v>
      </c>
      <c r="AU94" s="51">
        <v>695</v>
      </c>
      <c r="AV94" s="51">
        <v>695</v>
      </c>
      <c r="AW94" s="51">
        <v>695</v>
      </c>
      <c r="AX94" s="51">
        <v>695</v>
      </c>
      <c r="AY94" s="23">
        <v>695</v>
      </c>
      <c r="AZ94" s="7"/>
      <c r="BA94" s="24">
        <f>KH_26_OPT4_KTQT_v4[[#This Row],[GB-DB25]]-KH_26_OPT4_KTQT_v4[[#This Row],[GB-KH25]]</f>
        <v>695</v>
      </c>
      <c r="BB94" s="21">
        <f>IFERROR(KH_26_OPT4_KTQT_v4[[#This Row],[GB-+/-]]/KH_26_OPT4_KTQT_v4[[#This Row],[GB-KH25]],0)</f>
        <v>0</v>
      </c>
      <c r="BC94" s="21"/>
      <c r="BD94" s="47">
        <f>KH_26_OPT4_KTQT_v4[[#This Row],[SL-01]]*KH_26_OPT4_KTQT_v4[[#This Row],[GB-01]]*EXR</f>
        <v>0</v>
      </c>
      <c r="BE94" s="47">
        <f>KH_26_OPT4_KTQT_v4[[#This Row],[SL-02]]*KH_26_OPT4_KTQT_v4[[#This Row],[GB-02]]*EXR</f>
        <v>0</v>
      </c>
      <c r="BF94" s="47">
        <f>KH_26_OPT4_KTQT_v4[[#This Row],[SL-03]]*KH_26_OPT4_KTQT_v4[[#This Row],[GB-03]]*EXR</f>
        <v>0</v>
      </c>
      <c r="BG94" s="47">
        <f>KH_26_OPT4_KTQT_v4[[#This Row],[SL-04]]*KH_26_OPT4_KTQT_v4[[#This Row],[GB-04]]*EXR</f>
        <v>0</v>
      </c>
      <c r="BH94" s="47">
        <f>KH_26_OPT4_KTQT_v4[[#This Row],[SL-05]]*KH_26_OPT4_KTQT_v4[[#This Row],[GB-05]]*EXR</f>
        <v>0</v>
      </c>
      <c r="BI94" s="47">
        <f>KH_26_OPT4_KTQT_v4[[#This Row],[SL-06]]*KH_26_OPT4_KTQT_v4[[#This Row],[GB-06]]*EXR</f>
        <v>0</v>
      </c>
      <c r="BJ94" s="47">
        <f>KH_26_OPT4_KTQT_v4[[#This Row],[SL-07]]*KH_26_OPT4_KTQT_v4[[#This Row],[GB-07]]*EXR</f>
        <v>0</v>
      </c>
      <c r="BK94" s="47">
        <f>KH_26_OPT4_KTQT_v4[[#This Row],[SL-08]]*KH_26_OPT4_KTQT_v4[[#This Row],[GB-08]]*EXR</f>
        <v>0</v>
      </c>
      <c r="BL94" s="47">
        <f>KH_26_OPT4_KTQT_v4[[#This Row],[SL-09]]*KH_26_OPT4_KTQT_v4[[#This Row],[GB-09]]*EXR</f>
        <v>0</v>
      </c>
      <c r="BM94" s="47">
        <f>KH_26_OPT4_KTQT_v4[[#This Row],[SL-10]]*KH_26_OPT4_KTQT_v4[[#This Row],[GB-10]]*EXR</f>
        <v>0</v>
      </c>
      <c r="BN94" s="47">
        <f>KH_26_OPT4_KTQT_v4[[#This Row],[SL-11]]*KH_26_OPT4_KTQT_v4[[#This Row],[GB-11]]*EXR</f>
        <v>0</v>
      </c>
      <c r="BO94" s="47">
        <f>KH_26_OPT4_KTQT_v4[[#This Row],[SL-12]]*KH_26_OPT4_KTQT_v4[[#This Row],[GB-12]]*EXR</f>
        <v>0</v>
      </c>
      <c r="BP94" s="47">
        <f ca="1">SUM(KH_26_OPT4_KTQT_v4[[#This Row],[DT-EXW-01]:[DT-EXW-12]])</f>
        <v>0</v>
      </c>
      <c r="BQ94" s="47">
        <f ca="1">SUMIFS(DB_25[DT-DB25],DB_25[Mã khách],KH_26_OPT4_KTQT_v4[[#This Row],[Mã khách]],DB_25[Mã sản phẩm],KH_26_OPT4_KTQT_v4[[#This Row],[Mã sản phẩm]])</f>
        <v>598686951.91674662</v>
      </c>
      <c r="BR94" s="47">
        <f ca="1">KH_26_OPT4_KTQT_v4[[#This Row],[DT-EXW-KH26]]-KH_26_OPT4_KTQT_v4[[#This Row],[DT-EXW-DB25]]</f>
        <v>-598686951.91674662</v>
      </c>
      <c r="BS94" s="21">
        <f ca="1">IFERROR(KH_26_OPT4_KTQT_v4[[#This Row],[DT-EXW-+/-]]/KH_26_OPT4_KTQT_v4[[#This Row],[DT-EXW-DB25]],0)</f>
        <v>-1</v>
      </c>
      <c r="BT94" s="139" t="s">
        <v>536</v>
      </c>
      <c r="BU94" s="57"/>
      <c r="BV94" s="51">
        <v>1000000</v>
      </c>
      <c r="BW94" s="47">
        <f>IF(KH_26_OPT4_KTQT_v4[[#This Row],[CPHH-%-SL]]="Dthu",KH_26_OPT4_KTQT_v4[[#This Row],[%HH]]*KH_26_OPT4_KTQT_v4[[#This Row],[DT-EXW-01]],KH_26_OPT4_KTQT_v4[[#This Row],[HH-SL]]*KH_26_OPT4_KTQT_v4[[#This Row],[SL-01]])</f>
        <v>0</v>
      </c>
      <c r="BX94" s="47">
        <f>IF(KH_26_OPT4_KTQT_v4[[#This Row],[CPHH-%-SL]]="Dthu",KH_26_OPT4_KTQT_v4[[#This Row],[%HH]]*KH_26_OPT4_KTQT_v4[[#This Row],[DT-EXW-02]],KH_26_OPT4_KTQT_v4[[#This Row],[HH-SL]]*KH_26_OPT4_KTQT_v4[[#This Row],[SL-02]])</f>
        <v>0</v>
      </c>
      <c r="BY94" s="47">
        <f>IF(KH_26_OPT4_KTQT_v4[[#This Row],[CPHH-%-SL]]="Dthu",KH_26_OPT4_KTQT_v4[[#This Row],[%HH]]*KH_26_OPT4_KTQT_v4[[#This Row],[DT-EXW-03]],KH_26_OPT4_KTQT_v4[[#This Row],[HH-SL]]*KH_26_OPT4_KTQT_v4[[#This Row],[SL-03]])</f>
        <v>0</v>
      </c>
      <c r="BZ94" s="47">
        <f>IF(KH_26_OPT4_KTQT_v4[[#This Row],[CPHH-%-SL]]="Dthu",KH_26_OPT4_KTQT_v4[[#This Row],[%HH]]*KH_26_OPT4_KTQT_v4[[#This Row],[DT-EXW-04]],KH_26_OPT4_KTQT_v4[[#This Row],[HH-SL]]*KH_26_OPT4_KTQT_v4[[#This Row],[SL-04]])</f>
        <v>0</v>
      </c>
      <c r="CA94" s="47">
        <f>IF(KH_26_OPT4_KTQT_v4[[#This Row],[CPHH-%-SL]]="Dthu",KH_26_OPT4_KTQT_v4[[#This Row],[%HH]]*KH_26_OPT4_KTQT_v4[[#This Row],[DT-EXW-05]],KH_26_OPT4_KTQT_v4[[#This Row],[HH-SL]]*KH_26_OPT4_KTQT_v4[[#This Row],[SL-05]])</f>
        <v>0</v>
      </c>
      <c r="CB94" s="47">
        <f>IF(KH_26_OPT4_KTQT_v4[[#This Row],[CPHH-%-SL]]="Dthu",KH_26_OPT4_KTQT_v4[[#This Row],[%HH]]*KH_26_OPT4_KTQT_v4[[#This Row],[DT-EXW-06]],KH_26_OPT4_KTQT_v4[[#This Row],[HH-SL]]*KH_26_OPT4_KTQT_v4[[#This Row],[SL-06]])</f>
        <v>0</v>
      </c>
      <c r="CC94" s="47">
        <f>IF(KH_26_OPT4_KTQT_v4[[#This Row],[CPHH-%-SL]]="Dthu",KH_26_OPT4_KTQT_v4[[#This Row],[%HH]]*KH_26_OPT4_KTQT_v4[[#This Row],[DT-EXW-07]],KH_26_OPT4_KTQT_v4[[#This Row],[HH-SL]]*KH_26_OPT4_KTQT_v4[[#This Row],[SL-07]])</f>
        <v>0</v>
      </c>
      <c r="CD94" s="47">
        <f>IF(KH_26_OPT4_KTQT_v4[[#This Row],[CPHH-%-SL]]="Dthu",KH_26_OPT4_KTQT_v4[[#This Row],[%HH]]*KH_26_OPT4_KTQT_v4[[#This Row],[DT-EXW-08]],KH_26_OPT4_KTQT_v4[[#This Row],[HH-SL]]*KH_26_OPT4_KTQT_v4[[#This Row],[SL-08]])</f>
        <v>0</v>
      </c>
      <c r="CE94" s="47">
        <f>IF(KH_26_OPT4_KTQT_v4[[#This Row],[CPHH-%-SL]]="Dthu",KH_26_OPT4_KTQT_v4[[#This Row],[%HH]]*KH_26_OPT4_KTQT_v4[[#This Row],[DT-EXW-09]],KH_26_OPT4_KTQT_v4[[#This Row],[HH-SL]]*KH_26_OPT4_KTQT_v4[[#This Row],[SL-09]])</f>
        <v>0</v>
      </c>
      <c r="CF94" s="47">
        <f>IF(KH_26_OPT4_KTQT_v4[[#This Row],[CPHH-%-SL]]="Dthu",KH_26_OPT4_KTQT_v4[[#This Row],[%HH]]*KH_26_OPT4_KTQT_v4[[#This Row],[DT-EXW-10]],KH_26_OPT4_KTQT_v4[[#This Row],[HH-SL]]*KH_26_OPT4_KTQT_v4[[#This Row],[SL-10]])</f>
        <v>0</v>
      </c>
      <c r="CG94" s="47">
        <f>IF(KH_26_OPT4_KTQT_v4[[#This Row],[CPHH-%-SL]]="Dthu",KH_26_OPT4_KTQT_v4[[#This Row],[%HH]]*KH_26_OPT4_KTQT_v4[[#This Row],[DT-EXW-11]],KH_26_OPT4_KTQT_v4[[#This Row],[HH-SL]]*KH_26_OPT4_KTQT_v4[[#This Row],[SL-11]])</f>
        <v>0</v>
      </c>
      <c r="CH94" s="47">
        <f>IF(KH_26_OPT4_KTQT_v4[[#This Row],[CPHH-%-SL]]="Dthu",KH_26_OPT4_KTQT_v4[[#This Row],[%HH]]*KH_26_OPT4_KTQT_v4[[#This Row],[DT-EXW-12]],KH_26_OPT4_KTQT_v4[[#This Row],[HH-SL]]*KH_26_OPT4_KTQT_v4[[#This Row],[SL-12]])</f>
        <v>0</v>
      </c>
      <c r="CI94" s="47">
        <f ca="1">SUM(KH_26_OPT4_KTQT_v4[[#This Row],[CPHH-01]:[CPHH-12]])</f>
        <v>0</v>
      </c>
      <c r="CJ94" s="47" cm="1">
        <f t="array" ref="CJ94">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94" s="19">
        <f ca="1">SUM(KH_26_OPT4_KTQT_v4[[#This Row],[ĐGVCNĐ-KXK]:[ĐGVCCT-KXK]])</f>
        <v>0</v>
      </c>
      <c r="CL94" s="47" cm="1">
        <f t="array" ref="CL94">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94" s="47" cm="1">
        <f t="array" ref="CM94">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94" s="47">
        <f ca="1">(KH_26_OPT4_KTQT_v4[[#This Row],[ĐGVC-KNĐ]]+KH_26_OPT4_KTQT_v4[[#This Row],[ĐGVC-KXK]])*KH_26_OPT4_KTQT_v4[[#This Row],[SL-01]]</f>
        <v>0</v>
      </c>
      <c r="CO94" s="47">
        <f ca="1">(KH_26_OPT4_KTQT_v4[[#This Row],[ĐGVC-KNĐ]]+KH_26_OPT4_KTQT_v4[[#This Row],[ĐGVC-KXK]])*KH_26_OPT4_KTQT_v4[[#This Row],[SL-02]]</f>
        <v>0</v>
      </c>
      <c r="CP94" s="47">
        <f ca="1">(KH_26_OPT4_KTQT_v4[[#This Row],[ĐGVC-KNĐ]]+KH_26_OPT4_KTQT_v4[[#This Row],[ĐGVC-KXK]])*KH_26_OPT4_KTQT_v4[[#This Row],[SL-03]]</f>
        <v>0</v>
      </c>
      <c r="CQ94" s="47">
        <f ca="1">(KH_26_OPT4_KTQT_v4[[#This Row],[ĐGVC-KNĐ]]+KH_26_OPT4_KTQT_v4[[#This Row],[ĐGVC-KXK]])*KH_26_OPT4_KTQT_v4[[#This Row],[SL-04]]</f>
        <v>0</v>
      </c>
      <c r="CR94" s="47">
        <f ca="1">(KH_26_OPT4_KTQT_v4[[#This Row],[ĐGVC-KNĐ]]+KH_26_OPT4_KTQT_v4[[#This Row],[ĐGVC-KXK]])*KH_26_OPT4_KTQT_v4[[#This Row],[SL-05]]</f>
        <v>0</v>
      </c>
      <c r="CS94" s="47">
        <f ca="1">(KH_26_OPT4_KTQT_v4[[#This Row],[ĐGVC-KNĐ]]+KH_26_OPT4_KTQT_v4[[#This Row],[ĐGVC-KXK]])*KH_26_OPT4_KTQT_v4[[#This Row],[SL-06]]</f>
        <v>0</v>
      </c>
      <c r="CT94" s="47">
        <f ca="1">(KH_26_OPT4_KTQT_v4[[#This Row],[ĐGVC-KNĐ]]+KH_26_OPT4_KTQT_v4[[#This Row],[ĐGVC-KXK]])*KH_26_OPT4_KTQT_v4[[#This Row],[SL-07]]</f>
        <v>0</v>
      </c>
      <c r="CU94" s="47">
        <f ca="1">(KH_26_OPT4_KTQT_v4[[#This Row],[ĐGVC-KNĐ]]+KH_26_OPT4_KTQT_v4[[#This Row],[ĐGVC-KXK]])*KH_26_OPT4_KTQT_v4[[#This Row],[SL-08]]</f>
        <v>0</v>
      </c>
      <c r="CV94" s="47">
        <f ca="1">(KH_26_OPT4_KTQT_v4[[#This Row],[ĐGVC-KNĐ]]+KH_26_OPT4_KTQT_v4[[#This Row],[ĐGVC-KXK]])*KH_26_OPT4_KTQT_v4[[#This Row],[SL-09]]</f>
        <v>0</v>
      </c>
      <c r="CW94" s="47">
        <f ca="1">(KH_26_OPT4_KTQT_v4[[#This Row],[ĐGVC-KNĐ]]+KH_26_OPT4_KTQT_v4[[#This Row],[ĐGVC-KXK]])*KH_26_OPT4_KTQT_v4[[#This Row],[SL-10]]</f>
        <v>0</v>
      </c>
      <c r="CX94" s="47">
        <f ca="1">(KH_26_OPT4_KTQT_v4[[#This Row],[ĐGVC-KNĐ]]+KH_26_OPT4_KTQT_v4[[#This Row],[ĐGVC-KXK]])*KH_26_OPT4_KTQT_v4[[#This Row],[SL-11]]</f>
        <v>0</v>
      </c>
      <c r="CY94" s="47">
        <f ca="1">(KH_26_OPT4_KTQT_v4[[#This Row],[ĐGVC-KNĐ]]+KH_26_OPT4_KTQT_v4[[#This Row],[ĐGVC-KXK]])*KH_26_OPT4_KTQT_v4[[#This Row],[SL-12]]</f>
        <v>0</v>
      </c>
      <c r="CZ94" s="47">
        <f ca="1">SUM(KH_26_OPT4_KTQT_v4[[#This Row],[CPVC-01]:[CPVC-12]])</f>
        <v>0</v>
      </c>
      <c r="DA94" s="124">
        <f ca="1">KH_26_OPT4_KTQT_v4[[#This Row],[DT-EXW-01]]+KH_26_OPT4_KTQT_v4[[#This Row],[CPVC-01]]+KH_26_OPT4_KTQT_v4[[#This Row],[CPHH-01]]</f>
        <v>0</v>
      </c>
      <c r="DB94" s="47">
        <f ca="1">KH_26_OPT4_KTQT_v4[[#This Row],[DT-EXW-02]]+KH_26_OPT4_KTQT_v4[[#This Row],[CPVC-02]]+KH_26_OPT4_KTQT_v4[[#This Row],[CPHH-02]]</f>
        <v>0</v>
      </c>
      <c r="DC94" s="47">
        <f ca="1">KH_26_OPT4_KTQT_v4[[#This Row],[DT-EXW-03]]+KH_26_OPT4_KTQT_v4[[#This Row],[CPVC-03]]+KH_26_OPT4_KTQT_v4[[#This Row],[CPHH-03]]</f>
        <v>0</v>
      </c>
      <c r="DD94" s="47">
        <f ca="1">KH_26_OPT4_KTQT_v4[[#This Row],[DT-EXW-04]]+KH_26_OPT4_KTQT_v4[[#This Row],[CPVC-04]]+KH_26_OPT4_KTQT_v4[[#This Row],[CPHH-04]]</f>
        <v>0</v>
      </c>
      <c r="DE94" s="47">
        <f ca="1">KH_26_OPT4_KTQT_v4[[#This Row],[DT-EXW-05]]+KH_26_OPT4_KTQT_v4[[#This Row],[CPVC-05]]+KH_26_OPT4_KTQT_v4[[#This Row],[CPHH-05]]</f>
        <v>0</v>
      </c>
      <c r="DF94" s="47">
        <f ca="1">KH_26_OPT4_KTQT_v4[[#This Row],[DT-EXW-06]]+KH_26_OPT4_KTQT_v4[[#This Row],[CPVC-06]]+KH_26_OPT4_KTQT_v4[[#This Row],[CPHH-06]]</f>
        <v>0</v>
      </c>
      <c r="DG94" s="47">
        <f ca="1">KH_26_OPT4_KTQT_v4[[#This Row],[DT-EXW-07]]+KH_26_OPT4_KTQT_v4[[#This Row],[CPVC-07]]+KH_26_OPT4_KTQT_v4[[#This Row],[CPHH-07]]</f>
        <v>0</v>
      </c>
      <c r="DH94" s="47">
        <f ca="1">KH_26_OPT4_KTQT_v4[[#This Row],[DT-EXW-08]]+KH_26_OPT4_KTQT_v4[[#This Row],[CPVC-08]]+KH_26_OPT4_KTQT_v4[[#This Row],[CPHH-08]]</f>
        <v>0</v>
      </c>
      <c r="DI94" s="47">
        <f ca="1">KH_26_OPT4_KTQT_v4[[#This Row],[DT-EXW-09]]+KH_26_OPT4_KTQT_v4[[#This Row],[CPVC-09]]+KH_26_OPT4_KTQT_v4[[#This Row],[CPHH-09]]</f>
        <v>0</v>
      </c>
      <c r="DJ94" s="47">
        <f ca="1">KH_26_OPT4_KTQT_v4[[#This Row],[DT-EXW-10]]+KH_26_OPT4_KTQT_v4[[#This Row],[CPVC-10]]+KH_26_OPT4_KTQT_v4[[#This Row],[CPHH-10]]</f>
        <v>0</v>
      </c>
      <c r="DK94" s="47">
        <f ca="1">KH_26_OPT4_KTQT_v4[[#This Row],[DT-EXW-11]]+KH_26_OPT4_KTQT_v4[[#This Row],[CPVC-11]]+KH_26_OPT4_KTQT_v4[[#This Row],[CPHH-11]]</f>
        <v>0</v>
      </c>
      <c r="DL94" s="47">
        <f ca="1">KH_26_OPT4_KTQT_v4[[#This Row],[DT-EXW-12]]+KH_26_OPT4_KTQT_v4[[#This Row],[CPVC-12]]+KH_26_OPT4_KTQT_v4[[#This Row],[CPHH-12]]</f>
        <v>0</v>
      </c>
      <c r="DM94" s="47">
        <f ca="1">SUM(KH_26_OPT4_KTQT_v4[[#This Row],[DT-01]:[DT-12]])</f>
        <v>0</v>
      </c>
      <c r="DN94" s="7"/>
      <c r="DO94" s="7"/>
      <c r="DP94" s="125"/>
      <c r="DQ94" s="136"/>
      <c r="DR94" s="132">
        <f>IFERROR(KH_26_OPT4_KTQT_v4[[#This Row],[DT-EXW-01]]*KH_26_OPT4_KTQT_v4[[#This Row],[%CPDP]],0)</f>
        <v>0</v>
      </c>
      <c r="DS94" s="132">
        <f>IFERROR(KH_26_OPT4_KTQT_v4[[#This Row],[DT-EXW-02]]*KH_26_OPT4_KTQT_v4[[#This Row],[%CPDP]],0)</f>
        <v>0</v>
      </c>
      <c r="DT94" s="132">
        <f>IFERROR(KH_26_OPT4_KTQT_v4[[#This Row],[DT-EXW-03]]*KH_26_OPT4_KTQT_v4[[#This Row],[%CPDP]],0)</f>
        <v>0</v>
      </c>
      <c r="DU94" s="132">
        <f>IFERROR(KH_26_OPT4_KTQT_v4[[#This Row],[DT-EXW-04]]*KH_26_OPT4_KTQT_v4[[#This Row],[%CPDP]],0)</f>
        <v>0</v>
      </c>
      <c r="DV94" s="132">
        <f>IFERROR(KH_26_OPT4_KTQT_v4[[#This Row],[DT-EXW-05]]*KH_26_OPT4_KTQT_v4[[#This Row],[%CPDP]],0)</f>
        <v>0</v>
      </c>
      <c r="DW94" s="132">
        <f>IFERROR(KH_26_OPT4_KTQT_v4[[#This Row],[DT-EXW-06]]*KH_26_OPT4_KTQT_v4[[#This Row],[%CPDP]],0)</f>
        <v>0</v>
      </c>
      <c r="DX94" s="132">
        <f>IFERROR(KH_26_OPT4_KTQT_v4[[#This Row],[DT-EXW-07]]*KH_26_OPT4_KTQT_v4[[#This Row],[%CPDP]],0)</f>
        <v>0</v>
      </c>
      <c r="DY94" s="132">
        <f>IFERROR(KH_26_OPT4_KTQT_v4[[#This Row],[DT-EXW-08]]*KH_26_OPT4_KTQT_v4[[#This Row],[%CPDP]],0)</f>
        <v>0</v>
      </c>
      <c r="DZ94" s="132">
        <f>IFERROR(KH_26_OPT4_KTQT_v4[[#This Row],[DT-EXW-09]]*KH_26_OPT4_KTQT_v4[[#This Row],[%CPDP]],0)</f>
        <v>0</v>
      </c>
      <c r="EA94" s="132">
        <f>IFERROR(KH_26_OPT4_KTQT_v4[[#This Row],[DT-EXW-10]]*KH_26_OPT4_KTQT_v4[[#This Row],[%CPDP]],0)</f>
        <v>0</v>
      </c>
      <c r="EB94" s="132">
        <f>IFERROR(KH_26_OPT4_KTQT_v4[[#This Row],[DT-EXW-11]]*KH_26_OPT4_KTQT_v4[[#This Row],[%CPDP]],0)</f>
        <v>0</v>
      </c>
      <c r="EC94" s="132">
        <f>IFERROR(KH_26_OPT4_KTQT_v4[[#This Row],[DT-EXW-12]]*KH_26_OPT4_KTQT_v4[[#This Row],[%CPDP]],0)</f>
        <v>0</v>
      </c>
      <c r="ED94" s="131">
        <f ca="1">SUM(KH_26_OPT4_KTQT_v4[[#This Row],[CPDP-01]:[CPDP-12]])</f>
        <v>0</v>
      </c>
    </row>
    <row r="95" spans="1:134" ht="14.65" hidden="1" customHeight="1" x14ac:dyDescent="0.35">
      <c r="A95" s="18">
        <v>90</v>
      </c>
      <c r="B95" s="71" t="s">
        <v>115</v>
      </c>
      <c r="C95" s="18" t="str">
        <f>IFERROR(_xlfn.XLOOKUP(KH_26_OPT4_KTQT_v4[[#This Row],[Salesman]],MD_Salesman[Salesman],MD_Salesman[SalesManager]),"")</f>
        <v>Quốc Anh</v>
      </c>
      <c r="D95" s="72" t="str">
        <f>IFERROR(INDEX(MD_Customer[Mã khách],MATCH(KH_26_OPT4_KTQT_v4[[#This Row],[Tên khách]],MD_Customer[Tên khách-rút gọn],0)),"")</f>
        <v>105339</v>
      </c>
      <c r="E95" s="7" t="str">
        <f>IFERROR(INDEX(MD_Customer[Parent Account],MATCH(KH_26_OPT4_KTQT_v4[[#This Row],[Tên khách]],MD_Customer[Tên khách-rút gọn],0)),"")</f>
        <v>HUY THÀNH</v>
      </c>
      <c r="F95" s="35" t="s">
        <v>57</v>
      </c>
      <c r="G95" s="7" t="str">
        <f>IFERROR(INDEX(MD_Customer[Phân loại],MATCH(KH_26_OPT4_KTQT_v4[[#This Row],[Tên khách]],MD_Customer[Tên khách-rút gọn],0)),"")</f>
        <v>Hiện hữu</v>
      </c>
      <c r="H95" s="7" t="str">
        <f>IFERROR(INDEX(MD_Customer[Kênh bán hàng],MATCH(KH_26_OPT4_KTQT_v4[[#This Row],[Tên khách]],MD_Customer[Tên khách-rút gọn],0)),"")</f>
        <v>Nội địa</v>
      </c>
      <c r="I95" s="35" t="s">
        <v>258</v>
      </c>
      <c r="J95" s="7" t="str">
        <f>IFERROR(INDEX(MD_Destination[Nước],MATCH(KH_26_OPT4_KTQT_v4[[#This Row],[Địa điểm đến]],MD_Destination[Địa điểm đến],0)),"")</f>
        <v>Việt Nam</v>
      </c>
      <c r="K95" s="7" t="str">
        <f>IFERROR(INDEX(MD_Destination[Khu vực],MATCH(KH_26_OPT4_KTQT_v4[[#This Row],[Địa điểm đến]],MD_Destination[Địa điểm đến],0)),"")</f>
        <v>Châu Á</v>
      </c>
      <c r="L95" s="35" t="s">
        <v>262</v>
      </c>
      <c r="M95" s="7" t="str">
        <f>IFERROR(INDEX(MD_SKU[Mã SKU],MATCH(KH_26_OPT4_KTQT_v4[[#This Row],[Tên sản phẩm]],MD_SKU[Tên SKU-rút gọn],0)),"")</f>
        <v>110000364</v>
      </c>
      <c r="N95" s="35" t="s">
        <v>460</v>
      </c>
      <c r="O95" s="7" t="str">
        <f>IFERROR(INDEX(MD_SKU[Ngành hàng],MATCH(KH_26_OPT4_KTQT_v4[[#This Row],[Tên sản phẩm]],MD_SKU[Tên SKU-rút gọn],0)),"")</f>
        <v>rHDPE ép</v>
      </c>
      <c r="P95" s="7" t="str">
        <f>IFERROR(INDEX(MD_SKU[Nhóm ngành],MATCH(KH_26_OPT4_KTQT_v4[[#This Row],[Tên sản phẩm]],MD_SKU[Tên SKU-rút gọn],0)),"")</f>
        <v>Hạt HD ép</v>
      </c>
      <c r="Q95" s="7" t="str">
        <f>IFERROR(
   IF(INDEX(MD_SKU[IV/IM],MATCH(KH_26_OPT4_KTQT_v4[[#This Row],[Tên sản phẩm]],MD_SKU[Tên SKU-rút gọn],0))=0,
      "",
      INDEX(MD_SKU[IV/IM],MATCH(KH_26_OPT4_KTQT_v4[[#This Row],[Tên sản phẩm]],MD_SKU[Tên SKU-rút gọn],0))
   ),
"")</f>
        <v/>
      </c>
      <c r="R95" s="44">
        <f>IFERROR(INDEX(MD_SKU[Application],MATCH(KH_26_OPT4_KTQT_v4[[#This Row],[Tên sản phẩm]],MD_SKU[Tên SKU-rút gọn],0)),"")</f>
        <v>0</v>
      </c>
      <c r="S95" s="7" t="str">
        <f>IFERROR(INDEX(MD_SKU[Phân loại],MATCH(KH_26_OPT4_KTQT_v4[[#This Row],[Tên sản phẩm]],MD_SKU[Tên SKU-rút gọn],0)),"")</f>
        <v>Cũ</v>
      </c>
      <c r="T95" s="7" t="s">
        <v>57</v>
      </c>
      <c r="U95" s="7" t="s">
        <v>1508</v>
      </c>
      <c r="V95" s="70">
        <v>0.8</v>
      </c>
      <c r="W95" s="33"/>
      <c r="X95" s="33"/>
      <c r="Y95" s="33"/>
      <c r="Z95" s="33"/>
      <c r="AA95" s="33"/>
      <c r="AB95" s="33"/>
      <c r="AC95" s="33"/>
      <c r="AD95" s="33"/>
      <c r="AE95" s="33"/>
      <c r="AF95" s="33"/>
      <c r="AG95" s="33"/>
      <c r="AH95" s="33"/>
      <c r="AI95" s="47">
        <f ca="1">SUM(KH_26_OPT4_KTQT_v4[[#This Row],[SL-01]:[SL-12]])</f>
        <v>0</v>
      </c>
      <c r="AJ95" s="47">
        <f ca="1">SUMIFS(DB_25[SL-DB25],DB_25[Mã khách],KH_26_OPT4_KTQT_v4[[#This Row],[Mã khách]],DB_25[Mã sản phẩm],KH_26_OPT4_KTQT_v4[[#This Row],[Mã sản phẩm]])</f>
        <v>96.4</v>
      </c>
      <c r="AK95" s="20">
        <f ca="1">KH_26_OPT4_KTQT_v4[[#This Row],[SL-KH26]]-KH_26_OPT4_KTQT_v4[[#This Row],[SL-DB25]]</f>
        <v>-96.4</v>
      </c>
      <c r="AL95" s="21">
        <f ca="1">IFERROR(KH_26_OPT4_KTQT_v4[[#This Row],[SL-+/-]]/KH_26_OPT4_KTQT_v4[[#This Row],[SL-DB25]],0)</f>
        <v>-1</v>
      </c>
      <c r="AM95" s="51">
        <v>695</v>
      </c>
      <c r="AN95" s="51">
        <v>695</v>
      </c>
      <c r="AO95" s="51">
        <v>695</v>
      </c>
      <c r="AP95" s="51">
        <v>695</v>
      </c>
      <c r="AQ95" s="51">
        <v>695</v>
      </c>
      <c r="AR95" s="51">
        <v>695</v>
      </c>
      <c r="AS95" s="51">
        <v>695</v>
      </c>
      <c r="AT95" s="51">
        <v>695</v>
      </c>
      <c r="AU95" s="51">
        <v>695</v>
      </c>
      <c r="AV95" s="51">
        <v>695</v>
      </c>
      <c r="AW95" s="51">
        <v>695</v>
      </c>
      <c r="AX95" s="51">
        <v>695</v>
      </c>
      <c r="AY95" s="23">
        <v>695</v>
      </c>
      <c r="AZ95" s="7"/>
      <c r="BA95" s="24">
        <f>KH_26_OPT4_KTQT_v4[[#This Row],[GB-DB25]]-KH_26_OPT4_KTQT_v4[[#This Row],[GB-KH25]]</f>
        <v>695</v>
      </c>
      <c r="BB95" s="21">
        <f>IFERROR(KH_26_OPT4_KTQT_v4[[#This Row],[GB-+/-]]/KH_26_OPT4_KTQT_v4[[#This Row],[GB-KH25]],0)</f>
        <v>0</v>
      </c>
      <c r="BC95" s="21"/>
      <c r="BD95" s="47">
        <f>KH_26_OPT4_KTQT_v4[[#This Row],[SL-01]]*KH_26_OPT4_KTQT_v4[[#This Row],[GB-01]]*EXR</f>
        <v>0</v>
      </c>
      <c r="BE95" s="47">
        <f>KH_26_OPT4_KTQT_v4[[#This Row],[SL-02]]*KH_26_OPT4_KTQT_v4[[#This Row],[GB-02]]*EXR</f>
        <v>0</v>
      </c>
      <c r="BF95" s="47">
        <f>KH_26_OPT4_KTQT_v4[[#This Row],[SL-03]]*KH_26_OPT4_KTQT_v4[[#This Row],[GB-03]]*EXR</f>
        <v>0</v>
      </c>
      <c r="BG95" s="47">
        <f>KH_26_OPT4_KTQT_v4[[#This Row],[SL-04]]*KH_26_OPT4_KTQT_v4[[#This Row],[GB-04]]*EXR</f>
        <v>0</v>
      </c>
      <c r="BH95" s="47">
        <f>KH_26_OPT4_KTQT_v4[[#This Row],[SL-05]]*KH_26_OPT4_KTQT_v4[[#This Row],[GB-05]]*EXR</f>
        <v>0</v>
      </c>
      <c r="BI95" s="47">
        <f>KH_26_OPT4_KTQT_v4[[#This Row],[SL-06]]*KH_26_OPT4_KTQT_v4[[#This Row],[GB-06]]*EXR</f>
        <v>0</v>
      </c>
      <c r="BJ95" s="47">
        <f>KH_26_OPT4_KTQT_v4[[#This Row],[SL-07]]*KH_26_OPT4_KTQT_v4[[#This Row],[GB-07]]*EXR</f>
        <v>0</v>
      </c>
      <c r="BK95" s="47">
        <f>KH_26_OPT4_KTQT_v4[[#This Row],[SL-08]]*KH_26_OPT4_KTQT_v4[[#This Row],[GB-08]]*EXR</f>
        <v>0</v>
      </c>
      <c r="BL95" s="47">
        <f>KH_26_OPT4_KTQT_v4[[#This Row],[SL-09]]*KH_26_OPT4_KTQT_v4[[#This Row],[GB-09]]*EXR</f>
        <v>0</v>
      </c>
      <c r="BM95" s="47">
        <f>KH_26_OPT4_KTQT_v4[[#This Row],[SL-10]]*KH_26_OPT4_KTQT_v4[[#This Row],[GB-10]]*EXR</f>
        <v>0</v>
      </c>
      <c r="BN95" s="47">
        <f>KH_26_OPT4_KTQT_v4[[#This Row],[SL-11]]*KH_26_OPT4_KTQT_v4[[#This Row],[GB-11]]*EXR</f>
        <v>0</v>
      </c>
      <c r="BO95" s="47">
        <f>KH_26_OPT4_KTQT_v4[[#This Row],[SL-12]]*KH_26_OPT4_KTQT_v4[[#This Row],[GB-12]]*EXR</f>
        <v>0</v>
      </c>
      <c r="BP95" s="47">
        <f ca="1">SUM(KH_26_OPT4_KTQT_v4[[#This Row],[DT-EXW-01]:[DT-EXW-12]])</f>
        <v>0</v>
      </c>
      <c r="BQ95" s="47">
        <f ca="1">SUMIFS(DB_25[DT-DB25],DB_25[Mã khách],KH_26_OPT4_KTQT_v4[[#This Row],[Mã khách]],DB_25[Mã sản phẩm],KH_26_OPT4_KTQT_v4[[#This Row],[Mã sản phẩm]])</f>
        <v>1236635694.0916803</v>
      </c>
      <c r="BR95" s="47">
        <f ca="1">KH_26_OPT4_KTQT_v4[[#This Row],[DT-EXW-KH26]]-KH_26_OPT4_KTQT_v4[[#This Row],[DT-EXW-DB25]]</f>
        <v>-1236635694.0916803</v>
      </c>
      <c r="BS95" s="21">
        <f ca="1">IFERROR(KH_26_OPT4_KTQT_v4[[#This Row],[DT-EXW-+/-]]/KH_26_OPT4_KTQT_v4[[#This Row],[DT-EXW-DB25]],0)</f>
        <v>-1</v>
      </c>
      <c r="BT95" s="139" t="s">
        <v>536</v>
      </c>
      <c r="BU95" s="57"/>
      <c r="BV95" s="51">
        <v>1000000</v>
      </c>
      <c r="BW95" s="47">
        <f>IF(KH_26_OPT4_KTQT_v4[[#This Row],[CPHH-%-SL]]="Dthu",KH_26_OPT4_KTQT_v4[[#This Row],[%HH]]*KH_26_OPT4_KTQT_v4[[#This Row],[DT-EXW-01]],KH_26_OPT4_KTQT_v4[[#This Row],[HH-SL]]*KH_26_OPT4_KTQT_v4[[#This Row],[SL-01]])</f>
        <v>0</v>
      </c>
      <c r="BX95" s="47">
        <f>IF(KH_26_OPT4_KTQT_v4[[#This Row],[CPHH-%-SL]]="Dthu",KH_26_OPT4_KTQT_v4[[#This Row],[%HH]]*KH_26_OPT4_KTQT_v4[[#This Row],[DT-EXW-02]],KH_26_OPT4_KTQT_v4[[#This Row],[HH-SL]]*KH_26_OPT4_KTQT_v4[[#This Row],[SL-02]])</f>
        <v>0</v>
      </c>
      <c r="BY95" s="47">
        <f>IF(KH_26_OPT4_KTQT_v4[[#This Row],[CPHH-%-SL]]="Dthu",KH_26_OPT4_KTQT_v4[[#This Row],[%HH]]*KH_26_OPT4_KTQT_v4[[#This Row],[DT-EXW-03]],KH_26_OPT4_KTQT_v4[[#This Row],[HH-SL]]*KH_26_OPT4_KTQT_v4[[#This Row],[SL-03]])</f>
        <v>0</v>
      </c>
      <c r="BZ95" s="47">
        <f>IF(KH_26_OPT4_KTQT_v4[[#This Row],[CPHH-%-SL]]="Dthu",KH_26_OPT4_KTQT_v4[[#This Row],[%HH]]*KH_26_OPT4_KTQT_v4[[#This Row],[DT-EXW-04]],KH_26_OPT4_KTQT_v4[[#This Row],[HH-SL]]*KH_26_OPT4_KTQT_v4[[#This Row],[SL-04]])</f>
        <v>0</v>
      </c>
      <c r="CA95" s="47">
        <f>IF(KH_26_OPT4_KTQT_v4[[#This Row],[CPHH-%-SL]]="Dthu",KH_26_OPT4_KTQT_v4[[#This Row],[%HH]]*KH_26_OPT4_KTQT_v4[[#This Row],[DT-EXW-05]],KH_26_OPT4_KTQT_v4[[#This Row],[HH-SL]]*KH_26_OPT4_KTQT_v4[[#This Row],[SL-05]])</f>
        <v>0</v>
      </c>
      <c r="CB95" s="47">
        <f>IF(KH_26_OPT4_KTQT_v4[[#This Row],[CPHH-%-SL]]="Dthu",KH_26_OPT4_KTQT_v4[[#This Row],[%HH]]*KH_26_OPT4_KTQT_v4[[#This Row],[DT-EXW-06]],KH_26_OPT4_KTQT_v4[[#This Row],[HH-SL]]*KH_26_OPT4_KTQT_v4[[#This Row],[SL-06]])</f>
        <v>0</v>
      </c>
      <c r="CC95" s="47">
        <f>IF(KH_26_OPT4_KTQT_v4[[#This Row],[CPHH-%-SL]]="Dthu",KH_26_OPT4_KTQT_v4[[#This Row],[%HH]]*KH_26_OPT4_KTQT_v4[[#This Row],[DT-EXW-07]],KH_26_OPT4_KTQT_v4[[#This Row],[HH-SL]]*KH_26_OPT4_KTQT_v4[[#This Row],[SL-07]])</f>
        <v>0</v>
      </c>
      <c r="CD95" s="47">
        <f>IF(KH_26_OPT4_KTQT_v4[[#This Row],[CPHH-%-SL]]="Dthu",KH_26_OPT4_KTQT_v4[[#This Row],[%HH]]*KH_26_OPT4_KTQT_v4[[#This Row],[DT-EXW-08]],KH_26_OPT4_KTQT_v4[[#This Row],[HH-SL]]*KH_26_OPT4_KTQT_v4[[#This Row],[SL-08]])</f>
        <v>0</v>
      </c>
      <c r="CE95" s="47">
        <f>IF(KH_26_OPT4_KTQT_v4[[#This Row],[CPHH-%-SL]]="Dthu",KH_26_OPT4_KTQT_v4[[#This Row],[%HH]]*KH_26_OPT4_KTQT_v4[[#This Row],[DT-EXW-09]],KH_26_OPT4_KTQT_v4[[#This Row],[HH-SL]]*KH_26_OPT4_KTQT_v4[[#This Row],[SL-09]])</f>
        <v>0</v>
      </c>
      <c r="CF95" s="47">
        <f>IF(KH_26_OPT4_KTQT_v4[[#This Row],[CPHH-%-SL]]="Dthu",KH_26_OPT4_KTQT_v4[[#This Row],[%HH]]*KH_26_OPT4_KTQT_v4[[#This Row],[DT-EXW-10]],KH_26_OPT4_KTQT_v4[[#This Row],[HH-SL]]*KH_26_OPT4_KTQT_v4[[#This Row],[SL-10]])</f>
        <v>0</v>
      </c>
      <c r="CG95" s="47">
        <f>IF(KH_26_OPT4_KTQT_v4[[#This Row],[CPHH-%-SL]]="Dthu",KH_26_OPT4_KTQT_v4[[#This Row],[%HH]]*KH_26_OPT4_KTQT_v4[[#This Row],[DT-EXW-11]],KH_26_OPT4_KTQT_v4[[#This Row],[HH-SL]]*KH_26_OPT4_KTQT_v4[[#This Row],[SL-11]])</f>
        <v>0</v>
      </c>
      <c r="CH95" s="47">
        <f>IF(KH_26_OPT4_KTQT_v4[[#This Row],[CPHH-%-SL]]="Dthu",KH_26_OPT4_KTQT_v4[[#This Row],[%HH]]*KH_26_OPT4_KTQT_v4[[#This Row],[DT-EXW-12]],KH_26_OPT4_KTQT_v4[[#This Row],[HH-SL]]*KH_26_OPT4_KTQT_v4[[#This Row],[SL-12]])</f>
        <v>0</v>
      </c>
      <c r="CI95" s="47">
        <f ca="1">SUM(KH_26_OPT4_KTQT_v4[[#This Row],[CPHH-01]:[CPHH-12]])</f>
        <v>0</v>
      </c>
      <c r="CJ95" s="47" cm="1">
        <f t="array" ref="CJ95">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95" s="19">
        <f ca="1">SUM(KH_26_OPT4_KTQT_v4[[#This Row],[ĐGVCNĐ-KXK]:[ĐGVCCT-KXK]])</f>
        <v>0</v>
      </c>
      <c r="CL95" s="47" cm="1">
        <f t="array" ref="CL95">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95" s="47" cm="1">
        <f t="array" ref="CM95">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95" s="47">
        <f ca="1">(KH_26_OPT4_KTQT_v4[[#This Row],[ĐGVC-KNĐ]]+KH_26_OPT4_KTQT_v4[[#This Row],[ĐGVC-KXK]])*KH_26_OPT4_KTQT_v4[[#This Row],[SL-01]]</f>
        <v>0</v>
      </c>
      <c r="CO95" s="47">
        <f ca="1">(KH_26_OPT4_KTQT_v4[[#This Row],[ĐGVC-KNĐ]]+KH_26_OPT4_KTQT_v4[[#This Row],[ĐGVC-KXK]])*KH_26_OPT4_KTQT_v4[[#This Row],[SL-02]]</f>
        <v>0</v>
      </c>
      <c r="CP95" s="47">
        <f ca="1">(KH_26_OPT4_KTQT_v4[[#This Row],[ĐGVC-KNĐ]]+KH_26_OPT4_KTQT_v4[[#This Row],[ĐGVC-KXK]])*KH_26_OPT4_KTQT_v4[[#This Row],[SL-03]]</f>
        <v>0</v>
      </c>
      <c r="CQ95" s="47">
        <f ca="1">(KH_26_OPT4_KTQT_v4[[#This Row],[ĐGVC-KNĐ]]+KH_26_OPT4_KTQT_v4[[#This Row],[ĐGVC-KXK]])*KH_26_OPT4_KTQT_v4[[#This Row],[SL-04]]</f>
        <v>0</v>
      </c>
      <c r="CR95" s="47">
        <f ca="1">(KH_26_OPT4_KTQT_v4[[#This Row],[ĐGVC-KNĐ]]+KH_26_OPT4_KTQT_v4[[#This Row],[ĐGVC-KXK]])*KH_26_OPT4_KTQT_v4[[#This Row],[SL-05]]</f>
        <v>0</v>
      </c>
      <c r="CS95" s="47">
        <f ca="1">(KH_26_OPT4_KTQT_v4[[#This Row],[ĐGVC-KNĐ]]+KH_26_OPT4_KTQT_v4[[#This Row],[ĐGVC-KXK]])*KH_26_OPT4_KTQT_v4[[#This Row],[SL-06]]</f>
        <v>0</v>
      </c>
      <c r="CT95" s="47">
        <f ca="1">(KH_26_OPT4_KTQT_v4[[#This Row],[ĐGVC-KNĐ]]+KH_26_OPT4_KTQT_v4[[#This Row],[ĐGVC-KXK]])*KH_26_OPT4_KTQT_v4[[#This Row],[SL-07]]</f>
        <v>0</v>
      </c>
      <c r="CU95" s="47">
        <f ca="1">(KH_26_OPT4_KTQT_v4[[#This Row],[ĐGVC-KNĐ]]+KH_26_OPT4_KTQT_v4[[#This Row],[ĐGVC-KXK]])*KH_26_OPT4_KTQT_v4[[#This Row],[SL-08]]</f>
        <v>0</v>
      </c>
      <c r="CV95" s="47">
        <f ca="1">(KH_26_OPT4_KTQT_v4[[#This Row],[ĐGVC-KNĐ]]+KH_26_OPT4_KTQT_v4[[#This Row],[ĐGVC-KXK]])*KH_26_OPT4_KTQT_v4[[#This Row],[SL-09]]</f>
        <v>0</v>
      </c>
      <c r="CW95" s="47">
        <f ca="1">(KH_26_OPT4_KTQT_v4[[#This Row],[ĐGVC-KNĐ]]+KH_26_OPT4_KTQT_v4[[#This Row],[ĐGVC-KXK]])*KH_26_OPT4_KTQT_v4[[#This Row],[SL-10]]</f>
        <v>0</v>
      </c>
      <c r="CX95" s="47">
        <f ca="1">(KH_26_OPT4_KTQT_v4[[#This Row],[ĐGVC-KNĐ]]+KH_26_OPT4_KTQT_v4[[#This Row],[ĐGVC-KXK]])*KH_26_OPT4_KTQT_v4[[#This Row],[SL-11]]</f>
        <v>0</v>
      </c>
      <c r="CY95" s="47">
        <f ca="1">(KH_26_OPT4_KTQT_v4[[#This Row],[ĐGVC-KNĐ]]+KH_26_OPT4_KTQT_v4[[#This Row],[ĐGVC-KXK]])*KH_26_OPT4_KTQT_v4[[#This Row],[SL-12]]</f>
        <v>0</v>
      </c>
      <c r="CZ95" s="47">
        <f ca="1">SUM(KH_26_OPT4_KTQT_v4[[#This Row],[CPVC-01]:[CPVC-12]])</f>
        <v>0</v>
      </c>
      <c r="DA95" s="124">
        <f ca="1">KH_26_OPT4_KTQT_v4[[#This Row],[DT-EXW-01]]+KH_26_OPT4_KTQT_v4[[#This Row],[CPVC-01]]+KH_26_OPT4_KTQT_v4[[#This Row],[CPHH-01]]</f>
        <v>0</v>
      </c>
      <c r="DB95" s="47">
        <f ca="1">KH_26_OPT4_KTQT_v4[[#This Row],[DT-EXW-02]]+KH_26_OPT4_KTQT_v4[[#This Row],[CPVC-02]]+KH_26_OPT4_KTQT_v4[[#This Row],[CPHH-02]]</f>
        <v>0</v>
      </c>
      <c r="DC95" s="47">
        <f ca="1">KH_26_OPT4_KTQT_v4[[#This Row],[DT-EXW-03]]+KH_26_OPT4_KTQT_v4[[#This Row],[CPVC-03]]+KH_26_OPT4_KTQT_v4[[#This Row],[CPHH-03]]</f>
        <v>0</v>
      </c>
      <c r="DD95" s="47">
        <f ca="1">KH_26_OPT4_KTQT_v4[[#This Row],[DT-EXW-04]]+KH_26_OPT4_KTQT_v4[[#This Row],[CPVC-04]]+KH_26_OPT4_KTQT_v4[[#This Row],[CPHH-04]]</f>
        <v>0</v>
      </c>
      <c r="DE95" s="47">
        <f ca="1">KH_26_OPT4_KTQT_v4[[#This Row],[DT-EXW-05]]+KH_26_OPT4_KTQT_v4[[#This Row],[CPVC-05]]+KH_26_OPT4_KTQT_v4[[#This Row],[CPHH-05]]</f>
        <v>0</v>
      </c>
      <c r="DF95" s="47">
        <f ca="1">KH_26_OPT4_KTQT_v4[[#This Row],[DT-EXW-06]]+KH_26_OPT4_KTQT_v4[[#This Row],[CPVC-06]]+KH_26_OPT4_KTQT_v4[[#This Row],[CPHH-06]]</f>
        <v>0</v>
      </c>
      <c r="DG95" s="47">
        <f ca="1">KH_26_OPT4_KTQT_v4[[#This Row],[DT-EXW-07]]+KH_26_OPT4_KTQT_v4[[#This Row],[CPVC-07]]+KH_26_OPT4_KTQT_v4[[#This Row],[CPHH-07]]</f>
        <v>0</v>
      </c>
      <c r="DH95" s="47">
        <f ca="1">KH_26_OPT4_KTQT_v4[[#This Row],[DT-EXW-08]]+KH_26_OPT4_KTQT_v4[[#This Row],[CPVC-08]]+KH_26_OPT4_KTQT_v4[[#This Row],[CPHH-08]]</f>
        <v>0</v>
      </c>
      <c r="DI95" s="47">
        <f ca="1">KH_26_OPT4_KTQT_v4[[#This Row],[DT-EXW-09]]+KH_26_OPT4_KTQT_v4[[#This Row],[CPVC-09]]+KH_26_OPT4_KTQT_v4[[#This Row],[CPHH-09]]</f>
        <v>0</v>
      </c>
      <c r="DJ95" s="47">
        <f ca="1">KH_26_OPT4_KTQT_v4[[#This Row],[DT-EXW-10]]+KH_26_OPT4_KTQT_v4[[#This Row],[CPVC-10]]+KH_26_OPT4_KTQT_v4[[#This Row],[CPHH-10]]</f>
        <v>0</v>
      </c>
      <c r="DK95" s="47">
        <f ca="1">KH_26_OPT4_KTQT_v4[[#This Row],[DT-EXW-11]]+KH_26_OPT4_KTQT_v4[[#This Row],[CPVC-11]]+KH_26_OPT4_KTQT_v4[[#This Row],[CPHH-11]]</f>
        <v>0</v>
      </c>
      <c r="DL95" s="47">
        <f ca="1">KH_26_OPT4_KTQT_v4[[#This Row],[DT-EXW-12]]+KH_26_OPT4_KTQT_v4[[#This Row],[CPVC-12]]+KH_26_OPT4_KTQT_v4[[#This Row],[CPHH-12]]</f>
        <v>0</v>
      </c>
      <c r="DM95" s="47">
        <f ca="1">SUM(KH_26_OPT4_KTQT_v4[[#This Row],[DT-01]:[DT-12]])</f>
        <v>0</v>
      </c>
      <c r="DN95" s="7"/>
      <c r="DO95" s="7"/>
      <c r="DP95" s="125"/>
      <c r="DQ95" s="136"/>
      <c r="DR95" s="132">
        <f>IFERROR(KH_26_OPT4_KTQT_v4[[#This Row],[DT-EXW-01]]*KH_26_OPT4_KTQT_v4[[#This Row],[%CPDP]],0)</f>
        <v>0</v>
      </c>
      <c r="DS95" s="132">
        <f>IFERROR(KH_26_OPT4_KTQT_v4[[#This Row],[DT-EXW-02]]*KH_26_OPT4_KTQT_v4[[#This Row],[%CPDP]],0)</f>
        <v>0</v>
      </c>
      <c r="DT95" s="132">
        <f>IFERROR(KH_26_OPT4_KTQT_v4[[#This Row],[DT-EXW-03]]*KH_26_OPT4_KTQT_v4[[#This Row],[%CPDP]],0)</f>
        <v>0</v>
      </c>
      <c r="DU95" s="132">
        <f>IFERROR(KH_26_OPT4_KTQT_v4[[#This Row],[DT-EXW-04]]*KH_26_OPT4_KTQT_v4[[#This Row],[%CPDP]],0)</f>
        <v>0</v>
      </c>
      <c r="DV95" s="132">
        <f>IFERROR(KH_26_OPT4_KTQT_v4[[#This Row],[DT-EXW-05]]*KH_26_OPT4_KTQT_v4[[#This Row],[%CPDP]],0)</f>
        <v>0</v>
      </c>
      <c r="DW95" s="132">
        <f>IFERROR(KH_26_OPT4_KTQT_v4[[#This Row],[DT-EXW-06]]*KH_26_OPT4_KTQT_v4[[#This Row],[%CPDP]],0)</f>
        <v>0</v>
      </c>
      <c r="DX95" s="132">
        <f>IFERROR(KH_26_OPT4_KTQT_v4[[#This Row],[DT-EXW-07]]*KH_26_OPT4_KTQT_v4[[#This Row],[%CPDP]],0)</f>
        <v>0</v>
      </c>
      <c r="DY95" s="132">
        <f>IFERROR(KH_26_OPT4_KTQT_v4[[#This Row],[DT-EXW-08]]*KH_26_OPT4_KTQT_v4[[#This Row],[%CPDP]],0)</f>
        <v>0</v>
      </c>
      <c r="DZ95" s="132">
        <f>IFERROR(KH_26_OPT4_KTQT_v4[[#This Row],[DT-EXW-09]]*KH_26_OPT4_KTQT_v4[[#This Row],[%CPDP]],0)</f>
        <v>0</v>
      </c>
      <c r="EA95" s="132">
        <f>IFERROR(KH_26_OPT4_KTQT_v4[[#This Row],[DT-EXW-10]]*KH_26_OPT4_KTQT_v4[[#This Row],[%CPDP]],0)</f>
        <v>0</v>
      </c>
      <c r="EB95" s="132">
        <f>IFERROR(KH_26_OPT4_KTQT_v4[[#This Row],[DT-EXW-11]]*KH_26_OPT4_KTQT_v4[[#This Row],[%CPDP]],0)</f>
        <v>0</v>
      </c>
      <c r="EC95" s="132">
        <f>IFERROR(KH_26_OPT4_KTQT_v4[[#This Row],[DT-EXW-12]]*KH_26_OPT4_KTQT_v4[[#This Row],[%CPDP]],0)</f>
        <v>0</v>
      </c>
      <c r="ED95" s="131">
        <f ca="1">SUM(KH_26_OPT4_KTQT_v4[[#This Row],[CPDP-01]:[CPDP-12]])</f>
        <v>0</v>
      </c>
    </row>
    <row r="96" spans="1:134" ht="14.65" hidden="1" customHeight="1" x14ac:dyDescent="0.35">
      <c r="A96" s="18">
        <v>91</v>
      </c>
      <c r="B96" s="71" t="s">
        <v>115</v>
      </c>
      <c r="C96" s="18" t="str">
        <f>IFERROR(_xlfn.XLOOKUP(KH_26_OPT4_KTQT_v4[[#This Row],[Salesman]],MD_Salesman[Salesman],MD_Salesman[SalesManager]),"")</f>
        <v>Quốc Anh</v>
      </c>
      <c r="D96" s="72" t="str">
        <f>IFERROR(INDEX(MD_Customer[Mã khách],MATCH(KH_26_OPT4_KTQT_v4[[#This Row],[Tên khách]],MD_Customer[Tên khách-rút gọn],0)),"")</f>
        <v>200326</v>
      </c>
      <c r="E96" s="7" t="str">
        <f>IFERROR(INDEX(MD_Customer[Parent Account],MATCH(KH_26_OPT4_KTQT_v4[[#This Row],[Tên khách]],MD_Customer[Tên khách-rút gọn],0)),"")</f>
        <v>Resinex</v>
      </c>
      <c r="F96" s="35" t="s">
        <v>138</v>
      </c>
      <c r="G96" s="7" t="str">
        <f>IFERROR(INDEX(MD_Customer[Phân loại],MATCH(KH_26_OPT4_KTQT_v4[[#This Row],[Tên khách]],MD_Customer[Tên khách-rút gọn],0)),"")</f>
        <v>Hiện hữu</v>
      </c>
      <c r="H96" s="7" t="str">
        <f>IFERROR(INDEX(MD_Customer[Kênh bán hàng],MATCH(KH_26_OPT4_KTQT_v4[[#This Row],[Tên khách]],MD_Customer[Tên khách-rút gọn],0)),"")</f>
        <v>Xuất khẩu</v>
      </c>
      <c r="I96" s="35" t="s">
        <v>312</v>
      </c>
      <c r="J96" s="7" t="str">
        <f>IFERROR(INDEX(MD_Destination[Nước],MATCH(KH_26_OPT4_KTQT_v4[[#This Row],[Địa điểm đến]],MD_Destination[Địa điểm đến],0)),"")</f>
        <v>Israel</v>
      </c>
      <c r="K96" s="7" t="str">
        <f>IFERROR(INDEX(MD_Destination[Khu vực],MATCH(KH_26_OPT4_KTQT_v4[[#This Row],[Địa điểm đến]],MD_Destination[Địa điểm đến],0)),"")</f>
        <v>Châu Á</v>
      </c>
      <c r="L96" s="35" t="s">
        <v>278</v>
      </c>
      <c r="M96" s="7" t="str">
        <f>IFERROR(INDEX(MD_SKU[Mã SKU],MATCH(KH_26_OPT4_KTQT_v4[[#This Row],[Tên sản phẩm]],MD_SKU[Tên SKU-rút gọn],0)),"")</f>
        <v>110000332</v>
      </c>
      <c r="N96" s="35" t="s">
        <v>1124</v>
      </c>
      <c r="O96" s="7" t="str">
        <f>IFERROR(INDEX(MD_SKU[Ngành hàng],MATCH(KH_26_OPT4_KTQT_v4[[#This Row],[Tên sản phẩm]],MD_SKU[Tên SKU-rút gọn],0)),"")</f>
        <v>rPET</v>
      </c>
      <c r="P96" s="7" t="str">
        <f>IFERROR(INDEX(MD_SKU[Nhóm ngành],MATCH(KH_26_OPT4_KTQT_v4[[#This Row],[Tên sản phẩm]],MD_SKU[Tên SKU-rút gọn],0)),"")</f>
        <v>Hạt PET</v>
      </c>
      <c r="Q96" s="7" t="str">
        <f>IFERROR(
   IF(INDEX(MD_SKU[IV/IM],MATCH(KH_26_OPT4_KTQT_v4[[#This Row],[Tên sản phẩm]],MD_SKU[Tên SKU-rút gọn],0))=0,
      "",
      INDEX(MD_SKU[IV/IM],MATCH(KH_26_OPT4_KTQT_v4[[#This Row],[Tên sản phẩm]],MD_SKU[Tên SKU-rút gọn],0))
   ),
"")</f>
        <v>0.84 ± 0.03</v>
      </c>
      <c r="R96" s="44">
        <f>IFERROR(INDEX(MD_SKU[Application],MATCH(KH_26_OPT4_KTQT_v4[[#This Row],[Tên sản phẩm]],MD_SKU[Tên SKU-rút gọn],0)),"")</f>
        <v>0</v>
      </c>
      <c r="S96" s="7" t="str">
        <f>IFERROR(INDEX(MD_SKU[Phân loại],MATCH(KH_26_OPT4_KTQT_v4[[#This Row],[Tên sản phẩm]],MD_SKU[Tên SKU-rút gọn],0)),"")</f>
        <v>Cũ</v>
      </c>
      <c r="T96" s="7" t="s">
        <v>542</v>
      </c>
      <c r="U96" s="7" t="s">
        <v>1508</v>
      </c>
      <c r="V96" s="70">
        <v>0.8</v>
      </c>
      <c r="W96" s="33"/>
      <c r="X96" s="33">
        <v>22</v>
      </c>
      <c r="Y96" s="33"/>
      <c r="Z96" s="33"/>
      <c r="AA96" s="33"/>
      <c r="AB96" s="33">
        <v>22</v>
      </c>
      <c r="AC96" s="33"/>
      <c r="AD96" s="33"/>
      <c r="AE96" s="33"/>
      <c r="AF96" s="33">
        <v>22</v>
      </c>
      <c r="AG96" s="33"/>
      <c r="AH96" s="33"/>
      <c r="AI96" s="47">
        <f ca="1">SUM(KH_26_OPT4_KTQT_v4[[#This Row],[SL-01]:[SL-12]])</f>
        <v>66</v>
      </c>
      <c r="AJ96" s="47">
        <f ca="1">SUMIFS(DB_25[SL-DB25],DB_25[Mã khách],KH_26_OPT4_KTQT_v4[[#This Row],[Mã khách]],DB_25[Mã sản phẩm],KH_26_OPT4_KTQT_v4[[#This Row],[Mã sản phẩm]])</f>
        <v>66</v>
      </c>
      <c r="AK96" s="20">
        <f ca="1">KH_26_OPT4_KTQT_v4[[#This Row],[SL-KH26]]-KH_26_OPT4_KTQT_v4[[#This Row],[SL-DB25]]</f>
        <v>0</v>
      </c>
      <c r="AL96" s="21">
        <f ca="1">IFERROR(KH_26_OPT4_KTQT_v4[[#This Row],[SL-+/-]]/KH_26_OPT4_KTQT_v4[[#This Row],[SL-DB25]],0)</f>
        <v>0</v>
      </c>
      <c r="AM96" s="51">
        <v>1250</v>
      </c>
      <c r="AN96" s="51">
        <v>1250</v>
      </c>
      <c r="AO96" s="51">
        <v>1250</v>
      </c>
      <c r="AP96" s="51">
        <v>1250</v>
      </c>
      <c r="AQ96" s="51">
        <v>1250</v>
      </c>
      <c r="AR96" s="51">
        <v>1250</v>
      </c>
      <c r="AS96" s="51">
        <v>1250</v>
      </c>
      <c r="AT96" s="51">
        <v>1250</v>
      </c>
      <c r="AU96" s="51">
        <v>1250</v>
      </c>
      <c r="AV96" s="51">
        <v>1250</v>
      </c>
      <c r="AW96" s="51">
        <v>1250</v>
      </c>
      <c r="AX96" s="51">
        <v>1250</v>
      </c>
      <c r="AY96" s="23">
        <v>1250</v>
      </c>
      <c r="AZ96" s="7"/>
      <c r="BA96" s="24">
        <f>KH_26_OPT4_KTQT_v4[[#This Row],[GB-DB25]]-KH_26_OPT4_KTQT_v4[[#This Row],[GB-KH25]]</f>
        <v>1250</v>
      </c>
      <c r="BB96" s="21">
        <f>IFERROR(KH_26_OPT4_KTQT_v4[[#This Row],[GB-+/-]]/KH_26_OPT4_KTQT_v4[[#This Row],[GB-KH25]],0)</f>
        <v>0</v>
      </c>
      <c r="BC96" s="21"/>
      <c r="BD96" s="47">
        <f>KH_26_OPT4_KTQT_v4[[#This Row],[SL-01]]*KH_26_OPT4_KTQT_v4[[#This Row],[GB-01]]*EXR</f>
        <v>0</v>
      </c>
      <c r="BE96" s="47">
        <f>KH_26_OPT4_KTQT_v4[[#This Row],[SL-02]]*KH_26_OPT4_KTQT_v4[[#This Row],[GB-02]]*EXR</f>
        <v>728750000</v>
      </c>
      <c r="BF96" s="47">
        <f>KH_26_OPT4_KTQT_v4[[#This Row],[SL-03]]*KH_26_OPT4_KTQT_v4[[#This Row],[GB-03]]*EXR</f>
        <v>0</v>
      </c>
      <c r="BG96" s="47">
        <f>KH_26_OPT4_KTQT_v4[[#This Row],[SL-04]]*KH_26_OPT4_KTQT_v4[[#This Row],[GB-04]]*EXR</f>
        <v>0</v>
      </c>
      <c r="BH96" s="47">
        <f>KH_26_OPT4_KTQT_v4[[#This Row],[SL-05]]*KH_26_OPT4_KTQT_v4[[#This Row],[GB-05]]*EXR</f>
        <v>0</v>
      </c>
      <c r="BI96" s="47">
        <f>KH_26_OPT4_KTQT_v4[[#This Row],[SL-06]]*KH_26_OPT4_KTQT_v4[[#This Row],[GB-06]]*EXR</f>
        <v>728750000</v>
      </c>
      <c r="BJ96" s="47">
        <f>KH_26_OPT4_KTQT_v4[[#This Row],[SL-07]]*KH_26_OPT4_KTQT_v4[[#This Row],[GB-07]]*EXR</f>
        <v>0</v>
      </c>
      <c r="BK96" s="47">
        <f>KH_26_OPT4_KTQT_v4[[#This Row],[SL-08]]*KH_26_OPT4_KTQT_v4[[#This Row],[GB-08]]*EXR</f>
        <v>0</v>
      </c>
      <c r="BL96" s="47">
        <f>KH_26_OPT4_KTQT_v4[[#This Row],[SL-09]]*KH_26_OPT4_KTQT_v4[[#This Row],[GB-09]]*EXR</f>
        <v>0</v>
      </c>
      <c r="BM96" s="47">
        <f>KH_26_OPT4_KTQT_v4[[#This Row],[SL-10]]*KH_26_OPT4_KTQT_v4[[#This Row],[GB-10]]*EXR</f>
        <v>728750000</v>
      </c>
      <c r="BN96" s="47">
        <f>KH_26_OPT4_KTQT_v4[[#This Row],[SL-11]]*KH_26_OPT4_KTQT_v4[[#This Row],[GB-11]]*EXR</f>
        <v>0</v>
      </c>
      <c r="BO96" s="47">
        <f>KH_26_OPT4_KTQT_v4[[#This Row],[SL-12]]*KH_26_OPT4_KTQT_v4[[#This Row],[GB-12]]*EXR</f>
        <v>0</v>
      </c>
      <c r="BP96" s="47">
        <f ca="1">SUM(KH_26_OPT4_KTQT_v4[[#This Row],[DT-EXW-01]:[DT-EXW-12]])</f>
        <v>2186250000</v>
      </c>
      <c r="BQ96" s="47">
        <f ca="1">SUMIFS(DB_25[DT-DB25],DB_25[Mã khách],KH_26_OPT4_KTQT_v4[[#This Row],[Mã khách]],DB_25[Mã sản phẩm],KH_26_OPT4_KTQT_v4[[#This Row],[Mã sản phẩm]])</f>
        <v>2151991125.8846154</v>
      </c>
      <c r="BR96" s="47">
        <f ca="1">KH_26_OPT4_KTQT_v4[[#This Row],[DT-EXW-KH26]]-KH_26_OPT4_KTQT_v4[[#This Row],[DT-EXW-DB25]]</f>
        <v>34258874.115384579</v>
      </c>
      <c r="BS96" s="21">
        <f ca="1">IFERROR(KH_26_OPT4_KTQT_v4[[#This Row],[DT-EXW-+/-]]/KH_26_OPT4_KTQT_v4[[#This Row],[DT-EXW-DB25]],0)</f>
        <v>1.5919616815939164E-2</v>
      </c>
      <c r="BT96" s="139"/>
      <c r="BU96" s="57"/>
      <c r="BV96" s="51"/>
      <c r="BW96" s="47">
        <f>IF(KH_26_OPT4_KTQT_v4[[#This Row],[CPHH-%-SL]]="Dthu",KH_26_OPT4_KTQT_v4[[#This Row],[%HH]]*KH_26_OPT4_KTQT_v4[[#This Row],[DT-EXW-01]],KH_26_OPT4_KTQT_v4[[#This Row],[HH-SL]]*KH_26_OPT4_KTQT_v4[[#This Row],[SL-01]])</f>
        <v>0</v>
      </c>
      <c r="BX96" s="47">
        <f>IF(KH_26_OPT4_KTQT_v4[[#This Row],[CPHH-%-SL]]="Dthu",KH_26_OPT4_KTQT_v4[[#This Row],[%HH]]*KH_26_OPT4_KTQT_v4[[#This Row],[DT-EXW-02]],KH_26_OPT4_KTQT_v4[[#This Row],[HH-SL]]*KH_26_OPT4_KTQT_v4[[#This Row],[SL-02]])</f>
        <v>0</v>
      </c>
      <c r="BY96" s="47">
        <f>IF(KH_26_OPT4_KTQT_v4[[#This Row],[CPHH-%-SL]]="Dthu",KH_26_OPT4_KTQT_v4[[#This Row],[%HH]]*KH_26_OPT4_KTQT_v4[[#This Row],[DT-EXW-03]],KH_26_OPT4_KTQT_v4[[#This Row],[HH-SL]]*KH_26_OPT4_KTQT_v4[[#This Row],[SL-03]])</f>
        <v>0</v>
      </c>
      <c r="BZ96" s="47">
        <f>IF(KH_26_OPT4_KTQT_v4[[#This Row],[CPHH-%-SL]]="Dthu",KH_26_OPT4_KTQT_v4[[#This Row],[%HH]]*KH_26_OPT4_KTQT_v4[[#This Row],[DT-EXW-04]],KH_26_OPT4_KTQT_v4[[#This Row],[HH-SL]]*KH_26_OPT4_KTQT_v4[[#This Row],[SL-04]])</f>
        <v>0</v>
      </c>
      <c r="CA96" s="47">
        <f>IF(KH_26_OPT4_KTQT_v4[[#This Row],[CPHH-%-SL]]="Dthu",KH_26_OPT4_KTQT_v4[[#This Row],[%HH]]*KH_26_OPT4_KTQT_v4[[#This Row],[DT-EXW-05]],KH_26_OPT4_KTQT_v4[[#This Row],[HH-SL]]*KH_26_OPT4_KTQT_v4[[#This Row],[SL-05]])</f>
        <v>0</v>
      </c>
      <c r="CB96" s="47">
        <f>IF(KH_26_OPT4_KTQT_v4[[#This Row],[CPHH-%-SL]]="Dthu",KH_26_OPT4_KTQT_v4[[#This Row],[%HH]]*KH_26_OPT4_KTQT_v4[[#This Row],[DT-EXW-06]],KH_26_OPT4_KTQT_v4[[#This Row],[HH-SL]]*KH_26_OPT4_KTQT_v4[[#This Row],[SL-06]])</f>
        <v>0</v>
      </c>
      <c r="CC96" s="47">
        <f>IF(KH_26_OPT4_KTQT_v4[[#This Row],[CPHH-%-SL]]="Dthu",KH_26_OPT4_KTQT_v4[[#This Row],[%HH]]*KH_26_OPT4_KTQT_v4[[#This Row],[DT-EXW-07]],KH_26_OPT4_KTQT_v4[[#This Row],[HH-SL]]*KH_26_OPT4_KTQT_v4[[#This Row],[SL-07]])</f>
        <v>0</v>
      </c>
      <c r="CD96" s="47">
        <f>IF(KH_26_OPT4_KTQT_v4[[#This Row],[CPHH-%-SL]]="Dthu",KH_26_OPT4_KTQT_v4[[#This Row],[%HH]]*KH_26_OPT4_KTQT_v4[[#This Row],[DT-EXW-08]],KH_26_OPT4_KTQT_v4[[#This Row],[HH-SL]]*KH_26_OPT4_KTQT_v4[[#This Row],[SL-08]])</f>
        <v>0</v>
      </c>
      <c r="CE96" s="47">
        <f>IF(KH_26_OPT4_KTQT_v4[[#This Row],[CPHH-%-SL]]="Dthu",KH_26_OPT4_KTQT_v4[[#This Row],[%HH]]*KH_26_OPT4_KTQT_v4[[#This Row],[DT-EXW-09]],KH_26_OPT4_KTQT_v4[[#This Row],[HH-SL]]*KH_26_OPT4_KTQT_v4[[#This Row],[SL-09]])</f>
        <v>0</v>
      </c>
      <c r="CF96" s="47">
        <f>IF(KH_26_OPT4_KTQT_v4[[#This Row],[CPHH-%-SL]]="Dthu",KH_26_OPT4_KTQT_v4[[#This Row],[%HH]]*KH_26_OPT4_KTQT_v4[[#This Row],[DT-EXW-10]],KH_26_OPT4_KTQT_v4[[#This Row],[HH-SL]]*KH_26_OPT4_KTQT_v4[[#This Row],[SL-10]])</f>
        <v>0</v>
      </c>
      <c r="CG96" s="47">
        <f>IF(KH_26_OPT4_KTQT_v4[[#This Row],[CPHH-%-SL]]="Dthu",KH_26_OPT4_KTQT_v4[[#This Row],[%HH]]*KH_26_OPT4_KTQT_v4[[#This Row],[DT-EXW-11]],KH_26_OPT4_KTQT_v4[[#This Row],[HH-SL]]*KH_26_OPT4_KTQT_v4[[#This Row],[SL-11]])</f>
        <v>0</v>
      </c>
      <c r="CH96" s="47">
        <f>IF(KH_26_OPT4_KTQT_v4[[#This Row],[CPHH-%-SL]]="Dthu",KH_26_OPT4_KTQT_v4[[#This Row],[%HH]]*KH_26_OPT4_KTQT_v4[[#This Row],[DT-EXW-12]],KH_26_OPT4_KTQT_v4[[#This Row],[HH-SL]]*KH_26_OPT4_KTQT_v4[[#This Row],[SL-12]])</f>
        <v>0</v>
      </c>
      <c r="CI96" s="47">
        <f ca="1">SUM(KH_26_OPT4_KTQT_v4[[#This Row],[CPHH-01]:[CPHH-12]])</f>
        <v>0</v>
      </c>
      <c r="CJ96" s="47" cm="1">
        <f t="array" ref="CJ96">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96" s="19">
        <f ca="1">SUM(KH_26_OPT4_KTQT_v4[[#This Row],[ĐGVCNĐ-KXK]:[ĐGVCCT-KXK]])</f>
        <v>530000</v>
      </c>
      <c r="CL96" s="47" cm="1">
        <f t="array" ref="CL96">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530000</v>
      </c>
      <c r="CM96" s="47" cm="1">
        <f t="array" ref="CM96">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96" s="47">
        <f ca="1">(KH_26_OPT4_KTQT_v4[[#This Row],[ĐGVC-KNĐ]]+KH_26_OPT4_KTQT_v4[[#This Row],[ĐGVC-KXK]])*KH_26_OPT4_KTQT_v4[[#This Row],[SL-01]]</f>
        <v>0</v>
      </c>
      <c r="CO96" s="47">
        <f ca="1">(KH_26_OPT4_KTQT_v4[[#This Row],[ĐGVC-KNĐ]]+KH_26_OPT4_KTQT_v4[[#This Row],[ĐGVC-KXK]])*KH_26_OPT4_KTQT_v4[[#This Row],[SL-02]]</f>
        <v>11660000</v>
      </c>
      <c r="CP96" s="47">
        <f ca="1">(KH_26_OPT4_KTQT_v4[[#This Row],[ĐGVC-KNĐ]]+KH_26_OPT4_KTQT_v4[[#This Row],[ĐGVC-KXK]])*KH_26_OPT4_KTQT_v4[[#This Row],[SL-03]]</f>
        <v>0</v>
      </c>
      <c r="CQ96" s="47">
        <f ca="1">(KH_26_OPT4_KTQT_v4[[#This Row],[ĐGVC-KNĐ]]+KH_26_OPT4_KTQT_v4[[#This Row],[ĐGVC-KXK]])*KH_26_OPT4_KTQT_v4[[#This Row],[SL-04]]</f>
        <v>0</v>
      </c>
      <c r="CR96" s="47">
        <f ca="1">(KH_26_OPT4_KTQT_v4[[#This Row],[ĐGVC-KNĐ]]+KH_26_OPT4_KTQT_v4[[#This Row],[ĐGVC-KXK]])*KH_26_OPT4_KTQT_v4[[#This Row],[SL-05]]</f>
        <v>0</v>
      </c>
      <c r="CS96" s="47">
        <f ca="1">(KH_26_OPT4_KTQT_v4[[#This Row],[ĐGVC-KNĐ]]+KH_26_OPT4_KTQT_v4[[#This Row],[ĐGVC-KXK]])*KH_26_OPT4_KTQT_v4[[#This Row],[SL-06]]</f>
        <v>11660000</v>
      </c>
      <c r="CT96" s="47">
        <f ca="1">(KH_26_OPT4_KTQT_v4[[#This Row],[ĐGVC-KNĐ]]+KH_26_OPT4_KTQT_v4[[#This Row],[ĐGVC-KXK]])*KH_26_OPT4_KTQT_v4[[#This Row],[SL-07]]</f>
        <v>0</v>
      </c>
      <c r="CU96" s="47">
        <f ca="1">(KH_26_OPT4_KTQT_v4[[#This Row],[ĐGVC-KNĐ]]+KH_26_OPT4_KTQT_v4[[#This Row],[ĐGVC-KXK]])*KH_26_OPT4_KTQT_v4[[#This Row],[SL-08]]</f>
        <v>0</v>
      </c>
      <c r="CV96" s="47">
        <f ca="1">(KH_26_OPT4_KTQT_v4[[#This Row],[ĐGVC-KNĐ]]+KH_26_OPT4_KTQT_v4[[#This Row],[ĐGVC-KXK]])*KH_26_OPT4_KTQT_v4[[#This Row],[SL-09]]</f>
        <v>0</v>
      </c>
      <c r="CW96" s="47">
        <f ca="1">(KH_26_OPT4_KTQT_v4[[#This Row],[ĐGVC-KNĐ]]+KH_26_OPT4_KTQT_v4[[#This Row],[ĐGVC-KXK]])*KH_26_OPT4_KTQT_v4[[#This Row],[SL-10]]</f>
        <v>11660000</v>
      </c>
      <c r="CX96" s="47">
        <f ca="1">(KH_26_OPT4_KTQT_v4[[#This Row],[ĐGVC-KNĐ]]+KH_26_OPT4_KTQT_v4[[#This Row],[ĐGVC-KXK]])*KH_26_OPT4_KTQT_v4[[#This Row],[SL-11]]</f>
        <v>0</v>
      </c>
      <c r="CY96" s="47">
        <f ca="1">(KH_26_OPT4_KTQT_v4[[#This Row],[ĐGVC-KNĐ]]+KH_26_OPT4_KTQT_v4[[#This Row],[ĐGVC-KXK]])*KH_26_OPT4_KTQT_v4[[#This Row],[SL-12]]</f>
        <v>0</v>
      </c>
      <c r="CZ96" s="47">
        <f ca="1">SUM(KH_26_OPT4_KTQT_v4[[#This Row],[CPVC-01]:[CPVC-12]])</f>
        <v>34980000</v>
      </c>
      <c r="DA96" s="124">
        <f ca="1">KH_26_OPT4_KTQT_v4[[#This Row],[DT-EXW-01]]+KH_26_OPT4_KTQT_v4[[#This Row],[CPVC-01]]+KH_26_OPT4_KTQT_v4[[#This Row],[CPHH-01]]</f>
        <v>0</v>
      </c>
      <c r="DB96" s="47">
        <f ca="1">KH_26_OPT4_KTQT_v4[[#This Row],[DT-EXW-02]]+KH_26_OPT4_KTQT_v4[[#This Row],[CPVC-02]]+KH_26_OPT4_KTQT_v4[[#This Row],[CPHH-02]]</f>
        <v>740410000</v>
      </c>
      <c r="DC96" s="47">
        <f ca="1">KH_26_OPT4_KTQT_v4[[#This Row],[DT-EXW-03]]+KH_26_OPT4_KTQT_v4[[#This Row],[CPVC-03]]+KH_26_OPT4_KTQT_v4[[#This Row],[CPHH-03]]</f>
        <v>0</v>
      </c>
      <c r="DD96" s="47">
        <f ca="1">KH_26_OPT4_KTQT_v4[[#This Row],[DT-EXW-04]]+KH_26_OPT4_KTQT_v4[[#This Row],[CPVC-04]]+KH_26_OPT4_KTQT_v4[[#This Row],[CPHH-04]]</f>
        <v>0</v>
      </c>
      <c r="DE96" s="47">
        <f ca="1">KH_26_OPT4_KTQT_v4[[#This Row],[DT-EXW-05]]+KH_26_OPT4_KTQT_v4[[#This Row],[CPVC-05]]+KH_26_OPT4_KTQT_v4[[#This Row],[CPHH-05]]</f>
        <v>0</v>
      </c>
      <c r="DF96" s="47">
        <f ca="1">KH_26_OPT4_KTQT_v4[[#This Row],[DT-EXW-06]]+KH_26_OPT4_KTQT_v4[[#This Row],[CPVC-06]]+KH_26_OPT4_KTQT_v4[[#This Row],[CPHH-06]]</f>
        <v>740410000</v>
      </c>
      <c r="DG96" s="47">
        <f ca="1">KH_26_OPT4_KTQT_v4[[#This Row],[DT-EXW-07]]+KH_26_OPT4_KTQT_v4[[#This Row],[CPVC-07]]+KH_26_OPT4_KTQT_v4[[#This Row],[CPHH-07]]</f>
        <v>0</v>
      </c>
      <c r="DH96" s="47">
        <f ca="1">KH_26_OPT4_KTQT_v4[[#This Row],[DT-EXW-08]]+KH_26_OPT4_KTQT_v4[[#This Row],[CPVC-08]]+KH_26_OPT4_KTQT_v4[[#This Row],[CPHH-08]]</f>
        <v>0</v>
      </c>
      <c r="DI96" s="47">
        <f ca="1">KH_26_OPT4_KTQT_v4[[#This Row],[DT-EXW-09]]+KH_26_OPT4_KTQT_v4[[#This Row],[CPVC-09]]+KH_26_OPT4_KTQT_v4[[#This Row],[CPHH-09]]</f>
        <v>0</v>
      </c>
      <c r="DJ96" s="47">
        <f ca="1">KH_26_OPT4_KTQT_v4[[#This Row],[DT-EXW-10]]+KH_26_OPT4_KTQT_v4[[#This Row],[CPVC-10]]+KH_26_OPT4_KTQT_v4[[#This Row],[CPHH-10]]</f>
        <v>740410000</v>
      </c>
      <c r="DK96" s="47">
        <f ca="1">KH_26_OPT4_KTQT_v4[[#This Row],[DT-EXW-11]]+KH_26_OPT4_KTQT_v4[[#This Row],[CPVC-11]]+KH_26_OPT4_KTQT_v4[[#This Row],[CPHH-11]]</f>
        <v>0</v>
      </c>
      <c r="DL96" s="47">
        <f ca="1">KH_26_OPT4_KTQT_v4[[#This Row],[DT-EXW-12]]+KH_26_OPT4_KTQT_v4[[#This Row],[CPVC-12]]+KH_26_OPT4_KTQT_v4[[#This Row],[CPHH-12]]</f>
        <v>0</v>
      </c>
      <c r="DM96" s="47">
        <f ca="1">SUM(KH_26_OPT4_KTQT_v4[[#This Row],[DT-01]:[DT-12]])</f>
        <v>2221230000</v>
      </c>
      <c r="DN96" s="7"/>
      <c r="DO96" s="7"/>
      <c r="DP96" s="125"/>
      <c r="DQ96" s="136"/>
      <c r="DR96" s="132">
        <f>IFERROR(KH_26_OPT4_KTQT_v4[[#This Row],[DT-EXW-01]]*KH_26_OPT4_KTQT_v4[[#This Row],[%CPDP]],0)</f>
        <v>0</v>
      </c>
      <c r="DS96" s="132">
        <f>IFERROR(KH_26_OPT4_KTQT_v4[[#This Row],[DT-EXW-02]]*KH_26_OPT4_KTQT_v4[[#This Row],[%CPDP]],0)</f>
        <v>0</v>
      </c>
      <c r="DT96" s="132">
        <f>IFERROR(KH_26_OPT4_KTQT_v4[[#This Row],[DT-EXW-03]]*KH_26_OPT4_KTQT_v4[[#This Row],[%CPDP]],0)</f>
        <v>0</v>
      </c>
      <c r="DU96" s="132">
        <f>IFERROR(KH_26_OPT4_KTQT_v4[[#This Row],[DT-EXW-04]]*KH_26_OPT4_KTQT_v4[[#This Row],[%CPDP]],0)</f>
        <v>0</v>
      </c>
      <c r="DV96" s="132">
        <f>IFERROR(KH_26_OPT4_KTQT_v4[[#This Row],[DT-EXW-05]]*KH_26_OPT4_KTQT_v4[[#This Row],[%CPDP]],0)</f>
        <v>0</v>
      </c>
      <c r="DW96" s="132">
        <f>IFERROR(KH_26_OPT4_KTQT_v4[[#This Row],[DT-EXW-06]]*KH_26_OPT4_KTQT_v4[[#This Row],[%CPDP]],0)</f>
        <v>0</v>
      </c>
      <c r="DX96" s="132">
        <f>IFERROR(KH_26_OPT4_KTQT_v4[[#This Row],[DT-EXW-07]]*KH_26_OPT4_KTQT_v4[[#This Row],[%CPDP]],0)</f>
        <v>0</v>
      </c>
      <c r="DY96" s="132">
        <f>IFERROR(KH_26_OPT4_KTQT_v4[[#This Row],[DT-EXW-08]]*KH_26_OPT4_KTQT_v4[[#This Row],[%CPDP]],0)</f>
        <v>0</v>
      </c>
      <c r="DZ96" s="132">
        <f>IFERROR(KH_26_OPT4_KTQT_v4[[#This Row],[DT-EXW-09]]*KH_26_OPT4_KTQT_v4[[#This Row],[%CPDP]],0)</f>
        <v>0</v>
      </c>
      <c r="EA96" s="132">
        <f>IFERROR(KH_26_OPT4_KTQT_v4[[#This Row],[DT-EXW-10]]*KH_26_OPT4_KTQT_v4[[#This Row],[%CPDP]],0)</f>
        <v>0</v>
      </c>
      <c r="EB96" s="132">
        <f>IFERROR(KH_26_OPT4_KTQT_v4[[#This Row],[DT-EXW-11]]*KH_26_OPT4_KTQT_v4[[#This Row],[%CPDP]],0)</f>
        <v>0</v>
      </c>
      <c r="EC96" s="132">
        <f>IFERROR(KH_26_OPT4_KTQT_v4[[#This Row],[DT-EXW-12]]*KH_26_OPT4_KTQT_v4[[#This Row],[%CPDP]],0)</f>
        <v>0</v>
      </c>
      <c r="ED96" s="131">
        <f ca="1">SUM(KH_26_OPT4_KTQT_v4[[#This Row],[CPDP-01]:[CPDP-12]])</f>
        <v>0</v>
      </c>
    </row>
    <row r="97" spans="1:134" ht="14.65" hidden="1" customHeight="1" x14ac:dyDescent="0.35">
      <c r="A97" s="18">
        <v>92</v>
      </c>
      <c r="B97" s="71" t="s">
        <v>115</v>
      </c>
      <c r="C97" s="18" t="str">
        <f>IFERROR(_xlfn.XLOOKUP(KH_26_OPT4_KTQT_v4[[#This Row],[Salesman]],MD_Salesman[Salesman],MD_Salesman[SalesManager]),"")</f>
        <v>Quốc Anh</v>
      </c>
      <c r="D97" s="72" t="str">
        <f>IFERROR(INDEX(MD_Customer[Mã khách],MATCH(KH_26_OPT4_KTQT_v4[[#This Row],[Tên khách]],MD_Customer[Tên khách-rút gọn],0)),"")</f>
        <v>105333</v>
      </c>
      <c r="E97" s="7" t="str">
        <f>IFERROR(INDEX(MD_Customer[Parent Account],MATCH(KH_26_OPT4_KTQT_v4[[#This Row],[Tên khách]],MD_Customer[Tên khách-rút gọn],0)),"")</f>
        <v>LƯỚI BẢO NÔNG</v>
      </c>
      <c r="F97" s="35" t="s">
        <v>56</v>
      </c>
      <c r="G97" s="7" t="str">
        <f>IFERROR(INDEX(MD_Customer[Phân loại],MATCH(KH_26_OPT4_KTQT_v4[[#This Row],[Tên khách]],MD_Customer[Tên khách-rút gọn],0)),"")</f>
        <v>Hiện hữu</v>
      </c>
      <c r="H97" s="7" t="str">
        <f>IFERROR(INDEX(MD_Customer[Kênh bán hàng],MATCH(KH_26_OPT4_KTQT_v4[[#This Row],[Tên khách]],MD_Customer[Tên khách-rút gọn],0)),"")</f>
        <v>Nội địa</v>
      </c>
      <c r="I97" s="35" t="s">
        <v>258</v>
      </c>
      <c r="J97" s="7" t="str">
        <f>IFERROR(INDEX(MD_Destination[Nước],MATCH(KH_26_OPT4_KTQT_v4[[#This Row],[Địa điểm đến]],MD_Destination[Địa điểm đến],0)),"")</f>
        <v>Việt Nam</v>
      </c>
      <c r="K97" s="7" t="str">
        <f>IFERROR(INDEX(MD_Destination[Khu vực],MATCH(KH_26_OPT4_KTQT_v4[[#This Row],[Địa điểm đến]],MD_Destination[Địa điểm đến],0)),"")</f>
        <v>Châu Á</v>
      </c>
      <c r="L97" s="35" t="s">
        <v>260</v>
      </c>
      <c r="M97" s="7" t="str">
        <f>IFERROR(INDEX(MD_SKU[Mã SKU],MATCH(KH_26_OPT4_KTQT_v4[[#This Row],[Tên sản phẩm]],MD_SKU[Tên SKU-rút gọn],0)),"")</f>
        <v>160012611</v>
      </c>
      <c r="N97" s="35" t="s">
        <v>507</v>
      </c>
      <c r="O97" s="7" t="str">
        <f>IFERROR(INDEX(MD_SKU[Ngành hàng],MATCH(KH_26_OPT4_KTQT_v4[[#This Row],[Tên sản phẩm]],MD_SKU[Tên SKU-rút gọn],0)),"")</f>
        <v>Phó sản</v>
      </c>
      <c r="P97" s="7" t="str">
        <f>IFERROR(INDEX(MD_SKU[Nhóm ngành],MATCH(KH_26_OPT4_KTQT_v4[[#This Row],[Tên sản phẩm]],MD_SKU[Tên SKU-rút gọn],0)),"")</f>
        <v>Vảy Phó sản HD ép</v>
      </c>
      <c r="Q97" s="7" t="str">
        <f>IFERROR(
   IF(INDEX(MD_SKU[IV/IM],MATCH(KH_26_OPT4_KTQT_v4[[#This Row],[Tên sản phẩm]],MD_SKU[Tên SKU-rút gọn],0))=0,
      "",
      INDEX(MD_SKU[IV/IM],MATCH(KH_26_OPT4_KTQT_v4[[#This Row],[Tên sản phẩm]],MD_SKU[Tên SKU-rút gọn],0))
   ),
"")</f>
        <v/>
      </c>
      <c r="R97" s="44">
        <f>IFERROR(INDEX(MD_SKU[Application],MATCH(KH_26_OPT4_KTQT_v4[[#This Row],[Tên sản phẩm]],MD_SKU[Tên SKU-rút gọn],0)),"")</f>
        <v>0</v>
      </c>
      <c r="S97" s="7" t="str">
        <f>IFERROR(INDEX(MD_SKU[Phân loại],MATCH(KH_26_OPT4_KTQT_v4[[#This Row],[Tên sản phẩm]],MD_SKU[Tên SKU-rút gọn],0)),"")</f>
        <v>Cũ</v>
      </c>
      <c r="T97" s="7"/>
      <c r="U97" s="7" t="s">
        <v>1508</v>
      </c>
      <c r="V97" s="70">
        <v>0.8</v>
      </c>
      <c r="W97" s="33">
        <v>11</v>
      </c>
      <c r="X97" s="33"/>
      <c r="Y97" s="33">
        <v>11</v>
      </c>
      <c r="Z97" s="33"/>
      <c r="AA97" s="33">
        <v>11</v>
      </c>
      <c r="AB97" s="33"/>
      <c r="AC97" s="33">
        <v>11</v>
      </c>
      <c r="AD97" s="33"/>
      <c r="AE97" s="33">
        <v>11</v>
      </c>
      <c r="AF97" s="33"/>
      <c r="AG97" s="33">
        <v>11</v>
      </c>
      <c r="AH97" s="33"/>
      <c r="AI97" s="47">
        <f ca="1">SUM(KH_26_OPT4_KTQT_v4[[#This Row],[SL-01]:[SL-12]])</f>
        <v>66</v>
      </c>
      <c r="AJ97" s="47">
        <f ca="1">SUMIFS(DB_25[SL-DB25],DB_25[Mã khách],KH_26_OPT4_KTQT_v4[[#This Row],[Mã khách]],DB_25[Mã sản phẩm],KH_26_OPT4_KTQT_v4[[#This Row],[Mã sản phẩm]])</f>
        <v>382.37099999999998</v>
      </c>
      <c r="AK97" s="20">
        <f ca="1">KH_26_OPT4_KTQT_v4[[#This Row],[SL-KH26]]-KH_26_OPT4_KTQT_v4[[#This Row],[SL-DB25]]</f>
        <v>-316.37099999999998</v>
      </c>
      <c r="AL97" s="21">
        <f ca="1">IFERROR(KH_26_OPT4_KTQT_v4[[#This Row],[SL-+/-]]/KH_26_OPT4_KTQT_v4[[#This Row],[SL-DB25]],0)</f>
        <v>-0.82739276775696902</v>
      </c>
      <c r="AM97" s="51">
        <v>500</v>
      </c>
      <c r="AN97" s="51">
        <v>500</v>
      </c>
      <c r="AO97" s="51">
        <v>500</v>
      </c>
      <c r="AP97" s="51">
        <v>500</v>
      </c>
      <c r="AQ97" s="51">
        <v>500</v>
      </c>
      <c r="AR97" s="51">
        <v>500</v>
      </c>
      <c r="AS97" s="51">
        <v>500</v>
      </c>
      <c r="AT97" s="51">
        <v>500</v>
      </c>
      <c r="AU97" s="51">
        <v>500</v>
      </c>
      <c r="AV97" s="51">
        <v>500</v>
      </c>
      <c r="AW97" s="51">
        <v>500</v>
      </c>
      <c r="AX97" s="51">
        <v>500</v>
      </c>
      <c r="AY97" s="23">
        <v>500</v>
      </c>
      <c r="AZ97" s="7"/>
      <c r="BA97" s="24">
        <f>KH_26_OPT4_KTQT_v4[[#This Row],[GB-DB25]]-KH_26_OPT4_KTQT_v4[[#This Row],[GB-KH25]]</f>
        <v>500</v>
      </c>
      <c r="BB97" s="21">
        <f>IFERROR(KH_26_OPT4_KTQT_v4[[#This Row],[GB-+/-]]/KH_26_OPT4_KTQT_v4[[#This Row],[GB-KH25]],0)</f>
        <v>0</v>
      </c>
      <c r="BC97" s="21"/>
      <c r="BD97" s="47">
        <f>KH_26_OPT4_KTQT_v4[[#This Row],[SL-01]]*KH_26_OPT4_KTQT_v4[[#This Row],[GB-01]]*EXR</f>
        <v>145750000</v>
      </c>
      <c r="BE97" s="47">
        <f>KH_26_OPT4_KTQT_v4[[#This Row],[SL-02]]*KH_26_OPT4_KTQT_v4[[#This Row],[GB-02]]*EXR</f>
        <v>0</v>
      </c>
      <c r="BF97" s="47">
        <f>KH_26_OPT4_KTQT_v4[[#This Row],[SL-03]]*KH_26_OPT4_KTQT_v4[[#This Row],[GB-03]]*EXR</f>
        <v>145750000</v>
      </c>
      <c r="BG97" s="47">
        <f>KH_26_OPT4_KTQT_v4[[#This Row],[SL-04]]*KH_26_OPT4_KTQT_v4[[#This Row],[GB-04]]*EXR</f>
        <v>0</v>
      </c>
      <c r="BH97" s="47">
        <f>KH_26_OPT4_KTQT_v4[[#This Row],[SL-05]]*KH_26_OPT4_KTQT_v4[[#This Row],[GB-05]]*EXR</f>
        <v>145750000</v>
      </c>
      <c r="BI97" s="47">
        <f>KH_26_OPT4_KTQT_v4[[#This Row],[SL-06]]*KH_26_OPT4_KTQT_v4[[#This Row],[GB-06]]*EXR</f>
        <v>0</v>
      </c>
      <c r="BJ97" s="47">
        <f>KH_26_OPT4_KTQT_v4[[#This Row],[SL-07]]*KH_26_OPT4_KTQT_v4[[#This Row],[GB-07]]*EXR</f>
        <v>145750000</v>
      </c>
      <c r="BK97" s="47">
        <f>KH_26_OPT4_KTQT_v4[[#This Row],[SL-08]]*KH_26_OPT4_KTQT_v4[[#This Row],[GB-08]]*EXR</f>
        <v>0</v>
      </c>
      <c r="BL97" s="47">
        <f>KH_26_OPT4_KTQT_v4[[#This Row],[SL-09]]*KH_26_OPT4_KTQT_v4[[#This Row],[GB-09]]*EXR</f>
        <v>145750000</v>
      </c>
      <c r="BM97" s="47">
        <f>KH_26_OPT4_KTQT_v4[[#This Row],[SL-10]]*KH_26_OPT4_KTQT_v4[[#This Row],[GB-10]]*EXR</f>
        <v>0</v>
      </c>
      <c r="BN97" s="47">
        <f>KH_26_OPT4_KTQT_v4[[#This Row],[SL-11]]*KH_26_OPT4_KTQT_v4[[#This Row],[GB-11]]*EXR</f>
        <v>145750000</v>
      </c>
      <c r="BO97" s="47">
        <f>KH_26_OPT4_KTQT_v4[[#This Row],[SL-12]]*KH_26_OPT4_KTQT_v4[[#This Row],[GB-12]]*EXR</f>
        <v>0</v>
      </c>
      <c r="BP97" s="47">
        <f ca="1">SUM(KH_26_OPT4_KTQT_v4[[#This Row],[DT-EXW-01]:[DT-EXW-12]])</f>
        <v>874500000</v>
      </c>
      <c r="BQ97" s="47">
        <f ca="1">SUMIFS(DB_25[DT-DB25],DB_25[Mã khách],KH_26_OPT4_KTQT_v4[[#This Row],[Mã khách]],DB_25[Mã sản phẩm],KH_26_OPT4_KTQT_v4[[#This Row],[Mã sản phẩm]])</f>
        <v>2294998622.4838281</v>
      </c>
      <c r="BR97" s="19">
        <f ca="1">KH_26_OPT4_KTQT_v4[[#This Row],[DT-EXW-KH26]]-KH_26_OPT4_KTQT_v4[[#This Row],[DT-EXW-DB25]]</f>
        <v>-1420498622.4838281</v>
      </c>
      <c r="BS97" s="21">
        <f ca="1">IFERROR(KH_26_OPT4_KTQT_v4[[#This Row],[DT-EXW-+/-]]/KH_26_OPT4_KTQT_v4[[#This Row],[DT-EXW-DB25]],0)</f>
        <v>-0.61895401965272323</v>
      </c>
      <c r="BT97" s="139"/>
      <c r="BU97" s="57"/>
      <c r="BV97" s="51"/>
      <c r="BW97" s="47">
        <f>IF(KH_26_OPT4_KTQT_v4[[#This Row],[CPHH-%-SL]]="Dthu",KH_26_OPT4_KTQT_v4[[#This Row],[%HH]]*KH_26_OPT4_KTQT_v4[[#This Row],[DT-EXW-01]],KH_26_OPT4_KTQT_v4[[#This Row],[HH-SL]]*KH_26_OPT4_KTQT_v4[[#This Row],[SL-01]])</f>
        <v>0</v>
      </c>
      <c r="BX97" s="47">
        <f>IF(KH_26_OPT4_KTQT_v4[[#This Row],[CPHH-%-SL]]="Dthu",KH_26_OPT4_KTQT_v4[[#This Row],[%HH]]*KH_26_OPT4_KTQT_v4[[#This Row],[DT-EXW-02]],KH_26_OPT4_KTQT_v4[[#This Row],[HH-SL]]*KH_26_OPT4_KTQT_v4[[#This Row],[SL-02]])</f>
        <v>0</v>
      </c>
      <c r="BY97" s="47">
        <f>IF(KH_26_OPT4_KTQT_v4[[#This Row],[CPHH-%-SL]]="Dthu",KH_26_OPT4_KTQT_v4[[#This Row],[%HH]]*KH_26_OPT4_KTQT_v4[[#This Row],[DT-EXW-03]],KH_26_OPT4_KTQT_v4[[#This Row],[HH-SL]]*KH_26_OPT4_KTQT_v4[[#This Row],[SL-03]])</f>
        <v>0</v>
      </c>
      <c r="BZ97" s="47">
        <f>IF(KH_26_OPT4_KTQT_v4[[#This Row],[CPHH-%-SL]]="Dthu",KH_26_OPT4_KTQT_v4[[#This Row],[%HH]]*KH_26_OPT4_KTQT_v4[[#This Row],[DT-EXW-04]],KH_26_OPT4_KTQT_v4[[#This Row],[HH-SL]]*KH_26_OPT4_KTQT_v4[[#This Row],[SL-04]])</f>
        <v>0</v>
      </c>
      <c r="CA97" s="47">
        <f>IF(KH_26_OPT4_KTQT_v4[[#This Row],[CPHH-%-SL]]="Dthu",KH_26_OPT4_KTQT_v4[[#This Row],[%HH]]*KH_26_OPT4_KTQT_v4[[#This Row],[DT-EXW-05]],KH_26_OPT4_KTQT_v4[[#This Row],[HH-SL]]*KH_26_OPT4_KTQT_v4[[#This Row],[SL-05]])</f>
        <v>0</v>
      </c>
      <c r="CB97" s="47">
        <f>IF(KH_26_OPT4_KTQT_v4[[#This Row],[CPHH-%-SL]]="Dthu",KH_26_OPT4_KTQT_v4[[#This Row],[%HH]]*KH_26_OPT4_KTQT_v4[[#This Row],[DT-EXW-06]],KH_26_OPT4_KTQT_v4[[#This Row],[HH-SL]]*KH_26_OPT4_KTQT_v4[[#This Row],[SL-06]])</f>
        <v>0</v>
      </c>
      <c r="CC97" s="47">
        <f>IF(KH_26_OPT4_KTQT_v4[[#This Row],[CPHH-%-SL]]="Dthu",KH_26_OPT4_KTQT_v4[[#This Row],[%HH]]*KH_26_OPT4_KTQT_v4[[#This Row],[DT-EXW-07]],KH_26_OPT4_KTQT_v4[[#This Row],[HH-SL]]*KH_26_OPT4_KTQT_v4[[#This Row],[SL-07]])</f>
        <v>0</v>
      </c>
      <c r="CD97" s="47">
        <f>IF(KH_26_OPT4_KTQT_v4[[#This Row],[CPHH-%-SL]]="Dthu",KH_26_OPT4_KTQT_v4[[#This Row],[%HH]]*KH_26_OPT4_KTQT_v4[[#This Row],[DT-EXW-08]],KH_26_OPT4_KTQT_v4[[#This Row],[HH-SL]]*KH_26_OPT4_KTQT_v4[[#This Row],[SL-08]])</f>
        <v>0</v>
      </c>
      <c r="CE97" s="47">
        <f>IF(KH_26_OPT4_KTQT_v4[[#This Row],[CPHH-%-SL]]="Dthu",KH_26_OPT4_KTQT_v4[[#This Row],[%HH]]*KH_26_OPT4_KTQT_v4[[#This Row],[DT-EXW-09]],KH_26_OPT4_KTQT_v4[[#This Row],[HH-SL]]*KH_26_OPT4_KTQT_v4[[#This Row],[SL-09]])</f>
        <v>0</v>
      </c>
      <c r="CF97" s="47">
        <f>IF(KH_26_OPT4_KTQT_v4[[#This Row],[CPHH-%-SL]]="Dthu",KH_26_OPT4_KTQT_v4[[#This Row],[%HH]]*KH_26_OPT4_KTQT_v4[[#This Row],[DT-EXW-10]],KH_26_OPT4_KTQT_v4[[#This Row],[HH-SL]]*KH_26_OPT4_KTQT_v4[[#This Row],[SL-10]])</f>
        <v>0</v>
      </c>
      <c r="CG97" s="47">
        <f>IF(KH_26_OPT4_KTQT_v4[[#This Row],[CPHH-%-SL]]="Dthu",KH_26_OPT4_KTQT_v4[[#This Row],[%HH]]*KH_26_OPT4_KTQT_v4[[#This Row],[DT-EXW-11]],KH_26_OPT4_KTQT_v4[[#This Row],[HH-SL]]*KH_26_OPT4_KTQT_v4[[#This Row],[SL-11]])</f>
        <v>0</v>
      </c>
      <c r="CH97" s="47">
        <f>IF(KH_26_OPT4_KTQT_v4[[#This Row],[CPHH-%-SL]]="Dthu",KH_26_OPT4_KTQT_v4[[#This Row],[%HH]]*KH_26_OPT4_KTQT_v4[[#This Row],[DT-EXW-12]],KH_26_OPT4_KTQT_v4[[#This Row],[HH-SL]]*KH_26_OPT4_KTQT_v4[[#This Row],[SL-12]])</f>
        <v>0</v>
      </c>
      <c r="CI97" s="47">
        <f ca="1">SUM(KH_26_OPT4_KTQT_v4[[#This Row],[CPHH-01]:[CPHH-12]])</f>
        <v>0</v>
      </c>
      <c r="CJ97" s="47" cm="1">
        <f t="array" ref="CJ97">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97" s="19">
        <f ca="1">SUM(KH_26_OPT4_KTQT_v4[[#This Row],[ĐGVCNĐ-KXK]:[ĐGVCCT-KXK]])</f>
        <v>0</v>
      </c>
      <c r="CL97" s="47" cm="1">
        <f t="array" ref="CL97">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97" s="47" cm="1">
        <f t="array" ref="CM97">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97" s="47">
        <f ca="1">(KH_26_OPT4_KTQT_v4[[#This Row],[ĐGVC-KNĐ]]+KH_26_OPT4_KTQT_v4[[#This Row],[ĐGVC-KXK]])*KH_26_OPT4_KTQT_v4[[#This Row],[SL-01]]</f>
        <v>0</v>
      </c>
      <c r="CO97" s="47">
        <f ca="1">(KH_26_OPT4_KTQT_v4[[#This Row],[ĐGVC-KNĐ]]+KH_26_OPT4_KTQT_v4[[#This Row],[ĐGVC-KXK]])*KH_26_OPT4_KTQT_v4[[#This Row],[SL-02]]</f>
        <v>0</v>
      </c>
      <c r="CP97" s="47">
        <f ca="1">(KH_26_OPT4_KTQT_v4[[#This Row],[ĐGVC-KNĐ]]+KH_26_OPT4_KTQT_v4[[#This Row],[ĐGVC-KXK]])*KH_26_OPT4_KTQT_v4[[#This Row],[SL-03]]</f>
        <v>0</v>
      </c>
      <c r="CQ97" s="47">
        <f ca="1">(KH_26_OPT4_KTQT_v4[[#This Row],[ĐGVC-KNĐ]]+KH_26_OPT4_KTQT_v4[[#This Row],[ĐGVC-KXK]])*KH_26_OPT4_KTQT_v4[[#This Row],[SL-04]]</f>
        <v>0</v>
      </c>
      <c r="CR97" s="47">
        <f ca="1">(KH_26_OPT4_KTQT_v4[[#This Row],[ĐGVC-KNĐ]]+KH_26_OPT4_KTQT_v4[[#This Row],[ĐGVC-KXK]])*KH_26_OPT4_KTQT_v4[[#This Row],[SL-05]]</f>
        <v>0</v>
      </c>
      <c r="CS97" s="47">
        <f ca="1">(KH_26_OPT4_KTQT_v4[[#This Row],[ĐGVC-KNĐ]]+KH_26_OPT4_KTQT_v4[[#This Row],[ĐGVC-KXK]])*KH_26_OPT4_KTQT_v4[[#This Row],[SL-06]]</f>
        <v>0</v>
      </c>
      <c r="CT97" s="47">
        <f ca="1">(KH_26_OPT4_KTQT_v4[[#This Row],[ĐGVC-KNĐ]]+KH_26_OPT4_KTQT_v4[[#This Row],[ĐGVC-KXK]])*KH_26_OPT4_KTQT_v4[[#This Row],[SL-07]]</f>
        <v>0</v>
      </c>
      <c r="CU97" s="47">
        <f ca="1">(KH_26_OPT4_KTQT_v4[[#This Row],[ĐGVC-KNĐ]]+KH_26_OPT4_KTQT_v4[[#This Row],[ĐGVC-KXK]])*KH_26_OPT4_KTQT_v4[[#This Row],[SL-08]]</f>
        <v>0</v>
      </c>
      <c r="CV97" s="47">
        <f ca="1">(KH_26_OPT4_KTQT_v4[[#This Row],[ĐGVC-KNĐ]]+KH_26_OPT4_KTQT_v4[[#This Row],[ĐGVC-KXK]])*KH_26_OPT4_KTQT_v4[[#This Row],[SL-09]]</f>
        <v>0</v>
      </c>
      <c r="CW97" s="47">
        <f ca="1">(KH_26_OPT4_KTQT_v4[[#This Row],[ĐGVC-KNĐ]]+KH_26_OPT4_KTQT_v4[[#This Row],[ĐGVC-KXK]])*KH_26_OPT4_KTQT_v4[[#This Row],[SL-10]]</f>
        <v>0</v>
      </c>
      <c r="CX97" s="47">
        <f ca="1">(KH_26_OPT4_KTQT_v4[[#This Row],[ĐGVC-KNĐ]]+KH_26_OPT4_KTQT_v4[[#This Row],[ĐGVC-KXK]])*KH_26_OPT4_KTQT_v4[[#This Row],[SL-11]]</f>
        <v>0</v>
      </c>
      <c r="CY97" s="47">
        <f ca="1">(KH_26_OPT4_KTQT_v4[[#This Row],[ĐGVC-KNĐ]]+KH_26_OPT4_KTQT_v4[[#This Row],[ĐGVC-KXK]])*KH_26_OPT4_KTQT_v4[[#This Row],[SL-12]]</f>
        <v>0</v>
      </c>
      <c r="CZ97" s="47">
        <f ca="1">SUM(KH_26_OPT4_KTQT_v4[[#This Row],[CPVC-01]:[CPVC-12]])</f>
        <v>0</v>
      </c>
      <c r="DA97" s="124">
        <f ca="1">KH_26_OPT4_KTQT_v4[[#This Row],[DT-EXW-01]]+KH_26_OPT4_KTQT_v4[[#This Row],[CPVC-01]]+KH_26_OPT4_KTQT_v4[[#This Row],[CPHH-01]]</f>
        <v>145750000</v>
      </c>
      <c r="DB97" s="47">
        <f ca="1">KH_26_OPT4_KTQT_v4[[#This Row],[DT-EXW-02]]+KH_26_OPT4_KTQT_v4[[#This Row],[CPVC-02]]+KH_26_OPT4_KTQT_v4[[#This Row],[CPHH-02]]</f>
        <v>0</v>
      </c>
      <c r="DC97" s="47">
        <f ca="1">KH_26_OPT4_KTQT_v4[[#This Row],[DT-EXW-03]]+KH_26_OPT4_KTQT_v4[[#This Row],[CPVC-03]]+KH_26_OPT4_KTQT_v4[[#This Row],[CPHH-03]]</f>
        <v>145750000</v>
      </c>
      <c r="DD97" s="47">
        <f ca="1">KH_26_OPT4_KTQT_v4[[#This Row],[DT-EXW-04]]+KH_26_OPT4_KTQT_v4[[#This Row],[CPVC-04]]+KH_26_OPT4_KTQT_v4[[#This Row],[CPHH-04]]</f>
        <v>0</v>
      </c>
      <c r="DE97" s="47">
        <f ca="1">KH_26_OPT4_KTQT_v4[[#This Row],[DT-EXW-05]]+KH_26_OPT4_KTQT_v4[[#This Row],[CPVC-05]]+KH_26_OPT4_KTQT_v4[[#This Row],[CPHH-05]]</f>
        <v>145750000</v>
      </c>
      <c r="DF97" s="47">
        <f ca="1">KH_26_OPT4_KTQT_v4[[#This Row],[DT-EXW-06]]+KH_26_OPT4_KTQT_v4[[#This Row],[CPVC-06]]+KH_26_OPT4_KTQT_v4[[#This Row],[CPHH-06]]</f>
        <v>0</v>
      </c>
      <c r="DG97" s="47">
        <f ca="1">KH_26_OPT4_KTQT_v4[[#This Row],[DT-EXW-07]]+KH_26_OPT4_KTQT_v4[[#This Row],[CPVC-07]]+KH_26_OPT4_KTQT_v4[[#This Row],[CPHH-07]]</f>
        <v>145750000</v>
      </c>
      <c r="DH97" s="47">
        <f ca="1">KH_26_OPT4_KTQT_v4[[#This Row],[DT-EXW-08]]+KH_26_OPT4_KTQT_v4[[#This Row],[CPVC-08]]+KH_26_OPT4_KTQT_v4[[#This Row],[CPHH-08]]</f>
        <v>0</v>
      </c>
      <c r="DI97" s="47">
        <f ca="1">KH_26_OPT4_KTQT_v4[[#This Row],[DT-EXW-09]]+KH_26_OPT4_KTQT_v4[[#This Row],[CPVC-09]]+KH_26_OPT4_KTQT_v4[[#This Row],[CPHH-09]]</f>
        <v>145750000</v>
      </c>
      <c r="DJ97" s="47">
        <f ca="1">KH_26_OPT4_KTQT_v4[[#This Row],[DT-EXW-10]]+KH_26_OPT4_KTQT_v4[[#This Row],[CPVC-10]]+KH_26_OPT4_KTQT_v4[[#This Row],[CPHH-10]]</f>
        <v>0</v>
      </c>
      <c r="DK97" s="47">
        <f ca="1">KH_26_OPT4_KTQT_v4[[#This Row],[DT-EXW-11]]+KH_26_OPT4_KTQT_v4[[#This Row],[CPVC-11]]+KH_26_OPT4_KTQT_v4[[#This Row],[CPHH-11]]</f>
        <v>145750000</v>
      </c>
      <c r="DL97" s="47">
        <f ca="1">KH_26_OPT4_KTQT_v4[[#This Row],[DT-EXW-12]]+KH_26_OPT4_KTQT_v4[[#This Row],[CPVC-12]]+KH_26_OPT4_KTQT_v4[[#This Row],[CPHH-12]]</f>
        <v>0</v>
      </c>
      <c r="DM97" s="47">
        <f ca="1">SUM(KH_26_OPT4_KTQT_v4[[#This Row],[DT-01]:[DT-12]])</f>
        <v>874500000</v>
      </c>
      <c r="DN97" s="7"/>
      <c r="DO97" s="7"/>
      <c r="DP97" s="125"/>
      <c r="DQ97" s="136"/>
      <c r="DR97" s="132">
        <f>IFERROR(KH_26_OPT4_KTQT_v4[[#This Row],[DT-EXW-01]]*KH_26_OPT4_KTQT_v4[[#This Row],[%CPDP]],0)</f>
        <v>0</v>
      </c>
      <c r="DS97" s="132">
        <f>IFERROR(KH_26_OPT4_KTQT_v4[[#This Row],[DT-EXW-02]]*KH_26_OPT4_KTQT_v4[[#This Row],[%CPDP]],0)</f>
        <v>0</v>
      </c>
      <c r="DT97" s="132">
        <f>IFERROR(KH_26_OPT4_KTQT_v4[[#This Row],[DT-EXW-03]]*KH_26_OPT4_KTQT_v4[[#This Row],[%CPDP]],0)</f>
        <v>0</v>
      </c>
      <c r="DU97" s="132">
        <f>IFERROR(KH_26_OPT4_KTQT_v4[[#This Row],[DT-EXW-04]]*KH_26_OPT4_KTQT_v4[[#This Row],[%CPDP]],0)</f>
        <v>0</v>
      </c>
      <c r="DV97" s="132">
        <f>IFERROR(KH_26_OPT4_KTQT_v4[[#This Row],[DT-EXW-05]]*KH_26_OPT4_KTQT_v4[[#This Row],[%CPDP]],0)</f>
        <v>0</v>
      </c>
      <c r="DW97" s="132">
        <f>IFERROR(KH_26_OPT4_KTQT_v4[[#This Row],[DT-EXW-06]]*KH_26_OPT4_KTQT_v4[[#This Row],[%CPDP]],0)</f>
        <v>0</v>
      </c>
      <c r="DX97" s="132">
        <f>IFERROR(KH_26_OPT4_KTQT_v4[[#This Row],[DT-EXW-07]]*KH_26_OPT4_KTQT_v4[[#This Row],[%CPDP]],0)</f>
        <v>0</v>
      </c>
      <c r="DY97" s="132">
        <f>IFERROR(KH_26_OPT4_KTQT_v4[[#This Row],[DT-EXW-08]]*KH_26_OPT4_KTQT_v4[[#This Row],[%CPDP]],0)</f>
        <v>0</v>
      </c>
      <c r="DZ97" s="132">
        <f>IFERROR(KH_26_OPT4_KTQT_v4[[#This Row],[DT-EXW-09]]*KH_26_OPT4_KTQT_v4[[#This Row],[%CPDP]],0)</f>
        <v>0</v>
      </c>
      <c r="EA97" s="132">
        <f>IFERROR(KH_26_OPT4_KTQT_v4[[#This Row],[DT-EXW-10]]*KH_26_OPT4_KTQT_v4[[#This Row],[%CPDP]],0)</f>
        <v>0</v>
      </c>
      <c r="EB97" s="132">
        <f>IFERROR(KH_26_OPT4_KTQT_v4[[#This Row],[DT-EXW-11]]*KH_26_OPT4_KTQT_v4[[#This Row],[%CPDP]],0)</f>
        <v>0</v>
      </c>
      <c r="EC97" s="132">
        <f>IFERROR(KH_26_OPT4_KTQT_v4[[#This Row],[DT-EXW-12]]*KH_26_OPT4_KTQT_v4[[#This Row],[%CPDP]],0)</f>
        <v>0</v>
      </c>
      <c r="ED97" s="131">
        <f ca="1">SUM(KH_26_OPT4_KTQT_v4[[#This Row],[CPDP-01]:[CPDP-12]])</f>
        <v>0</v>
      </c>
    </row>
    <row r="98" spans="1:134" ht="14.65" hidden="1" customHeight="1" x14ac:dyDescent="0.35">
      <c r="A98" s="18">
        <v>93</v>
      </c>
      <c r="B98" s="71" t="s">
        <v>115</v>
      </c>
      <c r="C98" s="18" t="str">
        <f>IFERROR(_xlfn.XLOOKUP(KH_26_OPT4_KTQT_v4[[#This Row],[Salesman]],MD_Salesman[Salesman],MD_Salesman[SalesManager]),"")</f>
        <v>Quốc Anh</v>
      </c>
      <c r="D98" s="72" t="str">
        <f>IFERROR(INDEX(MD_Customer[Mã khách],MATCH(KH_26_OPT4_KTQT_v4[[#This Row],[Tên khách]],MD_Customer[Tên khách-rút gọn],0)),"")</f>
        <v>105333</v>
      </c>
      <c r="E98" s="7" t="str">
        <f>IFERROR(INDEX(MD_Customer[Parent Account],MATCH(KH_26_OPT4_KTQT_v4[[#This Row],[Tên khách]],MD_Customer[Tên khách-rút gọn],0)),"")</f>
        <v>LƯỚI BẢO NÔNG</v>
      </c>
      <c r="F98" s="35" t="s">
        <v>56</v>
      </c>
      <c r="G98" s="7" t="str">
        <f>IFERROR(INDEX(MD_Customer[Phân loại],MATCH(KH_26_OPT4_KTQT_v4[[#This Row],[Tên khách]],MD_Customer[Tên khách-rút gọn],0)),"")</f>
        <v>Hiện hữu</v>
      </c>
      <c r="H98" s="7" t="str">
        <f>IFERROR(INDEX(MD_Customer[Kênh bán hàng],MATCH(KH_26_OPT4_KTQT_v4[[#This Row],[Tên khách]],MD_Customer[Tên khách-rút gọn],0)),"")</f>
        <v>Nội địa</v>
      </c>
      <c r="I98" s="35" t="s">
        <v>258</v>
      </c>
      <c r="J98" s="7" t="str">
        <f>IFERROR(INDEX(MD_Destination[Nước],MATCH(KH_26_OPT4_KTQT_v4[[#This Row],[Địa điểm đến]],MD_Destination[Địa điểm đến],0)),"")</f>
        <v>Việt Nam</v>
      </c>
      <c r="K98" s="7" t="str">
        <f>IFERROR(INDEX(MD_Destination[Khu vực],MATCH(KH_26_OPT4_KTQT_v4[[#This Row],[Địa điểm đến]],MD_Destination[Địa điểm đến],0)),"")</f>
        <v>Châu Á</v>
      </c>
      <c r="L98" s="35" t="s">
        <v>260</v>
      </c>
      <c r="M98" s="7" t="str">
        <f>IFERROR(INDEX(MD_SKU[Mã SKU],MATCH(KH_26_OPT4_KTQT_v4[[#This Row],[Tên sản phẩm]],MD_SKU[Tên SKU-rút gọn],0)),"")</f>
        <v>160012951</v>
      </c>
      <c r="N98" s="35" t="s">
        <v>508</v>
      </c>
      <c r="O98" s="7" t="str">
        <f>IFERROR(INDEX(MD_SKU[Ngành hàng],MATCH(KH_26_OPT4_KTQT_v4[[#This Row],[Tên sản phẩm]],MD_SKU[Tên SKU-rút gọn],0)),"")</f>
        <v>Phó sản</v>
      </c>
      <c r="P98" s="7" t="str">
        <f>IFERROR(INDEX(MD_SKU[Nhóm ngành],MATCH(KH_26_OPT4_KTQT_v4[[#This Row],[Tên sản phẩm]],MD_SKU[Tên SKU-rút gọn],0)),"")</f>
        <v>Vảy Phó sản HD ép</v>
      </c>
      <c r="Q98" s="7" t="str">
        <f>IFERROR(
   IF(INDEX(MD_SKU[IV/IM],MATCH(KH_26_OPT4_KTQT_v4[[#This Row],[Tên sản phẩm]],MD_SKU[Tên SKU-rút gọn],0))=0,
      "",
      INDEX(MD_SKU[IV/IM],MATCH(KH_26_OPT4_KTQT_v4[[#This Row],[Tên sản phẩm]],MD_SKU[Tên SKU-rút gọn],0))
   ),
"")</f>
        <v/>
      </c>
      <c r="R98" s="44">
        <f>IFERROR(INDEX(MD_SKU[Application],MATCH(KH_26_OPT4_KTQT_v4[[#This Row],[Tên sản phẩm]],MD_SKU[Tên SKU-rút gọn],0)),"")</f>
        <v>0</v>
      </c>
      <c r="S98" s="7" t="str">
        <f>IFERROR(INDEX(MD_SKU[Phân loại],MATCH(KH_26_OPT4_KTQT_v4[[#This Row],[Tên sản phẩm]],MD_SKU[Tên SKU-rút gọn],0)),"")</f>
        <v>Cũ</v>
      </c>
      <c r="T98" s="7"/>
      <c r="U98" s="7" t="s">
        <v>1508</v>
      </c>
      <c r="V98" s="70">
        <v>0.8</v>
      </c>
      <c r="W98" s="33"/>
      <c r="X98" s="33">
        <v>11</v>
      </c>
      <c r="Y98" s="33"/>
      <c r="Z98" s="33">
        <v>11</v>
      </c>
      <c r="AA98" s="33"/>
      <c r="AB98" s="33">
        <v>11</v>
      </c>
      <c r="AC98" s="33"/>
      <c r="AD98" s="33">
        <v>11</v>
      </c>
      <c r="AE98" s="33"/>
      <c r="AF98" s="33">
        <v>11</v>
      </c>
      <c r="AG98" s="33"/>
      <c r="AH98" s="33">
        <v>11</v>
      </c>
      <c r="AI98" s="47">
        <f ca="1">SUM(KH_26_OPT4_KTQT_v4[[#This Row],[SL-01]:[SL-12]])</f>
        <v>66</v>
      </c>
      <c r="AJ98" s="47">
        <f ca="1">SUMIFS(DB_25[SL-DB25],DB_25[Mã khách],KH_26_OPT4_KTQT_v4[[#This Row],[Mã khách]],DB_25[Mã sản phẩm],KH_26_OPT4_KTQT_v4[[#This Row],[Mã sản phẩm]])</f>
        <v>70</v>
      </c>
      <c r="AK98" s="20">
        <f ca="1">KH_26_OPT4_KTQT_v4[[#This Row],[SL-KH26]]-KH_26_OPT4_KTQT_v4[[#This Row],[SL-DB25]]</f>
        <v>-4</v>
      </c>
      <c r="AL98" s="21">
        <f ca="1">IFERROR(KH_26_OPT4_KTQT_v4[[#This Row],[SL-+/-]]/KH_26_OPT4_KTQT_v4[[#This Row],[SL-DB25]],0)</f>
        <v>-5.7142857142857141E-2</v>
      </c>
      <c r="AM98" s="51">
        <v>500</v>
      </c>
      <c r="AN98" s="51">
        <v>500</v>
      </c>
      <c r="AO98" s="51">
        <v>500</v>
      </c>
      <c r="AP98" s="51">
        <v>500</v>
      </c>
      <c r="AQ98" s="51">
        <v>500</v>
      </c>
      <c r="AR98" s="51">
        <v>500</v>
      </c>
      <c r="AS98" s="51">
        <v>500</v>
      </c>
      <c r="AT98" s="51">
        <v>500</v>
      </c>
      <c r="AU98" s="51">
        <v>500</v>
      </c>
      <c r="AV98" s="51">
        <v>500</v>
      </c>
      <c r="AW98" s="51">
        <v>500</v>
      </c>
      <c r="AX98" s="51">
        <v>500</v>
      </c>
      <c r="AY98" s="23">
        <v>500</v>
      </c>
      <c r="AZ98" s="7"/>
      <c r="BA98" s="24">
        <f>KH_26_OPT4_KTQT_v4[[#This Row],[GB-DB25]]-KH_26_OPT4_KTQT_v4[[#This Row],[GB-KH25]]</f>
        <v>500</v>
      </c>
      <c r="BB98" s="21">
        <f>IFERROR(KH_26_OPT4_KTQT_v4[[#This Row],[GB-+/-]]/KH_26_OPT4_KTQT_v4[[#This Row],[GB-KH25]],0)</f>
        <v>0</v>
      </c>
      <c r="BC98" s="21"/>
      <c r="BD98" s="47">
        <f>KH_26_OPT4_KTQT_v4[[#This Row],[SL-01]]*KH_26_OPT4_KTQT_v4[[#This Row],[GB-01]]*EXR</f>
        <v>0</v>
      </c>
      <c r="BE98" s="47">
        <f>KH_26_OPT4_KTQT_v4[[#This Row],[SL-02]]*KH_26_OPT4_KTQT_v4[[#This Row],[GB-02]]*EXR</f>
        <v>145750000</v>
      </c>
      <c r="BF98" s="47">
        <f>KH_26_OPT4_KTQT_v4[[#This Row],[SL-03]]*KH_26_OPT4_KTQT_v4[[#This Row],[GB-03]]*EXR</f>
        <v>0</v>
      </c>
      <c r="BG98" s="47">
        <f>KH_26_OPT4_KTQT_v4[[#This Row],[SL-04]]*KH_26_OPT4_KTQT_v4[[#This Row],[GB-04]]*EXR</f>
        <v>145750000</v>
      </c>
      <c r="BH98" s="47">
        <f>KH_26_OPT4_KTQT_v4[[#This Row],[SL-05]]*KH_26_OPT4_KTQT_v4[[#This Row],[GB-05]]*EXR</f>
        <v>0</v>
      </c>
      <c r="BI98" s="47">
        <f>KH_26_OPT4_KTQT_v4[[#This Row],[SL-06]]*KH_26_OPT4_KTQT_v4[[#This Row],[GB-06]]*EXR</f>
        <v>145750000</v>
      </c>
      <c r="BJ98" s="47">
        <f>KH_26_OPT4_KTQT_v4[[#This Row],[SL-07]]*KH_26_OPT4_KTQT_v4[[#This Row],[GB-07]]*EXR</f>
        <v>0</v>
      </c>
      <c r="BK98" s="47">
        <f>KH_26_OPT4_KTQT_v4[[#This Row],[SL-08]]*KH_26_OPT4_KTQT_v4[[#This Row],[GB-08]]*EXR</f>
        <v>145750000</v>
      </c>
      <c r="BL98" s="47">
        <f>KH_26_OPT4_KTQT_v4[[#This Row],[SL-09]]*KH_26_OPT4_KTQT_v4[[#This Row],[GB-09]]*EXR</f>
        <v>0</v>
      </c>
      <c r="BM98" s="47">
        <f>KH_26_OPT4_KTQT_v4[[#This Row],[SL-10]]*KH_26_OPT4_KTQT_v4[[#This Row],[GB-10]]*EXR</f>
        <v>145750000</v>
      </c>
      <c r="BN98" s="47">
        <f>KH_26_OPT4_KTQT_v4[[#This Row],[SL-11]]*KH_26_OPT4_KTQT_v4[[#This Row],[GB-11]]*EXR</f>
        <v>0</v>
      </c>
      <c r="BO98" s="47">
        <f>KH_26_OPT4_KTQT_v4[[#This Row],[SL-12]]*KH_26_OPT4_KTQT_v4[[#This Row],[GB-12]]*EXR</f>
        <v>145750000</v>
      </c>
      <c r="BP98" s="47">
        <f ca="1">SUM(KH_26_OPT4_KTQT_v4[[#This Row],[DT-EXW-01]:[DT-EXW-12]])</f>
        <v>874500000</v>
      </c>
      <c r="BQ98" s="47">
        <f ca="1">SUMIFS(DB_25[DT-DB25],DB_25[Mã khách],KH_26_OPT4_KTQT_v4[[#This Row],[Mã khách]],DB_25[Mã sản phẩm],KH_26_OPT4_KTQT_v4[[#This Row],[Mã sản phẩm]])</f>
        <v>686522659.45632374</v>
      </c>
      <c r="BR98" s="19">
        <f ca="1">KH_26_OPT4_KTQT_v4[[#This Row],[DT-EXW-KH26]]-KH_26_OPT4_KTQT_v4[[#This Row],[DT-EXW-DB25]]</f>
        <v>187977340.54367626</v>
      </c>
      <c r="BS98" s="21">
        <f ca="1">IFERROR(KH_26_OPT4_KTQT_v4[[#This Row],[DT-EXW-+/-]]/KH_26_OPT4_KTQT_v4[[#This Row],[DT-EXW-DB25]],0)</f>
        <v>0.27381083195788569</v>
      </c>
      <c r="BT98" s="139"/>
      <c r="BU98" s="57"/>
      <c r="BV98" s="51"/>
      <c r="BW98" s="47">
        <f>IF(KH_26_OPT4_KTQT_v4[[#This Row],[CPHH-%-SL]]="Dthu",KH_26_OPT4_KTQT_v4[[#This Row],[%HH]]*KH_26_OPT4_KTQT_v4[[#This Row],[DT-EXW-01]],KH_26_OPT4_KTQT_v4[[#This Row],[HH-SL]]*KH_26_OPT4_KTQT_v4[[#This Row],[SL-01]])</f>
        <v>0</v>
      </c>
      <c r="BX98" s="47">
        <f>IF(KH_26_OPT4_KTQT_v4[[#This Row],[CPHH-%-SL]]="Dthu",KH_26_OPT4_KTQT_v4[[#This Row],[%HH]]*KH_26_OPT4_KTQT_v4[[#This Row],[DT-EXW-02]],KH_26_OPT4_KTQT_v4[[#This Row],[HH-SL]]*KH_26_OPT4_KTQT_v4[[#This Row],[SL-02]])</f>
        <v>0</v>
      </c>
      <c r="BY98" s="47">
        <f>IF(KH_26_OPT4_KTQT_v4[[#This Row],[CPHH-%-SL]]="Dthu",KH_26_OPT4_KTQT_v4[[#This Row],[%HH]]*KH_26_OPT4_KTQT_v4[[#This Row],[DT-EXW-03]],KH_26_OPT4_KTQT_v4[[#This Row],[HH-SL]]*KH_26_OPT4_KTQT_v4[[#This Row],[SL-03]])</f>
        <v>0</v>
      </c>
      <c r="BZ98" s="47">
        <f>IF(KH_26_OPT4_KTQT_v4[[#This Row],[CPHH-%-SL]]="Dthu",KH_26_OPT4_KTQT_v4[[#This Row],[%HH]]*KH_26_OPT4_KTQT_v4[[#This Row],[DT-EXW-04]],KH_26_OPT4_KTQT_v4[[#This Row],[HH-SL]]*KH_26_OPT4_KTQT_v4[[#This Row],[SL-04]])</f>
        <v>0</v>
      </c>
      <c r="CA98" s="47">
        <f>IF(KH_26_OPT4_KTQT_v4[[#This Row],[CPHH-%-SL]]="Dthu",KH_26_OPT4_KTQT_v4[[#This Row],[%HH]]*KH_26_OPT4_KTQT_v4[[#This Row],[DT-EXW-05]],KH_26_OPT4_KTQT_v4[[#This Row],[HH-SL]]*KH_26_OPT4_KTQT_v4[[#This Row],[SL-05]])</f>
        <v>0</v>
      </c>
      <c r="CB98" s="47">
        <f>IF(KH_26_OPT4_KTQT_v4[[#This Row],[CPHH-%-SL]]="Dthu",KH_26_OPT4_KTQT_v4[[#This Row],[%HH]]*KH_26_OPT4_KTQT_v4[[#This Row],[DT-EXW-06]],KH_26_OPT4_KTQT_v4[[#This Row],[HH-SL]]*KH_26_OPT4_KTQT_v4[[#This Row],[SL-06]])</f>
        <v>0</v>
      </c>
      <c r="CC98" s="47">
        <f>IF(KH_26_OPT4_KTQT_v4[[#This Row],[CPHH-%-SL]]="Dthu",KH_26_OPT4_KTQT_v4[[#This Row],[%HH]]*KH_26_OPT4_KTQT_v4[[#This Row],[DT-EXW-07]],KH_26_OPT4_KTQT_v4[[#This Row],[HH-SL]]*KH_26_OPT4_KTQT_v4[[#This Row],[SL-07]])</f>
        <v>0</v>
      </c>
      <c r="CD98" s="47">
        <f>IF(KH_26_OPT4_KTQT_v4[[#This Row],[CPHH-%-SL]]="Dthu",KH_26_OPT4_KTQT_v4[[#This Row],[%HH]]*KH_26_OPT4_KTQT_v4[[#This Row],[DT-EXW-08]],KH_26_OPT4_KTQT_v4[[#This Row],[HH-SL]]*KH_26_OPT4_KTQT_v4[[#This Row],[SL-08]])</f>
        <v>0</v>
      </c>
      <c r="CE98" s="47">
        <f>IF(KH_26_OPT4_KTQT_v4[[#This Row],[CPHH-%-SL]]="Dthu",KH_26_OPT4_KTQT_v4[[#This Row],[%HH]]*KH_26_OPT4_KTQT_v4[[#This Row],[DT-EXW-09]],KH_26_OPT4_KTQT_v4[[#This Row],[HH-SL]]*KH_26_OPT4_KTQT_v4[[#This Row],[SL-09]])</f>
        <v>0</v>
      </c>
      <c r="CF98" s="47">
        <f>IF(KH_26_OPT4_KTQT_v4[[#This Row],[CPHH-%-SL]]="Dthu",KH_26_OPT4_KTQT_v4[[#This Row],[%HH]]*KH_26_OPT4_KTQT_v4[[#This Row],[DT-EXW-10]],KH_26_OPT4_KTQT_v4[[#This Row],[HH-SL]]*KH_26_OPT4_KTQT_v4[[#This Row],[SL-10]])</f>
        <v>0</v>
      </c>
      <c r="CG98" s="47">
        <f>IF(KH_26_OPT4_KTQT_v4[[#This Row],[CPHH-%-SL]]="Dthu",KH_26_OPT4_KTQT_v4[[#This Row],[%HH]]*KH_26_OPT4_KTQT_v4[[#This Row],[DT-EXW-11]],KH_26_OPT4_KTQT_v4[[#This Row],[HH-SL]]*KH_26_OPT4_KTQT_v4[[#This Row],[SL-11]])</f>
        <v>0</v>
      </c>
      <c r="CH98" s="47">
        <f>IF(KH_26_OPT4_KTQT_v4[[#This Row],[CPHH-%-SL]]="Dthu",KH_26_OPT4_KTQT_v4[[#This Row],[%HH]]*KH_26_OPT4_KTQT_v4[[#This Row],[DT-EXW-12]],KH_26_OPT4_KTQT_v4[[#This Row],[HH-SL]]*KH_26_OPT4_KTQT_v4[[#This Row],[SL-12]])</f>
        <v>0</v>
      </c>
      <c r="CI98" s="47">
        <f ca="1">SUM(KH_26_OPT4_KTQT_v4[[#This Row],[CPHH-01]:[CPHH-12]])</f>
        <v>0</v>
      </c>
      <c r="CJ98" s="47" cm="1">
        <f t="array" ref="CJ98">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98" s="19">
        <f ca="1">SUM(KH_26_OPT4_KTQT_v4[[#This Row],[ĐGVCNĐ-KXK]:[ĐGVCCT-KXK]])</f>
        <v>0</v>
      </c>
      <c r="CL98" s="47" cm="1">
        <f t="array" ref="CL98">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98" s="47" cm="1">
        <f t="array" ref="CM98">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98" s="47">
        <f ca="1">(KH_26_OPT4_KTQT_v4[[#This Row],[ĐGVC-KNĐ]]+KH_26_OPT4_KTQT_v4[[#This Row],[ĐGVC-KXK]])*KH_26_OPT4_KTQT_v4[[#This Row],[SL-01]]</f>
        <v>0</v>
      </c>
      <c r="CO98" s="47">
        <f ca="1">(KH_26_OPT4_KTQT_v4[[#This Row],[ĐGVC-KNĐ]]+KH_26_OPT4_KTQT_v4[[#This Row],[ĐGVC-KXK]])*KH_26_OPT4_KTQT_v4[[#This Row],[SL-02]]</f>
        <v>0</v>
      </c>
      <c r="CP98" s="47">
        <f ca="1">(KH_26_OPT4_KTQT_v4[[#This Row],[ĐGVC-KNĐ]]+KH_26_OPT4_KTQT_v4[[#This Row],[ĐGVC-KXK]])*KH_26_OPT4_KTQT_v4[[#This Row],[SL-03]]</f>
        <v>0</v>
      </c>
      <c r="CQ98" s="47">
        <f ca="1">(KH_26_OPT4_KTQT_v4[[#This Row],[ĐGVC-KNĐ]]+KH_26_OPT4_KTQT_v4[[#This Row],[ĐGVC-KXK]])*KH_26_OPT4_KTQT_v4[[#This Row],[SL-04]]</f>
        <v>0</v>
      </c>
      <c r="CR98" s="47">
        <f ca="1">(KH_26_OPT4_KTQT_v4[[#This Row],[ĐGVC-KNĐ]]+KH_26_OPT4_KTQT_v4[[#This Row],[ĐGVC-KXK]])*KH_26_OPT4_KTQT_v4[[#This Row],[SL-05]]</f>
        <v>0</v>
      </c>
      <c r="CS98" s="47">
        <f ca="1">(KH_26_OPT4_KTQT_v4[[#This Row],[ĐGVC-KNĐ]]+KH_26_OPT4_KTQT_v4[[#This Row],[ĐGVC-KXK]])*KH_26_OPT4_KTQT_v4[[#This Row],[SL-06]]</f>
        <v>0</v>
      </c>
      <c r="CT98" s="47">
        <f ca="1">(KH_26_OPT4_KTQT_v4[[#This Row],[ĐGVC-KNĐ]]+KH_26_OPT4_KTQT_v4[[#This Row],[ĐGVC-KXK]])*KH_26_OPT4_KTQT_v4[[#This Row],[SL-07]]</f>
        <v>0</v>
      </c>
      <c r="CU98" s="47">
        <f ca="1">(KH_26_OPT4_KTQT_v4[[#This Row],[ĐGVC-KNĐ]]+KH_26_OPT4_KTQT_v4[[#This Row],[ĐGVC-KXK]])*KH_26_OPT4_KTQT_v4[[#This Row],[SL-08]]</f>
        <v>0</v>
      </c>
      <c r="CV98" s="47">
        <f ca="1">(KH_26_OPT4_KTQT_v4[[#This Row],[ĐGVC-KNĐ]]+KH_26_OPT4_KTQT_v4[[#This Row],[ĐGVC-KXK]])*KH_26_OPT4_KTQT_v4[[#This Row],[SL-09]]</f>
        <v>0</v>
      </c>
      <c r="CW98" s="47">
        <f ca="1">(KH_26_OPT4_KTQT_v4[[#This Row],[ĐGVC-KNĐ]]+KH_26_OPT4_KTQT_v4[[#This Row],[ĐGVC-KXK]])*KH_26_OPT4_KTQT_v4[[#This Row],[SL-10]]</f>
        <v>0</v>
      </c>
      <c r="CX98" s="47">
        <f ca="1">(KH_26_OPT4_KTQT_v4[[#This Row],[ĐGVC-KNĐ]]+KH_26_OPT4_KTQT_v4[[#This Row],[ĐGVC-KXK]])*KH_26_OPT4_KTQT_v4[[#This Row],[SL-11]]</f>
        <v>0</v>
      </c>
      <c r="CY98" s="47">
        <f ca="1">(KH_26_OPT4_KTQT_v4[[#This Row],[ĐGVC-KNĐ]]+KH_26_OPT4_KTQT_v4[[#This Row],[ĐGVC-KXK]])*KH_26_OPT4_KTQT_v4[[#This Row],[SL-12]]</f>
        <v>0</v>
      </c>
      <c r="CZ98" s="47">
        <f ca="1">SUM(KH_26_OPT4_KTQT_v4[[#This Row],[CPVC-01]:[CPVC-12]])</f>
        <v>0</v>
      </c>
      <c r="DA98" s="124">
        <f ca="1">KH_26_OPT4_KTQT_v4[[#This Row],[DT-EXW-01]]+KH_26_OPT4_KTQT_v4[[#This Row],[CPVC-01]]+KH_26_OPT4_KTQT_v4[[#This Row],[CPHH-01]]</f>
        <v>0</v>
      </c>
      <c r="DB98" s="47">
        <f ca="1">KH_26_OPT4_KTQT_v4[[#This Row],[DT-EXW-02]]+KH_26_OPT4_KTQT_v4[[#This Row],[CPVC-02]]+KH_26_OPT4_KTQT_v4[[#This Row],[CPHH-02]]</f>
        <v>145750000</v>
      </c>
      <c r="DC98" s="47">
        <f ca="1">KH_26_OPT4_KTQT_v4[[#This Row],[DT-EXW-03]]+KH_26_OPT4_KTQT_v4[[#This Row],[CPVC-03]]+KH_26_OPT4_KTQT_v4[[#This Row],[CPHH-03]]</f>
        <v>0</v>
      </c>
      <c r="DD98" s="47">
        <f ca="1">KH_26_OPT4_KTQT_v4[[#This Row],[DT-EXW-04]]+KH_26_OPT4_KTQT_v4[[#This Row],[CPVC-04]]+KH_26_OPT4_KTQT_v4[[#This Row],[CPHH-04]]</f>
        <v>145750000</v>
      </c>
      <c r="DE98" s="47">
        <f ca="1">KH_26_OPT4_KTQT_v4[[#This Row],[DT-EXW-05]]+KH_26_OPT4_KTQT_v4[[#This Row],[CPVC-05]]+KH_26_OPT4_KTQT_v4[[#This Row],[CPHH-05]]</f>
        <v>0</v>
      </c>
      <c r="DF98" s="47">
        <f ca="1">KH_26_OPT4_KTQT_v4[[#This Row],[DT-EXW-06]]+KH_26_OPT4_KTQT_v4[[#This Row],[CPVC-06]]+KH_26_OPT4_KTQT_v4[[#This Row],[CPHH-06]]</f>
        <v>145750000</v>
      </c>
      <c r="DG98" s="47">
        <f ca="1">KH_26_OPT4_KTQT_v4[[#This Row],[DT-EXW-07]]+KH_26_OPT4_KTQT_v4[[#This Row],[CPVC-07]]+KH_26_OPT4_KTQT_v4[[#This Row],[CPHH-07]]</f>
        <v>0</v>
      </c>
      <c r="DH98" s="47">
        <f ca="1">KH_26_OPT4_KTQT_v4[[#This Row],[DT-EXW-08]]+KH_26_OPT4_KTQT_v4[[#This Row],[CPVC-08]]+KH_26_OPT4_KTQT_v4[[#This Row],[CPHH-08]]</f>
        <v>145750000</v>
      </c>
      <c r="DI98" s="47">
        <f ca="1">KH_26_OPT4_KTQT_v4[[#This Row],[DT-EXW-09]]+KH_26_OPT4_KTQT_v4[[#This Row],[CPVC-09]]+KH_26_OPT4_KTQT_v4[[#This Row],[CPHH-09]]</f>
        <v>0</v>
      </c>
      <c r="DJ98" s="47">
        <f ca="1">KH_26_OPT4_KTQT_v4[[#This Row],[DT-EXW-10]]+KH_26_OPT4_KTQT_v4[[#This Row],[CPVC-10]]+KH_26_OPT4_KTQT_v4[[#This Row],[CPHH-10]]</f>
        <v>145750000</v>
      </c>
      <c r="DK98" s="47">
        <f ca="1">KH_26_OPT4_KTQT_v4[[#This Row],[DT-EXW-11]]+KH_26_OPT4_KTQT_v4[[#This Row],[CPVC-11]]+KH_26_OPT4_KTQT_v4[[#This Row],[CPHH-11]]</f>
        <v>0</v>
      </c>
      <c r="DL98" s="47">
        <f ca="1">KH_26_OPT4_KTQT_v4[[#This Row],[DT-EXW-12]]+KH_26_OPT4_KTQT_v4[[#This Row],[CPVC-12]]+KH_26_OPT4_KTQT_v4[[#This Row],[CPHH-12]]</f>
        <v>145750000</v>
      </c>
      <c r="DM98" s="47">
        <f ca="1">SUM(KH_26_OPT4_KTQT_v4[[#This Row],[DT-01]:[DT-12]])</f>
        <v>874500000</v>
      </c>
      <c r="DN98" s="7"/>
      <c r="DO98" s="7"/>
      <c r="DP98" s="125"/>
      <c r="DQ98" s="136"/>
      <c r="DR98" s="132">
        <f>IFERROR(KH_26_OPT4_KTQT_v4[[#This Row],[DT-EXW-01]]*KH_26_OPT4_KTQT_v4[[#This Row],[%CPDP]],0)</f>
        <v>0</v>
      </c>
      <c r="DS98" s="132">
        <f>IFERROR(KH_26_OPT4_KTQT_v4[[#This Row],[DT-EXW-02]]*KH_26_OPT4_KTQT_v4[[#This Row],[%CPDP]],0)</f>
        <v>0</v>
      </c>
      <c r="DT98" s="132">
        <f>IFERROR(KH_26_OPT4_KTQT_v4[[#This Row],[DT-EXW-03]]*KH_26_OPT4_KTQT_v4[[#This Row],[%CPDP]],0)</f>
        <v>0</v>
      </c>
      <c r="DU98" s="132">
        <f>IFERROR(KH_26_OPT4_KTQT_v4[[#This Row],[DT-EXW-04]]*KH_26_OPT4_KTQT_v4[[#This Row],[%CPDP]],0)</f>
        <v>0</v>
      </c>
      <c r="DV98" s="132">
        <f>IFERROR(KH_26_OPT4_KTQT_v4[[#This Row],[DT-EXW-05]]*KH_26_OPT4_KTQT_v4[[#This Row],[%CPDP]],0)</f>
        <v>0</v>
      </c>
      <c r="DW98" s="132">
        <f>IFERROR(KH_26_OPT4_KTQT_v4[[#This Row],[DT-EXW-06]]*KH_26_OPT4_KTQT_v4[[#This Row],[%CPDP]],0)</f>
        <v>0</v>
      </c>
      <c r="DX98" s="132">
        <f>IFERROR(KH_26_OPT4_KTQT_v4[[#This Row],[DT-EXW-07]]*KH_26_OPT4_KTQT_v4[[#This Row],[%CPDP]],0)</f>
        <v>0</v>
      </c>
      <c r="DY98" s="132">
        <f>IFERROR(KH_26_OPT4_KTQT_v4[[#This Row],[DT-EXW-08]]*KH_26_OPT4_KTQT_v4[[#This Row],[%CPDP]],0)</f>
        <v>0</v>
      </c>
      <c r="DZ98" s="132">
        <f>IFERROR(KH_26_OPT4_KTQT_v4[[#This Row],[DT-EXW-09]]*KH_26_OPT4_KTQT_v4[[#This Row],[%CPDP]],0)</f>
        <v>0</v>
      </c>
      <c r="EA98" s="132">
        <f>IFERROR(KH_26_OPT4_KTQT_v4[[#This Row],[DT-EXW-10]]*KH_26_OPT4_KTQT_v4[[#This Row],[%CPDP]],0)</f>
        <v>0</v>
      </c>
      <c r="EB98" s="132">
        <f>IFERROR(KH_26_OPT4_KTQT_v4[[#This Row],[DT-EXW-11]]*KH_26_OPT4_KTQT_v4[[#This Row],[%CPDP]],0)</f>
        <v>0</v>
      </c>
      <c r="EC98" s="132">
        <f>IFERROR(KH_26_OPT4_KTQT_v4[[#This Row],[DT-EXW-12]]*KH_26_OPT4_KTQT_v4[[#This Row],[%CPDP]],0)</f>
        <v>0</v>
      </c>
      <c r="ED98" s="131">
        <f ca="1">SUM(KH_26_OPT4_KTQT_v4[[#This Row],[CPDP-01]:[CPDP-12]])</f>
        <v>0</v>
      </c>
    </row>
    <row r="99" spans="1:134" ht="14.65" hidden="1" customHeight="1" x14ac:dyDescent="0.35">
      <c r="A99" s="18">
        <v>94</v>
      </c>
      <c r="B99" s="71" t="s">
        <v>97</v>
      </c>
      <c r="C99" s="18" t="str">
        <f>IFERROR(_xlfn.XLOOKUP(KH_26_OPT4_KTQT_v4[[#This Row],[Salesman]],MD_Salesman[Salesman],MD_Salesman[SalesManager]),"")</f>
        <v>Cường</v>
      </c>
      <c r="D99" s="72" t="str">
        <f>IFERROR(INDEX(MD_Customer[Mã khách],MATCH(KH_26_OPT4_KTQT_v4[[#This Row],[Tên khách]],MD_Customer[Tên khách-rút gọn],0)),"")</f>
        <v>1000</v>
      </c>
      <c r="E99" s="7" t="str">
        <f>IFERROR(INDEX(MD_Customer[Parent Account],MATCH(KH_26_OPT4_KTQT_v4[[#This Row],[Tên khách]],MD_Customer[Tên khách-rút gọn],0)),"")</f>
        <v>DTP</v>
      </c>
      <c r="F99" s="35" t="s">
        <v>271</v>
      </c>
      <c r="G99" s="7" t="str">
        <f>IFERROR(INDEX(MD_Customer[Phân loại],MATCH(KH_26_OPT4_KTQT_v4[[#This Row],[Tên khách]],MD_Customer[Tên khách-rút gọn],0)),"")</f>
        <v>Hiện hữu</v>
      </c>
      <c r="H99" s="7" t="str">
        <f>IFERROR(INDEX(MD_Customer[Kênh bán hàng],MATCH(KH_26_OPT4_KTQT_v4[[#This Row],[Tên khách]],MD_Customer[Tên khách-rút gọn],0)),"")</f>
        <v>Nội địa</v>
      </c>
      <c r="I99" s="35" t="s">
        <v>258</v>
      </c>
      <c r="J99" s="7" t="str">
        <f>IFERROR(INDEX(MD_Destination[Nước],MATCH(KH_26_OPT4_KTQT_v4[[#This Row],[Địa điểm đến]],MD_Destination[Địa điểm đến],0)),"")</f>
        <v>Việt Nam</v>
      </c>
      <c r="K99" s="7" t="str">
        <f>IFERROR(INDEX(MD_Destination[Khu vực],MATCH(KH_26_OPT4_KTQT_v4[[#This Row],[Địa điểm đến]],MD_Destination[Địa điểm đến],0)),"")</f>
        <v>Châu Á</v>
      </c>
      <c r="L99" s="35" t="s">
        <v>262</v>
      </c>
      <c r="M99" s="7" t="str">
        <f>IFERROR(INDEX(MD_SKU[Mã SKU],MATCH(KH_26_OPT4_KTQT_v4[[#This Row],[Tên sản phẩm]],MD_SKU[Tên SKU-rút gọn],0)),"")</f>
        <v>110000361</v>
      </c>
      <c r="N99" s="35" t="s">
        <v>458</v>
      </c>
      <c r="O99" s="7" t="str">
        <f>IFERROR(INDEX(MD_SKU[Ngành hàng],MATCH(KH_26_OPT4_KTQT_v4[[#This Row],[Tên sản phẩm]],MD_SKU[Tên SKU-rút gọn],0)),"")</f>
        <v>rHDPE ép</v>
      </c>
      <c r="P99" s="7" t="str">
        <f>IFERROR(INDEX(MD_SKU[Nhóm ngành],MATCH(KH_26_OPT4_KTQT_v4[[#This Row],[Tên sản phẩm]],MD_SKU[Tên SKU-rút gọn],0)),"")</f>
        <v>Hạt HD ép</v>
      </c>
      <c r="Q99" s="7" t="str">
        <f>IFERROR(
   IF(INDEX(MD_SKU[IV/IM],MATCH(KH_26_OPT4_KTQT_v4[[#This Row],[Tên sản phẩm]],MD_SKU[Tên SKU-rút gọn],0))=0,
      "",
      INDEX(MD_SKU[IV/IM],MATCH(KH_26_OPT4_KTQT_v4[[#This Row],[Tên sản phẩm]],MD_SKU[Tên SKU-rút gọn],0))
   ),
"")</f>
        <v/>
      </c>
      <c r="R99" s="44">
        <f>IFERROR(INDEX(MD_SKU[Application],MATCH(KH_26_OPT4_KTQT_v4[[#This Row],[Tên sản phẩm]],MD_SKU[Tên SKU-rút gọn],0)),"")</f>
        <v>0</v>
      </c>
      <c r="S99" s="7" t="str">
        <f>IFERROR(INDEX(MD_SKU[Phân loại],MATCH(KH_26_OPT4_KTQT_v4[[#This Row],[Tên sản phẩm]],MD_SKU[Tên SKU-rút gọn],0)),"")</f>
        <v>Cũ</v>
      </c>
      <c r="T99" s="7" t="s">
        <v>47</v>
      </c>
      <c r="U99" s="7" t="s">
        <v>1508</v>
      </c>
      <c r="V99" s="70">
        <v>0.8</v>
      </c>
      <c r="W99" s="33"/>
      <c r="X99" s="33"/>
      <c r="Y99" s="33"/>
      <c r="Z99" s="33"/>
      <c r="AA99" s="33"/>
      <c r="AB99" s="33"/>
      <c r="AC99" s="33"/>
      <c r="AD99" s="33"/>
      <c r="AE99" s="33"/>
      <c r="AF99" s="33"/>
      <c r="AG99" s="33"/>
      <c r="AH99" s="33"/>
      <c r="AI99" s="47">
        <f ca="1">SUM(KH_26_OPT4_KTQT_v4[[#This Row],[SL-01]:[SL-12]])</f>
        <v>0</v>
      </c>
      <c r="AJ99" s="47">
        <f ca="1">SUMIFS(DB_25[SL-DB25],DB_25[Mã khách],KH_26_OPT4_KTQT_v4[[#This Row],[Mã khách]],DB_25[Mã sản phẩm],KH_26_OPT4_KTQT_v4[[#This Row],[Mã sản phẩm]])</f>
        <v>71.5</v>
      </c>
      <c r="AK99" s="20">
        <f ca="1">KH_26_OPT4_KTQT_v4[[#This Row],[SL-KH26]]-KH_26_OPT4_KTQT_v4[[#This Row],[SL-DB25]]</f>
        <v>-71.5</v>
      </c>
      <c r="AL99" s="21">
        <f ca="1">IFERROR(KH_26_OPT4_KTQT_v4[[#This Row],[SL-+/-]]/KH_26_OPT4_KTQT_v4[[#This Row],[SL-DB25]],0)</f>
        <v>-1</v>
      </c>
      <c r="AM99" s="51">
        <v>695</v>
      </c>
      <c r="AN99" s="51">
        <v>695</v>
      </c>
      <c r="AO99" s="51">
        <v>695</v>
      </c>
      <c r="AP99" s="51">
        <v>695</v>
      </c>
      <c r="AQ99" s="51">
        <v>695</v>
      </c>
      <c r="AR99" s="51">
        <v>695</v>
      </c>
      <c r="AS99" s="51">
        <v>695</v>
      </c>
      <c r="AT99" s="51">
        <v>695</v>
      </c>
      <c r="AU99" s="51">
        <v>695</v>
      </c>
      <c r="AV99" s="51">
        <v>695</v>
      </c>
      <c r="AW99" s="51">
        <v>695</v>
      </c>
      <c r="AX99" s="51">
        <v>695</v>
      </c>
      <c r="AY99" s="23">
        <v>695</v>
      </c>
      <c r="AZ99" s="7"/>
      <c r="BA99" s="24">
        <f>KH_26_OPT4_KTQT_v4[[#This Row],[GB-DB25]]-KH_26_OPT4_KTQT_v4[[#This Row],[GB-KH25]]</f>
        <v>695</v>
      </c>
      <c r="BB99" s="21">
        <f>IFERROR(KH_26_OPT4_KTQT_v4[[#This Row],[GB-+/-]]/KH_26_OPT4_KTQT_v4[[#This Row],[GB-KH25]],0)</f>
        <v>0</v>
      </c>
      <c r="BC99" s="21"/>
      <c r="BD99" s="47">
        <f>KH_26_OPT4_KTQT_v4[[#This Row],[SL-01]]*KH_26_OPT4_KTQT_v4[[#This Row],[GB-01]]*EXR</f>
        <v>0</v>
      </c>
      <c r="BE99" s="47">
        <f>KH_26_OPT4_KTQT_v4[[#This Row],[SL-02]]*KH_26_OPT4_KTQT_v4[[#This Row],[GB-02]]*EXR</f>
        <v>0</v>
      </c>
      <c r="BF99" s="47">
        <f>KH_26_OPT4_KTQT_v4[[#This Row],[SL-03]]*KH_26_OPT4_KTQT_v4[[#This Row],[GB-03]]*EXR</f>
        <v>0</v>
      </c>
      <c r="BG99" s="47">
        <f>KH_26_OPT4_KTQT_v4[[#This Row],[SL-04]]*KH_26_OPT4_KTQT_v4[[#This Row],[GB-04]]*EXR</f>
        <v>0</v>
      </c>
      <c r="BH99" s="47">
        <f>KH_26_OPT4_KTQT_v4[[#This Row],[SL-05]]*KH_26_OPT4_KTQT_v4[[#This Row],[GB-05]]*EXR</f>
        <v>0</v>
      </c>
      <c r="BI99" s="47">
        <f>KH_26_OPT4_KTQT_v4[[#This Row],[SL-06]]*KH_26_OPT4_KTQT_v4[[#This Row],[GB-06]]*EXR</f>
        <v>0</v>
      </c>
      <c r="BJ99" s="47">
        <f>KH_26_OPT4_KTQT_v4[[#This Row],[SL-07]]*KH_26_OPT4_KTQT_v4[[#This Row],[GB-07]]*EXR</f>
        <v>0</v>
      </c>
      <c r="BK99" s="47">
        <f>KH_26_OPT4_KTQT_v4[[#This Row],[SL-08]]*KH_26_OPT4_KTQT_v4[[#This Row],[GB-08]]*EXR</f>
        <v>0</v>
      </c>
      <c r="BL99" s="47">
        <f>KH_26_OPT4_KTQT_v4[[#This Row],[SL-09]]*KH_26_OPT4_KTQT_v4[[#This Row],[GB-09]]*EXR</f>
        <v>0</v>
      </c>
      <c r="BM99" s="47">
        <f>KH_26_OPT4_KTQT_v4[[#This Row],[SL-10]]*KH_26_OPT4_KTQT_v4[[#This Row],[GB-10]]*EXR</f>
        <v>0</v>
      </c>
      <c r="BN99" s="47">
        <f>KH_26_OPT4_KTQT_v4[[#This Row],[SL-11]]*KH_26_OPT4_KTQT_v4[[#This Row],[GB-11]]*EXR</f>
        <v>0</v>
      </c>
      <c r="BO99" s="47">
        <f>KH_26_OPT4_KTQT_v4[[#This Row],[SL-12]]*KH_26_OPT4_KTQT_v4[[#This Row],[GB-12]]*EXR</f>
        <v>0</v>
      </c>
      <c r="BP99" s="47">
        <f ca="1">SUM(KH_26_OPT4_KTQT_v4[[#This Row],[DT-EXW-01]:[DT-EXW-12]])</f>
        <v>0</v>
      </c>
      <c r="BQ99" s="47">
        <f ca="1">SUMIFS(DB_25[DT-DB25],DB_25[Mã khách],KH_26_OPT4_KTQT_v4[[#This Row],[Mã khách]],DB_25[Mã sản phẩm],KH_26_OPT4_KTQT_v4[[#This Row],[Mã sản phẩm]])</f>
        <v>1103879795.2083018</v>
      </c>
      <c r="BR99" s="47">
        <f ca="1">KH_26_OPT4_KTQT_v4[[#This Row],[DT-EXW-KH26]]-KH_26_OPT4_KTQT_v4[[#This Row],[DT-EXW-DB25]]</f>
        <v>-1103879795.2083018</v>
      </c>
      <c r="BS99" s="21">
        <f ca="1">IFERROR(KH_26_OPT4_KTQT_v4[[#This Row],[DT-EXW-+/-]]/KH_26_OPT4_KTQT_v4[[#This Row],[DT-EXW-DB25]],0)</f>
        <v>-1</v>
      </c>
      <c r="BT99" s="140"/>
      <c r="BU99" s="56"/>
      <c r="BV99" s="142"/>
      <c r="BW99" s="47">
        <f>IF(KH_26_OPT4_KTQT_v4[[#This Row],[CPHH-%-SL]]="Dthu",KH_26_OPT4_KTQT_v4[[#This Row],[%HH]]*KH_26_OPT4_KTQT_v4[[#This Row],[DT-EXW-01]],KH_26_OPT4_KTQT_v4[[#This Row],[HH-SL]]*KH_26_OPT4_KTQT_v4[[#This Row],[SL-01]])</f>
        <v>0</v>
      </c>
      <c r="BX99" s="47">
        <f>IF(KH_26_OPT4_KTQT_v4[[#This Row],[CPHH-%-SL]]="Dthu",KH_26_OPT4_KTQT_v4[[#This Row],[%HH]]*KH_26_OPT4_KTQT_v4[[#This Row],[DT-EXW-02]],KH_26_OPT4_KTQT_v4[[#This Row],[HH-SL]]*KH_26_OPT4_KTQT_v4[[#This Row],[SL-02]])</f>
        <v>0</v>
      </c>
      <c r="BY99" s="47">
        <f>IF(KH_26_OPT4_KTQT_v4[[#This Row],[CPHH-%-SL]]="Dthu",KH_26_OPT4_KTQT_v4[[#This Row],[%HH]]*KH_26_OPT4_KTQT_v4[[#This Row],[DT-EXW-03]],KH_26_OPT4_KTQT_v4[[#This Row],[HH-SL]]*KH_26_OPT4_KTQT_v4[[#This Row],[SL-03]])</f>
        <v>0</v>
      </c>
      <c r="BZ99" s="47">
        <f>IF(KH_26_OPT4_KTQT_v4[[#This Row],[CPHH-%-SL]]="Dthu",KH_26_OPT4_KTQT_v4[[#This Row],[%HH]]*KH_26_OPT4_KTQT_v4[[#This Row],[DT-EXW-04]],KH_26_OPT4_KTQT_v4[[#This Row],[HH-SL]]*KH_26_OPT4_KTQT_v4[[#This Row],[SL-04]])</f>
        <v>0</v>
      </c>
      <c r="CA99" s="47">
        <f>IF(KH_26_OPT4_KTQT_v4[[#This Row],[CPHH-%-SL]]="Dthu",KH_26_OPT4_KTQT_v4[[#This Row],[%HH]]*KH_26_OPT4_KTQT_v4[[#This Row],[DT-EXW-05]],KH_26_OPT4_KTQT_v4[[#This Row],[HH-SL]]*KH_26_OPT4_KTQT_v4[[#This Row],[SL-05]])</f>
        <v>0</v>
      </c>
      <c r="CB99" s="47">
        <f>IF(KH_26_OPT4_KTQT_v4[[#This Row],[CPHH-%-SL]]="Dthu",KH_26_OPT4_KTQT_v4[[#This Row],[%HH]]*KH_26_OPT4_KTQT_v4[[#This Row],[DT-EXW-06]],KH_26_OPT4_KTQT_v4[[#This Row],[HH-SL]]*KH_26_OPT4_KTQT_v4[[#This Row],[SL-06]])</f>
        <v>0</v>
      </c>
      <c r="CC99" s="47">
        <f>IF(KH_26_OPT4_KTQT_v4[[#This Row],[CPHH-%-SL]]="Dthu",KH_26_OPT4_KTQT_v4[[#This Row],[%HH]]*KH_26_OPT4_KTQT_v4[[#This Row],[DT-EXW-07]],KH_26_OPT4_KTQT_v4[[#This Row],[HH-SL]]*KH_26_OPT4_KTQT_v4[[#This Row],[SL-07]])</f>
        <v>0</v>
      </c>
      <c r="CD99" s="47">
        <f>IF(KH_26_OPT4_KTQT_v4[[#This Row],[CPHH-%-SL]]="Dthu",KH_26_OPT4_KTQT_v4[[#This Row],[%HH]]*KH_26_OPT4_KTQT_v4[[#This Row],[DT-EXW-08]],KH_26_OPT4_KTQT_v4[[#This Row],[HH-SL]]*KH_26_OPT4_KTQT_v4[[#This Row],[SL-08]])</f>
        <v>0</v>
      </c>
      <c r="CE99" s="47">
        <f>IF(KH_26_OPT4_KTQT_v4[[#This Row],[CPHH-%-SL]]="Dthu",KH_26_OPT4_KTQT_v4[[#This Row],[%HH]]*KH_26_OPT4_KTQT_v4[[#This Row],[DT-EXW-09]],KH_26_OPT4_KTQT_v4[[#This Row],[HH-SL]]*KH_26_OPT4_KTQT_v4[[#This Row],[SL-09]])</f>
        <v>0</v>
      </c>
      <c r="CF99" s="47">
        <f>IF(KH_26_OPT4_KTQT_v4[[#This Row],[CPHH-%-SL]]="Dthu",KH_26_OPT4_KTQT_v4[[#This Row],[%HH]]*KH_26_OPT4_KTQT_v4[[#This Row],[DT-EXW-10]],KH_26_OPT4_KTQT_v4[[#This Row],[HH-SL]]*KH_26_OPT4_KTQT_v4[[#This Row],[SL-10]])</f>
        <v>0</v>
      </c>
      <c r="CG99" s="47">
        <f>IF(KH_26_OPT4_KTQT_v4[[#This Row],[CPHH-%-SL]]="Dthu",KH_26_OPT4_KTQT_v4[[#This Row],[%HH]]*KH_26_OPT4_KTQT_v4[[#This Row],[DT-EXW-11]],KH_26_OPT4_KTQT_v4[[#This Row],[HH-SL]]*KH_26_OPT4_KTQT_v4[[#This Row],[SL-11]])</f>
        <v>0</v>
      </c>
      <c r="CH99" s="47">
        <f>IF(KH_26_OPT4_KTQT_v4[[#This Row],[CPHH-%-SL]]="Dthu",KH_26_OPT4_KTQT_v4[[#This Row],[%HH]]*KH_26_OPT4_KTQT_v4[[#This Row],[DT-EXW-12]],KH_26_OPT4_KTQT_v4[[#This Row],[HH-SL]]*KH_26_OPT4_KTQT_v4[[#This Row],[SL-12]])</f>
        <v>0</v>
      </c>
      <c r="CI99" s="47">
        <f ca="1">SUM(KH_26_OPT4_KTQT_v4[[#This Row],[CPHH-01]:[CPHH-12]])</f>
        <v>0</v>
      </c>
      <c r="CJ99" s="47" cm="1">
        <f t="array" ref="CJ99">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99" s="19">
        <f ca="1">SUM(KH_26_OPT4_KTQT_v4[[#This Row],[ĐGVCNĐ-KXK]:[ĐGVCCT-KXK]])</f>
        <v>0</v>
      </c>
      <c r="CL99" s="47" cm="1">
        <f t="array" ref="CL99">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99" s="47" cm="1">
        <f t="array" ref="CM99">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99" s="47">
        <f ca="1">(KH_26_OPT4_KTQT_v4[[#This Row],[ĐGVC-KNĐ]]+KH_26_OPT4_KTQT_v4[[#This Row],[ĐGVC-KXK]])*KH_26_OPT4_KTQT_v4[[#This Row],[SL-01]]</f>
        <v>0</v>
      </c>
      <c r="CO99" s="47">
        <f ca="1">(KH_26_OPT4_KTQT_v4[[#This Row],[ĐGVC-KNĐ]]+KH_26_OPT4_KTQT_v4[[#This Row],[ĐGVC-KXK]])*KH_26_OPT4_KTQT_v4[[#This Row],[SL-02]]</f>
        <v>0</v>
      </c>
      <c r="CP99" s="47">
        <f ca="1">(KH_26_OPT4_KTQT_v4[[#This Row],[ĐGVC-KNĐ]]+KH_26_OPT4_KTQT_v4[[#This Row],[ĐGVC-KXK]])*KH_26_OPT4_KTQT_v4[[#This Row],[SL-03]]</f>
        <v>0</v>
      </c>
      <c r="CQ99" s="47">
        <f ca="1">(KH_26_OPT4_KTQT_v4[[#This Row],[ĐGVC-KNĐ]]+KH_26_OPT4_KTQT_v4[[#This Row],[ĐGVC-KXK]])*KH_26_OPT4_KTQT_v4[[#This Row],[SL-04]]</f>
        <v>0</v>
      </c>
      <c r="CR99" s="47">
        <f ca="1">(KH_26_OPT4_KTQT_v4[[#This Row],[ĐGVC-KNĐ]]+KH_26_OPT4_KTQT_v4[[#This Row],[ĐGVC-KXK]])*KH_26_OPT4_KTQT_v4[[#This Row],[SL-05]]</f>
        <v>0</v>
      </c>
      <c r="CS99" s="47">
        <f ca="1">(KH_26_OPT4_KTQT_v4[[#This Row],[ĐGVC-KNĐ]]+KH_26_OPT4_KTQT_v4[[#This Row],[ĐGVC-KXK]])*KH_26_OPT4_KTQT_v4[[#This Row],[SL-06]]</f>
        <v>0</v>
      </c>
      <c r="CT99" s="47">
        <f ca="1">(KH_26_OPT4_KTQT_v4[[#This Row],[ĐGVC-KNĐ]]+KH_26_OPT4_KTQT_v4[[#This Row],[ĐGVC-KXK]])*KH_26_OPT4_KTQT_v4[[#This Row],[SL-07]]</f>
        <v>0</v>
      </c>
      <c r="CU99" s="47">
        <f ca="1">(KH_26_OPT4_KTQT_v4[[#This Row],[ĐGVC-KNĐ]]+KH_26_OPT4_KTQT_v4[[#This Row],[ĐGVC-KXK]])*KH_26_OPT4_KTQT_v4[[#This Row],[SL-08]]</f>
        <v>0</v>
      </c>
      <c r="CV99" s="47">
        <f ca="1">(KH_26_OPT4_KTQT_v4[[#This Row],[ĐGVC-KNĐ]]+KH_26_OPT4_KTQT_v4[[#This Row],[ĐGVC-KXK]])*KH_26_OPT4_KTQT_v4[[#This Row],[SL-09]]</f>
        <v>0</v>
      </c>
      <c r="CW99" s="47">
        <f ca="1">(KH_26_OPT4_KTQT_v4[[#This Row],[ĐGVC-KNĐ]]+KH_26_OPT4_KTQT_v4[[#This Row],[ĐGVC-KXK]])*KH_26_OPT4_KTQT_v4[[#This Row],[SL-10]]</f>
        <v>0</v>
      </c>
      <c r="CX99" s="47">
        <f ca="1">(KH_26_OPT4_KTQT_v4[[#This Row],[ĐGVC-KNĐ]]+KH_26_OPT4_KTQT_v4[[#This Row],[ĐGVC-KXK]])*KH_26_OPT4_KTQT_v4[[#This Row],[SL-11]]</f>
        <v>0</v>
      </c>
      <c r="CY99" s="47">
        <f ca="1">(KH_26_OPT4_KTQT_v4[[#This Row],[ĐGVC-KNĐ]]+KH_26_OPT4_KTQT_v4[[#This Row],[ĐGVC-KXK]])*KH_26_OPT4_KTQT_v4[[#This Row],[SL-12]]</f>
        <v>0</v>
      </c>
      <c r="CZ99" s="47">
        <f ca="1">SUM(KH_26_OPT4_KTQT_v4[[#This Row],[CPVC-01]:[CPVC-12]])</f>
        <v>0</v>
      </c>
      <c r="DA99" s="124">
        <f ca="1">KH_26_OPT4_KTQT_v4[[#This Row],[DT-EXW-01]]+KH_26_OPT4_KTQT_v4[[#This Row],[CPVC-01]]+KH_26_OPT4_KTQT_v4[[#This Row],[CPHH-01]]</f>
        <v>0</v>
      </c>
      <c r="DB99" s="47">
        <f ca="1">KH_26_OPT4_KTQT_v4[[#This Row],[DT-EXW-02]]+KH_26_OPT4_KTQT_v4[[#This Row],[CPVC-02]]+KH_26_OPT4_KTQT_v4[[#This Row],[CPHH-02]]</f>
        <v>0</v>
      </c>
      <c r="DC99" s="47">
        <f ca="1">KH_26_OPT4_KTQT_v4[[#This Row],[DT-EXW-03]]+KH_26_OPT4_KTQT_v4[[#This Row],[CPVC-03]]+KH_26_OPT4_KTQT_v4[[#This Row],[CPHH-03]]</f>
        <v>0</v>
      </c>
      <c r="DD99" s="47">
        <f ca="1">KH_26_OPT4_KTQT_v4[[#This Row],[DT-EXW-04]]+KH_26_OPT4_KTQT_v4[[#This Row],[CPVC-04]]+KH_26_OPT4_KTQT_v4[[#This Row],[CPHH-04]]</f>
        <v>0</v>
      </c>
      <c r="DE99" s="47">
        <f ca="1">KH_26_OPT4_KTQT_v4[[#This Row],[DT-EXW-05]]+KH_26_OPT4_KTQT_v4[[#This Row],[CPVC-05]]+KH_26_OPT4_KTQT_v4[[#This Row],[CPHH-05]]</f>
        <v>0</v>
      </c>
      <c r="DF99" s="47">
        <f ca="1">KH_26_OPT4_KTQT_v4[[#This Row],[DT-EXW-06]]+KH_26_OPT4_KTQT_v4[[#This Row],[CPVC-06]]+KH_26_OPT4_KTQT_v4[[#This Row],[CPHH-06]]</f>
        <v>0</v>
      </c>
      <c r="DG99" s="47">
        <f ca="1">KH_26_OPT4_KTQT_v4[[#This Row],[DT-EXW-07]]+KH_26_OPT4_KTQT_v4[[#This Row],[CPVC-07]]+KH_26_OPT4_KTQT_v4[[#This Row],[CPHH-07]]</f>
        <v>0</v>
      </c>
      <c r="DH99" s="47">
        <f ca="1">KH_26_OPT4_KTQT_v4[[#This Row],[DT-EXW-08]]+KH_26_OPT4_KTQT_v4[[#This Row],[CPVC-08]]+KH_26_OPT4_KTQT_v4[[#This Row],[CPHH-08]]</f>
        <v>0</v>
      </c>
      <c r="DI99" s="47">
        <f ca="1">KH_26_OPT4_KTQT_v4[[#This Row],[DT-EXW-09]]+KH_26_OPT4_KTQT_v4[[#This Row],[CPVC-09]]+KH_26_OPT4_KTQT_v4[[#This Row],[CPHH-09]]</f>
        <v>0</v>
      </c>
      <c r="DJ99" s="47">
        <f ca="1">KH_26_OPT4_KTQT_v4[[#This Row],[DT-EXW-10]]+KH_26_OPT4_KTQT_v4[[#This Row],[CPVC-10]]+KH_26_OPT4_KTQT_v4[[#This Row],[CPHH-10]]</f>
        <v>0</v>
      </c>
      <c r="DK99" s="47">
        <f ca="1">KH_26_OPT4_KTQT_v4[[#This Row],[DT-EXW-11]]+KH_26_OPT4_KTQT_v4[[#This Row],[CPVC-11]]+KH_26_OPT4_KTQT_v4[[#This Row],[CPHH-11]]</f>
        <v>0</v>
      </c>
      <c r="DL99" s="47">
        <f ca="1">KH_26_OPT4_KTQT_v4[[#This Row],[DT-EXW-12]]+KH_26_OPT4_KTQT_v4[[#This Row],[CPVC-12]]+KH_26_OPT4_KTQT_v4[[#This Row],[CPHH-12]]</f>
        <v>0</v>
      </c>
      <c r="DM99" s="47">
        <f ca="1">SUM(KH_26_OPT4_KTQT_v4[[#This Row],[DT-01]:[DT-12]])</f>
        <v>0</v>
      </c>
      <c r="DN99" s="7"/>
      <c r="DO99" s="7"/>
      <c r="DP99" s="125"/>
      <c r="DQ99" s="136"/>
      <c r="DR99" s="132">
        <f>IFERROR(KH_26_OPT4_KTQT_v4[[#This Row],[DT-EXW-01]]*KH_26_OPT4_KTQT_v4[[#This Row],[%CPDP]],0)</f>
        <v>0</v>
      </c>
      <c r="DS99" s="132">
        <f>IFERROR(KH_26_OPT4_KTQT_v4[[#This Row],[DT-EXW-02]]*KH_26_OPT4_KTQT_v4[[#This Row],[%CPDP]],0)</f>
        <v>0</v>
      </c>
      <c r="DT99" s="132">
        <f>IFERROR(KH_26_OPT4_KTQT_v4[[#This Row],[DT-EXW-03]]*KH_26_OPT4_KTQT_v4[[#This Row],[%CPDP]],0)</f>
        <v>0</v>
      </c>
      <c r="DU99" s="132">
        <f>IFERROR(KH_26_OPT4_KTQT_v4[[#This Row],[DT-EXW-04]]*KH_26_OPT4_KTQT_v4[[#This Row],[%CPDP]],0)</f>
        <v>0</v>
      </c>
      <c r="DV99" s="132">
        <f>IFERROR(KH_26_OPT4_KTQT_v4[[#This Row],[DT-EXW-05]]*KH_26_OPT4_KTQT_v4[[#This Row],[%CPDP]],0)</f>
        <v>0</v>
      </c>
      <c r="DW99" s="132">
        <f>IFERROR(KH_26_OPT4_KTQT_v4[[#This Row],[DT-EXW-06]]*KH_26_OPT4_KTQT_v4[[#This Row],[%CPDP]],0)</f>
        <v>0</v>
      </c>
      <c r="DX99" s="132">
        <f>IFERROR(KH_26_OPT4_KTQT_v4[[#This Row],[DT-EXW-07]]*KH_26_OPT4_KTQT_v4[[#This Row],[%CPDP]],0)</f>
        <v>0</v>
      </c>
      <c r="DY99" s="132">
        <f>IFERROR(KH_26_OPT4_KTQT_v4[[#This Row],[DT-EXW-08]]*KH_26_OPT4_KTQT_v4[[#This Row],[%CPDP]],0)</f>
        <v>0</v>
      </c>
      <c r="DZ99" s="132">
        <f>IFERROR(KH_26_OPT4_KTQT_v4[[#This Row],[DT-EXW-09]]*KH_26_OPT4_KTQT_v4[[#This Row],[%CPDP]],0)</f>
        <v>0</v>
      </c>
      <c r="EA99" s="132">
        <f>IFERROR(KH_26_OPT4_KTQT_v4[[#This Row],[DT-EXW-10]]*KH_26_OPT4_KTQT_v4[[#This Row],[%CPDP]],0)</f>
        <v>0</v>
      </c>
      <c r="EB99" s="132">
        <f>IFERROR(KH_26_OPT4_KTQT_v4[[#This Row],[DT-EXW-11]]*KH_26_OPT4_KTQT_v4[[#This Row],[%CPDP]],0)</f>
        <v>0</v>
      </c>
      <c r="EC99" s="132">
        <f>IFERROR(KH_26_OPT4_KTQT_v4[[#This Row],[DT-EXW-12]]*KH_26_OPT4_KTQT_v4[[#This Row],[%CPDP]],0)</f>
        <v>0</v>
      </c>
      <c r="ED99" s="131">
        <f ca="1">SUM(KH_26_OPT4_KTQT_v4[[#This Row],[CPDP-01]:[CPDP-12]])</f>
        <v>0</v>
      </c>
    </row>
    <row r="100" spans="1:134" ht="14.65" hidden="1" customHeight="1" x14ac:dyDescent="0.35">
      <c r="A100" s="18">
        <v>95</v>
      </c>
      <c r="B100" s="71" t="s">
        <v>115</v>
      </c>
      <c r="C100" s="18" t="str">
        <f>IFERROR(_xlfn.XLOOKUP(KH_26_OPT4_KTQT_v4[[#This Row],[Salesman]],MD_Salesman[Salesman],MD_Salesman[SalesManager]),"")</f>
        <v>Quốc Anh</v>
      </c>
      <c r="D100" s="72" t="str">
        <f>IFERROR(INDEX(MD_Customer[Mã khách],MATCH(KH_26_OPT4_KTQT_v4[[#This Row],[Tên khách]],MD_Customer[Tên khách-rút gọn],0)),"")</f>
        <v>105272</v>
      </c>
      <c r="E100" s="7" t="str">
        <f>IFERROR(INDEX(MD_Customer[Parent Account],MATCH(KH_26_OPT4_KTQT_v4[[#This Row],[Tên khách]],MD_Customer[Tên khách-rút gọn],0)),"")</f>
        <v>LINH CHI</v>
      </c>
      <c r="F100" s="35" t="s">
        <v>148</v>
      </c>
      <c r="G100" s="7" t="str">
        <f>IFERROR(INDEX(MD_Customer[Phân loại],MATCH(KH_26_OPT4_KTQT_v4[[#This Row],[Tên khách]],MD_Customer[Tên khách-rút gọn],0)),"")</f>
        <v>Hiện hữu</v>
      </c>
      <c r="H100" s="7" t="str">
        <f>IFERROR(INDEX(MD_Customer[Kênh bán hàng],MATCH(KH_26_OPT4_KTQT_v4[[#This Row],[Tên khách]],MD_Customer[Tên khách-rút gọn],0)),"")</f>
        <v>Nội địa</v>
      </c>
      <c r="I100" s="35" t="s">
        <v>261</v>
      </c>
      <c r="J100" s="7" t="str">
        <f>IFERROR(INDEX(MD_Destination[Nước],MATCH(KH_26_OPT4_KTQT_v4[[#This Row],[Địa điểm đến]],MD_Destination[Địa điểm đến],0)),"")</f>
        <v>Việt Nam</v>
      </c>
      <c r="K100" s="7" t="str">
        <f>IFERROR(INDEX(MD_Destination[Khu vực],MATCH(KH_26_OPT4_KTQT_v4[[#This Row],[Địa điểm đến]],MD_Destination[Địa điểm đến],0)),"")</f>
        <v>Châu Á</v>
      </c>
      <c r="L100" s="35" t="s">
        <v>260</v>
      </c>
      <c r="M100" s="7" t="str">
        <f>IFERROR(INDEX(MD_SKU[Mã SKU],MATCH(KH_26_OPT4_KTQT_v4[[#This Row],[Tên sản phẩm]],MD_SKU[Tên SKU-rút gọn],0)),"")</f>
        <v>110000466</v>
      </c>
      <c r="N100" s="35" t="s">
        <v>483</v>
      </c>
      <c r="O100" s="7" t="str">
        <f>IFERROR(INDEX(MD_SKU[Ngành hàng],MATCH(KH_26_OPT4_KTQT_v4[[#This Row],[Tên sản phẩm]],MD_SKU[Tên SKU-rút gọn],0)),"")</f>
        <v>Xơ sợi</v>
      </c>
      <c r="P100" s="7" t="str">
        <f>IFERROR(INDEX(MD_SKU[Nhóm ngành],MATCH(KH_26_OPT4_KTQT_v4[[#This Row],[Tên sản phẩm]],MD_SKU[Tên SKU-rút gọn],0)),"")</f>
        <v>Hạt Xơ sợi</v>
      </c>
      <c r="Q100" s="7" t="str">
        <f>IFERROR(
   IF(INDEX(MD_SKU[IV/IM],MATCH(KH_26_OPT4_KTQT_v4[[#This Row],[Tên sản phẩm]],MD_SKU[Tên SKU-rút gọn],0))=0,
      "",
      INDEX(MD_SKU[IV/IM],MATCH(KH_26_OPT4_KTQT_v4[[#This Row],[Tên sản phẩm]],MD_SKU[Tên SKU-rút gọn],0))
   ),
"")</f>
        <v>0.55 ± 0.05</v>
      </c>
      <c r="R100" s="44">
        <f>IFERROR(INDEX(MD_SKU[Application],MATCH(KH_26_OPT4_KTQT_v4[[#This Row],[Tên sản phẩm]],MD_SKU[Tên SKU-rút gọn],0)),"")</f>
        <v>0</v>
      </c>
      <c r="S100" s="7" t="str">
        <f>IFERROR(INDEX(MD_SKU[Phân loại],MATCH(KH_26_OPT4_KTQT_v4[[#This Row],[Tên sản phẩm]],MD_SKU[Tên SKU-rút gọn],0)),"")</f>
        <v>Cũ</v>
      </c>
      <c r="T100" s="7" t="s">
        <v>148</v>
      </c>
      <c r="U100" s="157" t="s">
        <v>1508</v>
      </c>
      <c r="V100" s="70">
        <v>0.8</v>
      </c>
      <c r="W100" s="33"/>
      <c r="X100" s="33"/>
      <c r="Y100" s="33"/>
      <c r="Z100" s="33"/>
      <c r="AA100" s="33"/>
      <c r="AB100" s="33"/>
      <c r="AC100" s="33"/>
      <c r="AD100" s="33"/>
      <c r="AE100" s="33"/>
      <c r="AF100" s="33"/>
      <c r="AG100" s="33"/>
      <c r="AH100" s="33"/>
      <c r="AI100" s="47">
        <f ca="1">SUM(KH_26_OPT4_KTQT_v4[[#This Row],[SL-01]:[SL-12]])</f>
        <v>0</v>
      </c>
      <c r="AJ100" s="47">
        <f ca="1">SUMIFS(DB_25[SL-DB25],DB_25[Mã khách],KH_26_OPT4_KTQT_v4[[#This Row],[Mã khách]],DB_25[Mã sản phẩm],KH_26_OPT4_KTQT_v4[[#This Row],[Mã sản phẩm]])</f>
        <v>97.1</v>
      </c>
      <c r="AK100" s="20">
        <f ca="1">KH_26_OPT4_KTQT_v4[[#This Row],[SL-KH26]]-KH_26_OPT4_KTQT_v4[[#This Row],[SL-DB25]]</f>
        <v>-97.1</v>
      </c>
      <c r="AL100" s="21">
        <f ca="1">IFERROR(KH_26_OPT4_KTQT_v4[[#This Row],[SL-+/-]]/KH_26_OPT4_KTQT_v4[[#This Row],[SL-DB25]],0)</f>
        <v>-1</v>
      </c>
      <c r="AM100" s="51">
        <v>640</v>
      </c>
      <c r="AN100" s="51">
        <v>632</v>
      </c>
      <c r="AO100" s="51">
        <v>624</v>
      </c>
      <c r="AP100" s="51">
        <v>616</v>
      </c>
      <c r="AQ100" s="51">
        <v>608</v>
      </c>
      <c r="AR100" s="51">
        <v>600</v>
      </c>
      <c r="AS100" s="51">
        <v>592</v>
      </c>
      <c r="AT100" s="51">
        <v>584</v>
      </c>
      <c r="AU100" s="51">
        <v>576</v>
      </c>
      <c r="AV100" s="51">
        <v>568</v>
      </c>
      <c r="AW100" s="51">
        <v>560</v>
      </c>
      <c r="AX100" s="51">
        <v>552</v>
      </c>
      <c r="AY100" s="23">
        <v>596</v>
      </c>
      <c r="AZ100" s="7"/>
      <c r="BA100" s="24">
        <f>KH_26_OPT4_KTQT_v4[[#This Row],[GB-DB25]]-KH_26_OPT4_KTQT_v4[[#This Row],[GB-KH25]]</f>
        <v>596</v>
      </c>
      <c r="BB100" s="21">
        <f>IFERROR(KH_26_OPT4_KTQT_v4[[#This Row],[GB-+/-]]/KH_26_OPT4_KTQT_v4[[#This Row],[GB-KH25]],0)</f>
        <v>0</v>
      </c>
      <c r="BC100" s="21"/>
      <c r="BD100" s="47">
        <f>KH_26_OPT4_KTQT_v4[[#This Row],[SL-01]]*KH_26_OPT4_KTQT_v4[[#This Row],[GB-01]]*EXR</f>
        <v>0</v>
      </c>
      <c r="BE100" s="47">
        <f>KH_26_OPT4_KTQT_v4[[#This Row],[SL-02]]*KH_26_OPT4_KTQT_v4[[#This Row],[GB-02]]*EXR</f>
        <v>0</v>
      </c>
      <c r="BF100" s="47">
        <f>KH_26_OPT4_KTQT_v4[[#This Row],[SL-03]]*KH_26_OPT4_KTQT_v4[[#This Row],[GB-03]]*EXR</f>
        <v>0</v>
      </c>
      <c r="BG100" s="47">
        <f>KH_26_OPT4_KTQT_v4[[#This Row],[SL-04]]*KH_26_OPT4_KTQT_v4[[#This Row],[GB-04]]*EXR</f>
        <v>0</v>
      </c>
      <c r="BH100" s="47">
        <f>KH_26_OPT4_KTQT_v4[[#This Row],[SL-05]]*KH_26_OPT4_KTQT_v4[[#This Row],[GB-05]]*EXR</f>
        <v>0</v>
      </c>
      <c r="BI100" s="47">
        <f>KH_26_OPT4_KTQT_v4[[#This Row],[SL-06]]*KH_26_OPT4_KTQT_v4[[#This Row],[GB-06]]*EXR</f>
        <v>0</v>
      </c>
      <c r="BJ100" s="47">
        <f>KH_26_OPT4_KTQT_v4[[#This Row],[SL-07]]*KH_26_OPT4_KTQT_v4[[#This Row],[GB-07]]*EXR</f>
        <v>0</v>
      </c>
      <c r="BK100" s="47">
        <f>KH_26_OPT4_KTQT_v4[[#This Row],[SL-08]]*KH_26_OPT4_KTQT_v4[[#This Row],[GB-08]]*EXR</f>
        <v>0</v>
      </c>
      <c r="BL100" s="47">
        <f>KH_26_OPT4_KTQT_v4[[#This Row],[SL-09]]*KH_26_OPT4_KTQT_v4[[#This Row],[GB-09]]*EXR</f>
        <v>0</v>
      </c>
      <c r="BM100" s="47">
        <f>KH_26_OPT4_KTQT_v4[[#This Row],[SL-10]]*KH_26_OPT4_KTQT_v4[[#This Row],[GB-10]]*EXR</f>
        <v>0</v>
      </c>
      <c r="BN100" s="47">
        <f>KH_26_OPT4_KTQT_v4[[#This Row],[SL-11]]*KH_26_OPT4_KTQT_v4[[#This Row],[GB-11]]*EXR</f>
        <v>0</v>
      </c>
      <c r="BO100" s="47">
        <f>KH_26_OPT4_KTQT_v4[[#This Row],[SL-12]]*KH_26_OPT4_KTQT_v4[[#This Row],[GB-12]]*EXR</f>
        <v>0</v>
      </c>
      <c r="BP100" s="47">
        <f ca="1">SUM(KH_26_OPT4_KTQT_v4[[#This Row],[DT-EXW-01]:[DT-EXW-12]])</f>
        <v>0</v>
      </c>
      <c r="BQ100" s="47">
        <f ca="1">SUMIFS(DB_25[DT-DB25],DB_25[Mã khách],KH_26_OPT4_KTQT_v4[[#This Row],[Mã khách]],DB_25[Mã sản phẩm],KH_26_OPT4_KTQT_v4[[#This Row],[Mã sản phẩm]])</f>
        <v>1724227285.0897503</v>
      </c>
      <c r="BR100" s="47">
        <f ca="1">KH_26_OPT4_KTQT_v4[[#This Row],[DT-EXW-KH26]]-KH_26_OPT4_KTQT_v4[[#This Row],[DT-EXW-DB25]]</f>
        <v>-1724227285.0897503</v>
      </c>
      <c r="BS100" s="21">
        <f ca="1">IFERROR(KH_26_OPT4_KTQT_v4[[#This Row],[DT-EXW-+/-]]/KH_26_OPT4_KTQT_v4[[#This Row],[DT-EXW-DB25]],0)</f>
        <v>-1</v>
      </c>
      <c r="BT100" s="139"/>
      <c r="BU100" s="57"/>
      <c r="BV100" s="51"/>
      <c r="BW100" s="47">
        <f>IF(KH_26_OPT4_KTQT_v4[[#This Row],[CPHH-%-SL]]="Dthu",KH_26_OPT4_KTQT_v4[[#This Row],[%HH]]*KH_26_OPT4_KTQT_v4[[#This Row],[DT-EXW-01]],KH_26_OPT4_KTQT_v4[[#This Row],[HH-SL]]*KH_26_OPT4_KTQT_v4[[#This Row],[SL-01]])</f>
        <v>0</v>
      </c>
      <c r="BX100" s="47">
        <f>IF(KH_26_OPT4_KTQT_v4[[#This Row],[CPHH-%-SL]]="Dthu",KH_26_OPT4_KTQT_v4[[#This Row],[%HH]]*KH_26_OPT4_KTQT_v4[[#This Row],[DT-EXW-02]],KH_26_OPT4_KTQT_v4[[#This Row],[HH-SL]]*KH_26_OPT4_KTQT_v4[[#This Row],[SL-02]])</f>
        <v>0</v>
      </c>
      <c r="BY100" s="47">
        <f>IF(KH_26_OPT4_KTQT_v4[[#This Row],[CPHH-%-SL]]="Dthu",KH_26_OPT4_KTQT_v4[[#This Row],[%HH]]*KH_26_OPT4_KTQT_v4[[#This Row],[DT-EXW-03]],KH_26_OPT4_KTQT_v4[[#This Row],[HH-SL]]*KH_26_OPT4_KTQT_v4[[#This Row],[SL-03]])</f>
        <v>0</v>
      </c>
      <c r="BZ100" s="47">
        <f>IF(KH_26_OPT4_KTQT_v4[[#This Row],[CPHH-%-SL]]="Dthu",KH_26_OPT4_KTQT_v4[[#This Row],[%HH]]*KH_26_OPT4_KTQT_v4[[#This Row],[DT-EXW-04]],KH_26_OPT4_KTQT_v4[[#This Row],[HH-SL]]*KH_26_OPT4_KTQT_v4[[#This Row],[SL-04]])</f>
        <v>0</v>
      </c>
      <c r="CA100" s="47">
        <f>IF(KH_26_OPT4_KTQT_v4[[#This Row],[CPHH-%-SL]]="Dthu",KH_26_OPT4_KTQT_v4[[#This Row],[%HH]]*KH_26_OPT4_KTQT_v4[[#This Row],[DT-EXW-05]],KH_26_OPT4_KTQT_v4[[#This Row],[HH-SL]]*KH_26_OPT4_KTQT_v4[[#This Row],[SL-05]])</f>
        <v>0</v>
      </c>
      <c r="CB100" s="47">
        <f>IF(KH_26_OPT4_KTQT_v4[[#This Row],[CPHH-%-SL]]="Dthu",KH_26_OPT4_KTQT_v4[[#This Row],[%HH]]*KH_26_OPT4_KTQT_v4[[#This Row],[DT-EXW-06]],KH_26_OPT4_KTQT_v4[[#This Row],[HH-SL]]*KH_26_OPT4_KTQT_v4[[#This Row],[SL-06]])</f>
        <v>0</v>
      </c>
      <c r="CC100" s="47">
        <f>IF(KH_26_OPT4_KTQT_v4[[#This Row],[CPHH-%-SL]]="Dthu",KH_26_OPT4_KTQT_v4[[#This Row],[%HH]]*KH_26_OPT4_KTQT_v4[[#This Row],[DT-EXW-07]],KH_26_OPT4_KTQT_v4[[#This Row],[HH-SL]]*KH_26_OPT4_KTQT_v4[[#This Row],[SL-07]])</f>
        <v>0</v>
      </c>
      <c r="CD100" s="47">
        <f>IF(KH_26_OPT4_KTQT_v4[[#This Row],[CPHH-%-SL]]="Dthu",KH_26_OPT4_KTQT_v4[[#This Row],[%HH]]*KH_26_OPT4_KTQT_v4[[#This Row],[DT-EXW-08]],KH_26_OPT4_KTQT_v4[[#This Row],[HH-SL]]*KH_26_OPT4_KTQT_v4[[#This Row],[SL-08]])</f>
        <v>0</v>
      </c>
      <c r="CE100" s="47">
        <f>IF(KH_26_OPT4_KTQT_v4[[#This Row],[CPHH-%-SL]]="Dthu",KH_26_OPT4_KTQT_v4[[#This Row],[%HH]]*KH_26_OPT4_KTQT_v4[[#This Row],[DT-EXW-09]],KH_26_OPT4_KTQT_v4[[#This Row],[HH-SL]]*KH_26_OPT4_KTQT_v4[[#This Row],[SL-09]])</f>
        <v>0</v>
      </c>
      <c r="CF100" s="47">
        <f>IF(KH_26_OPT4_KTQT_v4[[#This Row],[CPHH-%-SL]]="Dthu",KH_26_OPT4_KTQT_v4[[#This Row],[%HH]]*KH_26_OPT4_KTQT_v4[[#This Row],[DT-EXW-10]],KH_26_OPT4_KTQT_v4[[#This Row],[HH-SL]]*KH_26_OPT4_KTQT_v4[[#This Row],[SL-10]])</f>
        <v>0</v>
      </c>
      <c r="CG100" s="47">
        <f>IF(KH_26_OPT4_KTQT_v4[[#This Row],[CPHH-%-SL]]="Dthu",KH_26_OPT4_KTQT_v4[[#This Row],[%HH]]*KH_26_OPT4_KTQT_v4[[#This Row],[DT-EXW-11]],KH_26_OPT4_KTQT_v4[[#This Row],[HH-SL]]*KH_26_OPT4_KTQT_v4[[#This Row],[SL-11]])</f>
        <v>0</v>
      </c>
      <c r="CH100" s="47">
        <f>IF(KH_26_OPT4_KTQT_v4[[#This Row],[CPHH-%-SL]]="Dthu",KH_26_OPT4_KTQT_v4[[#This Row],[%HH]]*KH_26_OPT4_KTQT_v4[[#This Row],[DT-EXW-12]],KH_26_OPT4_KTQT_v4[[#This Row],[HH-SL]]*KH_26_OPT4_KTQT_v4[[#This Row],[SL-12]])</f>
        <v>0</v>
      </c>
      <c r="CI100" s="47">
        <f ca="1">SUM(KH_26_OPT4_KTQT_v4[[#This Row],[CPHH-01]:[CPHH-12]])</f>
        <v>0</v>
      </c>
      <c r="CJ100" s="47" cm="1">
        <f t="array" ref="CJ100">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00" s="19">
        <f ca="1">SUM(KH_26_OPT4_KTQT_v4[[#This Row],[ĐGVCNĐ-KXK]:[ĐGVCCT-KXK]])</f>
        <v>0</v>
      </c>
      <c r="CL100" s="47" cm="1">
        <f t="array" ref="CL100">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100" s="47" cm="1">
        <f t="array" ref="CM100">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00" s="47">
        <f ca="1">(KH_26_OPT4_KTQT_v4[[#This Row],[ĐGVC-KNĐ]]+KH_26_OPT4_KTQT_v4[[#This Row],[ĐGVC-KXK]])*KH_26_OPT4_KTQT_v4[[#This Row],[SL-01]]</f>
        <v>0</v>
      </c>
      <c r="CO100" s="47">
        <f ca="1">(KH_26_OPT4_KTQT_v4[[#This Row],[ĐGVC-KNĐ]]+KH_26_OPT4_KTQT_v4[[#This Row],[ĐGVC-KXK]])*KH_26_OPT4_KTQT_v4[[#This Row],[SL-02]]</f>
        <v>0</v>
      </c>
      <c r="CP100" s="47">
        <f ca="1">(KH_26_OPT4_KTQT_v4[[#This Row],[ĐGVC-KNĐ]]+KH_26_OPT4_KTQT_v4[[#This Row],[ĐGVC-KXK]])*KH_26_OPT4_KTQT_v4[[#This Row],[SL-03]]</f>
        <v>0</v>
      </c>
      <c r="CQ100" s="47">
        <f ca="1">(KH_26_OPT4_KTQT_v4[[#This Row],[ĐGVC-KNĐ]]+KH_26_OPT4_KTQT_v4[[#This Row],[ĐGVC-KXK]])*KH_26_OPT4_KTQT_v4[[#This Row],[SL-04]]</f>
        <v>0</v>
      </c>
      <c r="CR100" s="47">
        <f ca="1">(KH_26_OPT4_KTQT_v4[[#This Row],[ĐGVC-KNĐ]]+KH_26_OPT4_KTQT_v4[[#This Row],[ĐGVC-KXK]])*KH_26_OPT4_KTQT_v4[[#This Row],[SL-05]]</f>
        <v>0</v>
      </c>
      <c r="CS100" s="47">
        <f ca="1">(KH_26_OPT4_KTQT_v4[[#This Row],[ĐGVC-KNĐ]]+KH_26_OPT4_KTQT_v4[[#This Row],[ĐGVC-KXK]])*KH_26_OPT4_KTQT_v4[[#This Row],[SL-06]]</f>
        <v>0</v>
      </c>
      <c r="CT100" s="47">
        <f ca="1">(KH_26_OPT4_KTQT_v4[[#This Row],[ĐGVC-KNĐ]]+KH_26_OPT4_KTQT_v4[[#This Row],[ĐGVC-KXK]])*KH_26_OPT4_KTQT_v4[[#This Row],[SL-07]]</f>
        <v>0</v>
      </c>
      <c r="CU100" s="47">
        <f ca="1">(KH_26_OPT4_KTQT_v4[[#This Row],[ĐGVC-KNĐ]]+KH_26_OPT4_KTQT_v4[[#This Row],[ĐGVC-KXK]])*KH_26_OPT4_KTQT_v4[[#This Row],[SL-08]]</f>
        <v>0</v>
      </c>
      <c r="CV100" s="47">
        <f ca="1">(KH_26_OPT4_KTQT_v4[[#This Row],[ĐGVC-KNĐ]]+KH_26_OPT4_KTQT_v4[[#This Row],[ĐGVC-KXK]])*KH_26_OPT4_KTQT_v4[[#This Row],[SL-09]]</f>
        <v>0</v>
      </c>
      <c r="CW100" s="47">
        <f ca="1">(KH_26_OPT4_KTQT_v4[[#This Row],[ĐGVC-KNĐ]]+KH_26_OPT4_KTQT_v4[[#This Row],[ĐGVC-KXK]])*KH_26_OPT4_KTQT_v4[[#This Row],[SL-10]]</f>
        <v>0</v>
      </c>
      <c r="CX100" s="47">
        <f ca="1">(KH_26_OPT4_KTQT_v4[[#This Row],[ĐGVC-KNĐ]]+KH_26_OPT4_KTQT_v4[[#This Row],[ĐGVC-KXK]])*KH_26_OPT4_KTQT_v4[[#This Row],[SL-11]]</f>
        <v>0</v>
      </c>
      <c r="CY100" s="47">
        <f ca="1">(KH_26_OPT4_KTQT_v4[[#This Row],[ĐGVC-KNĐ]]+KH_26_OPT4_KTQT_v4[[#This Row],[ĐGVC-KXK]])*KH_26_OPT4_KTQT_v4[[#This Row],[SL-12]]</f>
        <v>0</v>
      </c>
      <c r="CZ100" s="47">
        <f ca="1">SUM(KH_26_OPT4_KTQT_v4[[#This Row],[CPVC-01]:[CPVC-12]])</f>
        <v>0</v>
      </c>
      <c r="DA100" s="124">
        <f ca="1">KH_26_OPT4_KTQT_v4[[#This Row],[DT-EXW-01]]+KH_26_OPT4_KTQT_v4[[#This Row],[CPVC-01]]+KH_26_OPT4_KTQT_v4[[#This Row],[CPHH-01]]</f>
        <v>0</v>
      </c>
      <c r="DB100" s="47">
        <f ca="1">KH_26_OPT4_KTQT_v4[[#This Row],[DT-EXW-02]]+KH_26_OPT4_KTQT_v4[[#This Row],[CPVC-02]]+KH_26_OPT4_KTQT_v4[[#This Row],[CPHH-02]]</f>
        <v>0</v>
      </c>
      <c r="DC100" s="47">
        <f ca="1">KH_26_OPT4_KTQT_v4[[#This Row],[DT-EXW-03]]+KH_26_OPT4_KTQT_v4[[#This Row],[CPVC-03]]+KH_26_OPT4_KTQT_v4[[#This Row],[CPHH-03]]</f>
        <v>0</v>
      </c>
      <c r="DD100" s="47">
        <f ca="1">KH_26_OPT4_KTQT_v4[[#This Row],[DT-EXW-04]]+KH_26_OPT4_KTQT_v4[[#This Row],[CPVC-04]]+KH_26_OPT4_KTQT_v4[[#This Row],[CPHH-04]]</f>
        <v>0</v>
      </c>
      <c r="DE100" s="47">
        <f ca="1">KH_26_OPT4_KTQT_v4[[#This Row],[DT-EXW-05]]+KH_26_OPT4_KTQT_v4[[#This Row],[CPVC-05]]+KH_26_OPT4_KTQT_v4[[#This Row],[CPHH-05]]</f>
        <v>0</v>
      </c>
      <c r="DF100" s="47">
        <f ca="1">KH_26_OPT4_KTQT_v4[[#This Row],[DT-EXW-06]]+KH_26_OPT4_KTQT_v4[[#This Row],[CPVC-06]]+KH_26_OPT4_KTQT_v4[[#This Row],[CPHH-06]]</f>
        <v>0</v>
      </c>
      <c r="DG100" s="47">
        <f ca="1">KH_26_OPT4_KTQT_v4[[#This Row],[DT-EXW-07]]+KH_26_OPT4_KTQT_v4[[#This Row],[CPVC-07]]+KH_26_OPT4_KTQT_v4[[#This Row],[CPHH-07]]</f>
        <v>0</v>
      </c>
      <c r="DH100" s="47">
        <f ca="1">KH_26_OPT4_KTQT_v4[[#This Row],[DT-EXW-08]]+KH_26_OPT4_KTQT_v4[[#This Row],[CPVC-08]]+KH_26_OPT4_KTQT_v4[[#This Row],[CPHH-08]]</f>
        <v>0</v>
      </c>
      <c r="DI100" s="47">
        <f ca="1">KH_26_OPT4_KTQT_v4[[#This Row],[DT-EXW-09]]+KH_26_OPT4_KTQT_v4[[#This Row],[CPVC-09]]+KH_26_OPT4_KTQT_v4[[#This Row],[CPHH-09]]</f>
        <v>0</v>
      </c>
      <c r="DJ100" s="47">
        <f ca="1">KH_26_OPT4_KTQT_v4[[#This Row],[DT-EXW-10]]+KH_26_OPT4_KTQT_v4[[#This Row],[CPVC-10]]+KH_26_OPT4_KTQT_v4[[#This Row],[CPHH-10]]</f>
        <v>0</v>
      </c>
      <c r="DK100" s="47">
        <f ca="1">KH_26_OPT4_KTQT_v4[[#This Row],[DT-EXW-11]]+KH_26_OPT4_KTQT_v4[[#This Row],[CPVC-11]]+KH_26_OPT4_KTQT_v4[[#This Row],[CPHH-11]]</f>
        <v>0</v>
      </c>
      <c r="DL100" s="47">
        <f ca="1">KH_26_OPT4_KTQT_v4[[#This Row],[DT-EXW-12]]+KH_26_OPT4_KTQT_v4[[#This Row],[CPVC-12]]+KH_26_OPT4_KTQT_v4[[#This Row],[CPHH-12]]</f>
        <v>0</v>
      </c>
      <c r="DM100" s="47">
        <f ca="1">SUM(KH_26_OPT4_KTQT_v4[[#This Row],[DT-01]:[DT-12]])</f>
        <v>0</v>
      </c>
      <c r="DN100" s="7"/>
      <c r="DO100" s="7"/>
      <c r="DP100" s="125"/>
      <c r="DQ100" s="136"/>
      <c r="DR100" s="132">
        <f>IFERROR(KH_26_OPT4_KTQT_v4[[#This Row],[DT-EXW-01]]*KH_26_OPT4_KTQT_v4[[#This Row],[%CPDP]],0)</f>
        <v>0</v>
      </c>
      <c r="DS100" s="132">
        <f>IFERROR(KH_26_OPT4_KTQT_v4[[#This Row],[DT-EXW-02]]*KH_26_OPT4_KTQT_v4[[#This Row],[%CPDP]],0)</f>
        <v>0</v>
      </c>
      <c r="DT100" s="132">
        <f>IFERROR(KH_26_OPT4_KTQT_v4[[#This Row],[DT-EXW-03]]*KH_26_OPT4_KTQT_v4[[#This Row],[%CPDP]],0)</f>
        <v>0</v>
      </c>
      <c r="DU100" s="132">
        <f>IFERROR(KH_26_OPT4_KTQT_v4[[#This Row],[DT-EXW-04]]*KH_26_OPT4_KTQT_v4[[#This Row],[%CPDP]],0)</f>
        <v>0</v>
      </c>
      <c r="DV100" s="132">
        <f>IFERROR(KH_26_OPT4_KTQT_v4[[#This Row],[DT-EXW-05]]*KH_26_OPT4_KTQT_v4[[#This Row],[%CPDP]],0)</f>
        <v>0</v>
      </c>
      <c r="DW100" s="132">
        <f>IFERROR(KH_26_OPT4_KTQT_v4[[#This Row],[DT-EXW-06]]*KH_26_OPT4_KTQT_v4[[#This Row],[%CPDP]],0)</f>
        <v>0</v>
      </c>
      <c r="DX100" s="132">
        <f>IFERROR(KH_26_OPT4_KTQT_v4[[#This Row],[DT-EXW-07]]*KH_26_OPT4_KTQT_v4[[#This Row],[%CPDP]],0)</f>
        <v>0</v>
      </c>
      <c r="DY100" s="132">
        <f>IFERROR(KH_26_OPT4_KTQT_v4[[#This Row],[DT-EXW-08]]*KH_26_OPT4_KTQT_v4[[#This Row],[%CPDP]],0)</f>
        <v>0</v>
      </c>
      <c r="DZ100" s="132">
        <f>IFERROR(KH_26_OPT4_KTQT_v4[[#This Row],[DT-EXW-09]]*KH_26_OPT4_KTQT_v4[[#This Row],[%CPDP]],0)</f>
        <v>0</v>
      </c>
      <c r="EA100" s="132">
        <f>IFERROR(KH_26_OPT4_KTQT_v4[[#This Row],[DT-EXW-10]]*KH_26_OPT4_KTQT_v4[[#This Row],[%CPDP]],0)</f>
        <v>0</v>
      </c>
      <c r="EB100" s="132">
        <f>IFERROR(KH_26_OPT4_KTQT_v4[[#This Row],[DT-EXW-11]]*KH_26_OPT4_KTQT_v4[[#This Row],[%CPDP]],0)</f>
        <v>0</v>
      </c>
      <c r="EC100" s="132">
        <f>IFERROR(KH_26_OPT4_KTQT_v4[[#This Row],[DT-EXW-12]]*KH_26_OPT4_KTQT_v4[[#This Row],[%CPDP]],0)</f>
        <v>0</v>
      </c>
      <c r="ED100" s="131">
        <f ca="1">SUM(KH_26_OPT4_KTQT_v4[[#This Row],[CPDP-01]:[CPDP-12]])</f>
        <v>0</v>
      </c>
    </row>
    <row r="101" spans="1:134" ht="14.65" hidden="1" customHeight="1" x14ac:dyDescent="0.35">
      <c r="A101" s="18">
        <v>96</v>
      </c>
      <c r="B101" s="71" t="s">
        <v>115</v>
      </c>
      <c r="C101" s="18" t="str">
        <f>IFERROR(_xlfn.XLOOKUP(KH_26_OPT4_KTQT_v4[[#This Row],[Salesman]],MD_Salesman[Salesman],MD_Salesman[SalesManager]),"")</f>
        <v>Quốc Anh</v>
      </c>
      <c r="D101" s="72" t="str">
        <f>IFERROR(INDEX(MD_Customer[Mã khách],MATCH(KH_26_OPT4_KTQT_v4[[#This Row],[Tên khách]],MD_Customer[Tên khách-rút gọn],0)),"")</f>
        <v>105248</v>
      </c>
      <c r="E101" s="7" t="str">
        <f>IFERROR(INDEX(MD_Customer[Parent Account],MATCH(KH_26_OPT4_KTQT_v4[[#This Row],[Tên khách]],MD_Customer[Tên khách-rút gọn],0)),"")</f>
        <v>ĐẠI NHẤT LONG</v>
      </c>
      <c r="F101" s="35" t="s">
        <v>62</v>
      </c>
      <c r="G101" s="7" t="str">
        <f>IFERROR(INDEX(MD_Customer[Phân loại],MATCH(KH_26_OPT4_KTQT_v4[[#This Row],[Tên khách]],MD_Customer[Tên khách-rút gọn],0)),"")</f>
        <v>Hiện hữu</v>
      </c>
      <c r="H101" s="7" t="str">
        <f>IFERROR(INDEX(MD_Customer[Kênh bán hàng],MATCH(KH_26_OPT4_KTQT_v4[[#This Row],[Tên khách]],MD_Customer[Tên khách-rút gọn],0)),"")</f>
        <v>Nội địa</v>
      </c>
      <c r="I101" s="35" t="s">
        <v>258</v>
      </c>
      <c r="J101" s="7" t="str">
        <f>IFERROR(INDEX(MD_Destination[Nước],MATCH(KH_26_OPT4_KTQT_v4[[#This Row],[Địa điểm đến]],MD_Destination[Địa điểm đến],0)),"")</f>
        <v>Việt Nam</v>
      </c>
      <c r="K101" s="7" t="str">
        <f>IFERROR(INDEX(MD_Destination[Khu vực],MATCH(KH_26_OPT4_KTQT_v4[[#This Row],[Địa điểm đến]],MD_Destination[Địa điểm đến],0)),"")</f>
        <v>Châu Á</v>
      </c>
      <c r="L101" s="35" t="s">
        <v>262</v>
      </c>
      <c r="M101" s="7" t="str">
        <f>IFERROR(INDEX(MD_SKU[Mã SKU],MATCH(KH_26_OPT4_KTQT_v4[[#This Row],[Tên sản phẩm]],MD_SKU[Tên SKU-rút gọn],0)),"")</f>
        <v>110000389</v>
      </c>
      <c r="N101" s="35" t="s">
        <v>480</v>
      </c>
      <c r="O101" s="7" t="str">
        <f>IFERROR(INDEX(MD_SKU[Ngành hàng],MATCH(KH_26_OPT4_KTQT_v4[[#This Row],[Tên sản phẩm]],MD_SKU[Tên SKU-rút gọn],0)),"")</f>
        <v>rPP</v>
      </c>
      <c r="P101" s="7" t="str">
        <f>IFERROR(INDEX(MD_SKU[Nhóm ngành],MATCH(KH_26_OPT4_KTQT_v4[[#This Row],[Tên sản phẩm]],MD_SKU[Tên SKU-rút gọn],0)),"")</f>
        <v>Hạt PP</v>
      </c>
      <c r="Q101" s="7" t="str">
        <f>IFERROR(
   IF(INDEX(MD_SKU[IV/IM],MATCH(KH_26_OPT4_KTQT_v4[[#This Row],[Tên sản phẩm]],MD_SKU[Tên SKU-rút gọn],0))=0,
      "",
      INDEX(MD_SKU[IV/IM],MATCH(KH_26_OPT4_KTQT_v4[[#This Row],[Tên sản phẩm]],MD_SKU[Tên SKU-rút gọn],0))
   ),
"")</f>
        <v/>
      </c>
      <c r="R101" s="44">
        <f>IFERROR(INDEX(MD_SKU[Application],MATCH(KH_26_OPT4_KTQT_v4[[#This Row],[Tên sản phẩm]],MD_SKU[Tên SKU-rút gọn],0)),"")</f>
        <v>0</v>
      </c>
      <c r="S101" s="7" t="str">
        <f>IFERROR(INDEX(MD_SKU[Phân loại],MATCH(KH_26_OPT4_KTQT_v4[[#This Row],[Tên sản phẩm]],MD_SKU[Tên SKU-rút gọn],0)),"")</f>
        <v>Cũ</v>
      </c>
      <c r="T101" s="7" t="s">
        <v>62</v>
      </c>
      <c r="U101" s="7" t="s">
        <v>1508</v>
      </c>
      <c r="V101" s="70">
        <v>0.8</v>
      </c>
      <c r="W101" s="33">
        <v>3</v>
      </c>
      <c r="X101" s="33">
        <v>3</v>
      </c>
      <c r="Y101" s="33">
        <v>3</v>
      </c>
      <c r="Z101" s="33">
        <v>3</v>
      </c>
      <c r="AA101" s="33">
        <v>3</v>
      </c>
      <c r="AB101" s="33">
        <v>3</v>
      </c>
      <c r="AC101" s="33">
        <v>3</v>
      </c>
      <c r="AD101" s="33">
        <v>3</v>
      </c>
      <c r="AE101" s="33">
        <v>3</v>
      </c>
      <c r="AF101" s="33">
        <v>3</v>
      </c>
      <c r="AG101" s="33">
        <v>3</v>
      </c>
      <c r="AH101" s="33">
        <v>3</v>
      </c>
      <c r="AI101" s="47">
        <f ca="1">SUM(KH_26_OPT4_KTQT_v4[[#This Row],[SL-01]:[SL-12]])</f>
        <v>36</v>
      </c>
      <c r="AJ101" s="47">
        <f ca="1">SUMIFS(DB_25[SL-DB25],DB_25[Mã khách],KH_26_OPT4_KTQT_v4[[#This Row],[Mã khách]],DB_25[Mã sản phẩm],KH_26_OPT4_KTQT_v4[[#This Row],[Mã sản phẩm]])</f>
        <v>97</v>
      </c>
      <c r="AK101" s="20">
        <f ca="1">KH_26_OPT4_KTQT_v4[[#This Row],[SL-KH26]]-KH_26_OPT4_KTQT_v4[[#This Row],[SL-DB25]]</f>
        <v>-61</v>
      </c>
      <c r="AL101" s="21">
        <f ca="1">IFERROR(KH_26_OPT4_KTQT_v4[[#This Row],[SL-+/-]]/KH_26_OPT4_KTQT_v4[[#This Row],[SL-DB25]],0)</f>
        <v>-0.62886597938144329</v>
      </c>
      <c r="AM101" s="51">
        <v>700</v>
      </c>
      <c r="AN101" s="51">
        <v>700</v>
      </c>
      <c r="AO101" s="51">
        <v>700</v>
      </c>
      <c r="AP101" s="51">
        <v>700</v>
      </c>
      <c r="AQ101" s="51">
        <v>700</v>
      </c>
      <c r="AR101" s="51">
        <v>700</v>
      </c>
      <c r="AS101" s="51">
        <v>700</v>
      </c>
      <c r="AT101" s="51">
        <v>700</v>
      </c>
      <c r="AU101" s="51">
        <v>700</v>
      </c>
      <c r="AV101" s="51">
        <v>700</v>
      </c>
      <c r="AW101" s="51">
        <v>700</v>
      </c>
      <c r="AX101" s="51">
        <v>700</v>
      </c>
      <c r="AY101" s="23">
        <v>700</v>
      </c>
      <c r="AZ101" s="7"/>
      <c r="BA101" s="24">
        <f>KH_26_OPT4_KTQT_v4[[#This Row],[GB-DB25]]-KH_26_OPT4_KTQT_v4[[#This Row],[GB-KH25]]</f>
        <v>700</v>
      </c>
      <c r="BB101" s="21">
        <f>IFERROR(KH_26_OPT4_KTQT_v4[[#This Row],[GB-+/-]]/KH_26_OPT4_KTQT_v4[[#This Row],[GB-KH25]],0)</f>
        <v>0</v>
      </c>
      <c r="BC101" s="21"/>
      <c r="BD101" s="47">
        <f>KH_26_OPT4_KTQT_v4[[#This Row],[SL-01]]*KH_26_OPT4_KTQT_v4[[#This Row],[GB-01]]*EXR</f>
        <v>55650000</v>
      </c>
      <c r="BE101" s="47">
        <f>KH_26_OPT4_KTQT_v4[[#This Row],[SL-02]]*KH_26_OPT4_KTQT_v4[[#This Row],[GB-02]]*EXR</f>
        <v>55650000</v>
      </c>
      <c r="BF101" s="47">
        <f>KH_26_OPT4_KTQT_v4[[#This Row],[SL-03]]*KH_26_OPT4_KTQT_v4[[#This Row],[GB-03]]*EXR</f>
        <v>55650000</v>
      </c>
      <c r="BG101" s="47">
        <f>KH_26_OPT4_KTQT_v4[[#This Row],[SL-04]]*KH_26_OPT4_KTQT_v4[[#This Row],[GB-04]]*EXR</f>
        <v>55650000</v>
      </c>
      <c r="BH101" s="47">
        <f>KH_26_OPT4_KTQT_v4[[#This Row],[SL-05]]*KH_26_OPT4_KTQT_v4[[#This Row],[GB-05]]*EXR</f>
        <v>55650000</v>
      </c>
      <c r="BI101" s="47">
        <f>KH_26_OPT4_KTQT_v4[[#This Row],[SL-06]]*KH_26_OPT4_KTQT_v4[[#This Row],[GB-06]]*EXR</f>
        <v>55650000</v>
      </c>
      <c r="BJ101" s="47">
        <f>KH_26_OPT4_KTQT_v4[[#This Row],[SL-07]]*KH_26_OPT4_KTQT_v4[[#This Row],[GB-07]]*EXR</f>
        <v>55650000</v>
      </c>
      <c r="BK101" s="47">
        <f>KH_26_OPT4_KTQT_v4[[#This Row],[SL-08]]*KH_26_OPT4_KTQT_v4[[#This Row],[GB-08]]*EXR</f>
        <v>55650000</v>
      </c>
      <c r="BL101" s="47">
        <f>KH_26_OPT4_KTQT_v4[[#This Row],[SL-09]]*KH_26_OPT4_KTQT_v4[[#This Row],[GB-09]]*EXR</f>
        <v>55650000</v>
      </c>
      <c r="BM101" s="47">
        <f>KH_26_OPT4_KTQT_v4[[#This Row],[SL-10]]*KH_26_OPT4_KTQT_v4[[#This Row],[GB-10]]*EXR</f>
        <v>55650000</v>
      </c>
      <c r="BN101" s="47">
        <f>KH_26_OPT4_KTQT_v4[[#This Row],[SL-11]]*KH_26_OPT4_KTQT_v4[[#This Row],[GB-11]]*EXR</f>
        <v>55650000</v>
      </c>
      <c r="BO101" s="47">
        <f>KH_26_OPT4_KTQT_v4[[#This Row],[SL-12]]*KH_26_OPT4_KTQT_v4[[#This Row],[GB-12]]*EXR</f>
        <v>55650000</v>
      </c>
      <c r="BP101" s="47">
        <f ca="1">SUM(KH_26_OPT4_KTQT_v4[[#This Row],[DT-EXW-01]:[DT-EXW-12]])</f>
        <v>667800000</v>
      </c>
      <c r="BQ101" s="47">
        <f ca="1">SUMIFS(DB_25[DT-DB25],DB_25[Mã khách],KH_26_OPT4_KTQT_v4[[#This Row],[Mã khách]],DB_25[Mã sản phẩm],KH_26_OPT4_KTQT_v4[[#This Row],[Mã sản phẩm]])</f>
        <v>1434248117.3000658</v>
      </c>
      <c r="BR101" s="47">
        <f ca="1">KH_26_OPT4_KTQT_v4[[#This Row],[DT-EXW-KH26]]-KH_26_OPT4_KTQT_v4[[#This Row],[DT-EXW-DB25]]</f>
        <v>-766448117.30006576</v>
      </c>
      <c r="BS101" s="21">
        <f ca="1">IFERROR(KH_26_OPT4_KTQT_v4[[#This Row],[DT-EXW-+/-]]/KH_26_OPT4_KTQT_v4[[#This Row],[DT-EXW-DB25]],0)</f>
        <v>-0.53439018539057537</v>
      </c>
      <c r="BT101" s="139"/>
      <c r="BU101" s="57"/>
      <c r="BV101" s="51"/>
      <c r="BW101" s="47">
        <f>IF(KH_26_OPT4_KTQT_v4[[#This Row],[CPHH-%-SL]]="Dthu",KH_26_OPT4_KTQT_v4[[#This Row],[%HH]]*KH_26_OPT4_KTQT_v4[[#This Row],[DT-EXW-01]],KH_26_OPT4_KTQT_v4[[#This Row],[HH-SL]]*KH_26_OPT4_KTQT_v4[[#This Row],[SL-01]])</f>
        <v>0</v>
      </c>
      <c r="BX101" s="47">
        <f>IF(KH_26_OPT4_KTQT_v4[[#This Row],[CPHH-%-SL]]="Dthu",KH_26_OPT4_KTQT_v4[[#This Row],[%HH]]*KH_26_OPT4_KTQT_v4[[#This Row],[DT-EXW-02]],KH_26_OPT4_KTQT_v4[[#This Row],[HH-SL]]*KH_26_OPT4_KTQT_v4[[#This Row],[SL-02]])</f>
        <v>0</v>
      </c>
      <c r="BY101" s="47">
        <f>IF(KH_26_OPT4_KTQT_v4[[#This Row],[CPHH-%-SL]]="Dthu",KH_26_OPT4_KTQT_v4[[#This Row],[%HH]]*KH_26_OPT4_KTQT_v4[[#This Row],[DT-EXW-03]],KH_26_OPT4_KTQT_v4[[#This Row],[HH-SL]]*KH_26_OPT4_KTQT_v4[[#This Row],[SL-03]])</f>
        <v>0</v>
      </c>
      <c r="BZ101" s="47">
        <f>IF(KH_26_OPT4_KTQT_v4[[#This Row],[CPHH-%-SL]]="Dthu",KH_26_OPT4_KTQT_v4[[#This Row],[%HH]]*KH_26_OPT4_KTQT_v4[[#This Row],[DT-EXW-04]],KH_26_OPT4_KTQT_v4[[#This Row],[HH-SL]]*KH_26_OPT4_KTQT_v4[[#This Row],[SL-04]])</f>
        <v>0</v>
      </c>
      <c r="CA101" s="47">
        <f>IF(KH_26_OPT4_KTQT_v4[[#This Row],[CPHH-%-SL]]="Dthu",KH_26_OPT4_KTQT_v4[[#This Row],[%HH]]*KH_26_OPT4_KTQT_v4[[#This Row],[DT-EXW-05]],KH_26_OPT4_KTQT_v4[[#This Row],[HH-SL]]*KH_26_OPT4_KTQT_v4[[#This Row],[SL-05]])</f>
        <v>0</v>
      </c>
      <c r="CB101" s="47">
        <f>IF(KH_26_OPT4_KTQT_v4[[#This Row],[CPHH-%-SL]]="Dthu",KH_26_OPT4_KTQT_v4[[#This Row],[%HH]]*KH_26_OPT4_KTQT_v4[[#This Row],[DT-EXW-06]],KH_26_OPT4_KTQT_v4[[#This Row],[HH-SL]]*KH_26_OPT4_KTQT_v4[[#This Row],[SL-06]])</f>
        <v>0</v>
      </c>
      <c r="CC101" s="47">
        <f>IF(KH_26_OPT4_KTQT_v4[[#This Row],[CPHH-%-SL]]="Dthu",KH_26_OPT4_KTQT_v4[[#This Row],[%HH]]*KH_26_OPT4_KTQT_v4[[#This Row],[DT-EXW-07]],KH_26_OPT4_KTQT_v4[[#This Row],[HH-SL]]*KH_26_OPT4_KTQT_v4[[#This Row],[SL-07]])</f>
        <v>0</v>
      </c>
      <c r="CD101" s="47">
        <f>IF(KH_26_OPT4_KTQT_v4[[#This Row],[CPHH-%-SL]]="Dthu",KH_26_OPT4_KTQT_v4[[#This Row],[%HH]]*KH_26_OPT4_KTQT_v4[[#This Row],[DT-EXW-08]],KH_26_OPT4_KTQT_v4[[#This Row],[HH-SL]]*KH_26_OPT4_KTQT_v4[[#This Row],[SL-08]])</f>
        <v>0</v>
      </c>
      <c r="CE101" s="47">
        <f>IF(KH_26_OPT4_KTQT_v4[[#This Row],[CPHH-%-SL]]="Dthu",KH_26_OPT4_KTQT_v4[[#This Row],[%HH]]*KH_26_OPT4_KTQT_v4[[#This Row],[DT-EXW-09]],KH_26_OPT4_KTQT_v4[[#This Row],[HH-SL]]*KH_26_OPT4_KTQT_v4[[#This Row],[SL-09]])</f>
        <v>0</v>
      </c>
      <c r="CF101" s="47">
        <f>IF(KH_26_OPT4_KTQT_v4[[#This Row],[CPHH-%-SL]]="Dthu",KH_26_OPT4_KTQT_v4[[#This Row],[%HH]]*KH_26_OPT4_KTQT_v4[[#This Row],[DT-EXW-10]],KH_26_OPT4_KTQT_v4[[#This Row],[HH-SL]]*KH_26_OPT4_KTQT_v4[[#This Row],[SL-10]])</f>
        <v>0</v>
      </c>
      <c r="CG101" s="47">
        <f>IF(KH_26_OPT4_KTQT_v4[[#This Row],[CPHH-%-SL]]="Dthu",KH_26_OPT4_KTQT_v4[[#This Row],[%HH]]*KH_26_OPT4_KTQT_v4[[#This Row],[DT-EXW-11]],KH_26_OPT4_KTQT_v4[[#This Row],[HH-SL]]*KH_26_OPT4_KTQT_v4[[#This Row],[SL-11]])</f>
        <v>0</v>
      </c>
      <c r="CH101" s="47">
        <f>IF(KH_26_OPT4_KTQT_v4[[#This Row],[CPHH-%-SL]]="Dthu",KH_26_OPT4_KTQT_v4[[#This Row],[%HH]]*KH_26_OPT4_KTQT_v4[[#This Row],[DT-EXW-12]],KH_26_OPT4_KTQT_v4[[#This Row],[HH-SL]]*KH_26_OPT4_KTQT_v4[[#This Row],[SL-12]])</f>
        <v>0</v>
      </c>
      <c r="CI101" s="47">
        <f ca="1">SUM(KH_26_OPT4_KTQT_v4[[#This Row],[CPHH-01]:[CPHH-12]])</f>
        <v>0</v>
      </c>
      <c r="CJ101" s="47" cm="1">
        <f t="array" ref="CJ101">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01" s="19">
        <f ca="1">SUM(KH_26_OPT4_KTQT_v4[[#This Row],[ĐGVCNĐ-KXK]:[ĐGVCCT-KXK]])</f>
        <v>0</v>
      </c>
      <c r="CL101" s="47" cm="1">
        <f t="array" ref="CL101">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101" s="47" cm="1">
        <f t="array" ref="CM101">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01" s="47">
        <f ca="1">(KH_26_OPT4_KTQT_v4[[#This Row],[ĐGVC-KNĐ]]+KH_26_OPT4_KTQT_v4[[#This Row],[ĐGVC-KXK]])*KH_26_OPT4_KTQT_v4[[#This Row],[SL-01]]</f>
        <v>0</v>
      </c>
      <c r="CO101" s="47">
        <f ca="1">(KH_26_OPT4_KTQT_v4[[#This Row],[ĐGVC-KNĐ]]+KH_26_OPT4_KTQT_v4[[#This Row],[ĐGVC-KXK]])*KH_26_OPT4_KTQT_v4[[#This Row],[SL-02]]</f>
        <v>0</v>
      </c>
      <c r="CP101" s="47">
        <f ca="1">(KH_26_OPT4_KTQT_v4[[#This Row],[ĐGVC-KNĐ]]+KH_26_OPT4_KTQT_v4[[#This Row],[ĐGVC-KXK]])*KH_26_OPT4_KTQT_v4[[#This Row],[SL-03]]</f>
        <v>0</v>
      </c>
      <c r="CQ101" s="47">
        <f ca="1">(KH_26_OPT4_KTQT_v4[[#This Row],[ĐGVC-KNĐ]]+KH_26_OPT4_KTQT_v4[[#This Row],[ĐGVC-KXK]])*KH_26_OPT4_KTQT_v4[[#This Row],[SL-04]]</f>
        <v>0</v>
      </c>
      <c r="CR101" s="47">
        <f ca="1">(KH_26_OPT4_KTQT_v4[[#This Row],[ĐGVC-KNĐ]]+KH_26_OPT4_KTQT_v4[[#This Row],[ĐGVC-KXK]])*KH_26_OPT4_KTQT_v4[[#This Row],[SL-05]]</f>
        <v>0</v>
      </c>
      <c r="CS101" s="47">
        <f ca="1">(KH_26_OPT4_KTQT_v4[[#This Row],[ĐGVC-KNĐ]]+KH_26_OPT4_KTQT_v4[[#This Row],[ĐGVC-KXK]])*KH_26_OPT4_KTQT_v4[[#This Row],[SL-06]]</f>
        <v>0</v>
      </c>
      <c r="CT101" s="47">
        <f ca="1">(KH_26_OPT4_KTQT_v4[[#This Row],[ĐGVC-KNĐ]]+KH_26_OPT4_KTQT_v4[[#This Row],[ĐGVC-KXK]])*KH_26_OPT4_KTQT_v4[[#This Row],[SL-07]]</f>
        <v>0</v>
      </c>
      <c r="CU101" s="47">
        <f ca="1">(KH_26_OPT4_KTQT_v4[[#This Row],[ĐGVC-KNĐ]]+KH_26_OPT4_KTQT_v4[[#This Row],[ĐGVC-KXK]])*KH_26_OPT4_KTQT_v4[[#This Row],[SL-08]]</f>
        <v>0</v>
      </c>
      <c r="CV101" s="47">
        <f ca="1">(KH_26_OPT4_KTQT_v4[[#This Row],[ĐGVC-KNĐ]]+KH_26_OPT4_KTQT_v4[[#This Row],[ĐGVC-KXK]])*KH_26_OPT4_KTQT_v4[[#This Row],[SL-09]]</f>
        <v>0</v>
      </c>
      <c r="CW101" s="47">
        <f ca="1">(KH_26_OPT4_KTQT_v4[[#This Row],[ĐGVC-KNĐ]]+KH_26_OPT4_KTQT_v4[[#This Row],[ĐGVC-KXK]])*KH_26_OPT4_KTQT_v4[[#This Row],[SL-10]]</f>
        <v>0</v>
      </c>
      <c r="CX101" s="47">
        <f ca="1">(KH_26_OPT4_KTQT_v4[[#This Row],[ĐGVC-KNĐ]]+KH_26_OPT4_KTQT_v4[[#This Row],[ĐGVC-KXK]])*KH_26_OPT4_KTQT_v4[[#This Row],[SL-11]]</f>
        <v>0</v>
      </c>
      <c r="CY101" s="47">
        <f ca="1">(KH_26_OPT4_KTQT_v4[[#This Row],[ĐGVC-KNĐ]]+KH_26_OPT4_KTQT_v4[[#This Row],[ĐGVC-KXK]])*KH_26_OPT4_KTQT_v4[[#This Row],[SL-12]]</f>
        <v>0</v>
      </c>
      <c r="CZ101" s="47">
        <f ca="1">SUM(KH_26_OPT4_KTQT_v4[[#This Row],[CPVC-01]:[CPVC-12]])</f>
        <v>0</v>
      </c>
      <c r="DA101" s="124">
        <f ca="1">KH_26_OPT4_KTQT_v4[[#This Row],[DT-EXW-01]]+KH_26_OPT4_KTQT_v4[[#This Row],[CPVC-01]]+KH_26_OPT4_KTQT_v4[[#This Row],[CPHH-01]]</f>
        <v>55650000</v>
      </c>
      <c r="DB101" s="47">
        <f ca="1">KH_26_OPT4_KTQT_v4[[#This Row],[DT-EXW-02]]+KH_26_OPT4_KTQT_v4[[#This Row],[CPVC-02]]+KH_26_OPT4_KTQT_v4[[#This Row],[CPHH-02]]</f>
        <v>55650000</v>
      </c>
      <c r="DC101" s="47">
        <f ca="1">KH_26_OPT4_KTQT_v4[[#This Row],[DT-EXW-03]]+KH_26_OPT4_KTQT_v4[[#This Row],[CPVC-03]]+KH_26_OPT4_KTQT_v4[[#This Row],[CPHH-03]]</f>
        <v>55650000</v>
      </c>
      <c r="DD101" s="47">
        <f ca="1">KH_26_OPT4_KTQT_v4[[#This Row],[DT-EXW-04]]+KH_26_OPT4_KTQT_v4[[#This Row],[CPVC-04]]+KH_26_OPT4_KTQT_v4[[#This Row],[CPHH-04]]</f>
        <v>55650000</v>
      </c>
      <c r="DE101" s="47">
        <f ca="1">KH_26_OPT4_KTQT_v4[[#This Row],[DT-EXW-05]]+KH_26_OPT4_KTQT_v4[[#This Row],[CPVC-05]]+KH_26_OPT4_KTQT_v4[[#This Row],[CPHH-05]]</f>
        <v>55650000</v>
      </c>
      <c r="DF101" s="47">
        <f ca="1">KH_26_OPT4_KTQT_v4[[#This Row],[DT-EXW-06]]+KH_26_OPT4_KTQT_v4[[#This Row],[CPVC-06]]+KH_26_OPT4_KTQT_v4[[#This Row],[CPHH-06]]</f>
        <v>55650000</v>
      </c>
      <c r="DG101" s="47">
        <f ca="1">KH_26_OPT4_KTQT_v4[[#This Row],[DT-EXW-07]]+KH_26_OPT4_KTQT_v4[[#This Row],[CPVC-07]]+KH_26_OPT4_KTQT_v4[[#This Row],[CPHH-07]]</f>
        <v>55650000</v>
      </c>
      <c r="DH101" s="47">
        <f ca="1">KH_26_OPT4_KTQT_v4[[#This Row],[DT-EXW-08]]+KH_26_OPT4_KTQT_v4[[#This Row],[CPVC-08]]+KH_26_OPT4_KTQT_v4[[#This Row],[CPHH-08]]</f>
        <v>55650000</v>
      </c>
      <c r="DI101" s="47">
        <f ca="1">KH_26_OPT4_KTQT_v4[[#This Row],[DT-EXW-09]]+KH_26_OPT4_KTQT_v4[[#This Row],[CPVC-09]]+KH_26_OPT4_KTQT_v4[[#This Row],[CPHH-09]]</f>
        <v>55650000</v>
      </c>
      <c r="DJ101" s="47">
        <f ca="1">KH_26_OPT4_KTQT_v4[[#This Row],[DT-EXW-10]]+KH_26_OPT4_KTQT_v4[[#This Row],[CPVC-10]]+KH_26_OPT4_KTQT_v4[[#This Row],[CPHH-10]]</f>
        <v>55650000</v>
      </c>
      <c r="DK101" s="47">
        <f ca="1">KH_26_OPT4_KTQT_v4[[#This Row],[DT-EXW-11]]+KH_26_OPT4_KTQT_v4[[#This Row],[CPVC-11]]+KH_26_OPT4_KTQT_v4[[#This Row],[CPHH-11]]</f>
        <v>55650000</v>
      </c>
      <c r="DL101" s="47">
        <f ca="1">KH_26_OPT4_KTQT_v4[[#This Row],[DT-EXW-12]]+KH_26_OPT4_KTQT_v4[[#This Row],[CPVC-12]]+KH_26_OPT4_KTQT_v4[[#This Row],[CPHH-12]]</f>
        <v>55650000</v>
      </c>
      <c r="DM101" s="47">
        <f ca="1">SUM(KH_26_OPT4_KTQT_v4[[#This Row],[DT-01]:[DT-12]])</f>
        <v>667800000</v>
      </c>
      <c r="DN101" s="7"/>
      <c r="DO101" s="7"/>
      <c r="DP101" s="125"/>
      <c r="DQ101" s="136"/>
      <c r="DR101" s="132">
        <f>IFERROR(KH_26_OPT4_KTQT_v4[[#This Row],[DT-EXW-01]]*KH_26_OPT4_KTQT_v4[[#This Row],[%CPDP]],0)</f>
        <v>0</v>
      </c>
      <c r="DS101" s="132">
        <f>IFERROR(KH_26_OPT4_KTQT_v4[[#This Row],[DT-EXW-02]]*KH_26_OPT4_KTQT_v4[[#This Row],[%CPDP]],0)</f>
        <v>0</v>
      </c>
      <c r="DT101" s="132">
        <f>IFERROR(KH_26_OPT4_KTQT_v4[[#This Row],[DT-EXW-03]]*KH_26_OPT4_KTQT_v4[[#This Row],[%CPDP]],0)</f>
        <v>0</v>
      </c>
      <c r="DU101" s="132">
        <f>IFERROR(KH_26_OPT4_KTQT_v4[[#This Row],[DT-EXW-04]]*KH_26_OPT4_KTQT_v4[[#This Row],[%CPDP]],0)</f>
        <v>0</v>
      </c>
      <c r="DV101" s="132">
        <f>IFERROR(KH_26_OPT4_KTQT_v4[[#This Row],[DT-EXW-05]]*KH_26_OPT4_KTQT_v4[[#This Row],[%CPDP]],0)</f>
        <v>0</v>
      </c>
      <c r="DW101" s="132">
        <f>IFERROR(KH_26_OPT4_KTQT_v4[[#This Row],[DT-EXW-06]]*KH_26_OPT4_KTQT_v4[[#This Row],[%CPDP]],0)</f>
        <v>0</v>
      </c>
      <c r="DX101" s="132">
        <f>IFERROR(KH_26_OPT4_KTQT_v4[[#This Row],[DT-EXW-07]]*KH_26_OPT4_KTQT_v4[[#This Row],[%CPDP]],0)</f>
        <v>0</v>
      </c>
      <c r="DY101" s="132">
        <f>IFERROR(KH_26_OPT4_KTQT_v4[[#This Row],[DT-EXW-08]]*KH_26_OPT4_KTQT_v4[[#This Row],[%CPDP]],0)</f>
        <v>0</v>
      </c>
      <c r="DZ101" s="132">
        <f>IFERROR(KH_26_OPT4_KTQT_v4[[#This Row],[DT-EXW-09]]*KH_26_OPT4_KTQT_v4[[#This Row],[%CPDP]],0)</f>
        <v>0</v>
      </c>
      <c r="EA101" s="132">
        <f>IFERROR(KH_26_OPT4_KTQT_v4[[#This Row],[DT-EXW-10]]*KH_26_OPT4_KTQT_v4[[#This Row],[%CPDP]],0)</f>
        <v>0</v>
      </c>
      <c r="EB101" s="132">
        <f>IFERROR(KH_26_OPT4_KTQT_v4[[#This Row],[DT-EXW-11]]*KH_26_OPT4_KTQT_v4[[#This Row],[%CPDP]],0)</f>
        <v>0</v>
      </c>
      <c r="EC101" s="132">
        <f>IFERROR(KH_26_OPT4_KTQT_v4[[#This Row],[DT-EXW-12]]*KH_26_OPT4_KTQT_v4[[#This Row],[%CPDP]],0)</f>
        <v>0</v>
      </c>
      <c r="ED101" s="131">
        <f ca="1">SUM(KH_26_OPT4_KTQT_v4[[#This Row],[CPDP-01]:[CPDP-12]])</f>
        <v>0</v>
      </c>
    </row>
    <row r="102" spans="1:134" ht="14.65" hidden="1" customHeight="1" x14ac:dyDescent="0.35">
      <c r="A102" s="18">
        <v>97</v>
      </c>
      <c r="B102" s="71" t="s">
        <v>115</v>
      </c>
      <c r="C102" s="18" t="str">
        <f>IFERROR(_xlfn.XLOOKUP(KH_26_OPT4_KTQT_v4[[#This Row],[Salesman]],MD_Salesman[Salesman],MD_Salesman[SalesManager]),"")</f>
        <v>Quốc Anh</v>
      </c>
      <c r="D102" s="72" t="str">
        <f>IFERROR(INDEX(MD_Customer[Mã khách],MATCH(KH_26_OPT4_KTQT_v4[[#This Row],[Tên khách]],MD_Customer[Tên khách-rút gọn],0)),"")</f>
        <v>105324</v>
      </c>
      <c r="E102" s="7" t="str">
        <f>IFERROR(INDEX(MD_Customer[Parent Account],MATCH(KH_26_OPT4_KTQT_v4[[#This Row],[Tên khách]],MD_Customer[Tên khách-rút gọn],0)),"")</f>
        <v>NHỰA TRƯỜNG AN</v>
      </c>
      <c r="F102" s="35" t="s">
        <v>58</v>
      </c>
      <c r="G102" s="7" t="str">
        <f>IFERROR(INDEX(MD_Customer[Phân loại],MATCH(KH_26_OPT4_KTQT_v4[[#This Row],[Tên khách]],MD_Customer[Tên khách-rút gọn],0)),"")</f>
        <v>Hiện hữu</v>
      </c>
      <c r="H102" s="7" t="str">
        <f>IFERROR(INDEX(MD_Customer[Kênh bán hàng],MATCH(KH_26_OPT4_KTQT_v4[[#This Row],[Tên khách]],MD_Customer[Tên khách-rút gọn],0)),"")</f>
        <v>Nội địa</v>
      </c>
      <c r="I102" s="35" t="s">
        <v>258</v>
      </c>
      <c r="J102" s="7" t="str">
        <f>IFERROR(INDEX(MD_Destination[Nước],MATCH(KH_26_OPT4_KTQT_v4[[#This Row],[Địa điểm đến]],MD_Destination[Địa điểm đến],0)),"")</f>
        <v>Việt Nam</v>
      </c>
      <c r="K102" s="7" t="str">
        <f>IFERROR(INDEX(MD_Destination[Khu vực],MATCH(KH_26_OPT4_KTQT_v4[[#This Row],[Địa điểm đến]],MD_Destination[Địa điểm đến],0)),"")</f>
        <v>Châu Á</v>
      </c>
      <c r="L102" s="35" t="s">
        <v>262</v>
      </c>
      <c r="M102" s="7" t="str">
        <f>IFERROR(INDEX(MD_SKU[Mã SKU],MATCH(KH_26_OPT4_KTQT_v4[[#This Row],[Tên sản phẩm]],MD_SKU[Tên SKU-rút gọn],0)),"")</f>
        <v>110000409</v>
      </c>
      <c r="N102" s="35" t="s">
        <v>473</v>
      </c>
      <c r="O102" s="7" t="str">
        <f>IFERROR(INDEX(MD_SKU[Ngành hàng],MATCH(KH_26_OPT4_KTQT_v4[[#This Row],[Tên sản phẩm]],MD_SKU[Tên SKU-rút gọn],0)),"")</f>
        <v>rHDPE ép</v>
      </c>
      <c r="P102" s="7" t="str">
        <f>IFERROR(INDEX(MD_SKU[Nhóm ngành],MATCH(KH_26_OPT4_KTQT_v4[[#This Row],[Tên sản phẩm]],MD_SKU[Tên SKU-rút gọn],0)),"")</f>
        <v>Vảy HD ép</v>
      </c>
      <c r="Q102" s="7" t="str">
        <f>IFERROR(
   IF(INDEX(MD_SKU[IV/IM],MATCH(KH_26_OPT4_KTQT_v4[[#This Row],[Tên sản phẩm]],MD_SKU[Tên SKU-rút gọn],0))=0,
      "",
      INDEX(MD_SKU[IV/IM],MATCH(KH_26_OPT4_KTQT_v4[[#This Row],[Tên sản phẩm]],MD_SKU[Tên SKU-rút gọn],0))
   ),
"")</f>
        <v/>
      </c>
      <c r="R102" s="44">
        <f>IFERROR(INDEX(MD_SKU[Application],MATCH(KH_26_OPT4_KTQT_v4[[#This Row],[Tên sản phẩm]],MD_SKU[Tên SKU-rút gọn],0)),"")</f>
        <v>0</v>
      </c>
      <c r="S102" s="7" t="str">
        <f>IFERROR(INDEX(MD_SKU[Phân loại],MATCH(KH_26_OPT4_KTQT_v4[[#This Row],[Tên sản phẩm]],MD_SKU[Tên SKU-rút gọn],0)),"")</f>
        <v>Cũ</v>
      </c>
      <c r="T102" s="7" t="s">
        <v>58</v>
      </c>
      <c r="U102" s="7" t="s">
        <v>1508</v>
      </c>
      <c r="V102" s="70">
        <v>0.8</v>
      </c>
      <c r="W102" s="33"/>
      <c r="X102" s="33"/>
      <c r="Y102" s="33"/>
      <c r="Z102" s="33"/>
      <c r="AA102" s="33"/>
      <c r="AB102" s="33"/>
      <c r="AC102" s="33"/>
      <c r="AD102" s="33"/>
      <c r="AE102" s="33"/>
      <c r="AF102" s="33"/>
      <c r="AG102" s="33"/>
      <c r="AH102" s="33"/>
      <c r="AI102" s="47">
        <f ca="1">SUM(KH_26_OPT4_KTQT_v4[[#This Row],[SL-01]:[SL-12]])</f>
        <v>0</v>
      </c>
      <c r="AJ102" s="47">
        <f ca="1">SUMIFS(DB_25[SL-DB25],DB_25[Mã khách],KH_26_OPT4_KTQT_v4[[#This Row],[Mã khách]],DB_25[Mã sản phẩm],KH_26_OPT4_KTQT_v4[[#This Row],[Mã sản phẩm]])</f>
        <v>48</v>
      </c>
      <c r="AK102" s="20">
        <f ca="1">KH_26_OPT4_KTQT_v4[[#This Row],[SL-KH26]]-KH_26_OPT4_KTQT_v4[[#This Row],[SL-DB25]]</f>
        <v>-48</v>
      </c>
      <c r="AL102" s="21">
        <f ca="1">IFERROR(KH_26_OPT4_KTQT_v4[[#This Row],[SL-+/-]]/KH_26_OPT4_KTQT_v4[[#This Row],[SL-DB25]],0)</f>
        <v>-1</v>
      </c>
      <c r="AM102" s="51">
        <v>560</v>
      </c>
      <c r="AN102" s="51">
        <v>560</v>
      </c>
      <c r="AO102" s="51">
        <v>560</v>
      </c>
      <c r="AP102" s="51">
        <v>560</v>
      </c>
      <c r="AQ102" s="51">
        <v>560</v>
      </c>
      <c r="AR102" s="51">
        <v>560</v>
      </c>
      <c r="AS102" s="51">
        <v>560</v>
      </c>
      <c r="AT102" s="51">
        <v>560</v>
      </c>
      <c r="AU102" s="51">
        <v>560</v>
      </c>
      <c r="AV102" s="51">
        <v>560</v>
      </c>
      <c r="AW102" s="51">
        <v>560</v>
      </c>
      <c r="AX102" s="51">
        <v>560</v>
      </c>
      <c r="AY102" s="23">
        <v>560</v>
      </c>
      <c r="AZ102" s="7"/>
      <c r="BA102" s="24">
        <f>KH_26_OPT4_KTQT_v4[[#This Row],[GB-DB25]]-KH_26_OPT4_KTQT_v4[[#This Row],[GB-KH25]]</f>
        <v>560</v>
      </c>
      <c r="BB102" s="21">
        <f>IFERROR(KH_26_OPT4_KTQT_v4[[#This Row],[GB-+/-]]/KH_26_OPT4_KTQT_v4[[#This Row],[GB-KH25]],0)</f>
        <v>0</v>
      </c>
      <c r="BC102" s="21"/>
      <c r="BD102" s="47">
        <f>KH_26_OPT4_KTQT_v4[[#This Row],[SL-01]]*KH_26_OPT4_KTQT_v4[[#This Row],[GB-01]]*EXR</f>
        <v>0</v>
      </c>
      <c r="BE102" s="47">
        <f>KH_26_OPT4_KTQT_v4[[#This Row],[SL-02]]*KH_26_OPT4_KTQT_v4[[#This Row],[GB-02]]*EXR</f>
        <v>0</v>
      </c>
      <c r="BF102" s="47">
        <f>KH_26_OPT4_KTQT_v4[[#This Row],[SL-03]]*KH_26_OPT4_KTQT_v4[[#This Row],[GB-03]]*EXR</f>
        <v>0</v>
      </c>
      <c r="BG102" s="47">
        <f>KH_26_OPT4_KTQT_v4[[#This Row],[SL-04]]*KH_26_OPT4_KTQT_v4[[#This Row],[GB-04]]*EXR</f>
        <v>0</v>
      </c>
      <c r="BH102" s="47">
        <f>KH_26_OPT4_KTQT_v4[[#This Row],[SL-05]]*KH_26_OPT4_KTQT_v4[[#This Row],[GB-05]]*EXR</f>
        <v>0</v>
      </c>
      <c r="BI102" s="47">
        <f>KH_26_OPT4_KTQT_v4[[#This Row],[SL-06]]*KH_26_OPT4_KTQT_v4[[#This Row],[GB-06]]*EXR</f>
        <v>0</v>
      </c>
      <c r="BJ102" s="47">
        <f>KH_26_OPT4_KTQT_v4[[#This Row],[SL-07]]*KH_26_OPT4_KTQT_v4[[#This Row],[GB-07]]*EXR</f>
        <v>0</v>
      </c>
      <c r="BK102" s="47">
        <f>KH_26_OPT4_KTQT_v4[[#This Row],[SL-08]]*KH_26_OPT4_KTQT_v4[[#This Row],[GB-08]]*EXR</f>
        <v>0</v>
      </c>
      <c r="BL102" s="47">
        <f>KH_26_OPT4_KTQT_v4[[#This Row],[SL-09]]*KH_26_OPT4_KTQT_v4[[#This Row],[GB-09]]*EXR</f>
        <v>0</v>
      </c>
      <c r="BM102" s="47">
        <f>KH_26_OPT4_KTQT_v4[[#This Row],[SL-10]]*KH_26_OPT4_KTQT_v4[[#This Row],[GB-10]]*EXR</f>
        <v>0</v>
      </c>
      <c r="BN102" s="47">
        <f>KH_26_OPT4_KTQT_v4[[#This Row],[SL-11]]*KH_26_OPT4_KTQT_v4[[#This Row],[GB-11]]*EXR</f>
        <v>0</v>
      </c>
      <c r="BO102" s="47">
        <f>KH_26_OPT4_KTQT_v4[[#This Row],[SL-12]]*KH_26_OPT4_KTQT_v4[[#This Row],[GB-12]]*EXR</f>
        <v>0</v>
      </c>
      <c r="BP102" s="47">
        <f ca="1">SUM(KH_26_OPT4_KTQT_v4[[#This Row],[DT-EXW-01]:[DT-EXW-12]])</f>
        <v>0</v>
      </c>
      <c r="BQ102" s="47">
        <f ca="1">SUMIFS(DB_25[DT-DB25],DB_25[Mã khách],KH_26_OPT4_KTQT_v4[[#This Row],[Mã khách]],DB_25[Mã sản phẩm],KH_26_OPT4_KTQT_v4[[#This Row],[Mã sản phẩm]])</f>
        <v>688720255.69571769</v>
      </c>
      <c r="BR102" s="47">
        <f ca="1">KH_26_OPT4_KTQT_v4[[#This Row],[DT-EXW-KH26]]-KH_26_OPT4_KTQT_v4[[#This Row],[DT-EXW-DB25]]</f>
        <v>-688720255.69571769</v>
      </c>
      <c r="BS102" s="21">
        <f ca="1">IFERROR(KH_26_OPT4_KTQT_v4[[#This Row],[DT-EXW-+/-]]/KH_26_OPT4_KTQT_v4[[#This Row],[DT-EXW-DB25]],0)</f>
        <v>-1</v>
      </c>
      <c r="BT102" s="139"/>
      <c r="BU102" s="57"/>
      <c r="BV102" s="51"/>
      <c r="BW102" s="47">
        <f>IF(KH_26_OPT4_KTQT_v4[[#This Row],[CPHH-%-SL]]="Dthu",KH_26_OPT4_KTQT_v4[[#This Row],[%HH]]*KH_26_OPT4_KTQT_v4[[#This Row],[DT-EXW-01]],KH_26_OPT4_KTQT_v4[[#This Row],[HH-SL]]*KH_26_OPT4_KTQT_v4[[#This Row],[SL-01]])</f>
        <v>0</v>
      </c>
      <c r="BX102" s="47">
        <f>IF(KH_26_OPT4_KTQT_v4[[#This Row],[CPHH-%-SL]]="Dthu",KH_26_OPT4_KTQT_v4[[#This Row],[%HH]]*KH_26_OPT4_KTQT_v4[[#This Row],[DT-EXW-02]],KH_26_OPT4_KTQT_v4[[#This Row],[HH-SL]]*KH_26_OPT4_KTQT_v4[[#This Row],[SL-02]])</f>
        <v>0</v>
      </c>
      <c r="BY102" s="47">
        <f>IF(KH_26_OPT4_KTQT_v4[[#This Row],[CPHH-%-SL]]="Dthu",KH_26_OPT4_KTQT_v4[[#This Row],[%HH]]*KH_26_OPT4_KTQT_v4[[#This Row],[DT-EXW-03]],KH_26_OPT4_KTQT_v4[[#This Row],[HH-SL]]*KH_26_OPT4_KTQT_v4[[#This Row],[SL-03]])</f>
        <v>0</v>
      </c>
      <c r="BZ102" s="47">
        <f>IF(KH_26_OPT4_KTQT_v4[[#This Row],[CPHH-%-SL]]="Dthu",KH_26_OPT4_KTQT_v4[[#This Row],[%HH]]*KH_26_OPT4_KTQT_v4[[#This Row],[DT-EXW-04]],KH_26_OPT4_KTQT_v4[[#This Row],[HH-SL]]*KH_26_OPT4_KTQT_v4[[#This Row],[SL-04]])</f>
        <v>0</v>
      </c>
      <c r="CA102" s="47">
        <f>IF(KH_26_OPT4_KTQT_v4[[#This Row],[CPHH-%-SL]]="Dthu",KH_26_OPT4_KTQT_v4[[#This Row],[%HH]]*KH_26_OPT4_KTQT_v4[[#This Row],[DT-EXW-05]],KH_26_OPT4_KTQT_v4[[#This Row],[HH-SL]]*KH_26_OPT4_KTQT_v4[[#This Row],[SL-05]])</f>
        <v>0</v>
      </c>
      <c r="CB102" s="47">
        <f>IF(KH_26_OPT4_KTQT_v4[[#This Row],[CPHH-%-SL]]="Dthu",KH_26_OPT4_KTQT_v4[[#This Row],[%HH]]*KH_26_OPT4_KTQT_v4[[#This Row],[DT-EXW-06]],KH_26_OPT4_KTQT_v4[[#This Row],[HH-SL]]*KH_26_OPT4_KTQT_v4[[#This Row],[SL-06]])</f>
        <v>0</v>
      </c>
      <c r="CC102" s="47">
        <f>IF(KH_26_OPT4_KTQT_v4[[#This Row],[CPHH-%-SL]]="Dthu",KH_26_OPT4_KTQT_v4[[#This Row],[%HH]]*KH_26_OPT4_KTQT_v4[[#This Row],[DT-EXW-07]],KH_26_OPT4_KTQT_v4[[#This Row],[HH-SL]]*KH_26_OPT4_KTQT_v4[[#This Row],[SL-07]])</f>
        <v>0</v>
      </c>
      <c r="CD102" s="47">
        <f>IF(KH_26_OPT4_KTQT_v4[[#This Row],[CPHH-%-SL]]="Dthu",KH_26_OPT4_KTQT_v4[[#This Row],[%HH]]*KH_26_OPT4_KTQT_v4[[#This Row],[DT-EXW-08]],KH_26_OPT4_KTQT_v4[[#This Row],[HH-SL]]*KH_26_OPT4_KTQT_v4[[#This Row],[SL-08]])</f>
        <v>0</v>
      </c>
      <c r="CE102" s="47">
        <f>IF(KH_26_OPT4_KTQT_v4[[#This Row],[CPHH-%-SL]]="Dthu",KH_26_OPT4_KTQT_v4[[#This Row],[%HH]]*KH_26_OPT4_KTQT_v4[[#This Row],[DT-EXW-09]],KH_26_OPT4_KTQT_v4[[#This Row],[HH-SL]]*KH_26_OPT4_KTQT_v4[[#This Row],[SL-09]])</f>
        <v>0</v>
      </c>
      <c r="CF102" s="47">
        <f>IF(KH_26_OPT4_KTQT_v4[[#This Row],[CPHH-%-SL]]="Dthu",KH_26_OPT4_KTQT_v4[[#This Row],[%HH]]*KH_26_OPT4_KTQT_v4[[#This Row],[DT-EXW-10]],KH_26_OPT4_KTQT_v4[[#This Row],[HH-SL]]*KH_26_OPT4_KTQT_v4[[#This Row],[SL-10]])</f>
        <v>0</v>
      </c>
      <c r="CG102" s="47">
        <f>IF(KH_26_OPT4_KTQT_v4[[#This Row],[CPHH-%-SL]]="Dthu",KH_26_OPT4_KTQT_v4[[#This Row],[%HH]]*KH_26_OPT4_KTQT_v4[[#This Row],[DT-EXW-11]],KH_26_OPT4_KTQT_v4[[#This Row],[HH-SL]]*KH_26_OPT4_KTQT_v4[[#This Row],[SL-11]])</f>
        <v>0</v>
      </c>
      <c r="CH102" s="47">
        <f>IF(KH_26_OPT4_KTQT_v4[[#This Row],[CPHH-%-SL]]="Dthu",KH_26_OPT4_KTQT_v4[[#This Row],[%HH]]*KH_26_OPT4_KTQT_v4[[#This Row],[DT-EXW-12]],KH_26_OPT4_KTQT_v4[[#This Row],[HH-SL]]*KH_26_OPT4_KTQT_v4[[#This Row],[SL-12]])</f>
        <v>0</v>
      </c>
      <c r="CI102" s="47">
        <f ca="1">SUM(KH_26_OPT4_KTQT_v4[[#This Row],[CPHH-01]:[CPHH-12]])</f>
        <v>0</v>
      </c>
      <c r="CJ102" s="47" cm="1">
        <f t="array" ref="CJ102">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02" s="19">
        <f ca="1">SUM(KH_26_OPT4_KTQT_v4[[#This Row],[ĐGVCNĐ-KXK]:[ĐGVCCT-KXK]])</f>
        <v>0</v>
      </c>
      <c r="CL102" s="47" cm="1">
        <f t="array" ref="CL102">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102" s="47" cm="1">
        <f t="array" ref="CM102">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02" s="47">
        <f ca="1">(KH_26_OPT4_KTQT_v4[[#This Row],[ĐGVC-KNĐ]]+KH_26_OPT4_KTQT_v4[[#This Row],[ĐGVC-KXK]])*KH_26_OPT4_KTQT_v4[[#This Row],[SL-01]]</f>
        <v>0</v>
      </c>
      <c r="CO102" s="47">
        <f ca="1">(KH_26_OPT4_KTQT_v4[[#This Row],[ĐGVC-KNĐ]]+KH_26_OPT4_KTQT_v4[[#This Row],[ĐGVC-KXK]])*KH_26_OPT4_KTQT_v4[[#This Row],[SL-02]]</f>
        <v>0</v>
      </c>
      <c r="CP102" s="47">
        <f ca="1">(KH_26_OPT4_KTQT_v4[[#This Row],[ĐGVC-KNĐ]]+KH_26_OPT4_KTQT_v4[[#This Row],[ĐGVC-KXK]])*KH_26_OPT4_KTQT_v4[[#This Row],[SL-03]]</f>
        <v>0</v>
      </c>
      <c r="CQ102" s="47">
        <f ca="1">(KH_26_OPT4_KTQT_v4[[#This Row],[ĐGVC-KNĐ]]+KH_26_OPT4_KTQT_v4[[#This Row],[ĐGVC-KXK]])*KH_26_OPT4_KTQT_v4[[#This Row],[SL-04]]</f>
        <v>0</v>
      </c>
      <c r="CR102" s="47">
        <f ca="1">(KH_26_OPT4_KTQT_v4[[#This Row],[ĐGVC-KNĐ]]+KH_26_OPT4_KTQT_v4[[#This Row],[ĐGVC-KXK]])*KH_26_OPT4_KTQT_v4[[#This Row],[SL-05]]</f>
        <v>0</v>
      </c>
      <c r="CS102" s="47">
        <f ca="1">(KH_26_OPT4_KTQT_v4[[#This Row],[ĐGVC-KNĐ]]+KH_26_OPT4_KTQT_v4[[#This Row],[ĐGVC-KXK]])*KH_26_OPT4_KTQT_v4[[#This Row],[SL-06]]</f>
        <v>0</v>
      </c>
      <c r="CT102" s="47">
        <f ca="1">(KH_26_OPT4_KTQT_v4[[#This Row],[ĐGVC-KNĐ]]+KH_26_OPT4_KTQT_v4[[#This Row],[ĐGVC-KXK]])*KH_26_OPT4_KTQT_v4[[#This Row],[SL-07]]</f>
        <v>0</v>
      </c>
      <c r="CU102" s="47">
        <f ca="1">(KH_26_OPT4_KTQT_v4[[#This Row],[ĐGVC-KNĐ]]+KH_26_OPT4_KTQT_v4[[#This Row],[ĐGVC-KXK]])*KH_26_OPT4_KTQT_v4[[#This Row],[SL-08]]</f>
        <v>0</v>
      </c>
      <c r="CV102" s="47">
        <f ca="1">(KH_26_OPT4_KTQT_v4[[#This Row],[ĐGVC-KNĐ]]+KH_26_OPT4_KTQT_v4[[#This Row],[ĐGVC-KXK]])*KH_26_OPT4_KTQT_v4[[#This Row],[SL-09]]</f>
        <v>0</v>
      </c>
      <c r="CW102" s="47">
        <f ca="1">(KH_26_OPT4_KTQT_v4[[#This Row],[ĐGVC-KNĐ]]+KH_26_OPT4_KTQT_v4[[#This Row],[ĐGVC-KXK]])*KH_26_OPT4_KTQT_v4[[#This Row],[SL-10]]</f>
        <v>0</v>
      </c>
      <c r="CX102" s="47">
        <f ca="1">(KH_26_OPT4_KTQT_v4[[#This Row],[ĐGVC-KNĐ]]+KH_26_OPT4_KTQT_v4[[#This Row],[ĐGVC-KXK]])*KH_26_OPT4_KTQT_v4[[#This Row],[SL-11]]</f>
        <v>0</v>
      </c>
      <c r="CY102" s="47">
        <f ca="1">(KH_26_OPT4_KTQT_v4[[#This Row],[ĐGVC-KNĐ]]+KH_26_OPT4_KTQT_v4[[#This Row],[ĐGVC-KXK]])*KH_26_OPT4_KTQT_v4[[#This Row],[SL-12]]</f>
        <v>0</v>
      </c>
      <c r="CZ102" s="47">
        <f ca="1">SUM(KH_26_OPT4_KTQT_v4[[#This Row],[CPVC-01]:[CPVC-12]])</f>
        <v>0</v>
      </c>
      <c r="DA102" s="124">
        <f ca="1">KH_26_OPT4_KTQT_v4[[#This Row],[DT-EXW-01]]+KH_26_OPT4_KTQT_v4[[#This Row],[CPVC-01]]+KH_26_OPT4_KTQT_v4[[#This Row],[CPHH-01]]</f>
        <v>0</v>
      </c>
      <c r="DB102" s="47">
        <f ca="1">KH_26_OPT4_KTQT_v4[[#This Row],[DT-EXW-02]]+KH_26_OPT4_KTQT_v4[[#This Row],[CPVC-02]]+KH_26_OPT4_KTQT_v4[[#This Row],[CPHH-02]]</f>
        <v>0</v>
      </c>
      <c r="DC102" s="47">
        <f ca="1">KH_26_OPT4_KTQT_v4[[#This Row],[DT-EXW-03]]+KH_26_OPT4_KTQT_v4[[#This Row],[CPVC-03]]+KH_26_OPT4_KTQT_v4[[#This Row],[CPHH-03]]</f>
        <v>0</v>
      </c>
      <c r="DD102" s="47">
        <f ca="1">KH_26_OPT4_KTQT_v4[[#This Row],[DT-EXW-04]]+KH_26_OPT4_KTQT_v4[[#This Row],[CPVC-04]]+KH_26_OPT4_KTQT_v4[[#This Row],[CPHH-04]]</f>
        <v>0</v>
      </c>
      <c r="DE102" s="47">
        <f ca="1">KH_26_OPT4_KTQT_v4[[#This Row],[DT-EXW-05]]+KH_26_OPT4_KTQT_v4[[#This Row],[CPVC-05]]+KH_26_OPT4_KTQT_v4[[#This Row],[CPHH-05]]</f>
        <v>0</v>
      </c>
      <c r="DF102" s="47">
        <f ca="1">KH_26_OPT4_KTQT_v4[[#This Row],[DT-EXW-06]]+KH_26_OPT4_KTQT_v4[[#This Row],[CPVC-06]]+KH_26_OPT4_KTQT_v4[[#This Row],[CPHH-06]]</f>
        <v>0</v>
      </c>
      <c r="DG102" s="47">
        <f ca="1">KH_26_OPT4_KTQT_v4[[#This Row],[DT-EXW-07]]+KH_26_OPT4_KTQT_v4[[#This Row],[CPVC-07]]+KH_26_OPT4_KTQT_v4[[#This Row],[CPHH-07]]</f>
        <v>0</v>
      </c>
      <c r="DH102" s="47">
        <f ca="1">KH_26_OPT4_KTQT_v4[[#This Row],[DT-EXW-08]]+KH_26_OPT4_KTQT_v4[[#This Row],[CPVC-08]]+KH_26_OPT4_KTQT_v4[[#This Row],[CPHH-08]]</f>
        <v>0</v>
      </c>
      <c r="DI102" s="47">
        <f ca="1">KH_26_OPT4_KTQT_v4[[#This Row],[DT-EXW-09]]+KH_26_OPT4_KTQT_v4[[#This Row],[CPVC-09]]+KH_26_OPT4_KTQT_v4[[#This Row],[CPHH-09]]</f>
        <v>0</v>
      </c>
      <c r="DJ102" s="47">
        <f ca="1">KH_26_OPT4_KTQT_v4[[#This Row],[DT-EXW-10]]+KH_26_OPT4_KTQT_v4[[#This Row],[CPVC-10]]+KH_26_OPT4_KTQT_v4[[#This Row],[CPHH-10]]</f>
        <v>0</v>
      </c>
      <c r="DK102" s="47">
        <f ca="1">KH_26_OPT4_KTQT_v4[[#This Row],[DT-EXW-11]]+KH_26_OPT4_KTQT_v4[[#This Row],[CPVC-11]]+KH_26_OPT4_KTQT_v4[[#This Row],[CPHH-11]]</f>
        <v>0</v>
      </c>
      <c r="DL102" s="47">
        <f ca="1">KH_26_OPT4_KTQT_v4[[#This Row],[DT-EXW-12]]+KH_26_OPT4_KTQT_v4[[#This Row],[CPVC-12]]+KH_26_OPT4_KTQT_v4[[#This Row],[CPHH-12]]</f>
        <v>0</v>
      </c>
      <c r="DM102" s="47">
        <f ca="1">SUM(KH_26_OPT4_KTQT_v4[[#This Row],[DT-01]:[DT-12]])</f>
        <v>0</v>
      </c>
      <c r="DN102" s="7"/>
      <c r="DO102" s="7"/>
      <c r="DP102" s="125"/>
      <c r="DQ102" s="136"/>
      <c r="DR102" s="132">
        <f>IFERROR(KH_26_OPT4_KTQT_v4[[#This Row],[DT-EXW-01]]*KH_26_OPT4_KTQT_v4[[#This Row],[%CPDP]],0)</f>
        <v>0</v>
      </c>
      <c r="DS102" s="132">
        <f>IFERROR(KH_26_OPT4_KTQT_v4[[#This Row],[DT-EXW-02]]*KH_26_OPT4_KTQT_v4[[#This Row],[%CPDP]],0)</f>
        <v>0</v>
      </c>
      <c r="DT102" s="132">
        <f>IFERROR(KH_26_OPT4_KTQT_v4[[#This Row],[DT-EXW-03]]*KH_26_OPT4_KTQT_v4[[#This Row],[%CPDP]],0)</f>
        <v>0</v>
      </c>
      <c r="DU102" s="132">
        <f>IFERROR(KH_26_OPT4_KTQT_v4[[#This Row],[DT-EXW-04]]*KH_26_OPT4_KTQT_v4[[#This Row],[%CPDP]],0)</f>
        <v>0</v>
      </c>
      <c r="DV102" s="132">
        <f>IFERROR(KH_26_OPT4_KTQT_v4[[#This Row],[DT-EXW-05]]*KH_26_OPT4_KTQT_v4[[#This Row],[%CPDP]],0)</f>
        <v>0</v>
      </c>
      <c r="DW102" s="132">
        <f>IFERROR(KH_26_OPT4_KTQT_v4[[#This Row],[DT-EXW-06]]*KH_26_OPT4_KTQT_v4[[#This Row],[%CPDP]],0)</f>
        <v>0</v>
      </c>
      <c r="DX102" s="132">
        <f>IFERROR(KH_26_OPT4_KTQT_v4[[#This Row],[DT-EXW-07]]*KH_26_OPT4_KTQT_v4[[#This Row],[%CPDP]],0)</f>
        <v>0</v>
      </c>
      <c r="DY102" s="132">
        <f>IFERROR(KH_26_OPT4_KTQT_v4[[#This Row],[DT-EXW-08]]*KH_26_OPT4_KTQT_v4[[#This Row],[%CPDP]],0)</f>
        <v>0</v>
      </c>
      <c r="DZ102" s="132">
        <f>IFERROR(KH_26_OPT4_KTQT_v4[[#This Row],[DT-EXW-09]]*KH_26_OPT4_KTQT_v4[[#This Row],[%CPDP]],0)</f>
        <v>0</v>
      </c>
      <c r="EA102" s="132">
        <f>IFERROR(KH_26_OPT4_KTQT_v4[[#This Row],[DT-EXW-10]]*KH_26_OPT4_KTQT_v4[[#This Row],[%CPDP]],0)</f>
        <v>0</v>
      </c>
      <c r="EB102" s="132">
        <f>IFERROR(KH_26_OPT4_KTQT_v4[[#This Row],[DT-EXW-11]]*KH_26_OPT4_KTQT_v4[[#This Row],[%CPDP]],0)</f>
        <v>0</v>
      </c>
      <c r="EC102" s="132">
        <f>IFERROR(KH_26_OPT4_KTQT_v4[[#This Row],[DT-EXW-12]]*KH_26_OPT4_KTQT_v4[[#This Row],[%CPDP]],0)</f>
        <v>0</v>
      </c>
      <c r="ED102" s="131">
        <f ca="1">SUM(KH_26_OPT4_KTQT_v4[[#This Row],[CPDP-01]:[CPDP-12]])</f>
        <v>0</v>
      </c>
    </row>
    <row r="103" spans="1:134" ht="14.65" hidden="1" customHeight="1" x14ac:dyDescent="0.35">
      <c r="A103" s="18">
        <v>98</v>
      </c>
      <c r="B103" s="71" t="s">
        <v>115</v>
      </c>
      <c r="C103" s="18" t="str">
        <f>IFERROR(_xlfn.XLOOKUP(KH_26_OPT4_KTQT_v4[[#This Row],[Salesman]],MD_Salesman[Salesman],MD_Salesman[SalesManager]),"")</f>
        <v>Quốc Anh</v>
      </c>
      <c r="D103" s="72" t="str">
        <f>IFERROR(INDEX(MD_Customer[Mã khách],MATCH(KH_26_OPT4_KTQT_v4[[#This Row],[Tên khách]],MD_Customer[Tên khách-rút gọn],0)),"")</f>
        <v>105333</v>
      </c>
      <c r="E103" s="7" t="str">
        <f>IFERROR(INDEX(MD_Customer[Parent Account],MATCH(KH_26_OPT4_KTQT_v4[[#This Row],[Tên khách]],MD_Customer[Tên khách-rút gọn],0)),"")</f>
        <v>LƯỚI BẢO NÔNG</v>
      </c>
      <c r="F103" s="35" t="s">
        <v>56</v>
      </c>
      <c r="G103" s="7" t="str">
        <f>IFERROR(INDEX(MD_Customer[Phân loại],MATCH(KH_26_OPT4_KTQT_v4[[#This Row],[Tên khách]],MD_Customer[Tên khách-rút gọn],0)),"")</f>
        <v>Hiện hữu</v>
      </c>
      <c r="H103" s="7" t="str">
        <f>IFERROR(INDEX(MD_Customer[Kênh bán hàng],MATCH(KH_26_OPT4_KTQT_v4[[#This Row],[Tên khách]],MD_Customer[Tên khách-rút gọn],0)),"")</f>
        <v>Nội địa</v>
      </c>
      <c r="I103" s="35" t="s">
        <v>258</v>
      </c>
      <c r="J103" s="7" t="str">
        <f>IFERROR(INDEX(MD_Destination[Nước],MATCH(KH_26_OPT4_KTQT_v4[[#This Row],[Địa điểm đến]],MD_Destination[Địa điểm đến],0)),"")</f>
        <v>Việt Nam</v>
      </c>
      <c r="K103" s="7" t="str">
        <f>IFERROR(INDEX(MD_Destination[Khu vực],MATCH(KH_26_OPT4_KTQT_v4[[#This Row],[Địa điểm đến]],MD_Destination[Địa điểm đến],0)),"")</f>
        <v>Châu Á</v>
      </c>
      <c r="L103" s="35" t="s">
        <v>260</v>
      </c>
      <c r="M103" s="7" t="str">
        <f>IFERROR(INDEX(MD_SKU[Mã SKU],MATCH(KH_26_OPT4_KTQT_v4[[#This Row],[Tên sản phẩm]],MD_SKU[Tên SKU-rút gọn],0)),"")</f>
        <v>110000411</v>
      </c>
      <c r="N103" s="35" t="s">
        <v>474</v>
      </c>
      <c r="O103" s="7" t="str">
        <f>IFERROR(INDEX(MD_SKU[Ngành hàng],MATCH(KH_26_OPT4_KTQT_v4[[#This Row],[Tên sản phẩm]],MD_SKU[Tên SKU-rút gọn],0)),"")</f>
        <v>rHDPE ép</v>
      </c>
      <c r="P103" s="7" t="str">
        <f>IFERROR(INDEX(MD_SKU[Nhóm ngành],MATCH(KH_26_OPT4_KTQT_v4[[#This Row],[Tên sản phẩm]],MD_SKU[Tên SKU-rút gọn],0)),"")</f>
        <v>Vảy HD ép</v>
      </c>
      <c r="Q103" s="7" t="str">
        <f>IFERROR(
   IF(INDEX(MD_SKU[IV/IM],MATCH(KH_26_OPT4_KTQT_v4[[#This Row],[Tên sản phẩm]],MD_SKU[Tên SKU-rút gọn],0))=0,
      "",
      INDEX(MD_SKU[IV/IM],MATCH(KH_26_OPT4_KTQT_v4[[#This Row],[Tên sản phẩm]],MD_SKU[Tên SKU-rút gọn],0))
   ),
"")</f>
        <v/>
      </c>
      <c r="R103" s="44">
        <f>IFERROR(INDEX(MD_SKU[Application],MATCH(KH_26_OPT4_KTQT_v4[[#This Row],[Tên sản phẩm]],MD_SKU[Tên SKU-rút gọn],0)),"")</f>
        <v>0</v>
      </c>
      <c r="S103" s="7" t="str">
        <f>IFERROR(INDEX(MD_SKU[Phân loại],MATCH(KH_26_OPT4_KTQT_v4[[#This Row],[Tên sản phẩm]],MD_SKU[Tên SKU-rút gọn],0)),"")</f>
        <v>Cũ</v>
      </c>
      <c r="T103" s="7" t="s">
        <v>56</v>
      </c>
      <c r="U103" s="7" t="s">
        <v>1508</v>
      </c>
      <c r="V103" s="70">
        <v>0.8</v>
      </c>
      <c r="W103" s="33"/>
      <c r="X103" s="33"/>
      <c r="Y103" s="33"/>
      <c r="Z103" s="33"/>
      <c r="AA103" s="33"/>
      <c r="AB103" s="33"/>
      <c r="AC103" s="33"/>
      <c r="AD103" s="33"/>
      <c r="AE103" s="33"/>
      <c r="AF103" s="33"/>
      <c r="AG103" s="33"/>
      <c r="AH103" s="33"/>
      <c r="AI103" s="47">
        <f ca="1">SUM(KH_26_OPT4_KTQT_v4[[#This Row],[SL-01]:[SL-12]])</f>
        <v>0</v>
      </c>
      <c r="AJ103" s="47">
        <f ca="1">SUMIFS(DB_25[SL-DB25],DB_25[Mã khách],KH_26_OPT4_KTQT_v4[[#This Row],[Mã khách]],DB_25[Mã sản phẩm],KH_26_OPT4_KTQT_v4[[#This Row],[Mã sản phẩm]])</f>
        <v>40.5</v>
      </c>
      <c r="AK103" s="20">
        <f ca="1">KH_26_OPT4_KTQT_v4[[#This Row],[SL-KH26]]-KH_26_OPT4_KTQT_v4[[#This Row],[SL-DB25]]</f>
        <v>-40.5</v>
      </c>
      <c r="AL103" s="21">
        <f ca="1">IFERROR(KH_26_OPT4_KTQT_v4[[#This Row],[SL-+/-]]/KH_26_OPT4_KTQT_v4[[#This Row],[SL-DB25]],0)</f>
        <v>-1</v>
      </c>
      <c r="AM103" s="51">
        <v>560</v>
      </c>
      <c r="AN103" s="51">
        <v>560</v>
      </c>
      <c r="AO103" s="51">
        <v>560</v>
      </c>
      <c r="AP103" s="51">
        <v>560</v>
      </c>
      <c r="AQ103" s="51">
        <v>560</v>
      </c>
      <c r="AR103" s="51">
        <v>560</v>
      </c>
      <c r="AS103" s="51">
        <v>560</v>
      </c>
      <c r="AT103" s="51">
        <v>560</v>
      </c>
      <c r="AU103" s="51">
        <v>560</v>
      </c>
      <c r="AV103" s="51">
        <v>560</v>
      </c>
      <c r="AW103" s="51">
        <v>560</v>
      </c>
      <c r="AX103" s="51">
        <v>560</v>
      </c>
      <c r="AY103" s="23">
        <v>560</v>
      </c>
      <c r="AZ103" s="7"/>
      <c r="BA103" s="24">
        <f>KH_26_OPT4_KTQT_v4[[#This Row],[GB-DB25]]-KH_26_OPT4_KTQT_v4[[#This Row],[GB-KH25]]</f>
        <v>560</v>
      </c>
      <c r="BB103" s="21">
        <f>IFERROR(KH_26_OPT4_KTQT_v4[[#This Row],[GB-+/-]]/KH_26_OPT4_KTQT_v4[[#This Row],[GB-KH25]],0)</f>
        <v>0</v>
      </c>
      <c r="BC103" s="21"/>
      <c r="BD103" s="47">
        <f>KH_26_OPT4_KTQT_v4[[#This Row],[SL-01]]*KH_26_OPT4_KTQT_v4[[#This Row],[GB-01]]*EXR</f>
        <v>0</v>
      </c>
      <c r="BE103" s="47">
        <f>KH_26_OPT4_KTQT_v4[[#This Row],[SL-02]]*KH_26_OPT4_KTQT_v4[[#This Row],[GB-02]]*EXR</f>
        <v>0</v>
      </c>
      <c r="BF103" s="47">
        <f>KH_26_OPT4_KTQT_v4[[#This Row],[SL-03]]*KH_26_OPT4_KTQT_v4[[#This Row],[GB-03]]*EXR</f>
        <v>0</v>
      </c>
      <c r="BG103" s="47">
        <f>KH_26_OPT4_KTQT_v4[[#This Row],[SL-04]]*KH_26_OPT4_KTQT_v4[[#This Row],[GB-04]]*EXR</f>
        <v>0</v>
      </c>
      <c r="BH103" s="47">
        <f>KH_26_OPT4_KTQT_v4[[#This Row],[SL-05]]*KH_26_OPT4_KTQT_v4[[#This Row],[GB-05]]*EXR</f>
        <v>0</v>
      </c>
      <c r="BI103" s="47">
        <f>KH_26_OPT4_KTQT_v4[[#This Row],[SL-06]]*KH_26_OPT4_KTQT_v4[[#This Row],[GB-06]]*EXR</f>
        <v>0</v>
      </c>
      <c r="BJ103" s="47">
        <f>KH_26_OPT4_KTQT_v4[[#This Row],[SL-07]]*KH_26_OPT4_KTQT_v4[[#This Row],[GB-07]]*EXR</f>
        <v>0</v>
      </c>
      <c r="BK103" s="47">
        <f>KH_26_OPT4_KTQT_v4[[#This Row],[SL-08]]*KH_26_OPT4_KTQT_v4[[#This Row],[GB-08]]*EXR</f>
        <v>0</v>
      </c>
      <c r="BL103" s="47">
        <f>KH_26_OPT4_KTQT_v4[[#This Row],[SL-09]]*KH_26_OPT4_KTQT_v4[[#This Row],[GB-09]]*EXR</f>
        <v>0</v>
      </c>
      <c r="BM103" s="47">
        <f>KH_26_OPT4_KTQT_v4[[#This Row],[SL-10]]*KH_26_OPT4_KTQT_v4[[#This Row],[GB-10]]*EXR</f>
        <v>0</v>
      </c>
      <c r="BN103" s="47">
        <f>KH_26_OPT4_KTQT_v4[[#This Row],[SL-11]]*KH_26_OPT4_KTQT_v4[[#This Row],[GB-11]]*EXR</f>
        <v>0</v>
      </c>
      <c r="BO103" s="47">
        <f>KH_26_OPT4_KTQT_v4[[#This Row],[SL-12]]*KH_26_OPT4_KTQT_v4[[#This Row],[GB-12]]*EXR</f>
        <v>0</v>
      </c>
      <c r="BP103" s="47">
        <f ca="1">SUM(KH_26_OPT4_KTQT_v4[[#This Row],[DT-EXW-01]:[DT-EXW-12]])</f>
        <v>0</v>
      </c>
      <c r="BQ103" s="47">
        <f ca="1">SUMIFS(DB_25[DT-DB25],DB_25[Mã khách],KH_26_OPT4_KTQT_v4[[#This Row],[Mã khách]],DB_25[Mã sản phẩm],KH_26_OPT4_KTQT_v4[[#This Row],[Mã sản phẩm]])</f>
        <v>379210774.02954197</v>
      </c>
      <c r="BR103" s="47">
        <f ca="1">KH_26_OPT4_KTQT_v4[[#This Row],[DT-EXW-KH26]]-KH_26_OPT4_KTQT_v4[[#This Row],[DT-EXW-DB25]]</f>
        <v>-379210774.02954197</v>
      </c>
      <c r="BS103" s="21">
        <f ca="1">IFERROR(KH_26_OPT4_KTQT_v4[[#This Row],[DT-EXW-+/-]]/KH_26_OPT4_KTQT_v4[[#This Row],[DT-EXW-DB25]],0)</f>
        <v>-1</v>
      </c>
      <c r="BT103" s="139"/>
      <c r="BU103" s="57"/>
      <c r="BV103" s="51"/>
      <c r="BW103" s="47">
        <f>IF(KH_26_OPT4_KTQT_v4[[#This Row],[CPHH-%-SL]]="Dthu",KH_26_OPT4_KTQT_v4[[#This Row],[%HH]]*KH_26_OPT4_KTQT_v4[[#This Row],[DT-EXW-01]],KH_26_OPT4_KTQT_v4[[#This Row],[HH-SL]]*KH_26_OPT4_KTQT_v4[[#This Row],[SL-01]])</f>
        <v>0</v>
      </c>
      <c r="BX103" s="47">
        <f>IF(KH_26_OPT4_KTQT_v4[[#This Row],[CPHH-%-SL]]="Dthu",KH_26_OPT4_KTQT_v4[[#This Row],[%HH]]*KH_26_OPT4_KTQT_v4[[#This Row],[DT-EXW-02]],KH_26_OPT4_KTQT_v4[[#This Row],[HH-SL]]*KH_26_OPT4_KTQT_v4[[#This Row],[SL-02]])</f>
        <v>0</v>
      </c>
      <c r="BY103" s="47">
        <f>IF(KH_26_OPT4_KTQT_v4[[#This Row],[CPHH-%-SL]]="Dthu",KH_26_OPT4_KTQT_v4[[#This Row],[%HH]]*KH_26_OPT4_KTQT_v4[[#This Row],[DT-EXW-03]],KH_26_OPT4_KTQT_v4[[#This Row],[HH-SL]]*KH_26_OPT4_KTQT_v4[[#This Row],[SL-03]])</f>
        <v>0</v>
      </c>
      <c r="BZ103" s="47">
        <f>IF(KH_26_OPT4_KTQT_v4[[#This Row],[CPHH-%-SL]]="Dthu",KH_26_OPT4_KTQT_v4[[#This Row],[%HH]]*KH_26_OPT4_KTQT_v4[[#This Row],[DT-EXW-04]],KH_26_OPT4_KTQT_v4[[#This Row],[HH-SL]]*KH_26_OPT4_KTQT_v4[[#This Row],[SL-04]])</f>
        <v>0</v>
      </c>
      <c r="CA103" s="47">
        <f>IF(KH_26_OPT4_KTQT_v4[[#This Row],[CPHH-%-SL]]="Dthu",KH_26_OPT4_KTQT_v4[[#This Row],[%HH]]*KH_26_OPT4_KTQT_v4[[#This Row],[DT-EXW-05]],KH_26_OPT4_KTQT_v4[[#This Row],[HH-SL]]*KH_26_OPT4_KTQT_v4[[#This Row],[SL-05]])</f>
        <v>0</v>
      </c>
      <c r="CB103" s="47">
        <f>IF(KH_26_OPT4_KTQT_v4[[#This Row],[CPHH-%-SL]]="Dthu",KH_26_OPT4_KTQT_v4[[#This Row],[%HH]]*KH_26_OPT4_KTQT_v4[[#This Row],[DT-EXW-06]],KH_26_OPT4_KTQT_v4[[#This Row],[HH-SL]]*KH_26_OPT4_KTQT_v4[[#This Row],[SL-06]])</f>
        <v>0</v>
      </c>
      <c r="CC103" s="47">
        <f>IF(KH_26_OPT4_KTQT_v4[[#This Row],[CPHH-%-SL]]="Dthu",KH_26_OPT4_KTQT_v4[[#This Row],[%HH]]*KH_26_OPT4_KTQT_v4[[#This Row],[DT-EXW-07]],KH_26_OPT4_KTQT_v4[[#This Row],[HH-SL]]*KH_26_OPT4_KTQT_v4[[#This Row],[SL-07]])</f>
        <v>0</v>
      </c>
      <c r="CD103" s="47">
        <f>IF(KH_26_OPT4_KTQT_v4[[#This Row],[CPHH-%-SL]]="Dthu",KH_26_OPT4_KTQT_v4[[#This Row],[%HH]]*KH_26_OPT4_KTQT_v4[[#This Row],[DT-EXW-08]],KH_26_OPT4_KTQT_v4[[#This Row],[HH-SL]]*KH_26_OPT4_KTQT_v4[[#This Row],[SL-08]])</f>
        <v>0</v>
      </c>
      <c r="CE103" s="47">
        <f>IF(KH_26_OPT4_KTQT_v4[[#This Row],[CPHH-%-SL]]="Dthu",KH_26_OPT4_KTQT_v4[[#This Row],[%HH]]*KH_26_OPT4_KTQT_v4[[#This Row],[DT-EXW-09]],KH_26_OPT4_KTQT_v4[[#This Row],[HH-SL]]*KH_26_OPT4_KTQT_v4[[#This Row],[SL-09]])</f>
        <v>0</v>
      </c>
      <c r="CF103" s="47">
        <f>IF(KH_26_OPT4_KTQT_v4[[#This Row],[CPHH-%-SL]]="Dthu",KH_26_OPT4_KTQT_v4[[#This Row],[%HH]]*KH_26_OPT4_KTQT_v4[[#This Row],[DT-EXW-10]],KH_26_OPT4_KTQT_v4[[#This Row],[HH-SL]]*KH_26_OPT4_KTQT_v4[[#This Row],[SL-10]])</f>
        <v>0</v>
      </c>
      <c r="CG103" s="47">
        <f>IF(KH_26_OPT4_KTQT_v4[[#This Row],[CPHH-%-SL]]="Dthu",KH_26_OPT4_KTQT_v4[[#This Row],[%HH]]*KH_26_OPT4_KTQT_v4[[#This Row],[DT-EXW-11]],KH_26_OPT4_KTQT_v4[[#This Row],[HH-SL]]*KH_26_OPT4_KTQT_v4[[#This Row],[SL-11]])</f>
        <v>0</v>
      </c>
      <c r="CH103" s="47">
        <f>IF(KH_26_OPT4_KTQT_v4[[#This Row],[CPHH-%-SL]]="Dthu",KH_26_OPT4_KTQT_v4[[#This Row],[%HH]]*KH_26_OPT4_KTQT_v4[[#This Row],[DT-EXW-12]],KH_26_OPT4_KTQT_v4[[#This Row],[HH-SL]]*KH_26_OPT4_KTQT_v4[[#This Row],[SL-12]])</f>
        <v>0</v>
      </c>
      <c r="CI103" s="47">
        <f ca="1">SUM(KH_26_OPT4_KTQT_v4[[#This Row],[CPHH-01]:[CPHH-12]])</f>
        <v>0</v>
      </c>
      <c r="CJ103" s="47" cm="1">
        <f t="array" ref="CJ103">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03" s="19">
        <f ca="1">SUM(KH_26_OPT4_KTQT_v4[[#This Row],[ĐGVCNĐ-KXK]:[ĐGVCCT-KXK]])</f>
        <v>0</v>
      </c>
      <c r="CL103" s="47" cm="1">
        <f t="array" ref="CL103">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103" s="47" cm="1">
        <f t="array" ref="CM103">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03" s="47">
        <f ca="1">(KH_26_OPT4_KTQT_v4[[#This Row],[ĐGVC-KNĐ]]+KH_26_OPT4_KTQT_v4[[#This Row],[ĐGVC-KXK]])*KH_26_OPT4_KTQT_v4[[#This Row],[SL-01]]</f>
        <v>0</v>
      </c>
      <c r="CO103" s="47">
        <f ca="1">(KH_26_OPT4_KTQT_v4[[#This Row],[ĐGVC-KNĐ]]+KH_26_OPT4_KTQT_v4[[#This Row],[ĐGVC-KXK]])*KH_26_OPT4_KTQT_v4[[#This Row],[SL-02]]</f>
        <v>0</v>
      </c>
      <c r="CP103" s="47">
        <f ca="1">(KH_26_OPT4_KTQT_v4[[#This Row],[ĐGVC-KNĐ]]+KH_26_OPT4_KTQT_v4[[#This Row],[ĐGVC-KXK]])*KH_26_OPT4_KTQT_v4[[#This Row],[SL-03]]</f>
        <v>0</v>
      </c>
      <c r="CQ103" s="47">
        <f ca="1">(KH_26_OPT4_KTQT_v4[[#This Row],[ĐGVC-KNĐ]]+KH_26_OPT4_KTQT_v4[[#This Row],[ĐGVC-KXK]])*KH_26_OPT4_KTQT_v4[[#This Row],[SL-04]]</f>
        <v>0</v>
      </c>
      <c r="CR103" s="47">
        <f ca="1">(KH_26_OPT4_KTQT_v4[[#This Row],[ĐGVC-KNĐ]]+KH_26_OPT4_KTQT_v4[[#This Row],[ĐGVC-KXK]])*KH_26_OPT4_KTQT_v4[[#This Row],[SL-05]]</f>
        <v>0</v>
      </c>
      <c r="CS103" s="47">
        <f ca="1">(KH_26_OPT4_KTQT_v4[[#This Row],[ĐGVC-KNĐ]]+KH_26_OPT4_KTQT_v4[[#This Row],[ĐGVC-KXK]])*KH_26_OPT4_KTQT_v4[[#This Row],[SL-06]]</f>
        <v>0</v>
      </c>
      <c r="CT103" s="47">
        <f ca="1">(KH_26_OPT4_KTQT_v4[[#This Row],[ĐGVC-KNĐ]]+KH_26_OPT4_KTQT_v4[[#This Row],[ĐGVC-KXK]])*KH_26_OPT4_KTQT_v4[[#This Row],[SL-07]]</f>
        <v>0</v>
      </c>
      <c r="CU103" s="47">
        <f ca="1">(KH_26_OPT4_KTQT_v4[[#This Row],[ĐGVC-KNĐ]]+KH_26_OPT4_KTQT_v4[[#This Row],[ĐGVC-KXK]])*KH_26_OPT4_KTQT_v4[[#This Row],[SL-08]]</f>
        <v>0</v>
      </c>
      <c r="CV103" s="47">
        <f ca="1">(KH_26_OPT4_KTQT_v4[[#This Row],[ĐGVC-KNĐ]]+KH_26_OPT4_KTQT_v4[[#This Row],[ĐGVC-KXK]])*KH_26_OPT4_KTQT_v4[[#This Row],[SL-09]]</f>
        <v>0</v>
      </c>
      <c r="CW103" s="47">
        <f ca="1">(KH_26_OPT4_KTQT_v4[[#This Row],[ĐGVC-KNĐ]]+KH_26_OPT4_KTQT_v4[[#This Row],[ĐGVC-KXK]])*KH_26_OPT4_KTQT_v4[[#This Row],[SL-10]]</f>
        <v>0</v>
      </c>
      <c r="CX103" s="47">
        <f ca="1">(KH_26_OPT4_KTQT_v4[[#This Row],[ĐGVC-KNĐ]]+KH_26_OPT4_KTQT_v4[[#This Row],[ĐGVC-KXK]])*KH_26_OPT4_KTQT_v4[[#This Row],[SL-11]]</f>
        <v>0</v>
      </c>
      <c r="CY103" s="47">
        <f ca="1">(KH_26_OPT4_KTQT_v4[[#This Row],[ĐGVC-KNĐ]]+KH_26_OPT4_KTQT_v4[[#This Row],[ĐGVC-KXK]])*KH_26_OPT4_KTQT_v4[[#This Row],[SL-12]]</f>
        <v>0</v>
      </c>
      <c r="CZ103" s="47">
        <f ca="1">SUM(KH_26_OPT4_KTQT_v4[[#This Row],[CPVC-01]:[CPVC-12]])</f>
        <v>0</v>
      </c>
      <c r="DA103" s="124">
        <f ca="1">KH_26_OPT4_KTQT_v4[[#This Row],[DT-EXW-01]]+KH_26_OPT4_KTQT_v4[[#This Row],[CPVC-01]]+KH_26_OPT4_KTQT_v4[[#This Row],[CPHH-01]]</f>
        <v>0</v>
      </c>
      <c r="DB103" s="47">
        <f ca="1">KH_26_OPT4_KTQT_v4[[#This Row],[DT-EXW-02]]+KH_26_OPT4_KTQT_v4[[#This Row],[CPVC-02]]+KH_26_OPT4_KTQT_v4[[#This Row],[CPHH-02]]</f>
        <v>0</v>
      </c>
      <c r="DC103" s="47">
        <f ca="1">KH_26_OPT4_KTQT_v4[[#This Row],[DT-EXW-03]]+KH_26_OPT4_KTQT_v4[[#This Row],[CPVC-03]]+KH_26_OPT4_KTQT_v4[[#This Row],[CPHH-03]]</f>
        <v>0</v>
      </c>
      <c r="DD103" s="47">
        <f ca="1">KH_26_OPT4_KTQT_v4[[#This Row],[DT-EXW-04]]+KH_26_OPT4_KTQT_v4[[#This Row],[CPVC-04]]+KH_26_OPT4_KTQT_v4[[#This Row],[CPHH-04]]</f>
        <v>0</v>
      </c>
      <c r="DE103" s="47">
        <f ca="1">KH_26_OPT4_KTQT_v4[[#This Row],[DT-EXW-05]]+KH_26_OPT4_KTQT_v4[[#This Row],[CPVC-05]]+KH_26_OPT4_KTQT_v4[[#This Row],[CPHH-05]]</f>
        <v>0</v>
      </c>
      <c r="DF103" s="47">
        <f ca="1">KH_26_OPT4_KTQT_v4[[#This Row],[DT-EXW-06]]+KH_26_OPT4_KTQT_v4[[#This Row],[CPVC-06]]+KH_26_OPT4_KTQT_v4[[#This Row],[CPHH-06]]</f>
        <v>0</v>
      </c>
      <c r="DG103" s="47">
        <f ca="1">KH_26_OPT4_KTQT_v4[[#This Row],[DT-EXW-07]]+KH_26_OPT4_KTQT_v4[[#This Row],[CPVC-07]]+KH_26_OPT4_KTQT_v4[[#This Row],[CPHH-07]]</f>
        <v>0</v>
      </c>
      <c r="DH103" s="47">
        <f ca="1">KH_26_OPT4_KTQT_v4[[#This Row],[DT-EXW-08]]+KH_26_OPT4_KTQT_v4[[#This Row],[CPVC-08]]+KH_26_OPT4_KTQT_v4[[#This Row],[CPHH-08]]</f>
        <v>0</v>
      </c>
      <c r="DI103" s="47">
        <f ca="1">KH_26_OPT4_KTQT_v4[[#This Row],[DT-EXW-09]]+KH_26_OPT4_KTQT_v4[[#This Row],[CPVC-09]]+KH_26_OPT4_KTQT_v4[[#This Row],[CPHH-09]]</f>
        <v>0</v>
      </c>
      <c r="DJ103" s="47">
        <f ca="1">KH_26_OPT4_KTQT_v4[[#This Row],[DT-EXW-10]]+KH_26_OPT4_KTQT_v4[[#This Row],[CPVC-10]]+KH_26_OPT4_KTQT_v4[[#This Row],[CPHH-10]]</f>
        <v>0</v>
      </c>
      <c r="DK103" s="47">
        <f ca="1">KH_26_OPT4_KTQT_v4[[#This Row],[DT-EXW-11]]+KH_26_OPT4_KTQT_v4[[#This Row],[CPVC-11]]+KH_26_OPT4_KTQT_v4[[#This Row],[CPHH-11]]</f>
        <v>0</v>
      </c>
      <c r="DL103" s="47">
        <f ca="1">KH_26_OPT4_KTQT_v4[[#This Row],[DT-EXW-12]]+KH_26_OPT4_KTQT_v4[[#This Row],[CPVC-12]]+KH_26_OPT4_KTQT_v4[[#This Row],[CPHH-12]]</f>
        <v>0</v>
      </c>
      <c r="DM103" s="47">
        <f ca="1">SUM(KH_26_OPT4_KTQT_v4[[#This Row],[DT-01]:[DT-12]])</f>
        <v>0</v>
      </c>
      <c r="DN103" s="7"/>
      <c r="DO103" s="7"/>
      <c r="DP103" s="125"/>
      <c r="DQ103" s="136"/>
      <c r="DR103" s="132">
        <f>IFERROR(KH_26_OPT4_KTQT_v4[[#This Row],[DT-EXW-01]]*KH_26_OPT4_KTQT_v4[[#This Row],[%CPDP]],0)</f>
        <v>0</v>
      </c>
      <c r="DS103" s="132">
        <f>IFERROR(KH_26_OPT4_KTQT_v4[[#This Row],[DT-EXW-02]]*KH_26_OPT4_KTQT_v4[[#This Row],[%CPDP]],0)</f>
        <v>0</v>
      </c>
      <c r="DT103" s="132">
        <f>IFERROR(KH_26_OPT4_KTQT_v4[[#This Row],[DT-EXW-03]]*KH_26_OPT4_KTQT_v4[[#This Row],[%CPDP]],0)</f>
        <v>0</v>
      </c>
      <c r="DU103" s="132">
        <f>IFERROR(KH_26_OPT4_KTQT_v4[[#This Row],[DT-EXW-04]]*KH_26_OPT4_KTQT_v4[[#This Row],[%CPDP]],0)</f>
        <v>0</v>
      </c>
      <c r="DV103" s="132">
        <f>IFERROR(KH_26_OPT4_KTQT_v4[[#This Row],[DT-EXW-05]]*KH_26_OPT4_KTQT_v4[[#This Row],[%CPDP]],0)</f>
        <v>0</v>
      </c>
      <c r="DW103" s="132">
        <f>IFERROR(KH_26_OPT4_KTQT_v4[[#This Row],[DT-EXW-06]]*KH_26_OPT4_KTQT_v4[[#This Row],[%CPDP]],0)</f>
        <v>0</v>
      </c>
      <c r="DX103" s="132">
        <f>IFERROR(KH_26_OPT4_KTQT_v4[[#This Row],[DT-EXW-07]]*KH_26_OPT4_KTQT_v4[[#This Row],[%CPDP]],0)</f>
        <v>0</v>
      </c>
      <c r="DY103" s="132">
        <f>IFERROR(KH_26_OPT4_KTQT_v4[[#This Row],[DT-EXW-08]]*KH_26_OPT4_KTQT_v4[[#This Row],[%CPDP]],0)</f>
        <v>0</v>
      </c>
      <c r="DZ103" s="132">
        <f>IFERROR(KH_26_OPT4_KTQT_v4[[#This Row],[DT-EXW-09]]*KH_26_OPT4_KTQT_v4[[#This Row],[%CPDP]],0)</f>
        <v>0</v>
      </c>
      <c r="EA103" s="132">
        <f>IFERROR(KH_26_OPT4_KTQT_v4[[#This Row],[DT-EXW-10]]*KH_26_OPT4_KTQT_v4[[#This Row],[%CPDP]],0)</f>
        <v>0</v>
      </c>
      <c r="EB103" s="132">
        <f>IFERROR(KH_26_OPT4_KTQT_v4[[#This Row],[DT-EXW-11]]*KH_26_OPT4_KTQT_v4[[#This Row],[%CPDP]],0)</f>
        <v>0</v>
      </c>
      <c r="EC103" s="132">
        <f>IFERROR(KH_26_OPT4_KTQT_v4[[#This Row],[DT-EXW-12]]*KH_26_OPT4_KTQT_v4[[#This Row],[%CPDP]],0)</f>
        <v>0</v>
      </c>
      <c r="ED103" s="131">
        <f ca="1">SUM(KH_26_OPT4_KTQT_v4[[#This Row],[CPDP-01]:[CPDP-12]])</f>
        <v>0</v>
      </c>
    </row>
    <row r="104" spans="1:134" ht="14.65" hidden="1" customHeight="1" x14ac:dyDescent="0.35">
      <c r="A104" s="18">
        <v>99</v>
      </c>
      <c r="B104" s="71" t="s">
        <v>115</v>
      </c>
      <c r="C104" s="18" t="str">
        <f>IFERROR(_xlfn.XLOOKUP(KH_26_OPT4_KTQT_v4[[#This Row],[Salesman]],MD_Salesman[Salesman],MD_Salesman[SalesManager]),"")</f>
        <v>Quốc Anh</v>
      </c>
      <c r="D104" s="72" t="str">
        <f>IFERROR(INDEX(MD_Customer[Mã khách],MATCH(KH_26_OPT4_KTQT_v4[[#This Row],[Tên khách]],MD_Customer[Tên khách-rút gọn],0)),"")</f>
        <v>105339</v>
      </c>
      <c r="E104" s="7" t="str">
        <f>IFERROR(INDEX(MD_Customer[Parent Account],MATCH(KH_26_OPT4_KTQT_v4[[#This Row],[Tên khách]],MD_Customer[Tên khách-rút gọn],0)),"")</f>
        <v>HUY THÀNH</v>
      </c>
      <c r="F104" s="35" t="s">
        <v>57</v>
      </c>
      <c r="G104" s="7" t="str">
        <f>IFERROR(INDEX(MD_Customer[Phân loại],MATCH(KH_26_OPT4_KTQT_v4[[#This Row],[Tên khách]],MD_Customer[Tên khách-rút gọn],0)),"")</f>
        <v>Hiện hữu</v>
      </c>
      <c r="H104" s="7" t="str">
        <f>IFERROR(INDEX(MD_Customer[Kênh bán hàng],MATCH(KH_26_OPT4_KTQT_v4[[#This Row],[Tên khách]],MD_Customer[Tên khách-rút gọn],0)),"")</f>
        <v>Nội địa</v>
      </c>
      <c r="I104" s="35" t="s">
        <v>258</v>
      </c>
      <c r="J104" s="7" t="str">
        <f>IFERROR(INDEX(MD_Destination[Nước],MATCH(KH_26_OPT4_KTQT_v4[[#This Row],[Địa điểm đến]],MD_Destination[Địa điểm đến],0)),"")</f>
        <v>Việt Nam</v>
      </c>
      <c r="K104" s="7" t="str">
        <f>IFERROR(INDEX(MD_Destination[Khu vực],MATCH(KH_26_OPT4_KTQT_v4[[#This Row],[Địa điểm đến]],MD_Destination[Địa điểm đến],0)),"")</f>
        <v>Châu Á</v>
      </c>
      <c r="L104" s="35" t="s">
        <v>262</v>
      </c>
      <c r="M104" s="7" t="str">
        <f>IFERROR(INDEX(MD_SKU[Mã SKU],MATCH(KH_26_OPT4_KTQT_v4[[#This Row],[Tên sản phẩm]],MD_SKU[Tên SKU-rút gọn],0)),"")</f>
        <v>110000407</v>
      </c>
      <c r="N104" s="35" t="s">
        <v>470</v>
      </c>
      <c r="O104" s="7" t="str">
        <f>IFERROR(INDEX(MD_SKU[Ngành hàng],MATCH(KH_26_OPT4_KTQT_v4[[#This Row],[Tên sản phẩm]],MD_SKU[Tên SKU-rút gọn],0)),"")</f>
        <v>rHDPE ép</v>
      </c>
      <c r="P104" s="7" t="str">
        <f>IFERROR(INDEX(MD_SKU[Nhóm ngành],MATCH(KH_26_OPT4_KTQT_v4[[#This Row],[Tên sản phẩm]],MD_SKU[Tên SKU-rút gọn],0)),"")</f>
        <v>Vảy HD ép</v>
      </c>
      <c r="Q104" s="7" t="str">
        <f>IFERROR(
   IF(INDEX(MD_SKU[IV/IM],MATCH(KH_26_OPT4_KTQT_v4[[#This Row],[Tên sản phẩm]],MD_SKU[Tên SKU-rút gọn],0))=0,
      "",
      INDEX(MD_SKU[IV/IM],MATCH(KH_26_OPT4_KTQT_v4[[#This Row],[Tên sản phẩm]],MD_SKU[Tên SKU-rút gọn],0))
   ),
"")</f>
        <v/>
      </c>
      <c r="R104" s="44">
        <f>IFERROR(INDEX(MD_SKU[Application],MATCH(KH_26_OPT4_KTQT_v4[[#This Row],[Tên sản phẩm]],MD_SKU[Tên SKU-rút gọn],0)),"")</f>
        <v>0</v>
      </c>
      <c r="S104" s="7" t="str">
        <f>IFERROR(INDEX(MD_SKU[Phân loại],MATCH(KH_26_OPT4_KTQT_v4[[#This Row],[Tên sản phẩm]],MD_SKU[Tên SKU-rút gọn],0)),"")</f>
        <v>Cũ</v>
      </c>
      <c r="T104" s="7" t="s">
        <v>57</v>
      </c>
      <c r="U104" s="7" t="s">
        <v>1508</v>
      </c>
      <c r="V104" s="70">
        <v>0.8</v>
      </c>
      <c r="W104" s="33"/>
      <c r="X104" s="33"/>
      <c r="Y104" s="33"/>
      <c r="Z104" s="33"/>
      <c r="AA104" s="33"/>
      <c r="AB104" s="33"/>
      <c r="AC104" s="33"/>
      <c r="AD104" s="33"/>
      <c r="AE104" s="33"/>
      <c r="AF104" s="33"/>
      <c r="AG104" s="33"/>
      <c r="AH104" s="33"/>
      <c r="AI104" s="47">
        <f ca="1">SUM(KH_26_OPT4_KTQT_v4[[#This Row],[SL-01]:[SL-12]])</f>
        <v>0</v>
      </c>
      <c r="AJ104" s="47">
        <f ca="1">SUMIFS(DB_25[SL-DB25],DB_25[Mã khách],KH_26_OPT4_KTQT_v4[[#This Row],[Mã khách]],DB_25[Mã sản phẩm],KH_26_OPT4_KTQT_v4[[#This Row],[Mã sản phẩm]])</f>
        <v>72.8</v>
      </c>
      <c r="AK104" s="20">
        <f ca="1">KH_26_OPT4_KTQT_v4[[#This Row],[SL-KH26]]-KH_26_OPT4_KTQT_v4[[#This Row],[SL-DB25]]</f>
        <v>-72.8</v>
      </c>
      <c r="AL104" s="21">
        <f ca="1">IFERROR(KH_26_OPT4_KTQT_v4[[#This Row],[SL-+/-]]/KH_26_OPT4_KTQT_v4[[#This Row],[SL-DB25]],0)</f>
        <v>-1</v>
      </c>
      <c r="AM104" s="51">
        <v>560</v>
      </c>
      <c r="AN104" s="51">
        <v>560</v>
      </c>
      <c r="AO104" s="51">
        <v>560</v>
      </c>
      <c r="AP104" s="51">
        <v>560</v>
      </c>
      <c r="AQ104" s="51">
        <v>560</v>
      </c>
      <c r="AR104" s="51">
        <v>560</v>
      </c>
      <c r="AS104" s="51">
        <v>560</v>
      </c>
      <c r="AT104" s="51">
        <v>560</v>
      </c>
      <c r="AU104" s="51">
        <v>560</v>
      </c>
      <c r="AV104" s="51">
        <v>560</v>
      </c>
      <c r="AW104" s="51">
        <v>560</v>
      </c>
      <c r="AX104" s="51">
        <v>560</v>
      </c>
      <c r="AY104" s="23">
        <v>560</v>
      </c>
      <c r="AZ104" s="7"/>
      <c r="BA104" s="24">
        <f>KH_26_OPT4_KTQT_v4[[#This Row],[GB-DB25]]-KH_26_OPT4_KTQT_v4[[#This Row],[GB-KH25]]</f>
        <v>560</v>
      </c>
      <c r="BB104" s="21">
        <f>IFERROR(KH_26_OPT4_KTQT_v4[[#This Row],[GB-+/-]]/KH_26_OPT4_KTQT_v4[[#This Row],[GB-KH25]],0)</f>
        <v>0</v>
      </c>
      <c r="BC104" s="21"/>
      <c r="BD104" s="47">
        <f>KH_26_OPT4_KTQT_v4[[#This Row],[SL-01]]*KH_26_OPT4_KTQT_v4[[#This Row],[GB-01]]*EXR</f>
        <v>0</v>
      </c>
      <c r="BE104" s="47">
        <f>KH_26_OPT4_KTQT_v4[[#This Row],[SL-02]]*KH_26_OPT4_KTQT_v4[[#This Row],[GB-02]]*EXR</f>
        <v>0</v>
      </c>
      <c r="BF104" s="47">
        <f>KH_26_OPT4_KTQT_v4[[#This Row],[SL-03]]*KH_26_OPT4_KTQT_v4[[#This Row],[GB-03]]*EXR</f>
        <v>0</v>
      </c>
      <c r="BG104" s="47">
        <f>KH_26_OPT4_KTQT_v4[[#This Row],[SL-04]]*KH_26_OPT4_KTQT_v4[[#This Row],[GB-04]]*EXR</f>
        <v>0</v>
      </c>
      <c r="BH104" s="47">
        <f>KH_26_OPT4_KTQT_v4[[#This Row],[SL-05]]*KH_26_OPT4_KTQT_v4[[#This Row],[GB-05]]*EXR</f>
        <v>0</v>
      </c>
      <c r="BI104" s="47">
        <f>KH_26_OPT4_KTQT_v4[[#This Row],[SL-06]]*KH_26_OPT4_KTQT_v4[[#This Row],[GB-06]]*EXR</f>
        <v>0</v>
      </c>
      <c r="BJ104" s="47">
        <f>KH_26_OPT4_KTQT_v4[[#This Row],[SL-07]]*KH_26_OPT4_KTQT_v4[[#This Row],[GB-07]]*EXR</f>
        <v>0</v>
      </c>
      <c r="BK104" s="47">
        <f>KH_26_OPT4_KTQT_v4[[#This Row],[SL-08]]*KH_26_OPT4_KTQT_v4[[#This Row],[GB-08]]*EXR</f>
        <v>0</v>
      </c>
      <c r="BL104" s="47">
        <f>KH_26_OPT4_KTQT_v4[[#This Row],[SL-09]]*KH_26_OPT4_KTQT_v4[[#This Row],[GB-09]]*EXR</f>
        <v>0</v>
      </c>
      <c r="BM104" s="47">
        <f>KH_26_OPT4_KTQT_v4[[#This Row],[SL-10]]*KH_26_OPT4_KTQT_v4[[#This Row],[GB-10]]*EXR</f>
        <v>0</v>
      </c>
      <c r="BN104" s="47">
        <f>KH_26_OPT4_KTQT_v4[[#This Row],[SL-11]]*KH_26_OPT4_KTQT_v4[[#This Row],[GB-11]]*EXR</f>
        <v>0</v>
      </c>
      <c r="BO104" s="47">
        <f>KH_26_OPT4_KTQT_v4[[#This Row],[SL-12]]*KH_26_OPT4_KTQT_v4[[#This Row],[GB-12]]*EXR</f>
        <v>0</v>
      </c>
      <c r="BP104" s="47">
        <f ca="1">SUM(KH_26_OPT4_KTQT_v4[[#This Row],[DT-EXW-01]:[DT-EXW-12]])</f>
        <v>0</v>
      </c>
      <c r="BQ104" s="47">
        <f ca="1">SUMIFS(DB_25[DT-DB25],DB_25[Mã khách],KH_26_OPT4_KTQT_v4[[#This Row],[Mã khách]],DB_25[Mã sản phẩm],KH_26_OPT4_KTQT_v4[[#This Row],[Mã sản phẩm]])</f>
        <v>642203005.67725444</v>
      </c>
      <c r="BR104" s="47">
        <f ca="1">KH_26_OPT4_KTQT_v4[[#This Row],[DT-EXW-KH26]]-KH_26_OPT4_KTQT_v4[[#This Row],[DT-EXW-DB25]]</f>
        <v>-642203005.67725444</v>
      </c>
      <c r="BS104" s="21">
        <f ca="1">IFERROR(KH_26_OPT4_KTQT_v4[[#This Row],[DT-EXW-+/-]]/KH_26_OPT4_KTQT_v4[[#This Row],[DT-EXW-DB25]],0)</f>
        <v>-1</v>
      </c>
      <c r="BT104" s="139" t="s">
        <v>536</v>
      </c>
      <c r="BU104" s="57"/>
      <c r="BV104" s="51">
        <v>1000000</v>
      </c>
      <c r="BW104" s="47">
        <f>IF(KH_26_OPT4_KTQT_v4[[#This Row],[CPHH-%-SL]]="Dthu",KH_26_OPT4_KTQT_v4[[#This Row],[%HH]]*KH_26_OPT4_KTQT_v4[[#This Row],[DT-EXW-01]],KH_26_OPT4_KTQT_v4[[#This Row],[HH-SL]]*KH_26_OPT4_KTQT_v4[[#This Row],[SL-01]])</f>
        <v>0</v>
      </c>
      <c r="BX104" s="47">
        <f>IF(KH_26_OPT4_KTQT_v4[[#This Row],[CPHH-%-SL]]="Dthu",KH_26_OPT4_KTQT_v4[[#This Row],[%HH]]*KH_26_OPT4_KTQT_v4[[#This Row],[DT-EXW-02]],KH_26_OPT4_KTQT_v4[[#This Row],[HH-SL]]*KH_26_OPT4_KTQT_v4[[#This Row],[SL-02]])</f>
        <v>0</v>
      </c>
      <c r="BY104" s="47">
        <f>IF(KH_26_OPT4_KTQT_v4[[#This Row],[CPHH-%-SL]]="Dthu",KH_26_OPT4_KTQT_v4[[#This Row],[%HH]]*KH_26_OPT4_KTQT_v4[[#This Row],[DT-EXW-03]],KH_26_OPT4_KTQT_v4[[#This Row],[HH-SL]]*KH_26_OPT4_KTQT_v4[[#This Row],[SL-03]])</f>
        <v>0</v>
      </c>
      <c r="BZ104" s="47">
        <f>IF(KH_26_OPT4_KTQT_v4[[#This Row],[CPHH-%-SL]]="Dthu",KH_26_OPT4_KTQT_v4[[#This Row],[%HH]]*KH_26_OPT4_KTQT_v4[[#This Row],[DT-EXW-04]],KH_26_OPT4_KTQT_v4[[#This Row],[HH-SL]]*KH_26_OPT4_KTQT_v4[[#This Row],[SL-04]])</f>
        <v>0</v>
      </c>
      <c r="CA104" s="47">
        <f>IF(KH_26_OPT4_KTQT_v4[[#This Row],[CPHH-%-SL]]="Dthu",KH_26_OPT4_KTQT_v4[[#This Row],[%HH]]*KH_26_OPT4_KTQT_v4[[#This Row],[DT-EXW-05]],KH_26_OPT4_KTQT_v4[[#This Row],[HH-SL]]*KH_26_OPT4_KTQT_v4[[#This Row],[SL-05]])</f>
        <v>0</v>
      </c>
      <c r="CB104" s="47">
        <f>IF(KH_26_OPT4_KTQT_v4[[#This Row],[CPHH-%-SL]]="Dthu",KH_26_OPT4_KTQT_v4[[#This Row],[%HH]]*KH_26_OPT4_KTQT_v4[[#This Row],[DT-EXW-06]],KH_26_OPT4_KTQT_v4[[#This Row],[HH-SL]]*KH_26_OPT4_KTQT_v4[[#This Row],[SL-06]])</f>
        <v>0</v>
      </c>
      <c r="CC104" s="47">
        <f>IF(KH_26_OPT4_KTQT_v4[[#This Row],[CPHH-%-SL]]="Dthu",KH_26_OPT4_KTQT_v4[[#This Row],[%HH]]*KH_26_OPT4_KTQT_v4[[#This Row],[DT-EXW-07]],KH_26_OPT4_KTQT_v4[[#This Row],[HH-SL]]*KH_26_OPT4_KTQT_v4[[#This Row],[SL-07]])</f>
        <v>0</v>
      </c>
      <c r="CD104" s="47">
        <f>IF(KH_26_OPT4_KTQT_v4[[#This Row],[CPHH-%-SL]]="Dthu",KH_26_OPT4_KTQT_v4[[#This Row],[%HH]]*KH_26_OPT4_KTQT_v4[[#This Row],[DT-EXW-08]],KH_26_OPT4_KTQT_v4[[#This Row],[HH-SL]]*KH_26_OPT4_KTQT_v4[[#This Row],[SL-08]])</f>
        <v>0</v>
      </c>
      <c r="CE104" s="47">
        <f>IF(KH_26_OPT4_KTQT_v4[[#This Row],[CPHH-%-SL]]="Dthu",KH_26_OPT4_KTQT_v4[[#This Row],[%HH]]*KH_26_OPT4_KTQT_v4[[#This Row],[DT-EXW-09]],KH_26_OPT4_KTQT_v4[[#This Row],[HH-SL]]*KH_26_OPT4_KTQT_v4[[#This Row],[SL-09]])</f>
        <v>0</v>
      </c>
      <c r="CF104" s="47">
        <f>IF(KH_26_OPT4_KTQT_v4[[#This Row],[CPHH-%-SL]]="Dthu",KH_26_OPT4_KTQT_v4[[#This Row],[%HH]]*KH_26_OPT4_KTQT_v4[[#This Row],[DT-EXW-10]],KH_26_OPT4_KTQT_v4[[#This Row],[HH-SL]]*KH_26_OPT4_KTQT_v4[[#This Row],[SL-10]])</f>
        <v>0</v>
      </c>
      <c r="CG104" s="47">
        <f>IF(KH_26_OPT4_KTQT_v4[[#This Row],[CPHH-%-SL]]="Dthu",KH_26_OPT4_KTQT_v4[[#This Row],[%HH]]*KH_26_OPT4_KTQT_v4[[#This Row],[DT-EXW-11]],KH_26_OPT4_KTQT_v4[[#This Row],[HH-SL]]*KH_26_OPT4_KTQT_v4[[#This Row],[SL-11]])</f>
        <v>0</v>
      </c>
      <c r="CH104" s="47">
        <f>IF(KH_26_OPT4_KTQT_v4[[#This Row],[CPHH-%-SL]]="Dthu",KH_26_OPT4_KTQT_v4[[#This Row],[%HH]]*KH_26_OPT4_KTQT_v4[[#This Row],[DT-EXW-12]],KH_26_OPT4_KTQT_v4[[#This Row],[HH-SL]]*KH_26_OPT4_KTQT_v4[[#This Row],[SL-12]])</f>
        <v>0</v>
      </c>
      <c r="CI104" s="47">
        <f ca="1">SUM(KH_26_OPT4_KTQT_v4[[#This Row],[CPHH-01]:[CPHH-12]])</f>
        <v>0</v>
      </c>
      <c r="CJ104" s="47" cm="1">
        <f t="array" ref="CJ104">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04" s="19">
        <f ca="1">SUM(KH_26_OPT4_KTQT_v4[[#This Row],[ĐGVCNĐ-KXK]:[ĐGVCCT-KXK]])</f>
        <v>0</v>
      </c>
      <c r="CL104" s="47" cm="1">
        <f t="array" ref="CL104">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104" s="47" cm="1">
        <f t="array" ref="CM104">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04" s="47">
        <f ca="1">(KH_26_OPT4_KTQT_v4[[#This Row],[ĐGVC-KNĐ]]+KH_26_OPT4_KTQT_v4[[#This Row],[ĐGVC-KXK]])*KH_26_OPT4_KTQT_v4[[#This Row],[SL-01]]</f>
        <v>0</v>
      </c>
      <c r="CO104" s="47">
        <f ca="1">(KH_26_OPT4_KTQT_v4[[#This Row],[ĐGVC-KNĐ]]+KH_26_OPT4_KTQT_v4[[#This Row],[ĐGVC-KXK]])*KH_26_OPT4_KTQT_v4[[#This Row],[SL-02]]</f>
        <v>0</v>
      </c>
      <c r="CP104" s="47">
        <f ca="1">(KH_26_OPT4_KTQT_v4[[#This Row],[ĐGVC-KNĐ]]+KH_26_OPT4_KTQT_v4[[#This Row],[ĐGVC-KXK]])*KH_26_OPT4_KTQT_v4[[#This Row],[SL-03]]</f>
        <v>0</v>
      </c>
      <c r="CQ104" s="47">
        <f ca="1">(KH_26_OPT4_KTQT_v4[[#This Row],[ĐGVC-KNĐ]]+KH_26_OPT4_KTQT_v4[[#This Row],[ĐGVC-KXK]])*KH_26_OPT4_KTQT_v4[[#This Row],[SL-04]]</f>
        <v>0</v>
      </c>
      <c r="CR104" s="47">
        <f ca="1">(KH_26_OPT4_KTQT_v4[[#This Row],[ĐGVC-KNĐ]]+KH_26_OPT4_KTQT_v4[[#This Row],[ĐGVC-KXK]])*KH_26_OPT4_KTQT_v4[[#This Row],[SL-05]]</f>
        <v>0</v>
      </c>
      <c r="CS104" s="47">
        <f ca="1">(KH_26_OPT4_KTQT_v4[[#This Row],[ĐGVC-KNĐ]]+KH_26_OPT4_KTQT_v4[[#This Row],[ĐGVC-KXK]])*KH_26_OPT4_KTQT_v4[[#This Row],[SL-06]]</f>
        <v>0</v>
      </c>
      <c r="CT104" s="47">
        <f ca="1">(KH_26_OPT4_KTQT_v4[[#This Row],[ĐGVC-KNĐ]]+KH_26_OPT4_KTQT_v4[[#This Row],[ĐGVC-KXK]])*KH_26_OPT4_KTQT_v4[[#This Row],[SL-07]]</f>
        <v>0</v>
      </c>
      <c r="CU104" s="47">
        <f ca="1">(KH_26_OPT4_KTQT_v4[[#This Row],[ĐGVC-KNĐ]]+KH_26_OPT4_KTQT_v4[[#This Row],[ĐGVC-KXK]])*KH_26_OPT4_KTQT_v4[[#This Row],[SL-08]]</f>
        <v>0</v>
      </c>
      <c r="CV104" s="47">
        <f ca="1">(KH_26_OPT4_KTQT_v4[[#This Row],[ĐGVC-KNĐ]]+KH_26_OPT4_KTQT_v4[[#This Row],[ĐGVC-KXK]])*KH_26_OPT4_KTQT_v4[[#This Row],[SL-09]]</f>
        <v>0</v>
      </c>
      <c r="CW104" s="47">
        <f ca="1">(KH_26_OPT4_KTQT_v4[[#This Row],[ĐGVC-KNĐ]]+KH_26_OPT4_KTQT_v4[[#This Row],[ĐGVC-KXK]])*KH_26_OPT4_KTQT_v4[[#This Row],[SL-10]]</f>
        <v>0</v>
      </c>
      <c r="CX104" s="47">
        <f ca="1">(KH_26_OPT4_KTQT_v4[[#This Row],[ĐGVC-KNĐ]]+KH_26_OPT4_KTQT_v4[[#This Row],[ĐGVC-KXK]])*KH_26_OPT4_KTQT_v4[[#This Row],[SL-11]]</f>
        <v>0</v>
      </c>
      <c r="CY104" s="47">
        <f ca="1">(KH_26_OPT4_KTQT_v4[[#This Row],[ĐGVC-KNĐ]]+KH_26_OPT4_KTQT_v4[[#This Row],[ĐGVC-KXK]])*KH_26_OPT4_KTQT_v4[[#This Row],[SL-12]]</f>
        <v>0</v>
      </c>
      <c r="CZ104" s="47">
        <f ca="1">SUM(KH_26_OPT4_KTQT_v4[[#This Row],[CPVC-01]:[CPVC-12]])</f>
        <v>0</v>
      </c>
      <c r="DA104" s="124">
        <f ca="1">KH_26_OPT4_KTQT_v4[[#This Row],[DT-EXW-01]]+KH_26_OPT4_KTQT_v4[[#This Row],[CPVC-01]]+KH_26_OPT4_KTQT_v4[[#This Row],[CPHH-01]]</f>
        <v>0</v>
      </c>
      <c r="DB104" s="47">
        <f ca="1">KH_26_OPT4_KTQT_v4[[#This Row],[DT-EXW-02]]+KH_26_OPT4_KTQT_v4[[#This Row],[CPVC-02]]+KH_26_OPT4_KTQT_v4[[#This Row],[CPHH-02]]</f>
        <v>0</v>
      </c>
      <c r="DC104" s="47">
        <f ca="1">KH_26_OPT4_KTQT_v4[[#This Row],[DT-EXW-03]]+KH_26_OPT4_KTQT_v4[[#This Row],[CPVC-03]]+KH_26_OPT4_KTQT_v4[[#This Row],[CPHH-03]]</f>
        <v>0</v>
      </c>
      <c r="DD104" s="47">
        <f ca="1">KH_26_OPT4_KTQT_v4[[#This Row],[DT-EXW-04]]+KH_26_OPT4_KTQT_v4[[#This Row],[CPVC-04]]+KH_26_OPT4_KTQT_v4[[#This Row],[CPHH-04]]</f>
        <v>0</v>
      </c>
      <c r="DE104" s="47">
        <f ca="1">KH_26_OPT4_KTQT_v4[[#This Row],[DT-EXW-05]]+KH_26_OPT4_KTQT_v4[[#This Row],[CPVC-05]]+KH_26_OPT4_KTQT_v4[[#This Row],[CPHH-05]]</f>
        <v>0</v>
      </c>
      <c r="DF104" s="47">
        <f ca="1">KH_26_OPT4_KTQT_v4[[#This Row],[DT-EXW-06]]+KH_26_OPT4_KTQT_v4[[#This Row],[CPVC-06]]+KH_26_OPT4_KTQT_v4[[#This Row],[CPHH-06]]</f>
        <v>0</v>
      </c>
      <c r="DG104" s="47">
        <f ca="1">KH_26_OPT4_KTQT_v4[[#This Row],[DT-EXW-07]]+KH_26_OPT4_KTQT_v4[[#This Row],[CPVC-07]]+KH_26_OPT4_KTQT_v4[[#This Row],[CPHH-07]]</f>
        <v>0</v>
      </c>
      <c r="DH104" s="47">
        <f ca="1">KH_26_OPT4_KTQT_v4[[#This Row],[DT-EXW-08]]+KH_26_OPT4_KTQT_v4[[#This Row],[CPVC-08]]+KH_26_OPT4_KTQT_v4[[#This Row],[CPHH-08]]</f>
        <v>0</v>
      </c>
      <c r="DI104" s="47">
        <f ca="1">KH_26_OPT4_KTQT_v4[[#This Row],[DT-EXW-09]]+KH_26_OPT4_KTQT_v4[[#This Row],[CPVC-09]]+KH_26_OPT4_KTQT_v4[[#This Row],[CPHH-09]]</f>
        <v>0</v>
      </c>
      <c r="DJ104" s="47">
        <f ca="1">KH_26_OPT4_KTQT_v4[[#This Row],[DT-EXW-10]]+KH_26_OPT4_KTQT_v4[[#This Row],[CPVC-10]]+KH_26_OPT4_KTQT_v4[[#This Row],[CPHH-10]]</f>
        <v>0</v>
      </c>
      <c r="DK104" s="47">
        <f ca="1">KH_26_OPT4_KTQT_v4[[#This Row],[DT-EXW-11]]+KH_26_OPT4_KTQT_v4[[#This Row],[CPVC-11]]+KH_26_OPT4_KTQT_v4[[#This Row],[CPHH-11]]</f>
        <v>0</v>
      </c>
      <c r="DL104" s="47">
        <f ca="1">KH_26_OPT4_KTQT_v4[[#This Row],[DT-EXW-12]]+KH_26_OPT4_KTQT_v4[[#This Row],[CPVC-12]]+KH_26_OPT4_KTQT_v4[[#This Row],[CPHH-12]]</f>
        <v>0</v>
      </c>
      <c r="DM104" s="47">
        <f ca="1">SUM(KH_26_OPT4_KTQT_v4[[#This Row],[DT-01]:[DT-12]])</f>
        <v>0</v>
      </c>
      <c r="DN104" s="7"/>
      <c r="DO104" s="7"/>
      <c r="DP104" s="125"/>
      <c r="DQ104" s="136"/>
      <c r="DR104" s="132">
        <f>IFERROR(KH_26_OPT4_KTQT_v4[[#This Row],[DT-EXW-01]]*KH_26_OPT4_KTQT_v4[[#This Row],[%CPDP]],0)</f>
        <v>0</v>
      </c>
      <c r="DS104" s="132">
        <f>IFERROR(KH_26_OPT4_KTQT_v4[[#This Row],[DT-EXW-02]]*KH_26_OPT4_KTQT_v4[[#This Row],[%CPDP]],0)</f>
        <v>0</v>
      </c>
      <c r="DT104" s="132">
        <f>IFERROR(KH_26_OPT4_KTQT_v4[[#This Row],[DT-EXW-03]]*KH_26_OPT4_KTQT_v4[[#This Row],[%CPDP]],0)</f>
        <v>0</v>
      </c>
      <c r="DU104" s="132">
        <f>IFERROR(KH_26_OPT4_KTQT_v4[[#This Row],[DT-EXW-04]]*KH_26_OPT4_KTQT_v4[[#This Row],[%CPDP]],0)</f>
        <v>0</v>
      </c>
      <c r="DV104" s="132">
        <f>IFERROR(KH_26_OPT4_KTQT_v4[[#This Row],[DT-EXW-05]]*KH_26_OPT4_KTQT_v4[[#This Row],[%CPDP]],0)</f>
        <v>0</v>
      </c>
      <c r="DW104" s="132">
        <f>IFERROR(KH_26_OPT4_KTQT_v4[[#This Row],[DT-EXW-06]]*KH_26_OPT4_KTQT_v4[[#This Row],[%CPDP]],0)</f>
        <v>0</v>
      </c>
      <c r="DX104" s="132">
        <f>IFERROR(KH_26_OPT4_KTQT_v4[[#This Row],[DT-EXW-07]]*KH_26_OPT4_KTQT_v4[[#This Row],[%CPDP]],0)</f>
        <v>0</v>
      </c>
      <c r="DY104" s="132">
        <f>IFERROR(KH_26_OPT4_KTQT_v4[[#This Row],[DT-EXW-08]]*KH_26_OPT4_KTQT_v4[[#This Row],[%CPDP]],0)</f>
        <v>0</v>
      </c>
      <c r="DZ104" s="132">
        <f>IFERROR(KH_26_OPT4_KTQT_v4[[#This Row],[DT-EXW-09]]*KH_26_OPT4_KTQT_v4[[#This Row],[%CPDP]],0)</f>
        <v>0</v>
      </c>
      <c r="EA104" s="132">
        <f>IFERROR(KH_26_OPT4_KTQT_v4[[#This Row],[DT-EXW-10]]*KH_26_OPT4_KTQT_v4[[#This Row],[%CPDP]],0)</f>
        <v>0</v>
      </c>
      <c r="EB104" s="132">
        <f>IFERROR(KH_26_OPT4_KTQT_v4[[#This Row],[DT-EXW-11]]*KH_26_OPT4_KTQT_v4[[#This Row],[%CPDP]],0)</f>
        <v>0</v>
      </c>
      <c r="EC104" s="132">
        <f>IFERROR(KH_26_OPT4_KTQT_v4[[#This Row],[DT-EXW-12]]*KH_26_OPT4_KTQT_v4[[#This Row],[%CPDP]],0)</f>
        <v>0</v>
      </c>
      <c r="ED104" s="131">
        <f ca="1">SUM(KH_26_OPT4_KTQT_v4[[#This Row],[CPDP-01]:[CPDP-12]])</f>
        <v>0</v>
      </c>
    </row>
    <row r="105" spans="1:134" ht="14.65" hidden="1" customHeight="1" x14ac:dyDescent="0.35">
      <c r="A105" s="18">
        <v>100</v>
      </c>
      <c r="B105" s="71" t="s">
        <v>115</v>
      </c>
      <c r="C105" s="18" t="str">
        <f>IFERROR(_xlfn.XLOOKUP(KH_26_OPT4_KTQT_v4[[#This Row],[Salesman]],MD_Salesman[Salesman],MD_Salesman[SalesManager]),"")</f>
        <v>Quốc Anh</v>
      </c>
      <c r="D105" s="72" t="str">
        <f>IFERROR(INDEX(MD_Customer[Mã khách],MATCH(KH_26_OPT4_KTQT_v4[[#This Row],[Tên khách]],MD_Customer[Tên khách-rút gọn],0)),"")</f>
        <v>105360</v>
      </c>
      <c r="E105" s="7" t="str">
        <f>IFERROR(INDEX(MD_Customer[Parent Account],MATCH(KH_26_OPT4_KTQT_v4[[#This Row],[Tên khách]],MD_Customer[Tên khách-rút gọn],0)),"")</f>
        <v>LỢI TƯỜNG</v>
      </c>
      <c r="F105" s="35" t="s">
        <v>65</v>
      </c>
      <c r="G105" s="7" t="str">
        <f>IFERROR(INDEX(MD_Customer[Phân loại],MATCH(KH_26_OPT4_KTQT_v4[[#This Row],[Tên khách]],MD_Customer[Tên khách-rút gọn],0)),"")</f>
        <v>Hiện hữu</v>
      </c>
      <c r="H105" s="7" t="str">
        <f>IFERROR(INDEX(MD_Customer[Kênh bán hàng],MATCH(KH_26_OPT4_KTQT_v4[[#This Row],[Tên khách]],MD_Customer[Tên khách-rút gọn],0)),"")</f>
        <v>Nội địa</v>
      </c>
      <c r="I105" s="35" t="s">
        <v>261</v>
      </c>
      <c r="J105" s="7" t="str">
        <f>IFERROR(INDEX(MD_Destination[Nước],MATCH(KH_26_OPT4_KTQT_v4[[#This Row],[Địa điểm đến]],MD_Destination[Địa điểm đến],0)),"")</f>
        <v>Việt Nam</v>
      </c>
      <c r="K105" s="7" t="str">
        <f>IFERROR(INDEX(MD_Destination[Khu vực],MATCH(KH_26_OPT4_KTQT_v4[[#This Row],[Địa điểm đến]],MD_Destination[Địa điểm đến],0)),"")</f>
        <v>Châu Á</v>
      </c>
      <c r="L105" s="35" t="s">
        <v>260</v>
      </c>
      <c r="M105" s="7" t="str">
        <f>IFERROR(INDEX(MD_SKU[Mã SKU],MATCH(KH_26_OPT4_KTQT_v4[[#This Row],[Tên sản phẩm]],MD_SKU[Tên SKU-rút gọn],0)),"")</f>
        <v>110000421</v>
      </c>
      <c r="N105" s="35" t="s">
        <v>481</v>
      </c>
      <c r="O105" s="7" t="str">
        <f>IFERROR(INDEX(MD_SKU[Ngành hàng],MATCH(KH_26_OPT4_KTQT_v4[[#This Row],[Tên sản phẩm]],MD_SKU[Tên SKU-rút gọn],0)),"")</f>
        <v>rPP</v>
      </c>
      <c r="P105" s="7" t="str">
        <f>IFERROR(INDEX(MD_SKU[Nhóm ngành],MATCH(KH_26_OPT4_KTQT_v4[[#This Row],[Tên sản phẩm]],MD_SKU[Tên SKU-rút gọn],0)),"")</f>
        <v>Vảy PP</v>
      </c>
      <c r="Q105" s="7" t="str">
        <f>IFERROR(
   IF(INDEX(MD_SKU[IV/IM],MATCH(KH_26_OPT4_KTQT_v4[[#This Row],[Tên sản phẩm]],MD_SKU[Tên SKU-rút gọn],0))=0,
      "",
      INDEX(MD_SKU[IV/IM],MATCH(KH_26_OPT4_KTQT_v4[[#This Row],[Tên sản phẩm]],MD_SKU[Tên SKU-rút gọn],0))
   ),
"")</f>
        <v/>
      </c>
      <c r="R105" s="44">
        <f>IFERROR(INDEX(MD_SKU[Application],MATCH(KH_26_OPT4_KTQT_v4[[#This Row],[Tên sản phẩm]],MD_SKU[Tên SKU-rút gọn],0)),"")</f>
        <v>0</v>
      </c>
      <c r="S105" s="7" t="str">
        <f>IFERROR(INDEX(MD_SKU[Phân loại],MATCH(KH_26_OPT4_KTQT_v4[[#This Row],[Tên sản phẩm]],MD_SKU[Tên SKU-rút gọn],0)),"")</f>
        <v>Cũ</v>
      </c>
      <c r="T105" s="7" t="s">
        <v>65</v>
      </c>
      <c r="U105" s="7" t="s">
        <v>1508</v>
      </c>
      <c r="V105" s="70">
        <v>0.8</v>
      </c>
      <c r="W105" s="33">
        <v>6</v>
      </c>
      <c r="X105" s="33"/>
      <c r="Y105" s="33">
        <v>6</v>
      </c>
      <c r="Z105" s="33"/>
      <c r="AA105" s="33">
        <v>6</v>
      </c>
      <c r="AB105" s="33"/>
      <c r="AC105" s="33">
        <v>6</v>
      </c>
      <c r="AD105" s="33"/>
      <c r="AE105" s="33">
        <v>6</v>
      </c>
      <c r="AF105" s="33"/>
      <c r="AG105" s="33">
        <v>6</v>
      </c>
      <c r="AH105" s="33"/>
      <c r="AI105" s="47">
        <f ca="1">SUM(KH_26_OPT4_KTQT_v4[[#This Row],[SL-01]:[SL-12]])</f>
        <v>36</v>
      </c>
      <c r="AJ105" s="47">
        <f ca="1">SUMIFS(DB_25[SL-DB25],DB_25[Mã khách],KH_26_OPT4_KTQT_v4[[#This Row],[Mã khách]],DB_25[Mã sản phẩm],KH_26_OPT4_KTQT_v4[[#This Row],[Mã sản phẩm]])</f>
        <v>12</v>
      </c>
      <c r="AK105" s="20">
        <f ca="1">KH_26_OPT4_KTQT_v4[[#This Row],[SL-KH26]]-KH_26_OPT4_KTQT_v4[[#This Row],[SL-DB25]]</f>
        <v>24</v>
      </c>
      <c r="AL105" s="21">
        <f ca="1">IFERROR(KH_26_OPT4_KTQT_v4[[#This Row],[SL-+/-]]/KH_26_OPT4_KTQT_v4[[#This Row],[SL-DB25]],0)</f>
        <v>2</v>
      </c>
      <c r="AM105" s="51">
        <v>600</v>
      </c>
      <c r="AN105" s="51">
        <v>600</v>
      </c>
      <c r="AO105" s="51">
        <v>600</v>
      </c>
      <c r="AP105" s="51">
        <v>600</v>
      </c>
      <c r="AQ105" s="51">
        <v>600</v>
      </c>
      <c r="AR105" s="51">
        <v>600</v>
      </c>
      <c r="AS105" s="51">
        <v>600</v>
      </c>
      <c r="AT105" s="51">
        <v>600</v>
      </c>
      <c r="AU105" s="51">
        <v>600</v>
      </c>
      <c r="AV105" s="51">
        <v>600</v>
      </c>
      <c r="AW105" s="51">
        <v>600</v>
      </c>
      <c r="AX105" s="51">
        <v>600</v>
      </c>
      <c r="AY105" s="23">
        <v>600</v>
      </c>
      <c r="AZ105" s="7"/>
      <c r="BA105" s="24">
        <f>KH_26_OPT4_KTQT_v4[[#This Row],[GB-DB25]]-KH_26_OPT4_KTQT_v4[[#This Row],[GB-KH25]]</f>
        <v>600</v>
      </c>
      <c r="BB105" s="21">
        <f>IFERROR(KH_26_OPT4_KTQT_v4[[#This Row],[GB-+/-]]/KH_26_OPT4_KTQT_v4[[#This Row],[GB-KH25]],0)</f>
        <v>0</v>
      </c>
      <c r="BC105" s="21"/>
      <c r="BD105" s="47">
        <f>KH_26_OPT4_KTQT_v4[[#This Row],[SL-01]]*KH_26_OPT4_KTQT_v4[[#This Row],[GB-01]]*EXR</f>
        <v>95400000</v>
      </c>
      <c r="BE105" s="47">
        <f>KH_26_OPT4_KTQT_v4[[#This Row],[SL-02]]*KH_26_OPT4_KTQT_v4[[#This Row],[GB-02]]*EXR</f>
        <v>0</v>
      </c>
      <c r="BF105" s="47">
        <f>KH_26_OPT4_KTQT_v4[[#This Row],[SL-03]]*KH_26_OPT4_KTQT_v4[[#This Row],[GB-03]]*EXR</f>
        <v>95400000</v>
      </c>
      <c r="BG105" s="47">
        <f>KH_26_OPT4_KTQT_v4[[#This Row],[SL-04]]*KH_26_OPT4_KTQT_v4[[#This Row],[GB-04]]*EXR</f>
        <v>0</v>
      </c>
      <c r="BH105" s="47">
        <f>KH_26_OPT4_KTQT_v4[[#This Row],[SL-05]]*KH_26_OPT4_KTQT_v4[[#This Row],[GB-05]]*EXR</f>
        <v>95400000</v>
      </c>
      <c r="BI105" s="47">
        <f>KH_26_OPT4_KTQT_v4[[#This Row],[SL-06]]*KH_26_OPT4_KTQT_v4[[#This Row],[GB-06]]*EXR</f>
        <v>0</v>
      </c>
      <c r="BJ105" s="47">
        <f>KH_26_OPT4_KTQT_v4[[#This Row],[SL-07]]*KH_26_OPT4_KTQT_v4[[#This Row],[GB-07]]*EXR</f>
        <v>95400000</v>
      </c>
      <c r="BK105" s="47">
        <f>KH_26_OPT4_KTQT_v4[[#This Row],[SL-08]]*KH_26_OPT4_KTQT_v4[[#This Row],[GB-08]]*EXR</f>
        <v>0</v>
      </c>
      <c r="BL105" s="47">
        <f>KH_26_OPT4_KTQT_v4[[#This Row],[SL-09]]*KH_26_OPT4_KTQT_v4[[#This Row],[GB-09]]*EXR</f>
        <v>95400000</v>
      </c>
      <c r="BM105" s="47">
        <f>KH_26_OPT4_KTQT_v4[[#This Row],[SL-10]]*KH_26_OPT4_KTQT_v4[[#This Row],[GB-10]]*EXR</f>
        <v>0</v>
      </c>
      <c r="BN105" s="47">
        <f>KH_26_OPT4_KTQT_v4[[#This Row],[SL-11]]*KH_26_OPT4_KTQT_v4[[#This Row],[GB-11]]*EXR</f>
        <v>95400000</v>
      </c>
      <c r="BO105" s="47">
        <f>KH_26_OPT4_KTQT_v4[[#This Row],[SL-12]]*KH_26_OPT4_KTQT_v4[[#This Row],[GB-12]]*EXR</f>
        <v>0</v>
      </c>
      <c r="BP105" s="47">
        <f ca="1">SUM(KH_26_OPT4_KTQT_v4[[#This Row],[DT-EXW-01]:[DT-EXW-12]])</f>
        <v>572400000</v>
      </c>
      <c r="BQ105" s="47">
        <f ca="1">SUMIFS(DB_25[DT-DB25],DB_25[Mã khách],KH_26_OPT4_KTQT_v4[[#This Row],[Mã khách]],DB_25[Mã sản phẩm],KH_26_OPT4_KTQT_v4[[#This Row],[Mã sản phẩm]])</f>
        <v>191780454.42418712</v>
      </c>
      <c r="BR105" s="47">
        <f ca="1">KH_26_OPT4_KTQT_v4[[#This Row],[DT-EXW-KH26]]-KH_26_OPT4_KTQT_v4[[#This Row],[DT-EXW-DB25]]</f>
        <v>380619545.57581288</v>
      </c>
      <c r="BS105" s="21">
        <f ca="1">IFERROR(KH_26_OPT4_KTQT_v4[[#This Row],[DT-EXW-+/-]]/KH_26_OPT4_KTQT_v4[[#This Row],[DT-EXW-DB25]],0)</f>
        <v>1.9846628621180782</v>
      </c>
      <c r="BT105" s="139"/>
      <c r="BU105" s="57"/>
      <c r="BV105" s="51"/>
      <c r="BW105" s="47">
        <f>IF(KH_26_OPT4_KTQT_v4[[#This Row],[CPHH-%-SL]]="Dthu",KH_26_OPT4_KTQT_v4[[#This Row],[%HH]]*KH_26_OPT4_KTQT_v4[[#This Row],[DT-EXW-01]],KH_26_OPT4_KTQT_v4[[#This Row],[HH-SL]]*KH_26_OPT4_KTQT_v4[[#This Row],[SL-01]])</f>
        <v>0</v>
      </c>
      <c r="BX105" s="47">
        <f>IF(KH_26_OPT4_KTQT_v4[[#This Row],[CPHH-%-SL]]="Dthu",KH_26_OPT4_KTQT_v4[[#This Row],[%HH]]*KH_26_OPT4_KTQT_v4[[#This Row],[DT-EXW-02]],KH_26_OPT4_KTQT_v4[[#This Row],[HH-SL]]*KH_26_OPT4_KTQT_v4[[#This Row],[SL-02]])</f>
        <v>0</v>
      </c>
      <c r="BY105" s="47">
        <f>IF(KH_26_OPT4_KTQT_v4[[#This Row],[CPHH-%-SL]]="Dthu",KH_26_OPT4_KTQT_v4[[#This Row],[%HH]]*KH_26_OPT4_KTQT_v4[[#This Row],[DT-EXW-03]],KH_26_OPT4_KTQT_v4[[#This Row],[HH-SL]]*KH_26_OPT4_KTQT_v4[[#This Row],[SL-03]])</f>
        <v>0</v>
      </c>
      <c r="BZ105" s="47">
        <f>IF(KH_26_OPT4_KTQT_v4[[#This Row],[CPHH-%-SL]]="Dthu",KH_26_OPT4_KTQT_v4[[#This Row],[%HH]]*KH_26_OPT4_KTQT_v4[[#This Row],[DT-EXW-04]],KH_26_OPT4_KTQT_v4[[#This Row],[HH-SL]]*KH_26_OPT4_KTQT_v4[[#This Row],[SL-04]])</f>
        <v>0</v>
      </c>
      <c r="CA105" s="47">
        <f>IF(KH_26_OPT4_KTQT_v4[[#This Row],[CPHH-%-SL]]="Dthu",KH_26_OPT4_KTQT_v4[[#This Row],[%HH]]*KH_26_OPT4_KTQT_v4[[#This Row],[DT-EXW-05]],KH_26_OPT4_KTQT_v4[[#This Row],[HH-SL]]*KH_26_OPT4_KTQT_v4[[#This Row],[SL-05]])</f>
        <v>0</v>
      </c>
      <c r="CB105" s="47">
        <f>IF(KH_26_OPT4_KTQT_v4[[#This Row],[CPHH-%-SL]]="Dthu",KH_26_OPT4_KTQT_v4[[#This Row],[%HH]]*KH_26_OPT4_KTQT_v4[[#This Row],[DT-EXW-06]],KH_26_OPT4_KTQT_v4[[#This Row],[HH-SL]]*KH_26_OPT4_KTQT_v4[[#This Row],[SL-06]])</f>
        <v>0</v>
      </c>
      <c r="CC105" s="47">
        <f>IF(KH_26_OPT4_KTQT_v4[[#This Row],[CPHH-%-SL]]="Dthu",KH_26_OPT4_KTQT_v4[[#This Row],[%HH]]*KH_26_OPT4_KTQT_v4[[#This Row],[DT-EXW-07]],KH_26_OPT4_KTQT_v4[[#This Row],[HH-SL]]*KH_26_OPT4_KTQT_v4[[#This Row],[SL-07]])</f>
        <v>0</v>
      </c>
      <c r="CD105" s="47">
        <f>IF(KH_26_OPT4_KTQT_v4[[#This Row],[CPHH-%-SL]]="Dthu",KH_26_OPT4_KTQT_v4[[#This Row],[%HH]]*KH_26_OPT4_KTQT_v4[[#This Row],[DT-EXW-08]],KH_26_OPT4_KTQT_v4[[#This Row],[HH-SL]]*KH_26_OPT4_KTQT_v4[[#This Row],[SL-08]])</f>
        <v>0</v>
      </c>
      <c r="CE105" s="47">
        <f>IF(KH_26_OPT4_KTQT_v4[[#This Row],[CPHH-%-SL]]="Dthu",KH_26_OPT4_KTQT_v4[[#This Row],[%HH]]*KH_26_OPT4_KTQT_v4[[#This Row],[DT-EXW-09]],KH_26_OPT4_KTQT_v4[[#This Row],[HH-SL]]*KH_26_OPT4_KTQT_v4[[#This Row],[SL-09]])</f>
        <v>0</v>
      </c>
      <c r="CF105" s="47">
        <f>IF(KH_26_OPT4_KTQT_v4[[#This Row],[CPHH-%-SL]]="Dthu",KH_26_OPT4_KTQT_v4[[#This Row],[%HH]]*KH_26_OPT4_KTQT_v4[[#This Row],[DT-EXW-10]],KH_26_OPT4_KTQT_v4[[#This Row],[HH-SL]]*KH_26_OPT4_KTQT_v4[[#This Row],[SL-10]])</f>
        <v>0</v>
      </c>
      <c r="CG105" s="47">
        <f>IF(KH_26_OPT4_KTQT_v4[[#This Row],[CPHH-%-SL]]="Dthu",KH_26_OPT4_KTQT_v4[[#This Row],[%HH]]*KH_26_OPT4_KTQT_v4[[#This Row],[DT-EXW-11]],KH_26_OPT4_KTQT_v4[[#This Row],[HH-SL]]*KH_26_OPT4_KTQT_v4[[#This Row],[SL-11]])</f>
        <v>0</v>
      </c>
      <c r="CH105" s="47">
        <f>IF(KH_26_OPT4_KTQT_v4[[#This Row],[CPHH-%-SL]]="Dthu",KH_26_OPT4_KTQT_v4[[#This Row],[%HH]]*KH_26_OPT4_KTQT_v4[[#This Row],[DT-EXW-12]],KH_26_OPT4_KTQT_v4[[#This Row],[HH-SL]]*KH_26_OPT4_KTQT_v4[[#This Row],[SL-12]])</f>
        <v>0</v>
      </c>
      <c r="CI105" s="47">
        <f ca="1">SUM(KH_26_OPT4_KTQT_v4[[#This Row],[CPHH-01]:[CPHH-12]])</f>
        <v>0</v>
      </c>
      <c r="CJ105" s="47" cm="1">
        <f t="array" ref="CJ105">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05" s="19">
        <f ca="1">SUM(KH_26_OPT4_KTQT_v4[[#This Row],[ĐGVCNĐ-KXK]:[ĐGVCCT-KXK]])</f>
        <v>0</v>
      </c>
      <c r="CL105" s="47" cm="1">
        <f t="array" ref="CL105">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105" s="47" cm="1">
        <f t="array" ref="CM105">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05" s="47">
        <f ca="1">(KH_26_OPT4_KTQT_v4[[#This Row],[ĐGVC-KNĐ]]+KH_26_OPT4_KTQT_v4[[#This Row],[ĐGVC-KXK]])*KH_26_OPT4_KTQT_v4[[#This Row],[SL-01]]</f>
        <v>0</v>
      </c>
      <c r="CO105" s="47">
        <f ca="1">(KH_26_OPT4_KTQT_v4[[#This Row],[ĐGVC-KNĐ]]+KH_26_OPT4_KTQT_v4[[#This Row],[ĐGVC-KXK]])*KH_26_OPT4_KTQT_v4[[#This Row],[SL-02]]</f>
        <v>0</v>
      </c>
      <c r="CP105" s="47">
        <f ca="1">(KH_26_OPT4_KTQT_v4[[#This Row],[ĐGVC-KNĐ]]+KH_26_OPT4_KTQT_v4[[#This Row],[ĐGVC-KXK]])*KH_26_OPT4_KTQT_v4[[#This Row],[SL-03]]</f>
        <v>0</v>
      </c>
      <c r="CQ105" s="47">
        <f ca="1">(KH_26_OPT4_KTQT_v4[[#This Row],[ĐGVC-KNĐ]]+KH_26_OPT4_KTQT_v4[[#This Row],[ĐGVC-KXK]])*KH_26_OPT4_KTQT_v4[[#This Row],[SL-04]]</f>
        <v>0</v>
      </c>
      <c r="CR105" s="47">
        <f ca="1">(KH_26_OPT4_KTQT_v4[[#This Row],[ĐGVC-KNĐ]]+KH_26_OPT4_KTQT_v4[[#This Row],[ĐGVC-KXK]])*KH_26_OPT4_KTQT_v4[[#This Row],[SL-05]]</f>
        <v>0</v>
      </c>
      <c r="CS105" s="47">
        <f ca="1">(KH_26_OPT4_KTQT_v4[[#This Row],[ĐGVC-KNĐ]]+KH_26_OPT4_KTQT_v4[[#This Row],[ĐGVC-KXK]])*KH_26_OPT4_KTQT_v4[[#This Row],[SL-06]]</f>
        <v>0</v>
      </c>
      <c r="CT105" s="47">
        <f ca="1">(KH_26_OPT4_KTQT_v4[[#This Row],[ĐGVC-KNĐ]]+KH_26_OPT4_KTQT_v4[[#This Row],[ĐGVC-KXK]])*KH_26_OPT4_KTQT_v4[[#This Row],[SL-07]]</f>
        <v>0</v>
      </c>
      <c r="CU105" s="47">
        <f ca="1">(KH_26_OPT4_KTQT_v4[[#This Row],[ĐGVC-KNĐ]]+KH_26_OPT4_KTQT_v4[[#This Row],[ĐGVC-KXK]])*KH_26_OPT4_KTQT_v4[[#This Row],[SL-08]]</f>
        <v>0</v>
      </c>
      <c r="CV105" s="47">
        <f ca="1">(KH_26_OPT4_KTQT_v4[[#This Row],[ĐGVC-KNĐ]]+KH_26_OPT4_KTQT_v4[[#This Row],[ĐGVC-KXK]])*KH_26_OPT4_KTQT_v4[[#This Row],[SL-09]]</f>
        <v>0</v>
      </c>
      <c r="CW105" s="47">
        <f ca="1">(KH_26_OPT4_KTQT_v4[[#This Row],[ĐGVC-KNĐ]]+KH_26_OPT4_KTQT_v4[[#This Row],[ĐGVC-KXK]])*KH_26_OPT4_KTQT_v4[[#This Row],[SL-10]]</f>
        <v>0</v>
      </c>
      <c r="CX105" s="47">
        <f ca="1">(KH_26_OPT4_KTQT_v4[[#This Row],[ĐGVC-KNĐ]]+KH_26_OPT4_KTQT_v4[[#This Row],[ĐGVC-KXK]])*KH_26_OPT4_KTQT_v4[[#This Row],[SL-11]]</f>
        <v>0</v>
      </c>
      <c r="CY105" s="47">
        <f ca="1">(KH_26_OPT4_KTQT_v4[[#This Row],[ĐGVC-KNĐ]]+KH_26_OPT4_KTQT_v4[[#This Row],[ĐGVC-KXK]])*KH_26_OPT4_KTQT_v4[[#This Row],[SL-12]]</f>
        <v>0</v>
      </c>
      <c r="CZ105" s="47">
        <f ca="1">SUM(KH_26_OPT4_KTQT_v4[[#This Row],[CPVC-01]:[CPVC-12]])</f>
        <v>0</v>
      </c>
      <c r="DA105" s="124">
        <f ca="1">KH_26_OPT4_KTQT_v4[[#This Row],[DT-EXW-01]]+KH_26_OPT4_KTQT_v4[[#This Row],[CPVC-01]]+KH_26_OPT4_KTQT_v4[[#This Row],[CPHH-01]]</f>
        <v>95400000</v>
      </c>
      <c r="DB105" s="47">
        <f ca="1">KH_26_OPT4_KTQT_v4[[#This Row],[DT-EXW-02]]+KH_26_OPT4_KTQT_v4[[#This Row],[CPVC-02]]+KH_26_OPT4_KTQT_v4[[#This Row],[CPHH-02]]</f>
        <v>0</v>
      </c>
      <c r="DC105" s="47">
        <f ca="1">KH_26_OPT4_KTQT_v4[[#This Row],[DT-EXW-03]]+KH_26_OPT4_KTQT_v4[[#This Row],[CPVC-03]]+KH_26_OPT4_KTQT_v4[[#This Row],[CPHH-03]]</f>
        <v>95400000</v>
      </c>
      <c r="DD105" s="47">
        <f ca="1">KH_26_OPT4_KTQT_v4[[#This Row],[DT-EXW-04]]+KH_26_OPT4_KTQT_v4[[#This Row],[CPVC-04]]+KH_26_OPT4_KTQT_v4[[#This Row],[CPHH-04]]</f>
        <v>0</v>
      </c>
      <c r="DE105" s="47">
        <f ca="1">KH_26_OPT4_KTQT_v4[[#This Row],[DT-EXW-05]]+KH_26_OPT4_KTQT_v4[[#This Row],[CPVC-05]]+KH_26_OPT4_KTQT_v4[[#This Row],[CPHH-05]]</f>
        <v>95400000</v>
      </c>
      <c r="DF105" s="47">
        <f ca="1">KH_26_OPT4_KTQT_v4[[#This Row],[DT-EXW-06]]+KH_26_OPT4_KTQT_v4[[#This Row],[CPVC-06]]+KH_26_OPT4_KTQT_v4[[#This Row],[CPHH-06]]</f>
        <v>0</v>
      </c>
      <c r="DG105" s="47">
        <f ca="1">KH_26_OPT4_KTQT_v4[[#This Row],[DT-EXW-07]]+KH_26_OPT4_KTQT_v4[[#This Row],[CPVC-07]]+KH_26_OPT4_KTQT_v4[[#This Row],[CPHH-07]]</f>
        <v>95400000</v>
      </c>
      <c r="DH105" s="47">
        <f ca="1">KH_26_OPT4_KTQT_v4[[#This Row],[DT-EXW-08]]+KH_26_OPT4_KTQT_v4[[#This Row],[CPVC-08]]+KH_26_OPT4_KTQT_v4[[#This Row],[CPHH-08]]</f>
        <v>0</v>
      </c>
      <c r="DI105" s="47">
        <f ca="1">KH_26_OPT4_KTQT_v4[[#This Row],[DT-EXW-09]]+KH_26_OPT4_KTQT_v4[[#This Row],[CPVC-09]]+KH_26_OPT4_KTQT_v4[[#This Row],[CPHH-09]]</f>
        <v>95400000</v>
      </c>
      <c r="DJ105" s="47">
        <f ca="1">KH_26_OPT4_KTQT_v4[[#This Row],[DT-EXW-10]]+KH_26_OPT4_KTQT_v4[[#This Row],[CPVC-10]]+KH_26_OPT4_KTQT_v4[[#This Row],[CPHH-10]]</f>
        <v>0</v>
      </c>
      <c r="DK105" s="47">
        <f ca="1">KH_26_OPT4_KTQT_v4[[#This Row],[DT-EXW-11]]+KH_26_OPT4_KTQT_v4[[#This Row],[CPVC-11]]+KH_26_OPT4_KTQT_v4[[#This Row],[CPHH-11]]</f>
        <v>95400000</v>
      </c>
      <c r="DL105" s="47">
        <f ca="1">KH_26_OPT4_KTQT_v4[[#This Row],[DT-EXW-12]]+KH_26_OPT4_KTQT_v4[[#This Row],[CPVC-12]]+KH_26_OPT4_KTQT_v4[[#This Row],[CPHH-12]]</f>
        <v>0</v>
      </c>
      <c r="DM105" s="47">
        <f ca="1">SUM(KH_26_OPT4_KTQT_v4[[#This Row],[DT-01]:[DT-12]])</f>
        <v>572400000</v>
      </c>
      <c r="DN105" s="7"/>
      <c r="DO105" s="7"/>
      <c r="DP105" s="125"/>
      <c r="DQ105" s="136"/>
      <c r="DR105" s="132">
        <f>IFERROR(KH_26_OPT4_KTQT_v4[[#This Row],[DT-EXW-01]]*KH_26_OPT4_KTQT_v4[[#This Row],[%CPDP]],0)</f>
        <v>0</v>
      </c>
      <c r="DS105" s="132">
        <f>IFERROR(KH_26_OPT4_KTQT_v4[[#This Row],[DT-EXW-02]]*KH_26_OPT4_KTQT_v4[[#This Row],[%CPDP]],0)</f>
        <v>0</v>
      </c>
      <c r="DT105" s="132">
        <f>IFERROR(KH_26_OPT4_KTQT_v4[[#This Row],[DT-EXW-03]]*KH_26_OPT4_KTQT_v4[[#This Row],[%CPDP]],0)</f>
        <v>0</v>
      </c>
      <c r="DU105" s="132">
        <f>IFERROR(KH_26_OPT4_KTQT_v4[[#This Row],[DT-EXW-04]]*KH_26_OPT4_KTQT_v4[[#This Row],[%CPDP]],0)</f>
        <v>0</v>
      </c>
      <c r="DV105" s="132">
        <f>IFERROR(KH_26_OPT4_KTQT_v4[[#This Row],[DT-EXW-05]]*KH_26_OPT4_KTQT_v4[[#This Row],[%CPDP]],0)</f>
        <v>0</v>
      </c>
      <c r="DW105" s="132">
        <f>IFERROR(KH_26_OPT4_KTQT_v4[[#This Row],[DT-EXW-06]]*KH_26_OPT4_KTQT_v4[[#This Row],[%CPDP]],0)</f>
        <v>0</v>
      </c>
      <c r="DX105" s="132">
        <f>IFERROR(KH_26_OPT4_KTQT_v4[[#This Row],[DT-EXW-07]]*KH_26_OPT4_KTQT_v4[[#This Row],[%CPDP]],0)</f>
        <v>0</v>
      </c>
      <c r="DY105" s="132">
        <f>IFERROR(KH_26_OPT4_KTQT_v4[[#This Row],[DT-EXW-08]]*KH_26_OPT4_KTQT_v4[[#This Row],[%CPDP]],0)</f>
        <v>0</v>
      </c>
      <c r="DZ105" s="132">
        <f>IFERROR(KH_26_OPT4_KTQT_v4[[#This Row],[DT-EXW-09]]*KH_26_OPT4_KTQT_v4[[#This Row],[%CPDP]],0)</f>
        <v>0</v>
      </c>
      <c r="EA105" s="132">
        <f>IFERROR(KH_26_OPT4_KTQT_v4[[#This Row],[DT-EXW-10]]*KH_26_OPT4_KTQT_v4[[#This Row],[%CPDP]],0)</f>
        <v>0</v>
      </c>
      <c r="EB105" s="132">
        <f>IFERROR(KH_26_OPT4_KTQT_v4[[#This Row],[DT-EXW-11]]*KH_26_OPT4_KTQT_v4[[#This Row],[%CPDP]],0)</f>
        <v>0</v>
      </c>
      <c r="EC105" s="132">
        <f>IFERROR(KH_26_OPT4_KTQT_v4[[#This Row],[DT-EXW-12]]*KH_26_OPT4_KTQT_v4[[#This Row],[%CPDP]],0)</f>
        <v>0</v>
      </c>
      <c r="ED105" s="131">
        <f ca="1">SUM(KH_26_OPT4_KTQT_v4[[#This Row],[CPDP-01]:[CPDP-12]])</f>
        <v>0</v>
      </c>
    </row>
    <row r="106" spans="1:134" ht="14.65" hidden="1" customHeight="1" x14ac:dyDescent="0.35">
      <c r="A106" s="18">
        <v>101</v>
      </c>
      <c r="B106" s="71" t="s">
        <v>115</v>
      </c>
      <c r="C106" s="18" t="str">
        <f>IFERROR(_xlfn.XLOOKUP(KH_26_OPT4_KTQT_v4[[#This Row],[Salesman]],MD_Salesman[Salesman],MD_Salesman[SalesManager]),"")</f>
        <v>Quốc Anh</v>
      </c>
      <c r="D106" s="72" t="str">
        <f>IFERROR(INDEX(MD_Customer[Mã khách],MATCH(KH_26_OPT4_KTQT_v4[[#This Row],[Tên khách]],MD_Customer[Tên khách-rút gọn],0)),"")</f>
        <v>105360</v>
      </c>
      <c r="E106" s="7" t="str">
        <f>IFERROR(INDEX(MD_Customer[Parent Account],MATCH(KH_26_OPT4_KTQT_v4[[#This Row],[Tên khách]],MD_Customer[Tên khách-rút gọn],0)),"")</f>
        <v>LỢI TƯỜNG</v>
      </c>
      <c r="F106" s="35" t="s">
        <v>65</v>
      </c>
      <c r="G106" s="7" t="str">
        <f>IFERROR(INDEX(MD_Customer[Phân loại],MATCH(KH_26_OPT4_KTQT_v4[[#This Row],[Tên khách]],MD_Customer[Tên khách-rút gọn],0)),"")</f>
        <v>Hiện hữu</v>
      </c>
      <c r="H106" s="7" t="str">
        <f>IFERROR(INDEX(MD_Customer[Kênh bán hàng],MATCH(KH_26_OPT4_KTQT_v4[[#This Row],[Tên khách]],MD_Customer[Tên khách-rút gọn],0)),"")</f>
        <v>Nội địa</v>
      </c>
      <c r="I106" s="35" t="s">
        <v>261</v>
      </c>
      <c r="J106" s="7" t="str">
        <f>IFERROR(INDEX(MD_Destination[Nước],MATCH(KH_26_OPT4_KTQT_v4[[#This Row],[Địa điểm đến]],MD_Destination[Địa điểm đến],0)),"")</f>
        <v>Việt Nam</v>
      </c>
      <c r="K106" s="7" t="str">
        <f>IFERROR(INDEX(MD_Destination[Khu vực],MATCH(KH_26_OPT4_KTQT_v4[[#This Row],[Địa điểm đến]],MD_Destination[Địa điểm đến],0)),"")</f>
        <v>Châu Á</v>
      </c>
      <c r="L106" s="35" t="s">
        <v>260</v>
      </c>
      <c r="M106" s="7" t="str">
        <f>IFERROR(INDEX(MD_SKU[Mã SKU],MATCH(KH_26_OPT4_KTQT_v4[[#This Row],[Tên sản phẩm]],MD_SKU[Tên SKU-rút gọn],0)),"")</f>
        <v>110000408</v>
      </c>
      <c r="N106" s="35" t="s">
        <v>471</v>
      </c>
      <c r="O106" s="7" t="str">
        <f>IFERROR(INDEX(MD_SKU[Ngành hàng],MATCH(KH_26_OPT4_KTQT_v4[[#This Row],[Tên sản phẩm]],MD_SKU[Tên SKU-rút gọn],0)),"")</f>
        <v>rHDPE ép</v>
      </c>
      <c r="P106" s="7" t="str">
        <f>IFERROR(INDEX(MD_SKU[Nhóm ngành],MATCH(KH_26_OPT4_KTQT_v4[[#This Row],[Tên sản phẩm]],MD_SKU[Tên SKU-rút gọn],0)),"")</f>
        <v>Vảy HD ép</v>
      </c>
      <c r="Q106" s="7" t="str">
        <f>IFERROR(
   IF(INDEX(MD_SKU[IV/IM],MATCH(KH_26_OPT4_KTQT_v4[[#This Row],[Tên sản phẩm]],MD_SKU[Tên SKU-rút gọn],0))=0,
      "",
      INDEX(MD_SKU[IV/IM],MATCH(KH_26_OPT4_KTQT_v4[[#This Row],[Tên sản phẩm]],MD_SKU[Tên SKU-rút gọn],0))
   ),
"")</f>
        <v/>
      </c>
      <c r="R106" s="44">
        <f>IFERROR(INDEX(MD_SKU[Application],MATCH(KH_26_OPT4_KTQT_v4[[#This Row],[Tên sản phẩm]],MD_SKU[Tên SKU-rút gọn],0)),"")</f>
        <v>0</v>
      </c>
      <c r="S106" s="7" t="str">
        <f>IFERROR(INDEX(MD_SKU[Phân loại],MATCH(KH_26_OPT4_KTQT_v4[[#This Row],[Tên sản phẩm]],MD_SKU[Tên SKU-rút gọn],0)),"")</f>
        <v>Cũ</v>
      </c>
      <c r="T106" s="7" t="s">
        <v>65</v>
      </c>
      <c r="U106" s="7" t="s">
        <v>1508</v>
      </c>
      <c r="V106" s="70">
        <v>0.8</v>
      </c>
      <c r="W106" s="33"/>
      <c r="X106" s="33"/>
      <c r="Y106" s="33"/>
      <c r="Z106" s="33"/>
      <c r="AA106" s="33"/>
      <c r="AB106" s="33"/>
      <c r="AC106" s="33"/>
      <c r="AD106" s="33"/>
      <c r="AE106" s="33"/>
      <c r="AF106" s="33"/>
      <c r="AG106" s="33"/>
      <c r="AH106" s="33"/>
      <c r="AI106" s="47">
        <f ca="1">SUM(KH_26_OPT4_KTQT_v4[[#This Row],[SL-01]:[SL-12]])</f>
        <v>0</v>
      </c>
      <c r="AJ106" s="47">
        <f ca="1">SUMIFS(DB_25[SL-DB25],DB_25[Mã khách],KH_26_OPT4_KTQT_v4[[#This Row],[Mã khách]],DB_25[Mã sản phẩm],KH_26_OPT4_KTQT_v4[[#This Row],[Mã sản phẩm]])</f>
        <v>9</v>
      </c>
      <c r="AK106" s="20">
        <f ca="1">KH_26_OPT4_KTQT_v4[[#This Row],[SL-KH26]]-KH_26_OPT4_KTQT_v4[[#This Row],[SL-DB25]]</f>
        <v>-9</v>
      </c>
      <c r="AL106" s="21">
        <f ca="1">IFERROR(KH_26_OPT4_KTQT_v4[[#This Row],[SL-+/-]]/KH_26_OPT4_KTQT_v4[[#This Row],[SL-DB25]],0)</f>
        <v>-1</v>
      </c>
      <c r="AM106" s="51">
        <v>560</v>
      </c>
      <c r="AN106" s="51">
        <v>560</v>
      </c>
      <c r="AO106" s="51">
        <v>560</v>
      </c>
      <c r="AP106" s="51">
        <v>560</v>
      </c>
      <c r="AQ106" s="51">
        <v>560</v>
      </c>
      <c r="AR106" s="51">
        <v>560</v>
      </c>
      <c r="AS106" s="51">
        <v>560</v>
      </c>
      <c r="AT106" s="51">
        <v>560</v>
      </c>
      <c r="AU106" s="51">
        <v>560</v>
      </c>
      <c r="AV106" s="51">
        <v>560</v>
      </c>
      <c r="AW106" s="51">
        <v>560</v>
      </c>
      <c r="AX106" s="51">
        <v>560</v>
      </c>
      <c r="AY106" s="23">
        <v>560</v>
      </c>
      <c r="AZ106" s="7"/>
      <c r="BA106" s="24">
        <f>KH_26_OPT4_KTQT_v4[[#This Row],[GB-DB25]]-KH_26_OPT4_KTQT_v4[[#This Row],[GB-KH25]]</f>
        <v>560</v>
      </c>
      <c r="BB106" s="21">
        <f>IFERROR(KH_26_OPT4_KTQT_v4[[#This Row],[GB-+/-]]/KH_26_OPT4_KTQT_v4[[#This Row],[GB-KH25]],0)</f>
        <v>0</v>
      </c>
      <c r="BC106" s="21"/>
      <c r="BD106" s="47">
        <f>KH_26_OPT4_KTQT_v4[[#This Row],[SL-01]]*KH_26_OPT4_KTQT_v4[[#This Row],[GB-01]]*EXR</f>
        <v>0</v>
      </c>
      <c r="BE106" s="47">
        <f>KH_26_OPT4_KTQT_v4[[#This Row],[SL-02]]*KH_26_OPT4_KTQT_v4[[#This Row],[GB-02]]*EXR</f>
        <v>0</v>
      </c>
      <c r="BF106" s="47">
        <f>KH_26_OPT4_KTQT_v4[[#This Row],[SL-03]]*KH_26_OPT4_KTQT_v4[[#This Row],[GB-03]]*EXR</f>
        <v>0</v>
      </c>
      <c r="BG106" s="47">
        <f>KH_26_OPT4_KTQT_v4[[#This Row],[SL-04]]*KH_26_OPT4_KTQT_v4[[#This Row],[GB-04]]*EXR</f>
        <v>0</v>
      </c>
      <c r="BH106" s="47">
        <f>KH_26_OPT4_KTQT_v4[[#This Row],[SL-05]]*KH_26_OPT4_KTQT_v4[[#This Row],[GB-05]]*EXR</f>
        <v>0</v>
      </c>
      <c r="BI106" s="47">
        <f>KH_26_OPT4_KTQT_v4[[#This Row],[SL-06]]*KH_26_OPT4_KTQT_v4[[#This Row],[GB-06]]*EXR</f>
        <v>0</v>
      </c>
      <c r="BJ106" s="47">
        <f>KH_26_OPT4_KTQT_v4[[#This Row],[SL-07]]*KH_26_OPT4_KTQT_v4[[#This Row],[GB-07]]*EXR</f>
        <v>0</v>
      </c>
      <c r="BK106" s="47">
        <f>KH_26_OPT4_KTQT_v4[[#This Row],[SL-08]]*KH_26_OPT4_KTQT_v4[[#This Row],[GB-08]]*EXR</f>
        <v>0</v>
      </c>
      <c r="BL106" s="47">
        <f>KH_26_OPT4_KTQT_v4[[#This Row],[SL-09]]*KH_26_OPT4_KTQT_v4[[#This Row],[GB-09]]*EXR</f>
        <v>0</v>
      </c>
      <c r="BM106" s="47">
        <f>KH_26_OPT4_KTQT_v4[[#This Row],[SL-10]]*KH_26_OPT4_KTQT_v4[[#This Row],[GB-10]]*EXR</f>
        <v>0</v>
      </c>
      <c r="BN106" s="47">
        <f>KH_26_OPT4_KTQT_v4[[#This Row],[SL-11]]*KH_26_OPT4_KTQT_v4[[#This Row],[GB-11]]*EXR</f>
        <v>0</v>
      </c>
      <c r="BO106" s="47">
        <f>KH_26_OPT4_KTQT_v4[[#This Row],[SL-12]]*KH_26_OPT4_KTQT_v4[[#This Row],[GB-12]]*EXR</f>
        <v>0</v>
      </c>
      <c r="BP106" s="47">
        <f ca="1">SUM(KH_26_OPT4_KTQT_v4[[#This Row],[DT-EXW-01]:[DT-EXW-12]])</f>
        <v>0</v>
      </c>
      <c r="BQ106" s="47">
        <f ca="1">SUMIFS(DB_25[DT-DB25],DB_25[Mã khách],KH_26_OPT4_KTQT_v4[[#This Row],[Mã khách]],DB_25[Mã sản phẩm],KH_26_OPT4_KTQT_v4[[#This Row],[Mã sản phẩm]])</f>
        <v>133019878.84786785</v>
      </c>
      <c r="BR106" s="47">
        <f ca="1">KH_26_OPT4_KTQT_v4[[#This Row],[DT-EXW-KH26]]-KH_26_OPT4_KTQT_v4[[#This Row],[DT-EXW-DB25]]</f>
        <v>-133019878.84786785</v>
      </c>
      <c r="BS106" s="21">
        <f ca="1">IFERROR(KH_26_OPT4_KTQT_v4[[#This Row],[DT-EXW-+/-]]/KH_26_OPT4_KTQT_v4[[#This Row],[DT-EXW-DB25]],0)</f>
        <v>-1</v>
      </c>
      <c r="BT106" s="139"/>
      <c r="BU106" s="57"/>
      <c r="BV106" s="51"/>
      <c r="BW106" s="47">
        <f>IF(KH_26_OPT4_KTQT_v4[[#This Row],[CPHH-%-SL]]="Dthu",KH_26_OPT4_KTQT_v4[[#This Row],[%HH]]*KH_26_OPT4_KTQT_v4[[#This Row],[DT-EXW-01]],KH_26_OPT4_KTQT_v4[[#This Row],[HH-SL]]*KH_26_OPT4_KTQT_v4[[#This Row],[SL-01]])</f>
        <v>0</v>
      </c>
      <c r="BX106" s="47">
        <f>IF(KH_26_OPT4_KTQT_v4[[#This Row],[CPHH-%-SL]]="Dthu",KH_26_OPT4_KTQT_v4[[#This Row],[%HH]]*KH_26_OPT4_KTQT_v4[[#This Row],[DT-EXW-02]],KH_26_OPT4_KTQT_v4[[#This Row],[HH-SL]]*KH_26_OPT4_KTQT_v4[[#This Row],[SL-02]])</f>
        <v>0</v>
      </c>
      <c r="BY106" s="47">
        <f>IF(KH_26_OPT4_KTQT_v4[[#This Row],[CPHH-%-SL]]="Dthu",KH_26_OPT4_KTQT_v4[[#This Row],[%HH]]*KH_26_OPT4_KTQT_v4[[#This Row],[DT-EXW-03]],KH_26_OPT4_KTQT_v4[[#This Row],[HH-SL]]*KH_26_OPT4_KTQT_v4[[#This Row],[SL-03]])</f>
        <v>0</v>
      </c>
      <c r="BZ106" s="47">
        <f>IF(KH_26_OPT4_KTQT_v4[[#This Row],[CPHH-%-SL]]="Dthu",KH_26_OPT4_KTQT_v4[[#This Row],[%HH]]*KH_26_OPT4_KTQT_v4[[#This Row],[DT-EXW-04]],KH_26_OPT4_KTQT_v4[[#This Row],[HH-SL]]*KH_26_OPT4_KTQT_v4[[#This Row],[SL-04]])</f>
        <v>0</v>
      </c>
      <c r="CA106" s="47">
        <f>IF(KH_26_OPT4_KTQT_v4[[#This Row],[CPHH-%-SL]]="Dthu",KH_26_OPT4_KTQT_v4[[#This Row],[%HH]]*KH_26_OPT4_KTQT_v4[[#This Row],[DT-EXW-05]],KH_26_OPT4_KTQT_v4[[#This Row],[HH-SL]]*KH_26_OPT4_KTQT_v4[[#This Row],[SL-05]])</f>
        <v>0</v>
      </c>
      <c r="CB106" s="47">
        <f>IF(KH_26_OPT4_KTQT_v4[[#This Row],[CPHH-%-SL]]="Dthu",KH_26_OPT4_KTQT_v4[[#This Row],[%HH]]*KH_26_OPT4_KTQT_v4[[#This Row],[DT-EXW-06]],KH_26_OPT4_KTQT_v4[[#This Row],[HH-SL]]*KH_26_OPT4_KTQT_v4[[#This Row],[SL-06]])</f>
        <v>0</v>
      </c>
      <c r="CC106" s="47">
        <f>IF(KH_26_OPT4_KTQT_v4[[#This Row],[CPHH-%-SL]]="Dthu",KH_26_OPT4_KTQT_v4[[#This Row],[%HH]]*KH_26_OPT4_KTQT_v4[[#This Row],[DT-EXW-07]],KH_26_OPT4_KTQT_v4[[#This Row],[HH-SL]]*KH_26_OPT4_KTQT_v4[[#This Row],[SL-07]])</f>
        <v>0</v>
      </c>
      <c r="CD106" s="47">
        <f>IF(KH_26_OPT4_KTQT_v4[[#This Row],[CPHH-%-SL]]="Dthu",KH_26_OPT4_KTQT_v4[[#This Row],[%HH]]*KH_26_OPT4_KTQT_v4[[#This Row],[DT-EXW-08]],KH_26_OPT4_KTQT_v4[[#This Row],[HH-SL]]*KH_26_OPT4_KTQT_v4[[#This Row],[SL-08]])</f>
        <v>0</v>
      </c>
      <c r="CE106" s="47">
        <f>IF(KH_26_OPT4_KTQT_v4[[#This Row],[CPHH-%-SL]]="Dthu",KH_26_OPT4_KTQT_v4[[#This Row],[%HH]]*KH_26_OPT4_KTQT_v4[[#This Row],[DT-EXW-09]],KH_26_OPT4_KTQT_v4[[#This Row],[HH-SL]]*KH_26_OPT4_KTQT_v4[[#This Row],[SL-09]])</f>
        <v>0</v>
      </c>
      <c r="CF106" s="47">
        <f>IF(KH_26_OPT4_KTQT_v4[[#This Row],[CPHH-%-SL]]="Dthu",KH_26_OPT4_KTQT_v4[[#This Row],[%HH]]*KH_26_OPT4_KTQT_v4[[#This Row],[DT-EXW-10]],KH_26_OPT4_KTQT_v4[[#This Row],[HH-SL]]*KH_26_OPT4_KTQT_v4[[#This Row],[SL-10]])</f>
        <v>0</v>
      </c>
      <c r="CG106" s="47">
        <f>IF(KH_26_OPT4_KTQT_v4[[#This Row],[CPHH-%-SL]]="Dthu",KH_26_OPT4_KTQT_v4[[#This Row],[%HH]]*KH_26_OPT4_KTQT_v4[[#This Row],[DT-EXW-11]],KH_26_OPT4_KTQT_v4[[#This Row],[HH-SL]]*KH_26_OPT4_KTQT_v4[[#This Row],[SL-11]])</f>
        <v>0</v>
      </c>
      <c r="CH106" s="47">
        <f>IF(KH_26_OPT4_KTQT_v4[[#This Row],[CPHH-%-SL]]="Dthu",KH_26_OPT4_KTQT_v4[[#This Row],[%HH]]*KH_26_OPT4_KTQT_v4[[#This Row],[DT-EXW-12]],KH_26_OPT4_KTQT_v4[[#This Row],[HH-SL]]*KH_26_OPT4_KTQT_v4[[#This Row],[SL-12]])</f>
        <v>0</v>
      </c>
      <c r="CI106" s="47">
        <f ca="1">SUM(KH_26_OPT4_KTQT_v4[[#This Row],[CPHH-01]:[CPHH-12]])</f>
        <v>0</v>
      </c>
      <c r="CJ106" s="47" cm="1">
        <f t="array" ref="CJ106">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06" s="19">
        <f ca="1">SUM(KH_26_OPT4_KTQT_v4[[#This Row],[ĐGVCNĐ-KXK]:[ĐGVCCT-KXK]])</f>
        <v>0</v>
      </c>
      <c r="CL106" s="47" cm="1">
        <f t="array" ref="CL106">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106" s="47" cm="1">
        <f t="array" ref="CM106">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06" s="47">
        <f ca="1">(KH_26_OPT4_KTQT_v4[[#This Row],[ĐGVC-KNĐ]]+KH_26_OPT4_KTQT_v4[[#This Row],[ĐGVC-KXK]])*KH_26_OPT4_KTQT_v4[[#This Row],[SL-01]]</f>
        <v>0</v>
      </c>
      <c r="CO106" s="47">
        <f ca="1">(KH_26_OPT4_KTQT_v4[[#This Row],[ĐGVC-KNĐ]]+KH_26_OPT4_KTQT_v4[[#This Row],[ĐGVC-KXK]])*KH_26_OPT4_KTQT_v4[[#This Row],[SL-02]]</f>
        <v>0</v>
      </c>
      <c r="CP106" s="47">
        <f ca="1">(KH_26_OPT4_KTQT_v4[[#This Row],[ĐGVC-KNĐ]]+KH_26_OPT4_KTQT_v4[[#This Row],[ĐGVC-KXK]])*KH_26_OPT4_KTQT_v4[[#This Row],[SL-03]]</f>
        <v>0</v>
      </c>
      <c r="CQ106" s="47">
        <f ca="1">(KH_26_OPT4_KTQT_v4[[#This Row],[ĐGVC-KNĐ]]+KH_26_OPT4_KTQT_v4[[#This Row],[ĐGVC-KXK]])*KH_26_OPT4_KTQT_v4[[#This Row],[SL-04]]</f>
        <v>0</v>
      </c>
      <c r="CR106" s="47">
        <f ca="1">(KH_26_OPT4_KTQT_v4[[#This Row],[ĐGVC-KNĐ]]+KH_26_OPT4_KTQT_v4[[#This Row],[ĐGVC-KXK]])*KH_26_OPT4_KTQT_v4[[#This Row],[SL-05]]</f>
        <v>0</v>
      </c>
      <c r="CS106" s="47">
        <f ca="1">(KH_26_OPT4_KTQT_v4[[#This Row],[ĐGVC-KNĐ]]+KH_26_OPT4_KTQT_v4[[#This Row],[ĐGVC-KXK]])*KH_26_OPT4_KTQT_v4[[#This Row],[SL-06]]</f>
        <v>0</v>
      </c>
      <c r="CT106" s="47">
        <f ca="1">(KH_26_OPT4_KTQT_v4[[#This Row],[ĐGVC-KNĐ]]+KH_26_OPT4_KTQT_v4[[#This Row],[ĐGVC-KXK]])*KH_26_OPT4_KTQT_v4[[#This Row],[SL-07]]</f>
        <v>0</v>
      </c>
      <c r="CU106" s="47">
        <f ca="1">(KH_26_OPT4_KTQT_v4[[#This Row],[ĐGVC-KNĐ]]+KH_26_OPT4_KTQT_v4[[#This Row],[ĐGVC-KXK]])*KH_26_OPT4_KTQT_v4[[#This Row],[SL-08]]</f>
        <v>0</v>
      </c>
      <c r="CV106" s="47">
        <f ca="1">(KH_26_OPT4_KTQT_v4[[#This Row],[ĐGVC-KNĐ]]+KH_26_OPT4_KTQT_v4[[#This Row],[ĐGVC-KXK]])*KH_26_OPT4_KTQT_v4[[#This Row],[SL-09]]</f>
        <v>0</v>
      </c>
      <c r="CW106" s="47">
        <f ca="1">(KH_26_OPT4_KTQT_v4[[#This Row],[ĐGVC-KNĐ]]+KH_26_OPT4_KTQT_v4[[#This Row],[ĐGVC-KXK]])*KH_26_OPT4_KTQT_v4[[#This Row],[SL-10]]</f>
        <v>0</v>
      </c>
      <c r="CX106" s="47">
        <f ca="1">(KH_26_OPT4_KTQT_v4[[#This Row],[ĐGVC-KNĐ]]+KH_26_OPT4_KTQT_v4[[#This Row],[ĐGVC-KXK]])*KH_26_OPT4_KTQT_v4[[#This Row],[SL-11]]</f>
        <v>0</v>
      </c>
      <c r="CY106" s="47">
        <f ca="1">(KH_26_OPT4_KTQT_v4[[#This Row],[ĐGVC-KNĐ]]+KH_26_OPT4_KTQT_v4[[#This Row],[ĐGVC-KXK]])*KH_26_OPT4_KTQT_v4[[#This Row],[SL-12]]</f>
        <v>0</v>
      </c>
      <c r="CZ106" s="47">
        <f ca="1">SUM(KH_26_OPT4_KTQT_v4[[#This Row],[CPVC-01]:[CPVC-12]])</f>
        <v>0</v>
      </c>
      <c r="DA106" s="124">
        <f ca="1">KH_26_OPT4_KTQT_v4[[#This Row],[DT-EXW-01]]+KH_26_OPT4_KTQT_v4[[#This Row],[CPVC-01]]+KH_26_OPT4_KTQT_v4[[#This Row],[CPHH-01]]</f>
        <v>0</v>
      </c>
      <c r="DB106" s="47">
        <f ca="1">KH_26_OPT4_KTQT_v4[[#This Row],[DT-EXW-02]]+KH_26_OPT4_KTQT_v4[[#This Row],[CPVC-02]]+KH_26_OPT4_KTQT_v4[[#This Row],[CPHH-02]]</f>
        <v>0</v>
      </c>
      <c r="DC106" s="47">
        <f ca="1">KH_26_OPT4_KTQT_v4[[#This Row],[DT-EXW-03]]+KH_26_OPT4_KTQT_v4[[#This Row],[CPVC-03]]+KH_26_OPT4_KTQT_v4[[#This Row],[CPHH-03]]</f>
        <v>0</v>
      </c>
      <c r="DD106" s="47">
        <f ca="1">KH_26_OPT4_KTQT_v4[[#This Row],[DT-EXW-04]]+KH_26_OPT4_KTQT_v4[[#This Row],[CPVC-04]]+KH_26_OPT4_KTQT_v4[[#This Row],[CPHH-04]]</f>
        <v>0</v>
      </c>
      <c r="DE106" s="47">
        <f ca="1">KH_26_OPT4_KTQT_v4[[#This Row],[DT-EXW-05]]+KH_26_OPT4_KTQT_v4[[#This Row],[CPVC-05]]+KH_26_OPT4_KTQT_v4[[#This Row],[CPHH-05]]</f>
        <v>0</v>
      </c>
      <c r="DF106" s="47">
        <f ca="1">KH_26_OPT4_KTQT_v4[[#This Row],[DT-EXW-06]]+KH_26_OPT4_KTQT_v4[[#This Row],[CPVC-06]]+KH_26_OPT4_KTQT_v4[[#This Row],[CPHH-06]]</f>
        <v>0</v>
      </c>
      <c r="DG106" s="47">
        <f ca="1">KH_26_OPT4_KTQT_v4[[#This Row],[DT-EXW-07]]+KH_26_OPT4_KTQT_v4[[#This Row],[CPVC-07]]+KH_26_OPT4_KTQT_v4[[#This Row],[CPHH-07]]</f>
        <v>0</v>
      </c>
      <c r="DH106" s="47">
        <f ca="1">KH_26_OPT4_KTQT_v4[[#This Row],[DT-EXW-08]]+KH_26_OPT4_KTQT_v4[[#This Row],[CPVC-08]]+KH_26_OPT4_KTQT_v4[[#This Row],[CPHH-08]]</f>
        <v>0</v>
      </c>
      <c r="DI106" s="47">
        <f ca="1">KH_26_OPT4_KTQT_v4[[#This Row],[DT-EXW-09]]+KH_26_OPT4_KTQT_v4[[#This Row],[CPVC-09]]+KH_26_OPT4_KTQT_v4[[#This Row],[CPHH-09]]</f>
        <v>0</v>
      </c>
      <c r="DJ106" s="47">
        <f ca="1">KH_26_OPT4_KTQT_v4[[#This Row],[DT-EXW-10]]+KH_26_OPT4_KTQT_v4[[#This Row],[CPVC-10]]+KH_26_OPT4_KTQT_v4[[#This Row],[CPHH-10]]</f>
        <v>0</v>
      </c>
      <c r="DK106" s="47">
        <f ca="1">KH_26_OPT4_KTQT_v4[[#This Row],[DT-EXW-11]]+KH_26_OPT4_KTQT_v4[[#This Row],[CPVC-11]]+KH_26_OPT4_KTQT_v4[[#This Row],[CPHH-11]]</f>
        <v>0</v>
      </c>
      <c r="DL106" s="47">
        <f ca="1">KH_26_OPT4_KTQT_v4[[#This Row],[DT-EXW-12]]+KH_26_OPT4_KTQT_v4[[#This Row],[CPVC-12]]+KH_26_OPT4_KTQT_v4[[#This Row],[CPHH-12]]</f>
        <v>0</v>
      </c>
      <c r="DM106" s="47">
        <f ca="1">SUM(KH_26_OPT4_KTQT_v4[[#This Row],[DT-01]:[DT-12]])</f>
        <v>0</v>
      </c>
      <c r="DN106" s="7"/>
      <c r="DO106" s="7"/>
      <c r="DP106" s="125"/>
      <c r="DQ106" s="136"/>
      <c r="DR106" s="132">
        <f>IFERROR(KH_26_OPT4_KTQT_v4[[#This Row],[DT-EXW-01]]*KH_26_OPT4_KTQT_v4[[#This Row],[%CPDP]],0)</f>
        <v>0</v>
      </c>
      <c r="DS106" s="132">
        <f>IFERROR(KH_26_OPT4_KTQT_v4[[#This Row],[DT-EXW-02]]*KH_26_OPT4_KTQT_v4[[#This Row],[%CPDP]],0)</f>
        <v>0</v>
      </c>
      <c r="DT106" s="132">
        <f>IFERROR(KH_26_OPT4_KTQT_v4[[#This Row],[DT-EXW-03]]*KH_26_OPT4_KTQT_v4[[#This Row],[%CPDP]],0)</f>
        <v>0</v>
      </c>
      <c r="DU106" s="132">
        <f>IFERROR(KH_26_OPT4_KTQT_v4[[#This Row],[DT-EXW-04]]*KH_26_OPT4_KTQT_v4[[#This Row],[%CPDP]],0)</f>
        <v>0</v>
      </c>
      <c r="DV106" s="132">
        <f>IFERROR(KH_26_OPT4_KTQT_v4[[#This Row],[DT-EXW-05]]*KH_26_OPT4_KTQT_v4[[#This Row],[%CPDP]],0)</f>
        <v>0</v>
      </c>
      <c r="DW106" s="132">
        <f>IFERROR(KH_26_OPT4_KTQT_v4[[#This Row],[DT-EXW-06]]*KH_26_OPT4_KTQT_v4[[#This Row],[%CPDP]],0)</f>
        <v>0</v>
      </c>
      <c r="DX106" s="132">
        <f>IFERROR(KH_26_OPT4_KTQT_v4[[#This Row],[DT-EXW-07]]*KH_26_OPT4_KTQT_v4[[#This Row],[%CPDP]],0)</f>
        <v>0</v>
      </c>
      <c r="DY106" s="132">
        <f>IFERROR(KH_26_OPT4_KTQT_v4[[#This Row],[DT-EXW-08]]*KH_26_OPT4_KTQT_v4[[#This Row],[%CPDP]],0)</f>
        <v>0</v>
      </c>
      <c r="DZ106" s="132">
        <f>IFERROR(KH_26_OPT4_KTQT_v4[[#This Row],[DT-EXW-09]]*KH_26_OPT4_KTQT_v4[[#This Row],[%CPDP]],0)</f>
        <v>0</v>
      </c>
      <c r="EA106" s="132">
        <f>IFERROR(KH_26_OPT4_KTQT_v4[[#This Row],[DT-EXW-10]]*KH_26_OPT4_KTQT_v4[[#This Row],[%CPDP]],0)</f>
        <v>0</v>
      </c>
      <c r="EB106" s="132">
        <f>IFERROR(KH_26_OPT4_KTQT_v4[[#This Row],[DT-EXW-11]]*KH_26_OPT4_KTQT_v4[[#This Row],[%CPDP]],0)</f>
        <v>0</v>
      </c>
      <c r="EC106" s="132">
        <f>IFERROR(KH_26_OPT4_KTQT_v4[[#This Row],[DT-EXW-12]]*KH_26_OPT4_KTQT_v4[[#This Row],[%CPDP]],0)</f>
        <v>0</v>
      </c>
      <c r="ED106" s="131">
        <f ca="1">SUM(KH_26_OPT4_KTQT_v4[[#This Row],[CPDP-01]:[CPDP-12]])</f>
        <v>0</v>
      </c>
    </row>
    <row r="107" spans="1:134" ht="14.65" hidden="1" customHeight="1" x14ac:dyDescent="0.35">
      <c r="A107" s="18">
        <v>102</v>
      </c>
      <c r="B107" s="71" t="s">
        <v>97</v>
      </c>
      <c r="C107" s="18" t="str">
        <f>IFERROR(_xlfn.XLOOKUP(KH_26_OPT4_KTQT_v4[[#This Row],[Salesman]],MD_Salesman[Salesman],MD_Salesman[SalesManager]),"")</f>
        <v>Cường</v>
      </c>
      <c r="D107" s="72" t="str">
        <f>IFERROR(INDEX(MD_Customer[Mã khách],MATCH(KH_26_OPT4_KTQT_v4[[#This Row],[Tên khách]],MD_Customer[Tên khách-rút gọn],0)),"")</f>
        <v>1000</v>
      </c>
      <c r="E107" s="7" t="str">
        <f>IFERROR(INDEX(MD_Customer[Parent Account],MATCH(KH_26_OPT4_KTQT_v4[[#This Row],[Tên khách]],MD_Customer[Tên khách-rút gọn],0)),"")</f>
        <v>DTP</v>
      </c>
      <c r="F107" s="35" t="s">
        <v>271</v>
      </c>
      <c r="G107" s="7" t="str">
        <f>IFERROR(INDEX(MD_Customer[Phân loại],MATCH(KH_26_OPT4_KTQT_v4[[#This Row],[Tên khách]],MD_Customer[Tên khách-rút gọn],0)),"")</f>
        <v>Hiện hữu</v>
      </c>
      <c r="H107" s="7" t="str">
        <f>IFERROR(INDEX(MD_Customer[Kênh bán hàng],MATCH(KH_26_OPT4_KTQT_v4[[#This Row],[Tên khách]],MD_Customer[Tên khách-rút gọn],0)),"")</f>
        <v>Nội địa</v>
      </c>
      <c r="I107" s="35" t="s">
        <v>258</v>
      </c>
      <c r="J107" s="7" t="str">
        <f>IFERROR(INDEX(MD_Destination[Nước],MATCH(KH_26_OPT4_KTQT_v4[[#This Row],[Địa điểm đến]],MD_Destination[Địa điểm đến],0)),"")</f>
        <v>Việt Nam</v>
      </c>
      <c r="K107" s="7" t="str">
        <f>IFERROR(INDEX(MD_Destination[Khu vực],MATCH(KH_26_OPT4_KTQT_v4[[#This Row],[Địa điểm đến]],MD_Destination[Địa điểm đến],0)),"")</f>
        <v>Châu Á</v>
      </c>
      <c r="L107" s="35" t="s">
        <v>262</v>
      </c>
      <c r="M107" s="7" t="str">
        <f>IFERROR(INDEX(MD_SKU[Mã SKU],MATCH(KH_26_OPT4_KTQT_v4[[#This Row],[Tên sản phẩm]],MD_SKU[Tên SKU-rút gọn],0)),"")</f>
        <v>110000364</v>
      </c>
      <c r="N107" s="35" t="s">
        <v>460</v>
      </c>
      <c r="O107" s="7" t="str">
        <f>IFERROR(INDEX(MD_SKU[Ngành hàng],MATCH(KH_26_OPT4_KTQT_v4[[#This Row],[Tên sản phẩm]],MD_SKU[Tên SKU-rút gọn],0)),"")</f>
        <v>rHDPE ép</v>
      </c>
      <c r="P107" s="7" t="str">
        <f>IFERROR(INDEX(MD_SKU[Nhóm ngành],MATCH(KH_26_OPT4_KTQT_v4[[#This Row],[Tên sản phẩm]],MD_SKU[Tên SKU-rút gọn],0)),"")</f>
        <v>Hạt HD ép</v>
      </c>
      <c r="Q107" s="7" t="str">
        <f>IFERROR(
   IF(INDEX(MD_SKU[IV/IM],MATCH(KH_26_OPT4_KTQT_v4[[#This Row],[Tên sản phẩm]],MD_SKU[Tên SKU-rút gọn],0))=0,
      "",
      INDEX(MD_SKU[IV/IM],MATCH(KH_26_OPT4_KTQT_v4[[#This Row],[Tên sản phẩm]],MD_SKU[Tên SKU-rút gọn],0))
   ),
"")</f>
        <v/>
      </c>
      <c r="R107" s="44">
        <f>IFERROR(INDEX(MD_SKU[Application],MATCH(KH_26_OPT4_KTQT_v4[[#This Row],[Tên sản phẩm]],MD_SKU[Tên SKU-rút gọn],0)),"")</f>
        <v>0</v>
      </c>
      <c r="S107" s="7" t="str">
        <f>IFERROR(INDEX(MD_SKU[Phân loại],MATCH(KH_26_OPT4_KTQT_v4[[#This Row],[Tên sản phẩm]],MD_SKU[Tên SKU-rút gọn],0)),"")</f>
        <v>Cũ</v>
      </c>
      <c r="T107" s="7" t="s">
        <v>47</v>
      </c>
      <c r="U107" s="7" t="s">
        <v>1508</v>
      </c>
      <c r="V107" s="70">
        <v>0.8</v>
      </c>
      <c r="W107" s="33"/>
      <c r="X107" s="33"/>
      <c r="Y107" s="33"/>
      <c r="Z107" s="33"/>
      <c r="AA107" s="33"/>
      <c r="AB107" s="33"/>
      <c r="AC107" s="33"/>
      <c r="AD107" s="33"/>
      <c r="AE107" s="33"/>
      <c r="AF107" s="33"/>
      <c r="AG107" s="33"/>
      <c r="AH107" s="33"/>
      <c r="AI107" s="47">
        <f ca="1">SUM(KH_26_OPT4_KTQT_v4[[#This Row],[SL-01]:[SL-12]])</f>
        <v>0</v>
      </c>
      <c r="AJ107" s="47">
        <f ca="1">SUMIFS(DB_25[SL-DB25],DB_25[Mã khách],KH_26_OPT4_KTQT_v4[[#This Row],[Mã khách]],DB_25[Mã sản phẩm],KH_26_OPT4_KTQT_v4[[#This Row],[Mã sản phẩm]])</f>
        <v>42.625</v>
      </c>
      <c r="AK107" s="20">
        <f ca="1">KH_26_OPT4_KTQT_v4[[#This Row],[SL-KH26]]-KH_26_OPT4_KTQT_v4[[#This Row],[SL-DB25]]</f>
        <v>-42.625</v>
      </c>
      <c r="AL107" s="21">
        <f ca="1">IFERROR(KH_26_OPT4_KTQT_v4[[#This Row],[SL-+/-]]/KH_26_OPT4_KTQT_v4[[#This Row],[SL-DB25]],0)</f>
        <v>-1</v>
      </c>
      <c r="AM107" s="51">
        <v>695</v>
      </c>
      <c r="AN107" s="51">
        <v>695</v>
      </c>
      <c r="AO107" s="51">
        <v>695</v>
      </c>
      <c r="AP107" s="51">
        <v>695</v>
      </c>
      <c r="AQ107" s="51">
        <v>695</v>
      </c>
      <c r="AR107" s="51">
        <v>695</v>
      </c>
      <c r="AS107" s="51">
        <v>695</v>
      </c>
      <c r="AT107" s="51">
        <v>695</v>
      </c>
      <c r="AU107" s="51">
        <v>695</v>
      </c>
      <c r="AV107" s="51">
        <v>695</v>
      </c>
      <c r="AW107" s="51">
        <v>695</v>
      </c>
      <c r="AX107" s="51">
        <v>695</v>
      </c>
      <c r="AY107" s="23">
        <v>695</v>
      </c>
      <c r="AZ107" s="7"/>
      <c r="BA107" s="24">
        <f>KH_26_OPT4_KTQT_v4[[#This Row],[GB-DB25]]-KH_26_OPT4_KTQT_v4[[#This Row],[GB-KH25]]</f>
        <v>695</v>
      </c>
      <c r="BB107" s="21">
        <f>IFERROR(KH_26_OPT4_KTQT_v4[[#This Row],[GB-+/-]]/KH_26_OPT4_KTQT_v4[[#This Row],[GB-KH25]],0)</f>
        <v>0</v>
      </c>
      <c r="BC107" s="21"/>
      <c r="BD107" s="47">
        <f>KH_26_OPT4_KTQT_v4[[#This Row],[SL-01]]*KH_26_OPT4_KTQT_v4[[#This Row],[GB-01]]*EXR</f>
        <v>0</v>
      </c>
      <c r="BE107" s="47">
        <f>KH_26_OPT4_KTQT_v4[[#This Row],[SL-02]]*KH_26_OPT4_KTQT_v4[[#This Row],[GB-02]]*EXR</f>
        <v>0</v>
      </c>
      <c r="BF107" s="47">
        <f>KH_26_OPT4_KTQT_v4[[#This Row],[SL-03]]*KH_26_OPT4_KTQT_v4[[#This Row],[GB-03]]*EXR</f>
        <v>0</v>
      </c>
      <c r="BG107" s="47">
        <f>KH_26_OPT4_KTQT_v4[[#This Row],[SL-04]]*KH_26_OPT4_KTQT_v4[[#This Row],[GB-04]]*EXR</f>
        <v>0</v>
      </c>
      <c r="BH107" s="47">
        <f>KH_26_OPT4_KTQT_v4[[#This Row],[SL-05]]*KH_26_OPT4_KTQT_v4[[#This Row],[GB-05]]*EXR</f>
        <v>0</v>
      </c>
      <c r="BI107" s="47">
        <f>KH_26_OPT4_KTQT_v4[[#This Row],[SL-06]]*KH_26_OPT4_KTQT_v4[[#This Row],[GB-06]]*EXR</f>
        <v>0</v>
      </c>
      <c r="BJ107" s="47">
        <f>KH_26_OPT4_KTQT_v4[[#This Row],[SL-07]]*KH_26_OPT4_KTQT_v4[[#This Row],[GB-07]]*EXR</f>
        <v>0</v>
      </c>
      <c r="BK107" s="47">
        <f>KH_26_OPT4_KTQT_v4[[#This Row],[SL-08]]*KH_26_OPT4_KTQT_v4[[#This Row],[GB-08]]*EXR</f>
        <v>0</v>
      </c>
      <c r="BL107" s="47">
        <f>KH_26_OPT4_KTQT_v4[[#This Row],[SL-09]]*KH_26_OPT4_KTQT_v4[[#This Row],[GB-09]]*EXR</f>
        <v>0</v>
      </c>
      <c r="BM107" s="47">
        <f>KH_26_OPT4_KTQT_v4[[#This Row],[SL-10]]*KH_26_OPT4_KTQT_v4[[#This Row],[GB-10]]*EXR</f>
        <v>0</v>
      </c>
      <c r="BN107" s="47">
        <f>KH_26_OPT4_KTQT_v4[[#This Row],[SL-11]]*KH_26_OPT4_KTQT_v4[[#This Row],[GB-11]]*EXR</f>
        <v>0</v>
      </c>
      <c r="BO107" s="47">
        <f>KH_26_OPT4_KTQT_v4[[#This Row],[SL-12]]*KH_26_OPT4_KTQT_v4[[#This Row],[GB-12]]*EXR</f>
        <v>0</v>
      </c>
      <c r="BP107" s="47">
        <f ca="1">SUM(KH_26_OPT4_KTQT_v4[[#This Row],[DT-EXW-01]:[DT-EXW-12]])</f>
        <v>0</v>
      </c>
      <c r="BQ107" s="47">
        <f ca="1">SUMIFS(DB_25[DT-DB25],DB_25[Mã khách],KH_26_OPT4_KTQT_v4[[#This Row],[Mã khách]],DB_25[Mã sản phẩm],KH_26_OPT4_KTQT_v4[[#This Row],[Mã sản phẩm]])</f>
        <v>614276986.0540812</v>
      </c>
      <c r="BR107" s="47">
        <f ca="1">KH_26_OPT4_KTQT_v4[[#This Row],[DT-EXW-KH26]]-KH_26_OPT4_KTQT_v4[[#This Row],[DT-EXW-DB25]]</f>
        <v>-614276986.0540812</v>
      </c>
      <c r="BS107" s="21">
        <f ca="1">IFERROR(KH_26_OPT4_KTQT_v4[[#This Row],[DT-EXW-+/-]]/KH_26_OPT4_KTQT_v4[[#This Row],[DT-EXW-DB25]],0)</f>
        <v>-1</v>
      </c>
      <c r="BT107" s="139"/>
      <c r="BU107" s="57"/>
      <c r="BV107" s="51"/>
      <c r="BW107" s="47">
        <f>IF(KH_26_OPT4_KTQT_v4[[#This Row],[CPHH-%-SL]]="Dthu",KH_26_OPT4_KTQT_v4[[#This Row],[%HH]]*KH_26_OPT4_KTQT_v4[[#This Row],[DT-EXW-01]],KH_26_OPT4_KTQT_v4[[#This Row],[HH-SL]]*KH_26_OPT4_KTQT_v4[[#This Row],[SL-01]])</f>
        <v>0</v>
      </c>
      <c r="BX107" s="47">
        <f>IF(KH_26_OPT4_KTQT_v4[[#This Row],[CPHH-%-SL]]="Dthu",KH_26_OPT4_KTQT_v4[[#This Row],[%HH]]*KH_26_OPT4_KTQT_v4[[#This Row],[DT-EXW-02]],KH_26_OPT4_KTQT_v4[[#This Row],[HH-SL]]*KH_26_OPT4_KTQT_v4[[#This Row],[SL-02]])</f>
        <v>0</v>
      </c>
      <c r="BY107" s="47">
        <f>IF(KH_26_OPT4_KTQT_v4[[#This Row],[CPHH-%-SL]]="Dthu",KH_26_OPT4_KTQT_v4[[#This Row],[%HH]]*KH_26_OPT4_KTQT_v4[[#This Row],[DT-EXW-03]],KH_26_OPT4_KTQT_v4[[#This Row],[HH-SL]]*KH_26_OPT4_KTQT_v4[[#This Row],[SL-03]])</f>
        <v>0</v>
      </c>
      <c r="BZ107" s="47">
        <f>IF(KH_26_OPT4_KTQT_v4[[#This Row],[CPHH-%-SL]]="Dthu",KH_26_OPT4_KTQT_v4[[#This Row],[%HH]]*KH_26_OPT4_KTQT_v4[[#This Row],[DT-EXW-04]],KH_26_OPT4_KTQT_v4[[#This Row],[HH-SL]]*KH_26_OPT4_KTQT_v4[[#This Row],[SL-04]])</f>
        <v>0</v>
      </c>
      <c r="CA107" s="47">
        <f>IF(KH_26_OPT4_KTQT_v4[[#This Row],[CPHH-%-SL]]="Dthu",KH_26_OPT4_KTQT_v4[[#This Row],[%HH]]*KH_26_OPT4_KTQT_v4[[#This Row],[DT-EXW-05]],KH_26_OPT4_KTQT_v4[[#This Row],[HH-SL]]*KH_26_OPT4_KTQT_v4[[#This Row],[SL-05]])</f>
        <v>0</v>
      </c>
      <c r="CB107" s="47">
        <f>IF(KH_26_OPT4_KTQT_v4[[#This Row],[CPHH-%-SL]]="Dthu",KH_26_OPT4_KTQT_v4[[#This Row],[%HH]]*KH_26_OPT4_KTQT_v4[[#This Row],[DT-EXW-06]],KH_26_OPT4_KTQT_v4[[#This Row],[HH-SL]]*KH_26_OPT4_KTQT_v4[[#This Row],[SL-06]])</f>
        <v>0</v>
      </c>
      <c r="CC107" s="47">
        <f>IF(KH_26_OPT4_KTQT_v4[[#This Row],[CPHH-%-SL]]="Dthu",KH_26_OPT4_KTQT_v4[[#This Row],[%HH]]*KH_26_OPT4_KTQT_v4[[#This Row],[DT-EXW-07]],KH_26_OPT4_KTQT_v4[[#This Row],[HH-SL]]*KH_26_OPT4_KTQT_v4[[#This Row],[SL-07]])</f>
        <v>0</v>
      </c>
      <c r="CD107" s="47">
        <f>IF(KH_26_OPT4_KTQT_v4[[#This Row],[CPHH-%-SL]]="Dthu",KH_26_OPT4_KTQT_v4[[#This Row],[%HH]]*KH_26_OPT4_KTQT_v4[[#This Row],[DT-EXW-08]],KH_26_OPT4_KTQT_v4[[#This Row],[HH-SL]]*KH_26_OPT4_KTQT_v4[[#This Row],[SL-08]])</f>
        <v>0</v>
      </c>
      <c r="CE107" s="47">
        <f>IF(KH_26_OPT4_KTQT_v4[[#This Row],[CPHH-%-SL]]="Dthu",KH_26_OPT4_KTQT_v4[[#This Row],[%HH]]*KH_26_OPT4_KTQT_v4[[#This Row],[DT-EXW-09]],KH_26_OPT4_KTQT_v4[[#This Row],[HH-SL]]*KH_26_OPT4_KTQT_v4[[#This Row],[SL-09]])</f>
        <v>0</v>
      </c>
      <c r="CF107" s="47">
        <f>IF(KH_26_OPT4_KTQT_v4[[#This Row],[CPHH-%-SL]]="Dthu",KH_26_OPT4_KTQT_v4[[#This Row],[%HH]]*KH_26_OPT4_KTQT_v4[[#This Row],[DT-EXW-10]],KH_26_OPT4_KTQT_v4[[#This Row],[HH-SL]]*KH_26_OPT4_KTQT_v4[[#This Row],[SL-10]])</f>
        <v>0</v>
      </c>
      <c r="CG107" s="47">
        <f>IF(KH_26_OPT4_KTQT_v4[[#This Row],[CPHH-%-SL]]="Dthu",KH_26_OPT4_KTQT_v4[[#This Row],[%HH]]*KH_26_OPT4_KTQT_v4[[#This Row],[DT-EXW-11]],KH_26_OPT4_KTQT_v4[[#This Row],[HH-SL]]*KH_26_OPT4_KTQT_v4[[#This Row],[SL-11]])</f>
        <v>0</v>
      </c>
      <c r="CH107" s="47">
        <f>IF(KH_26_OPT4_KTQT_v4[[#This Row],[CPHH-%-SL]]="Dthu",KH_26_OPT4_KTQT_v4[[#This Row],[%HH]]*KH_26_OPT4_KTQT_v4[[#This Row],[DT-EXW-12]],KH_26_OPT4_KTQT_v4[[#This Row],[HH-SL]]*KH_26_OPT4_KTQT_v4[[#This Row],[SL-12]])</f>
        <v>0</v>
      </c>
      <c r="CI107" s="47">
        <f ca="1">SUM(KH_26_OPT4_KTQT_v4[[#This Row],[CPHH-01]:[CPHH-12]])</f>
        <v>0</v>
      </c>
      <c r="CJ107" s="47" cm="1">
        <f t="array" ref="CJ107">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07" s="19">
        <f ca="1">SUM(KH_26_OPT4_KTQT_v4[[#This Row],[ĐGVCNĐ-KXK]:[ĐGVCCT-KXK]])</f>
        <v>0</v>
      </c>
      <c r="CL107" s="47" cm="1">
        <f t="array" ref="CL107">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107" s="47" cm="1">
        <f t="array" ref="CM107">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07" s="47">
        <f ca="1">(KH_26_OPT4_KTQT_v4[[#This Row],[ĐGVC-KNĐ]]+KH_26_OPT4_KTQT_v4[[#This Row],[ĐGVC-KXK]])*KH_26_OPT4_KTQT_v4[[#This Row],[SL-01]]</f>
        <v>0</v>
      </c>
      <c r="CO107" s="47">
        <f ca="1">(KH_26_OPT4_KTQT_v4[[#This Row],[ĐGVC-KNĐ]]+KH_26_OPT4_KTQT_v4[[#This Row],[ĐGVC-KXK]])*KH_26_OPT4_KTQT_v4[[#This Row],[SL-02]]</f>
        <v>0</v>
      </c>
      <c r="CP107" s="47">
        <f ca="1">(KH_26_OPT4_KTQT_v4[[#This Row],[ĐGVC-KNĐ]]+KH_26_OPT4_KTQT_v4[[#This Row],[ĐGVC-KXK]])*KH_26_OPT4_KTQT_v4[[#This Row],[SL-03]]</f>
        <v>0</v>
      </c>
      <c r="CQ107" s="47">
        <f ca="1">(KH_26_OPT4_KTQT_v4[[#This Row],[ĐGVC-KNĐ]]+KH_26_OPT4_KTQT_v4[[#This Row],[ĐGVC-KXK]])*KH_26_OPT4_KTQT_v4[[#This Row],[SL-04]]</f>
        <v>0</v>
      </c>
      <c r="CR107" s="47">
        <f ca="1">(KH_26_OPT4_KTQT_v4[[#This Row],[ĐGVC-KNĐ]]+KH_26_OPT4_KTQT_v4[[#This Row],[ĐGVC-KXK]])*KH_26_OPT4_KTQT_v4[[#This Row],[SL-05]]</f>
        <v>0</v>
      </c>
      <c r="CS107" s="47">
        <f ca="1">(KH_26_OPT4_KTQT_v4[[#This Row],[ĐGVC-KNĐ]]+KH_26_OPT4_KTQT_v4[[#This Row],[ĐGVC-KXK]])*KH_26_OPT4_KTQT_v4[[#This Row],[SL-06]]</f>
        <v>0</v>
      </c>
      <c r="CT107" s="47">
        <f ca="1">(KH_26_OPT4_KTQT_v4[[#This Row],[ĐGVC-KNĐ]]+KH_26_OPT4_KTQT_v4[[#This Row],[ĐGVC-KXK]])*KH_26_OPT4_KTQT_v4[[#This Row],[SL-07]]</f>
        <v>0</v>
      </c>
      <c r="CU107" s="47">
        <f ca="1">(KH_26_OPT4_KTQT_v4[[#This Row],[ĐGVC-KNĐ]]+KH_26_OPT4_KTQT_v4[[#This Row],[ĐGVC-KXK]])*KH_26_OPT4_KTQT_v4[[#This Row],[SL-08]]</f>
        <v>0</v>
      </c>
      <c r="CV107" s="47">
        <f ca="1">(KH_26_OPT4_KTQT_v4[[#This Row],[ĐGVC-KNĐ]]+KH_26_OPT4_KTQT_v4[[#This Row],[ĐGVC-KXK]])*KH_26_OPT4_KTQT_v4[[#This Row],[SL-09]]</f>
        <v>0</v>
      </c>
      <c r="CW107" s="47">
        <f ca="1">(KH_26_OPT4_KTQT_v4[[#This Row],[ĐGVC-KNĐ]]+KH_26_OPT4_KTQT_v4[[#This Row],[ĐGVC-KXK]])*KH_26_OPT4_KTQT_v4[[#This Row],[SL-10]]</f>
        <v>0</v>
      </c>
      <c r="CX107" s="47">
        <f ca="1">(KH_26_OPT4_KTQT_v4[[#This Row],[ĐGVC-KNĐ]]+KH_26_OPT4_KTQT_v4[[#This Row],[ĐGVC-KXK]])*KH_26_OPT4_KTQT_v4[[#This Row],[SL-11]]</f>
        <v>0</v>
      </c>
      <c r="CY107" s="47">
        <f ca="1">(KH_26_OPT4_KTQT_v4[[#This Row],[ĐGVC-KNĐ]]+KH_26_OPT4_KTQT_v4[[#This Row],[ĐGVC-KXK]])*KH_26_OPT4_KTQT_v4[[#This Row],[SL-12]]</f>
        <v>0</v>
      </c>
      <c r="CZ107" s="47">
        <f ca="1">SUM(KH_26_OPT4_KTQT_v4[[#This Row],[CPVC-01]:[CPVC-12]])</f>
        <v>0</v>
      </c>
      <c r="DA107" s="124">
        <f ca="1">KH_26_OPT4_KTQT_v4[[#This Row],[DT-EXW-01]]+KH_26_OPT4_KTQT_v4[[#This Row],[CPVC-01]]+KH_26_OPT4_KTQT_v4[[#This Row],[CPHH-01]]</f>
        <v>0</v>
      </c>
      <c r="DB107" s="47">
        <f ca="1">KH_26_OPT4_KTQT_v4[[#This Row],[DT-EXW-02]]+KH_26_OPT4_KTQT_v4[[#This Row],[CPVC-02]]+KH_26_OPT4_KTQT_v4[[#This Row],[CPHH-02]]</f>
        <v>0</v>
      </c>
      <c r="DC107" s="47">
        <f ca="1">KH_26_OPT4_KTQT_v4[[#This Row],[DT-EXW-03]]+KH_26_OPT4_KTQT_v4[[#This Row],[CPVC-03]]+KH_26_OPT4_KTQT_v4[[#This Row],[CPHH-03]]</f>
        <v>0</v>
      </c>
      <c r="DD107" s="47">
        <f ca="1">KH_26_OPT4_KTQT_v4[[#This Row],[DT-EXW-04]]+KH_26_OPT4_KTQT_v4[[#This Row],[CPVC-04]]+KH_26_OPT4_KTQT_v4[[#This Row],[CPHH-04]]</f>
        <v>0</v>
      </c>
      <c r="DE107" s="47">
        <f ca="1">KH_26_OPT4_KTQT_v4[[#This Row],[DT-EXW-05]]+KH_26_OPT4_KTQT_v4[[#This Row],[CPVC-05]]+KH_26_OPT4_KTQT_v4[[#This Row],[CPHH-05]]</f>
        <v>0</v>
      </c>
      <c r="DF107" s="47">
        <f ca="1">KH_26_OPT4_KTQT_v4[[#This Row],[DT-EXW-06]]+KH_26_OPT4_KTQT_v4[[#This Row],[CPVC-06]]+KH_26_OPT4_KTQT_v4[[#This Row],[CPHH-06]]</f>
        <v>0</v>
      </c>
      <c r="DG107" s="47">
        <f ca="1">KH_26_OPT4_KTQT_v4[[#This Row],[DT-EXW-07]]+KH_26_OPT4_KTQT_v4[[#This Row],[CPVC-07]]+KH_26_OPT4_KTQT_v4[[#This Row],[CPHH-07]]</f>
        <v>0</v>
      </c>
      <c r="DH107" s="47">
        <f ca="1">KH_26_OPT4_KTQT_v4[[#This Row],[DT-EXW-08]]+KH_26_OPT4_KTQT_v4[[#This Row],[CPVC-08]]+KH_26_OPT4_KTQT_v4[[#This Row],[CPHH-08]]</f>
        <v>0</v>
      </c>
      <c r="DI107" s="47">
        <f ca="1">KH_26_OPT4_KTQT_v4[[#This Row],[DT-EXW-09]]+KH_26_OPT4_KTQT_v4[[#This Row],[CPVC-09]]+KH_26_OPT4_KTQT_v4[[#This Row],[CPHH-09]]</f>
        <v>0</v>
      </c>
      <c r="DJ107" s="47">
        <f ca="1">KH_26_OPT4_KTQT_v4[[#This Row],[DT-EXW-10]]+KH_26_OPT4_KTQT_v4[[#This Row],[CPVC-10]]+KH_26_OPT4_KTQT_v4[[#This Row],[CPHH-10]]</f>
        <v>0</v>
      </c>
      <c r="DK107" s="47">
        <f ca="1">KH_26_OPT4_KTQT_v4[[#This Row],[DT-EXW-11]]+KH_26_OPT4_KTQT_v4[[#This Row],[CPVC-11]]+KH_26_OPT4_KTQT_v4[[#This Row],[CPHH-11]]</f>
        <v>0</v>
      </c>
      <c r="DL107" s="47">
        <f ca="1">KH_26_OPT4_KTQT_v4[[#This Row],[DT-EXW-12]]+KH_26_OPT4_KTQT_v4[[#This Row],[CPVC-12]]+KH_26_OPT4_KTQT_v4[[#This Row],[CPHH-12]]</f>
        <v>0</v>
      </c>
      <c r="DM107" s="47">
        <f ca="1">SUM(KH_26_OPT4_KTQT_v4[[#This Row],[DT-01]:[DT-12]])</f>
        <v>0</v>
      </c>
      <c r="DN107" s="7"/>
      <c r="DO107" s="7"/>
      <c r="DP107" s="125"/>
      <c r="DQ107" s="136"/>
      <c r="DR107" s="132">
        <f>IFERROR(KH_26_OPT4_KTQT_v4[[#This Row],[DT-EXW-01]]*KH_26_OPT4_KTQT_v4[[#This Row],[%CPDP]],0)</f>
        <v>0</v>
      </c>
      <c r="DS107" s="132">
        <f>IFERROR(KH_26_OPT4_KTQT_v4[[#This Row],[DT-EXW-02]]*KH_26_OPT4_KTQT_v4[[#This Row],[%CPDP]],0)</f>
        <v>0</v>
      </c>
      <c r="DT107" s="132">
        <f>IFERROR(KH_26_OPT4_KTQT_v4[[#This Row],[DT-EXW-03]]*KH_26_OPT4_KTQT_v4[[#This Row],[%CPDP]],0)</f>
        <v>0</v>
      </c>
      <c r="DU107" s="132">
        <f>IFERROR(KH_26_OPT4_KTQT_v4[[#This Row],[DT-EXW-04]]*KH_26_OPT4_KTQT_v4[[#This Row],[%CPDP]],0)</f>
        <v>0</v>
      </c>
      <c r="DV107" s="132">
        <f>IFERROR(KH_26_OPT4_KTQT_v4[[#This Row],[DT-EXW-05]]*KH_26_OPT4_KTQT_v4[[#This Row],[%CPDP]],0)</f>
        <v>0</v>
      </c>
      <c r="DW107" s="132">
        <f>IFERROR(KH_26_OPT4_KTQT_v4[[#This Row],[DT-EXW-06]]*KH_26_OPT4_KTQT_v4[[#This Row],[%CPDP]],0)</f>
        <v>0</v>
      </c>
      <c r="DX107" s="132">
        <f>IFERROR(KH_26_OPT4_KTQT_v4[[#This Row],[DT-EXW-07]]*KH_26_OPT4_KTQT_v4[[#This Row],[%CPDP]],0)</f>
        <v>0</v>
      </c>
      <c r="DY107" s="132">
        <f>IFERROR(KH_26_OPT4_KTQT_v4[[#This Row],[DT-EXW-08]]*KH_26_OPT4_KTQT_v4[[#This Row],[%CPDP]],0)</f>
        <v>0</v>
      </c>
      <c r="DZ107" s="132">
        <f>IFERROR(KH_26_OPT4_KTQT_v4[[#This Row],[DT-EXW-09]]*KH_26_OPT4_KTQT_v4[[#This Row],[%CPDP]],0)</f>
        <v>0</v>
      </c>
      <c r="EA107" s="132">
        <f>IFERROR(KH_26_OPT4_KTQT_v4[[#This Row],[DT-EXW-10]]*KH_26_OPT4_KTQT_v4[[#This Row],[%CPDP]],0)</f>
        <v>0</v>
      </c>
      <c r="EB107" s="132">
        <f>IFERROR(KH_26_OPT4_KTQT_v4[[#This Row],[DT-EXW-11]]*KH_26_OPT4_KTQT_v4[[#This Row],[%CPDP]],0)</f>
        <v>0</v>
      </c>
      <c r="EC107" s="132">
        <f>IFERROR(KH_26_OPT4_KTQT_v4[[#This Row],[DT-EXW-12]]*KH_26_OPT4_KTQT_v4[[#This Row],[%CPDP]],0)</f>
        <v>0</v>
      </c>
      <c r="ED107" s="131">
        <f ca="1">SUM(KH_26_OPT4_KTQT_v4[[#This Row],[CPDP-01]:[CPDP-12]])</f>
        <v>0</v>
      </c>
    </row>
    <row r="108" spans="1:134" ht="14.65" hidden="1" customHeight="1" x14ac:dyDescent="0.35">
      <c r="A108" s="18">
        <v>103</v>
      </c>
      <c r="B108" s="71" t="s">
        <v>115</v>
      </c>
      <c r="C108" s="18" t="str">
        <f>IFERROR(_xlfn.XLOOKUP(KH_26_OPT4_KTQT_v4[[#This Row],[Salesman]],MD_Salesman[Salesman],MD_Salesman[SalesManager]),"")</f>
        <v>Quốc Anh</v>
      </c>
      <c r="D108" s="72" t="str">
        <f>IFERROR(INDEX(MD_Customer[Mã khách],MATCH(KH_26_OPT4_KTQT_v4[[#This Row],[Tên khách]],MD_Customer[Tên khách-rút gọn],0)),"")</f>
        <v>105330</v>
      </c>
      <c r="E108" s="7" t="str">
        <f>IFERROR(INDEX(MD_Customer[Parent Account],MATCH(KH_26_OPT4_KTQT_v4[[#This Row],[Tên khách]],MD_Customer[Tên khách-rút gọn],0)),"")</f>
        <v>Việt Thành Plast</v>
      </c>
      <c r="F108" s="35" t="s">
        <v>106</v>
      </c>
      <c r="G108" s="7" t="str">
        <f>IFERROR(INDEX(MD_Customer[Phân loại],MATCH(KH_26_OPT4_KTQT_v4[[#This Row],[Tên khách]],MD_Customer[Tên khách-rút gọn],0)),"")</f>
        <v>Hiện hữu</v>
      </c>
      <c r="H108" s="7" t="str">
        <f>IFERROR(INDEX(MD_Customer[Kênh bán hàng],MATCH(KH_26_OPT4_KTQT_v4[[#This Row],[Tên khách]],MD_Customer[Tên khách-rút gọn],0)),"")</f>
        <v>Nội địa</v>
      </c>
      <c r="I108" s="35" t="s">
        <v>258</v>
      </c>
      <c r="J108" s="7" t="str">
        <f>IFERROR(INDEX(MD_Destination[Nước],MATCH(KH_26_OPT4_KTQT_v4[[#This Row],[Địa điểm đến]],MD_Destination[Địa điểm đến],0)),"")</f>
        <v>Việt Nam</v>
      </c>
      <c r="K108" s="7" t="str">
        <f>IFERROR(INDEX(MD_Destination[Khu vực],MATCH(KH_26_OPT4_KTQT_v4[[#This Row],[Địa điểm đến]],MD_Destination[Địa điểm đến],0)),"")</f>
        <v>Châu Á</v>
      </c>
      <c r="L108" s="35" t="s">
        <v>262</v>
      </c>
      <c r="M108" s="7" t="str">
        <f>IFERROR(INDEX(MD_SKU[Mã SKU],MATCH(KH_26_OPT4_KTQT_v4[[#This Row],[Tên sản phẩm]],MD_SKU[Tên SKU-rút gọn],0)),"")</f>
        <v>110000359</v>
      </c>
      <c r="N108" s="35" t="s">
        <v>468</v>
      </c>
      <c r="O108" s="7" t="str">
        <f>IFERROR(INDEX(MD_SKU[Ngành hàng],MATCH(KH_26_OPT4_KTQT_v4[[#This Row],[Tên sản phẩm]],MD_SKU[Tên SKU-rút gọn],0)),"")</f>
        <v>rPET</v>
      </c>
      <c r="P108" s="7" t="str">
        <f>IFERROR(INDEX(MD_SKU[Nhóm ngành],MATCH(KH_26_OPT4_KTQT_v4[[#This Row],[Tên sản phẩm]],MD_SKU[Tên SKU-rút gọn],0)),"")</f>
        <v>Hạt PET</v>
      </c>
      <c r="Q108" s="7" t="str">
        <f>IFERROR(
   IF(INDEX(MD_SKU[IV/IM],MATCH(KH_26_OPT4_KTQT_v4[[#This Row],[Tên sản phẩm]],MD_SKU[Tên SKU-rút gọn],0))=0,
      "",
      INDEX(MD_SKU[IV/IM],MATCH(KH_26_OPT4_KTQT_v4[[#This Row],[Tên sản phẩm]],MD_SKU[Tên SKU-rút gọn],0))
   ),
"")</f>
        <v>0.70 ± 0.02</v>
      </c>
      <c r="R108" s="44">
        <f>IFERROR(INDEX(MD_SKU[Application],MATCH(KH_26_OPT4_KTQT_v4[[#This Row],[Tên sản phẩm]],MD_SKU[Tên SKU-rút gọn],0)),"")</f>
        <v>0</v>
      </c>
      <c r="S108" s="7" t="str">
        <f>IFERROR(INDEX(MD_SKU[Phân loại],MATCH(KH_26_OPT4_KTQT_v4[[#This Row],[Tên sản phẩm]],MD_SKU[Tên SKU-rút gọn],0)),"")</f>
        <v>Cũ</v>
      </c>
      <c r="T108" s="7" t="s">
        <v>542</v>
      </c>
      <c r="U108" s="157" t="s">
        <v>1508</v>
      </c>
      <c r="V108" s="70">
        <v>0.8</v>
      </c>
      <c r="W108" s="33">
        <v>5.5</v>
      </c>
      <c r="X108" s="33"/>
      <c r="Y108" s="33">
        <v>5.5</v>
      </c>
      <c r="Z108" s="33"/>
      <c r="AA108" s="33"/>
      <c r="AB108" s="33">
        <v>5.5</v>
      </c>
      <c r="AC108" s="33"/>
      <c r="AD108" s="33">
        <v>5.5</v>
      </c>
      <c r="AE108" s="33"/>
      <c r="AF108" s="33">
        <v>5.5</v>
      </c>
      <c r="AG108" s="33"/>
      <c r="AH108" s="33"/>
      <c r="AI108" s="47">
        <f ca="1">SUM(KH_26_OPT4_KTQT_v4[[#This Row],[SL-01]:[SL-12]])</f>
        <v>27.5</v>
      </c>
      <c r="AJ108" s="47">
        <f ca="1">SUMIFS(DB_25[SL-DB25],DB_25[Mã khách],KH_26_OPT4_KTQT_v4[[#This Row],[Mã khách]],DB_25[Mã sản phẩm],KH_26_OPT4_KTQT_v4[[#This Row],[Mã sản phẩm]])</f>
        <v>1.1000000000000001</v>
      </c>
      <c r="AK108" s="20">
        <f ca="1">KH_26_OPT4_KTQT_v4[[#This Row],[SL-KH26]]-KH_26_OPT4_KTQT_v4[[#This Row],[SL-DB25]]</f>
        <v>26.4</v>
      </c>
      <c r="AL108" s="21">
        <f ca="1">IFERROR(KH_26_OPT4_KTQT_v4[[#This Row],[SL-+/-]]/KH_26_OPT4_KTQT_v4[[#This Row],[SL-DB25]],0)</f>
        <v>23.999999999999996</v>
      </c>
      <c r="AM108" s="51">
        <v>970</v>
      </c>
      <c r="AN108" s="51">
        <v>970</v>
      </c>
      <c r="AO108" s="51">
        <v>970</v>
      </c>
      <c r="AP108" s="51">
        <v>970</v>
      </c>
      <c r="AQ108" s="51">
        <v>970</v>
      </c>
      <c r="AR108" s="51">
        <v>970</v>
      </c>
      <c r="AS108" s="51">
        <v>970</v>
      </c>
      <c r="AT108" s="51">
        <v>970</v>
      </c>
      <c r="AU108" s="51">
        <v>970</v>
      </c>
      <c r="AV108" s="51">
        <v>970</v>
      </c>
      <c r="AW108" s="51">
        <v>970</v>
      </c>
      <c r="AX108" s="51">
        <v>970</v>
      </c>
      <c r="AY108" s="23">
        <v>970</v>
      </c>
      <c r="AZ108" s="7"/>
      <c r="BA108" s="24">
        <f>KH_26_OPT4_KTQT_v4[[#This Row],[GB-DB25]]-KH_26_OPT4_KTQT_v4[[#This Row],[GB-KH25]]</f>
        <v>970</v>
      </c>
      <c r="BB108" s="21">
        <f>IFERROR(KH_26_OPT4_KTQT_v4[[#This Row],[GB-+/-]]/KH_26_OPT4_KTQT_v4[[#This Row],[GB-KH25]],0)</f>
        <v>0</v>
      </c>
      <c r="BC108" s="21"/>
      <c r="BD108" s="47">
        <f>KH_26_OPT4_KTQT_v4[[#This Row],[SL-01]]*KH_26_OPT4_KTQT_v4[[#This Row],[GB-01]]*EXR</f>
        <v>141377500</v>
      </c>
      <c r="BE108" s="47">
        <f>KH_26_OPT4_KTQT_v4[[#This Row],[SL-02]]*KH_26_OPT4_KTQT_v4[[#This Row],[GB-02]]*EXR</f>
        <v>0</v>
      </c>
      <c r="BF108" s="47">
        <f>KH_26_OPT4_KTQT_v4[[#This Row],[SL-03]]*KH_26_OPT4_KTQT_v4[[#This Row],[GB-03]]*EXR</f>
        <v>141377500</v>
      </c>
      <c r="BG108" s="47">
        <f>KH_26_OPT4_KTQT_v4[[#This Row],[SL-04]]*KH_26_OPT4_KTQT_v4[[#This Row],[GB-04]]*EXR</f>
        <v>0</v>
      </c>
      <c r="BH108" s="47">
        <f>KH_26_OPT4_KTQT_v4[[#This Row],[SL-05]]*KH_26_OPT4_KTQT_v4[[#This Row],[GB-05]]*EXR</f>
        <v>0</v>
      </c>
      <c r="BI108" s="47">
        <f>KH_26_OPT4_KTQT_v4[[#This Row],[SL-06]]*KH_26_OPT4_KTQT_v4[[#This Row],[GB-06]]*EXR</f>
        <v>141377500</v>
      </c>
      <c r="BJ108" s="47">
        <f>KH_26_OPT4_KTQT_v4[[#This Row],[SL-07]]*KH_26_OPT4_KTQT_v4[[#This Row],[GB-07]]*EXR</f>
        <v>0</v>
      </c>
      <c r="BK108" s="47">
        <f>KH_26_OPT4_KTQT_v4[[#This Row],[SL-08]]*KH_26_OPT4_KTQT_v4[[#This Row],[GB-08]]*EXR</f>
        <v>141377500</v>
      </c>
      <c r="BL108" s="47">
        <f>KH_26_OPT4_KTQT_v4[[#This Row],[SL-09]]*KH_26_OPT4_KTQT_v4[[#This Row],[GB-09]]*EXR</f>
        <v>0</v>
      </c>
      <c r="BM108" s="47">
        <f>KH_26_OPT4_KTQT_v4[[#This Row],[SL-10]]*KH_26_OPT4_KTQT_v4[[#This Row],[GB-10]]*EXR</f>
        <v>141377500</v>
      </c>
      <c r="BN108" s="47">
        <f>KH_26_OPT4_KTQT_v4[[#This Row],[SL-11]]*KH_26_OPT4_KTQT_v4[[#This Row],[GB-11]]*EXR</f>
        <v>0</v>
      </c>
      <c r="BO108" s="47">
        <f>KH_26_OPT4_KTQT_v4[[#This Row],[SL-12]]*KH_26_OPT4_KTQT_v4[[#This Row],[GB-12]]*EXR</f>
        <v>0</v>
      </c>
      <c r="BP108" s="47">
        <f ca="1">SUM(KH_26_OPT4_KTQT_v4[[#This Row],[DT-EXW-01]:[DT-EXW-12]])</f>
        <v>706887500</v>
      </c>
      <c r="BQ108" s="47">
        <f ca="1">SUMIFS(DB_25[DT-DB25],DB_25[Mã khách],KH_26_OPT4_KTQT_v4[[#This Row],[Mã khách]],DB_25[Mã sản phẩm],KH_26_OPT4_KTQT_v4[[#This Row],[Mã sản phẩm]])</f>
        <v>31505250.974885844</v>
      </c>
      <c r="BR108" s="47">
        <f ca="1">KH_26_OPT4_KTQT_v4[[#This Row],[DT-EXW-KH26]]-KH_26_OPT4_KTQT_v4[[#This Row],[DT-EXW-DB25]]</f>
        <v>675382249.02511418</v>
      </c>
      <c r="BS108" s="21">
        <f ca="1">IFERROR(KH_26_OPT4_KTQT_v4[[#This Row],[DT-EXW-+/-]]/KH_26_OPT4_KTQT_v4[[#This Row],[DT-EXW-DB25]],0)</f>
        <v>21.437132799338425</v>
      </c>
      <c r="BT108" s="139"/>
      <c r="BU108" s="57"/>
      <c r="BV108" s="51"/>
      <c r="BW108" s="47">
        <f>IF(KH_26_OPT4_KTQT_v4[[#This Row],[CPHH-%-SL]]="Dthu",KH_26_OPT4_KTQT_v4[[#This Row],[%HH]]*KH_26_OPT4_KTQT_v4[[#This Row],[DT-EXW-01]],KH_26_OPT4_KTQT_v4[[#This Row],[HH-SL]]*KH_26_OPT4_KTQT_v4[[#This Row],[SL-01]])</f>
        <v>0</v>
      </c>
      <c r="BX108" s="47">
        <f>IF(KH_26_OPT4_KTQT_v4[[#This Row],[CPHH-%-SL]]="Dthu",KH_26_OPT4_KTQT_v4[[#This Row],[%HH]]*KH_26_OPT4_KTQT_v4[[#This Row],[DT-EXW-02]],KH_26_OPT4_KTQT_v4[[#This Row],[HH-SL]]*KH_26_OPT4_KTQT_v4[[#This Row],[SL-02]])</f>
        <v>0</v>
      </c>
      <c r="BY108" s="47">
        <f>IF(KH_26_OPT4_KTQT_v4[[#This Row],[CPHH-%-SL]]="Dthu",KH_26_OPT4_KTQT_v4[[#This Row],[%HH]]*KH_26_OPT4_KTQT_v4[[#This Row],[DT-EXW-03]],KH_26_OPT4_KTQT_v4[[#This Row],[HH-SL]]*KH_26_OPT4_KTQT_v4[[#This Row],[SL-03]])</f>
        <v>0</v>
      </c>
      <c r="BZ108" s="47">
        <f>IF(KH_26_OPT4_KTQT_v4[[#This Row],[CPHH-%-SL]]="Dthu",KH_26_OPT4_KTQT_v4[[#This Row],[%HH]]*KH_26_OPT4_KTQT_v4[[#This Row],[DT-EXW-04]],KH_26_OPT4_KTQT_v4[[#This Row],[HH-SL]]*KH_26_OPT4_KTQT_v4[[#This Row],[SL-04]])</f>
        <v>0</v>
      </c>
      <c r="CA108" s="47">
        <f>IF(KH_26_OPT4_KTQT_v4[[#This Row],[CPHH-%-SL]]="Dthu",KH_26_OPT4_KTQT_v4[[#This Row],[%HH]]*KH_26_OPT4_KTQT_v4[[#This Row],[DT-EXW-05]],KH_26_OPT4_KTQT_v4[[#This Row],[HH-SL]]*KH_26_OPT4_KTQT_v4[[#This Row],[SL-05]])</f>
        <v>0</v>
      </c>
      <c r="CB108" s="47">
        <f>IF(KH_26_OPT4_KTQT_v4[[#This Row],[CPHH-%-SL]]="Dthu",KH_26_OPT4_KTQT_v4[[#This Row],[%HH]]*KH_26_OPT4_KTQT_v4[[#This Row],[DT-EXW-06]],KH_26_OPT4_KTQT_v4[[#This Row],[HH-SL]]*KH_26_OPT4_KTQT_v4[[#This Row],[SL-06]])</f>
        <v>0</v>
      </c>
      <c r="CC108" s="47">
        <f>IF(KH_26_OPT4_KTQT_v4[[#This Row],[CPHH-%-SL]]="Dthu",KH_26_OPT4_KTQT_v4[[#This Row],[%HH]]*KH_26_OPT4_KTQT_v4[[#This Row],[DT-EXW-07]],KH_26_OPT4_KTQT_v4[[#This Row],[HH-SL]]*KH_26_OPT4_KTQT_v4[[#This Row],[SL-07]])</f>
        <v>0</v>
      </c>
      <c r="CD108" s="47">
        <f>IF(KH_26_OPT4_KTQT_v4[[#This Row],[CPHH-%-SL]]="Dthu",KH_26_OPT4_KTQT_v4[[#This Row],[%HH]]*KH_26_OPT4_KTQT_v4[[#This Row],[DT-EXW-08]],KH_26_OPT4_KTQT_v4[[#This Row],[HH-SL]]*KH_26_OPT4_KTQT_v4[[#This Row],[SL-08]])</f>
        <v>0</v>
      </c>
      <c r="CE108" s="47">
        <f>IF(KH_26_OPT4_KTQT_v4[[#This Row],[CPHH-%-SL]]="Dthu",KH_26_OPT4_KTQT_v4[[#This Row],[%HH]]*KH_26_OPT4_KTQT_v4[[#This Row],[DT-EXW-09]],KH_26_OPT4_KTQT_v4[[#This Row],[HH-SL]]*KH_26_OPT4_KTQT_v4[[#This Row],[SL-09]])</f>
        <v>0</v>
      </c>
      <c r="CF108" s="47">
        <f>IF(KH_26_OPT4_KTQT_v4[[#This Row],[CPHH-%-SL]]="Dthu",KH_26_OPT4_KTQT_v4[[#This Row],[%HH]]*KH_26_OPT4_KTQT_v4[[#This Row],[DT-EXW-10]],KH_26_OPT4_KTQT_v4[[#This Row],[HH-SL]]*KH_26_OPT4_KTQT_v4[[#This Row],[SL-10]])</f>
        <v>0</v>
      </c>
      <c r="CG108" s="47">
        <f>IF(KH_26_OPT4_KTQT_v4[[#This Row],[CPHH-%-SL]]="Dthu",KH_26_OPT4_KTQT_v4[[#This Row],[%HH]]*KH_26_OPT4_KTQT_v4[[#This Row],[DT-EXW-11]],KH_26_OPT4_KTQT_v4[[#This Row],[HH-SL]]*KH_26_OPT4_KTQT_v4[[#This Row],[SL-11]])</f>
        <v>0</v>
      </c>
      <c r="CH108" s="47">
        <f>IF(KH_26_OPT4_KTQT_v4[[#This Row],[CPHH-%-SL]]="Dthu",KH_26_OPT4_KTQT_v4[[#This Row],[%HH]]*KH_26_OPT4_KTQT_v4[[#This Row],[DT-EXW-12]],KH_26_OPT4_KTQT_v4[[#This Row],[HH-SL]]*KH_26_OPT4_KTQT_v4[[#This Row],[SL-12]])</f>
        <v>0</v>
      </c>
      <c r="CI108" s="47">
        <f ca="1">SUM(KH_26_OPT4_KTQT_v4[[#This Row],[CPHH-01]:[CPHH-12]])</f>
        <v>0</v>
      </c>
      <c r="CJ108" s="47" cm="1">
        <f t="array" ref="CJ108">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08" s="19">
        <f ca="1">SUM(KH_26_OPT4_KTQT_v4[[#This Row],[ĐGVCNĐ-KXK]:[ĐGVCCT-KXK]])</f>
        <v>0</v>
      </c>
      <c r="CL108" s="47" cm="1">
        <f t="array" ref="CL108">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108" s="47" cm="1">
        <f t="array" ref="CM108">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08" s="47">
        <f ca="1">(KH_26_OPT4_KTQT_v4[[#This Row],[ĐGVC-KNĐ]]+KH_26_OPT4_KTQT_v4[[#This Row],[ĐGVC-KXK]])*KH_26_OPT4_KTQT_v4[[#This Row],[SL-01]]</f>
        <v>0</v>
      </c>
      <c r="CO108" s="47">
        <f ca="1">(KH_26_OPT4_KTQT_v4[[#This Row],[ĐGVC-KNĐ]]+KH_26_OPT4_KTQT_v4[[#This Row],[ĐGVC-KXK]])*KH_26_OPT4_KTQT_v4[[#This Row],[SL-02]]</f>
        <v>0</v>
      </c>
      <c r="CP108" s="47">
        <f ca="1">(KH_26_OPT4_KTQT_v4[[#This Row],[ĐGVC-KNĐ]]+KH_26_OPT4_KTQT_v4[[#This Row],[ĐGVC-KXK]])*KH_26_OPT4_KTQT_v4[[#This Row],[SL-03]]</f>
        <v>0</v>
      </c>
      <c r="CQ108" s="47">
        <f ca="1">(KH_26_OPT4_KTQT_v4[[#This Row],[ĐGVC-KNĐ]]+KH_26_OPT4_KTQT_v4[[#This Row],[ĐGVC-KXK]])*KH_26_OPT4_KTQT_v4[[#This Row],[SL-04]]</f>
        <v>0</v>
      </c>
      <c r="CR108" s="47">
        <f ca="1">(KH_26_OPT4_KTQT_v4[[#This Row],[ĐGVC-KNĐ]]+KH_26_OPT4_KTQT_v4[[#This Row],[ĐGVC-KXK]])*KH_26_OPT4_KTQT_v4[[#This Row],[SL-05]]</f>
        <v>0</v>
      </c>
      <c r="CS108" s="47">
        <f ca="1">(KH_26_OPT4_KTQT_v4[[#This Row],[ĐGVC-KNĐ]]+KH_26_OPT4_KTQT_v4[[#This Row],[ĐGVC-KXK]])*KH_26_OPT4_KTQT_v4[[#This Row],[SL-06]]</f>
        <v>0</v>
      </c>
      <c r="CT108" s="47">
        <f ca="1">(KH_26_OPT4_KTQT_v4[[#This Row],[ĐGVC-KNĐ]]+KH_26_OPT4_KTQT_v4[[#This Row],[ĐGVC-KXK]])*KH_26_OPT4_KTQT_v4[[#This Row],[SL-07]]</f>
        <v>0</v>
      </c>
      <c r="CU108" s="47">
        <f ca="1">(KH_26_OPT4_KTQT_v4[[#This Row],[ĐGVC-KNĐ]]+KH_26_OPT4_KTQT_v4[[#This Row],[ĐGVC-KXK]])*KH_26_OPT4_KTQT_v4[[#This Row],[SL-08]]</f>
        <v>0</v>
      </c>
      <c r="CV108" s="47">
        <f ca="1">(KH_26_OPT4_KTQT_v4[[#This Row],[ĐGVC-KNĐ]]+KH_26_OPT4_KTQT_v4[[#This Row],[ĐGVC-KXK]])*KH_26_OPT4_KTQT_v4[[#This Row],[SL-09]]</f>
        <v>0</v>
      </c>
      <c r="CW108" s="47">
        <f ca="1">(KH_26_OPT4_KTQT_v4[[#This Row],[ĐGVC-KNĐ]]+KH_26_OPT4_KTQT_v4[[#This Row],[ĐGVC-KXK]])*KH_26_OPT4_KTQT_v4[[#This Row],[SL-10]]</f>
        <v>0</v>
      </c>
      <c r="CX108" s="47">
        <f ca="1">(KH_26_OPT4_KTQT_v4[[#This Row],[ĐGVC-KNĐ]]+KH_26_OPT4_KTQT_v4[[#This Row],[ĐGVC-KXK]])*KH_26_OPT4_KTQT_v4[[#This Row],[SL-11]]</f>
        <v>0</v>
      </c>
      <c r="CY108" s="47">
        <f ca="1">(KH_26_OPT4_KTQT_v4[[#This Row],[ĐGVC-KNĐ]]+KH_26_OPT4_KTQT_v4[[#This Row],[ĐGVC-KXK]])*KH_26_OPT4_KTQT_v4[[#This Row],[SL-12]]</f>
        <v>0</v>
      </c>
      <c r="CZ108" s="47">
        <f ca="1">SUM(KH_26_OPT4_KTQT_v4[[#This Row],[CPVC-01]:[CPVC-12]])</f>
        <v>0</v>
      </c>
      <c r="DA108" s="124">
        <f ca="1">KH_26_OPT4_KTQT_v4[[#This Row],[DT-EXW-01]]+KH_26_OPT4_KTQT_v4[[#This Row],[CPVC-01]]+KH_26_OPT4_KTQT_v4[[#This Row],[CPHH-01]]</f>
        <v>141377500</v>
      </c>
      <c r="DB108" s="47">
        <f ca="1">KH_26_OPT4_KTQT_v4[[#This Row],[DT-EXW-02]]+KH_26_OPT4_KTQT_v4[[#This Row],[CPVC-02]]+KH_26_OPT4_KTQT_v4[[#This Row],[CPHH-02]]</f>
        <v>0</v>
      </c>
      <c r="DC108" s="47">
        <f ca="1">KH_26_OPT4_KTQT_v4[[#This Row],[DT-EXW-03]]+KH_26_OPT4_KTQT_v4[[#This Row],[CPVC-03]]+KH_26_OPT4_KTQT_v4[[#This Row],[CPHH-03]]</f>
        <v>141377500</v>
      </c>
      <c r="DD108" s="47">
        <f ca="1">KH_26_OPT4_KTQT_v4[[#This Row],[DT-EXW-04]]+KH_26_OPT4_KTQT_v4[[#This Row],[CPVC-04]]+KH_26_OPT4_KTQT_v4[[#This Row],[CPHH-04]]</f>
        <v>0</v>
      </c>
      <c r="DE108" s="47">
        <f ca="1">KH_26_OPT4_KTQT_v4[[#This Row],[DT-EXW-05]]+KH_26_OPT4_KTQT_v4[[#This Row],[CPVC-05]]+KH_26_OPT4_KTQT_v4[[#This Row],[CPHH-05]]</f>
        <v>0</v>
      </c>
      <c r="DF108" s="47">
        <f ca="1">KH_26_OPT4_KTQT_v4[[#This Row],[DT-EXW-06]]+KH_26_OPT4_KTQT_v4[[#This Row],[CPVC-06]]+KH_26_OPT4_KTQT_v4[[#This Row],[CPHH-06]]</f>
        <v>141377500</v>
      </c>
      <c r="DG108" s="47">
        <f ca="1">KH_26_OPT4_KTQT_v4[[#This Row],[DT-EXW-07]]+KH_26_OPT4_KTQT_v4[[#This Row],[CPVC-07]]+KH_26_OPT4_KTQT_v4[[#This Row],[CPHH-07]]</f>
        <v>0</v>
      </c>
      <c r="DH108" s="47">
        <f ca="1">KH_26_OPT4_KTQT_v4[[#This Row],[DT-EXW-08]]+KH_26_OPT4_KTQT_v4[[#This Row],[CPVC-08]]+KH_26_OPT4_KTQT_v4[[#This Row],[CPHH-08]]</f>
        <v>141377500</v>
      </c>
      <c r="DI108" s="47">
        <f ca="1">KH_26_OPT4_KTQT_v4[[#This Row],[DT-EXW-09]]+KH_26_OPT4_KTQT_v4[[#This Row],[CPVC-09]]+KH_26_OPT4_KTQT_v4[[#This Row],[CPHH-09]]</f>
        <v>0</v>
      </c>
      <c r="DJ108" s="47">
        <f ca="1">KH_26_OPT4_KTQT_v4[[#This Row],[DT-EXW-10]]+KH_26_OPT4_KTQT_v4[[#This Row],[CPVC-10]]+KH_26_OPT4_KTQT_v4[[#This Row],[CPHH-10]]</f>
        <v>141377500</v>
      </c>
      <c r="DK108" s="47">
        <f ca="1">KH_26_OPT4_KTQT_v4[[#This Row],[DT-EXW-11]]+KH_26_OPT4_KTQT_v4[[#This Row],[CPVC-11]]+KH_26_OPT4_KTQT_v4[[#This Row],[CPHH-11]]</f>
        <v>0</v>
      </c>
      <c r="DL108" s="47">
        <f ca="1">KH_26_OPT4_KTQT_v4[[#This Row],[DT-EXW-12]]+KH_26_OPT4_KTQT_v4[[#This Row],[CPVC-12]]+KH_26_OPT4_KTQT_v4[[#This Row],[CPHH-12]]</f>
        <v>0</v>
      </c>
      <c r="DM108" s="47">
        <f ca="1">SUM(KH_26_OPT4_KTQT_v4[[#This Row],[DT-01]:[DT-12]])</f>
        <v>706887500</v>
      </c>
      <c r="DN108" s="7"/>
      <c r="DO108" s="7"/>
      <c r="DP108" s="125"/>
      <c r="DQ108" s="136"/>
      <c r="DR108" s="132">
        <f>IFERROR(KH_26_OPT4_KTQT_v4[[#This Row],[DT-EXW-01]]*KH_26_OPT4_KTQT_v4[[#This Row],[%CPDP]],0)</f>
        <v>0</v>
      </c>
      <c r="DS108" s="132">
        <f>IFERROR(KH_26_OPT4_KTQT_v4[[#This Row],[DT-EXW-02]]*KH_26_OPT4_KTQT_v4[[#This Row],[%CPDP]],0)</f>
        <v>0</v>
      </c>
      <c r="DT108" s="132">
        <f>IFERROR(KH_26_OPT4_KTQT_v4[[#This Row],[DT-EXW-03]]*KH_26_OPT4_KTQT_v4[[#This Row],[%CPDP]],0)</f>
        <v>0</v>
      </c>
      <c r="DU108" s="132">
        <f>IFERROR(KH_26_OPT4_KTQT_v4[[#This Row],[DT-EXW-04]]*KH_26_OPT4_KTQT_v4[[#This Row],[%CPDP]],0)</f>
        <v>0</v>
      </c>
      <c r="DV108" s="132">
        <f>IFERROR(KH_26_OPT4_KTQT_v4[[#This Row],[DT-EXW-05]]*KH_26_OPT4_KTQT_v4[[#This Row],[%CPDP]],0)</f>
        <v>0</v>
      </c>
      <c r="DW108" s="132">
        <f>IFERROR(KH_26_OPT4_KTQT_v4[[#This Row],[DT-EXW-06]]*KH_26_OPT4_KTQT_v4[[#This Row],[%CPDP]],0)</f>
        <v>0</v>
      </c>
      <c r="DX108" s="132">
        <f>IFERROR(KH_26_OPT4_KTQT_v4[[#This Row],[DT-EXW-07]]*KH_26_OPT4_KTQT_v4[[#This Row],[%CPDP]],0)</f>
        <v>0</v>
      </c>
      <c r="DY108" s="132">
        <f>IFERROR(KH_26_OPT4_KTQT_v4[[#This Row],[DT-EXW-08]]*KH_26_OPT4_KTQT_v4[[#This Row],[%CPDP]],0)</f>
        <v>0</v>
      </c>
      <c r="DZ108" s="132">
        <f>IFERROR(KH_26_OPT4_KTQT_v4[[#This Row],[DT-EXW-09]]*KH_26_OPT4_KTQT_v4[[#This Row],[%CPDP]],0)</f>
        <v>0</v>
      </c>
      <c r="EA108" s="132">
        <f>IFERROR(KH_26_OPT4_KTQT_v4[[#This Row],[DT-EXW-10]]*KH_26_OPT4_KTQT_v4[[#This Row],[%CPDP]],0)</f>
        <v>0</v>
      </c>
      <c r="EB108" s="132">
        <f>IFERROR(KH_26_OPT4_KTQT_v4[[#This Row],[DT-EXW-11]]*KH_26_OPT4_KTQT_v4[[#This Row],[%CPDP]],0)</f>
        <v>0</v>
      </c>
      <c r="EC108" s="132">
        <f>IFERROR(KH_26_OPT4_KTQT_v4[[#This Row],[DT-EXW-12]]*KH_26_OPT4_KTQT_v4[[#This Row],[%CPDP]],0)</f>
        <v>0</v>
      </c>
      <c r="ED108" s="131">
        <f ca="1">SUM(KH_26_OPT4_KTQT_v4[[#This Row],[CPDP-01]:[CPDP-12]])</f>
        <v>0</v>
      </c>
    </row>
    <row r="109" spans="1:134" ht="14.65" hidden="1" customHeight="1" x14ac:dyDescent="0.35">
      <c r="A109" s="18">
        <v>104</v>
      </c>
      <c r="B109" s="71" t="s">
        <v>115</v>
      </c>
      <c r="C109" s="18" t="str">
        <f>IFERROR(_xlfn.XLOOKUP(KH_26_OPT4_KTQT_v4[[#This Row],[Salesman]],MD_Salesman[Salesman],MD_Salesman[SalesManager]),"")</f>
        <v>Quốc Anh</v>
      </c>
      <c r="D109" s="72" t="str">
        <f>IFERROR(INDEX(MD_Customer[Mã khách],MATCH(KH_26_OPT4_KTQT_v4[[#This Row],[Tên khách]],MD_Customer[Tên khách-rút gọn],0)),"")</f>
        <v>105324</v>
      </c>
      <c r="E109" s="7" t="str">
        <f>IFERROR(INDEX(MD_Customer[Parent Account],MATCH(KH_26_OPT4_KTQT_v4[[#This Row],[Tên khách]],MD_Customer[Tên khách-rút gọn],0)),"")</f>
        <v>NHỰA TRƯỜNG AN</v>
      </c>
      <c r="F109" s="35" t="s">
        <v>58</v>
      </c>
      <c r="G109" s="7" t="str">
        <f>IFERROR(INDEX(MD_Customer[Phân loại],MATCH(KH_26_OPT4_KTQT_v4[[#This Row],[Tên khách]],MD_Customer[Tên khách-rút gọn],0)),"")</f>
        <v>Hiện hữu</v>
      </c>
      <c r="H109" s="7" t="str">
        <f>IFERROR(INDEX(MD_Customer[Kênh bán hàng],MATCH(KH_26_OPT4_KTQT_v4[[#This Row],[Tên khách]],MD_Customer[Tên khách-rút gọn],0)),"")</f>
        <v>Nội địa</v>
      </c>
      <c r="I109" s="35" t="s">
        <v>258</v>
      </c>
      <c r="J109" s="7" t="str">
        <f>IFERROR(INDEX(MD_Destination[Nước],MATCH(KH_26_OPT4_KTQT_v4[[#This Row],[Địa điểm đến]],MD_Destination[Địa điểm đến],0)),"")</f>
        <v>Việt Nam</v>
      </c>
      <c r="K109" s="7" t="str">
        <f>IFERROR(INDEX(MD_Destination[Khu vực],MATCH(KH_26_OPT4_KTQT_v4[[#This Row],[Địa điểm đến]],MD_Destination[Địa điểm đến],0)),"")</f>
        <v>Châu Á</v>
      </c>
      <c r="L109" s="35" t="s">
        <v>262</v>
      </c>
      <c r="M109" s="7" t="str">
        <f>IFERROR(INDEX(MD_SKU[Mã SKU],MATCH(KH_26_OPT4_KTQT_v4[[#This Row],[Tên sản phẩm]],MD_SKU[Tên SKU-rút gọn],0)),"")</f>
        <v>110000408</v>
      </c>
      <c r="N109" s="35" t="s">
        <v>471</v>
      </c>
      <c r="O109" s="7" t="str">
        <f>IFERROR(INDEX(MD_SKU[Ngành hàng],MATCH(KH_26_OPT4_KTQT_v4[[#This Row],[Tên sản phẩm]],MD_SKU[Tên SKU-rút gọn],0)),"")</f>
        <v>rHDPE ép</v>
      </c>
      <c r="P109" s="7" t="str">
        <f>IFERROR(INDEX(MD_SKU[Nhóm ngành],MATCH(KH_26_OPT4_KTQT_v4[[#This Row],[Tên sản phẩm]],MD_SKU[Tên SKU-rút gọn],0)),"")</f>
        <v>Vảy HD ép</v>
      </c>
      <c r="Q109" s="7" t="str">
        <f>IFERROR(
   IF(INDEX(MD_SKU[IV/IM],MATCH(KH_26_OPT4_KTQT_v4[[#This Row],[Tên sản phẩm]],MD_SKU[Tên SKU-rút gọn],0))=0,
      "",
      INDEX(MD_SKU[IV/IM],MATCH(KH_26_OPT4_KTQT_v4[[#This Row],[Tên sản phẩm]],MD_SKU[Tên SKU-rút gọn],0))
   ),
"")</f>
        <v/>
      </c>
      <c r="R109" s="44">
        <f>IFERROR(INDEX(MD_SKU[Application],MATCH(KH_26_OPT4_KTQT_v4[[#This Row],[Tên sản phẩm]],MD_SKU[Tên SKU-rút gọn],0)),"")</f>
        <v>0</v>
      </c>
      <c r="S109" s="7" t="str">
        <f>IFERROR(INDEX(MD_SKU[Phân loại],MATCH(KH_26_OPT4_KTQT_v4[[#This Row],[Tên sản phẩm]],MD_SKU[Tên SKU-rút gọn],0)),"")</f>
        <v>Cũ</v>
      </c>
      <c r="T109" s="7" t="s">
        <v>58</v>
      </c>
      <c r="U109" s="7" t="s">
        <v>1508</v>
      </c>
      <c r="V109" s="70">
        <v>0.8</v>
      </c>
      <c r="W109" s="33"/>
      <c r="X109" s="33"/>
      <c r="Y109" s="33"/>
      <c r="Z109" s="33"/>
      <c r="AA109" s="33"/>
      <c r="AB109" s="33"/>
      <c r="AC109" s="33"/>
      <c r="AD109" s="33"/>
      <c r="AE109" s="33"/>
      <c r="AF109" s="33"/>
      <c r="AG109" s="33"/>
      <c r="AH109" s="33"/>
      <c r="AI109" s="47">
        <f ca="1">SUM(KH_26_OPT4_KTQT_v4[[#This Row],[SL-01]:[SL-12]])</f>
        <v>0</v>
      </c>
      <c r="AJ109" s="47">
        <f ca="1">SUMIFS(DB_25[SL-DB25],DB_25[Mã khách],KH_26_OPT4_KTQT_v4[[#This Row],[Mã khách]],DB_25[Mã sản phẩm],KH_26_OPT4_KTQT_v4[[#This Row],[Mã sản phẩm]])</f>
        <v>30.024999999999999</v>
      </c>
      <c r="AK109" s="20">
        <f ca="1">KH_26_OPT4_KTQT_v4[[#This Row],[SL-KH26]]-KH_26_OPT4_KTQT_v4[[#This Row],[SL-DB25]]</f>
        <v>-30.024999999999999</v>
      </c>
      <c r="AL109" s="21">
        <f ca="1">IFERROR(KH_26_OPT4_KTQT_v4[[#This Row],[SL-+/-]]/KH_26_OPT4_KTQT_v4[[#This Row],[SL-DB25]],0)</f>
        <v>-1</v>
      </c>
      <c r="AM109" s="51">
        <v>560</v>
      </c>
      <c r="AN109" s="51">
        <v>560</v>
      </c>
      <c r="AO109" s="51">
        <v>560</v>
      </c>
      <c r="AP109" s="51">
        <v>560</v>
      </c>
      <c r="AQ109" s="51">
        <v>560</v>
      </c>
      <c r="AR109" s="51">
        <v>560</v>
      </c>
      <c r="AS109" s="51">
        <v>560</v>
      </c>
      <c r="AT109" s="51">
        <v>560</v>
      </c>
      <c r="AU109" s="51">
        <v>560</v>
      </c>
      <c r="AV109" s="51">
        <v>560</v>
      </c>
      <c r="AW109" s="51">
        <v>560</v>
      </c>
      <c r="AX109" s="51">
        <v>560</v>
      </c>
      <c r="AY109" s="23">
        <v>560</v>
      </c>
      <c r="AZ109" s="7"/>
      <c r="BA109" s="24">
        <f>KH_26_OPT4_KTQT_v4[[#This Row],[GB-DB25]]-KH_26_OPT4_KTQT_v4[[#This Row],[GB-KH25]]</f>
        <v>560</v>
      </c>
      <c r="BB109" s="21">
        <f>IFERROR(KH_26_OPT4_KTQT_v4[[#This Row],[GB-+/-]]/KH_26_OPT4_KTQT_v4[[#This Row],[GB-KH25]],0)</f>
        <v>0</v>
      </c>
      <c r="BC109" s="21"/>
      <c r="BD109" s="47">
        <f>KH_26_OPT4_KTQT_v4[[#This Row],[SL-01]]*KH_26_OPT4_KTQT_v4[[#This Row],[GB-01]]*EXR</f>
        <v>0</v>
      </c>
      <c r="BE109" s="47">
        <f>KH_26_OPT4_KTQT_v4[[#This Row],[SL-02]]*KH_26_OPT4_KTQT_v4[[#This Row],[GB-02]]*EXR</f>
        <v>0</v>
      </c>
      <c r="BF109" s="47">
        <f>KH_26_OPT4_KTQT_v4[[#This Row],[SL-03]]*KH_26_OPT4_KTQT_v4[[#This Row],[GB-03]]*EXR</f>
        <v>0</v>
      </c>
      <c r="BG109" s="47">
        <f>KH_26_OPT4_KTQT_v4[[#This Row],[SL-04]]*KH_26_OPT4_KTQT_v4[[#This Row],[GB-04]]*EXR</f>
        <v>0</v>
      </c>
      <c r="BH109" s="47">
        <f>KH_26_OPT4_KTQT_v4[[#This Row],[SL-05]]*KH_26_OPT4_KTQT_v4[[#This Row],[GB-05]]*EXR</f>
        <v>0</v>
      </c>
      <c r="BI109" s="47">
        <f>KH_26_OPT4_KTQT_v4[[#This Row],[SL-06]]*KH_26_OPT4_KTQT_v4[[#This Row],[GB-06]]*EXR</f>
        <v>0</v>
      </c>
      <c r="BJ109" s="47">
        <f>KH_26_OPT4_KTQT_v4[[#This Row],[SL-07]]*KH_26_OPT4_KTQT_v4[[#This Row],[GB-07]]*EXR</f>
        <v>0</v>
      </c>
      <c r="BK109" s="47">
        <f>KH_26_OPT4_KTQT_v4[[#This Row],[SL-08]]*KH_26_OPT4_KTQT_v4[[#This Row],[GB-08]]*EXR</f>
        <v>0</v>
      </c>
      <c r="BL109" s="47">
        <f>KH_26_OPT4_KTQT_v4[[#This Row],[SL-09]]*KH_26_OPT4_KTQT_v4[[#This Row],[GB-09]]*EXR</f>
        <v>0</v>
      </c>
      <c r="BM109" s="47">
        <f>KH_26_OPT4_KTQT_v4[[#This Row],[SL-10]]*KH_26_OPT4_KTQT_v4[[#This Row],[GB-10]]*EXR</f>
        <v>0</v>
      </c>
      <c r="BN109" s="47">
        <f>KH_26_OPT4_KTQT_v4[[#This Row],[SL-11]]*KH_26_OPT4_KTQT_v4[[#This Row],[GB-11]]*EXR</f>
        <v>0</v>
      </c>
      <c r="BO109" s="47">
        <f>KH_26_OPT4_KTQT_v4[[#This Row],[SL-12]]*KH_26_OPT4_KTQT_v4[[#This Row],[GB-12]]*EXR</f>
        <v>0</v>
      </c>
      <c r="BP109" s="47">
        <f ca="1">SUM(KH_26_OPT4_KTQT_v4[[#This Row],[DT-EXW-01]:[DT-EXW-12]])</f>
        <v>0</v>
      </c>
      <c r="BQ109" s="47">
        <f ca="1">SUMIFS(DB_25[DT-DB25],DB_25[Mã khách],KH_26_OPT4_KTQT_v4[[#This Row],[Mã khách]],DB_25[Mã sản phẩm],KH_26_OPT4_KTQT_v4[[#This Row],[Mã sản phẩm]])</f>
        <v>445645322.56886888</v>
      </c>
      <c r="BR109" s="47">
        <f ca="1">KH_26_OPT4_KTQT_v4[[#This Row],[DT-EXW-KH26]]-KH_26_OPT4_KTQT_v4[[#This Row],[DT-EXW-DB25]]</f>
        <v>-445645322.56886888</v>
      </c>
      <c r="BS109" s="21">
        <f ca="1">IFERROR(KH_26_OPT4_KTQT_v4[[#This Row],[DT-EXW-+/-]]/KH_26_OPT4_KTQT_v4[[#This Row],[DT-EXW-DB25]],0)</f>
        <v>-1</v>
      </c>
      <c r="BT109" s="139"/>
      <c r="BU109" s="57"/>
      <c r="BV109" s="51"/>
      <c r="BW109" s="47">
        <f>IF(KH_26_OPT4_KTQT_v4[[#This Row],[CPHH-%-SL]]="Dthu",KH_26_OPT4_KTQT_v4[[#This Row],[%HH]]*KH_26_OPT4_KTQT_v4[[#This Row],[DT-EXW-01]],KH_26_OPT4_KTQT_v4[[#This Row],[HH-SL]]*KH_26_OPT4_KTQT_v4[[#This Row],[SL-01]])</f>
        <v>0</v>
      </c>
      <c r="BX109" s="47">
        <f>IF(KH_26_OPT4_KTQT_v4[[#This Row],[CPHH-%-SL]]="Dthu",KH_26_OPT4_KTQT_v4[[#This Row],[%HH]]*KH_26_OPT4_KTQT_v4[[#This Row],[DT-EXW-02]],KH_26_OPT4_KTQT_v4[[#This Row],[HH-SL]]*KH_26_OPT4_KTQT_v4[[#This Row],[SL-02]])</f>
        <v>0</v>
      </c>
      <c r="BY109" s="47">
        <f>IF(KH_26_OPT4_KTQT_v4[[#This Row],[CPHH-%-SL]]="Dthu",KH_26_OPT4_KTQT_v4[[#This Row],[%HH]]*KH_26_OPT4_KTQT_v4[[#This Row],[DT-EXW-03]],KH_26_OPT4_KTQT_v4[[#This Row],[HH-SL]]*KH_26_OPT4_KTQT_v4[[#This Row],[SL-03]])</f>
        <v>0</v>
      </c>
      <c r="BZ109" s="47">
        <f>IF(KH_26_OPT4_KTQT_v4[[#This Row],[CPHH-%-SL]]="Dthu",KH_26_OPT4_KTQT_v4[[#This Row],[%HH]]*KH_26_OPT4_KTQT_v4[[#This Row],[DT-EXW-04]],KH_26_OPT4_KTQT_v4[[#This Row],[HH-SL]]*KH_26_OPT4_KTQT_v4[[#This Row],[SL-04]])</f>
        <v>0</v>
      </c>
      <c r="CA109" s="47">
        <f>IF(KH_26_OPT4_KTQT_v4[[#This Row],[CPHH-%-SL]]="Dthu",KH_26_OPT4_KTQT_v4[[#This Row],[%HH]]*KH_26_OPT4_KTQT_v4[[#This Row],[DT-EXW-05]],KH_26_OPT4_KTQT_v4[[#This Row],[HH-SL]]*KH_26_OPT4_KTQT_v4[[#This Row],[SL-05]])</f>
        <v>0</v>
      </c>
      <c r="CB109" s="47">
        <f>IF(KH_26_OPT4_KTQT_v4[[#This Row],[CPHH-%-SL]]="Dthu",KH_26_OPT4_KTQT_v4[[#This Row],[%HH]]*KH_26_OPT4_KTQT_v4[[#This Row],[DT-EXW-06]],KH_26_OPT4_KTQT_v4[[#This Row],[HH-SL]]*KH_26_OPT4_KTQT_v4[[#This Row],[SL-06]])</f>
        <v>0</v>
      </c>
      <c r="CC109" s="47">
        <f>IF(KH_26_OPT4_KTQT_v4[[#This Row],[CPHH-%-SL]]="Dthu",KH_26_OPT4_KTQT_v4[[#This Row],[%HH]]*KH_26_OPT4_KTQT_v4[[#This Row],[DT-EXW-07]],KH_26_OPT4_KTQT_v4[[#This Row],[HH-SL]]*KH_26_OPT4_KTQT_v4[[#This Row],[SL-07]])</f>
        <v>0</v>
      </c>
      <c r="CD109" s="47">
        <f>IF(KH_26_OPT4_KTQT_v4[[#This Row],[CPHH-%-SL]]="Dthu",KH_26_OPT4_KTQT_v4[[#This Row],[%HH]]*KH_26_OPT4_KTQT_v4[[#This Row],[DT-EXW-08]],KH_26_OPT4_KTQT_v4[[#This Row],[HH-SL]]*KH_26_OPT4_KTQT_v4[[#This Row],[SL-08]])</f>
        <v>0</v>
      </c>
      <c r="CE109" s="47">
        <f>IF(KH_26_OPT4_KTQT_v4[[#This Row],[CPHH-%-SL]]="Dthu",KH_26_OPT4_KTQT_v4[[#This Row],[%HH]]*KH_26_OPT4_KTQT_v4[[#This Row],[DT-EXW-09]],KH_26_OPT4_KTQT_v4[[#This Row],[HH-SL]]*KH_26_OPT4_KTQT_v4[[#This Row],[SL-09]])</f>
        <v>0</v>
      </c>
      <c r="CF109" s="47">
        <f>IF(KH_26_OPT4_KTQT_v4[[#This Row],[CPHH-%-SL]]="Dthu",KH_26_OPT4_KTQT_v4[[#This Row],[%HH]]*KH_26_OPT4_KTQT_v4[[#This Row],[DT-EXW-10]],KH_26_OPT4_KTQT_v4[[#This Row],[HH-SL]]*KH_26_OPT4_KTQT_v4[[#This Row],[SL-10]])</f>
        <v>0</v>
      </c>
      <c r="CG109" s="47">
        <f>IF(KH_26_OPT4_KTQT_v4[[#This Row],[CPHH-%-SL]]="Dthu",KH_26_OPT4_KTQT_v4[[#This Row],[%HH]]*KH_26_OPT4_KTQT_v4[[#This Row],[DT-EXW-11]],KH_26_OPT4_KTQT_v4[[#This Row],[HH-SL]]*KH_26_OPT4_KTQT_v4[[#This Row],[SL-11]])</f>
        <v>0</v>
      </c>
      <c r="CH109" s="47">
        <f>IF(KH_26_OPT4_KTQT_v4[[#This Row],[CPHH-%-SL]]="Dthu",KH_26_OPT4_KTQT_v4[[#This Row],[%HH]]*KH_26_OPT4_KTQT_v4[[#This Row],[DT-EXW-12]],KH_26_OPT4_KTQT_v4[[#This Row],[HH-SL]]*KH_26_OPT4_KTQT_v4[[#This Row],[SL-12]])</f>
        <v>0</v>
      </c>
      <c r="CI109" s="47">
        <f ca="1">SUM(KH_26_OPT4_KTQT_v4[[#This Row],[CPHH-01]:[CPHH-12]])</f>
        <v>0</v>
      </c>
      <c r="CJ109" s="47" cm="1">
        <f t="array" ref="CJ109">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09" s="19">
        <f ca="1">SUM(KH_26_OPT4_KTQT_v4[[#This Row],[ĐGVCNĐ-KXK]:[ĐGVCCT-KXK]])</f>
        <v>0</v>
      </c>
      <c r="CL109" s="47" cm="1">
        <f t="array" ref="CL109">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109" s="47" cm="1">
        <f t="array" ref="CM109">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09" s="47">
        <f ca="1">(KH_26_OPT4_KTQT_v4[[#This Row],[ĐGVC-KNĐ]]+KH_26_OPT4_KTQT_v4[[#This Row],[ĐGVC-KXK]])*KH_26_OPT4_KTQT_v4[[#This Row],[SL-01]]</f>
        <v>0</v>
      </c>
      <c r="CO109" s="47">
        <f ca="1">(KH_26_OPT4_KTQT_v4[[#This Row],[ĐGVC-KNĐ]]+KH_26_OPT4_KTQT_v4[[#This Row],[ĐGVC-KXK]])*KH_26_OPT4_KTQT_v4[[#This Row],[SL-02]]</f>
        <v>0</v>
      </c>
      <c r="CP109" s="47">
        <f ca="1">(KH_26_OPT4_KTQT_v4[[#This Row],[ĐGVC-KNĐ]]+KH_26_OPT4_KTQT_v4[[#This Row],[ĐGVC-KXK]])*KH_26_OPT4_KTQT_v4[[#This Row],[SL-03]]</f>
        <v>0</v>
      </c>
      <c r="CQ109" s="47">
        <f ca="1">(KH_26_OPT4_KTQT_v4[[#This Row],[ĐGVC-KNĐ]]+KH_26_OPT4_KTQT_v4[[#This Row],[ĐGVC-KXK]])*KH_26_OPT4_KTQT_v4[[#This Row],[SL-04]]</f>
        <v>0</v>
      </c>
      <c r="CR109" s="47">
        <f ca="1">(KH_26_OPT4_KTQT_v4[[#This Row],[ĐGVC-KNĐ]]+KH_26_OPT4_KTQT_v4[[#This Row],[ĐGVC-KXK]])*KH_26_OPT4_KTQT_v4[[#This Row],[SL-05]]</f>
        <v>0</v>
      </c>
      <c r="CS109" s="47">
        <f ca="1">(KH_26_OPT4_KTQT_v4[[#This Row],[ĐGVC-KNĐ]]+KH_26_OPT4_KTQT_v4[[#This Row],[ĐGVC-KXK]])*KH_26_OPT4_KTQT_v4[[#This Row],[SL-06]]</f>
        <v>0</v>
      </c>
      <c r="CT109" s="47">
        <f ca="1">(KH_26_OPT4_KTQT_v4[[#This Row],[ĐGVC-KNĐ]]+KH_26_OPT4_KTQT_v4[[#This Row],[ĐGVC-KXK]])*KH_26_OPT4_KTQT_v4[[#This Row],[SL-07]]</f>
        <v>0</v>
      </c>
      <c r="CU109" s="47">
        <f ca="1">(KH_26_OPT4_KTQT_v4[[#This Row],[ĐGVC-KNĐ]]+KH_26_OPT4_KTQT_v4[[#This Row],[ĐGVC-KXK]])*KH_26_OPT4_KTQT_v4[[#This Row],[SL-08]]</f>
        <v>0</v>
      </c>
      <c r="CV109" s="47">
        <f ca="1">(KH_26_OPT4_KTQT_v4[[#This Row],[ĐGVC-KNĐ]]+KH_26_OPT4_KTQT_v4[[#This Row],[ĐGVC-KXK]])*KH_26_OPT4_KTQT_v4[[#This Row],[SL-09]]</f>
        <v>0</v>
      </c>
      <c r="CW109" s="47">
        <f ca="1">(KH_26_OPT4_KTQT_v4[[#This Row],[ĐGVC-KNĐ]]+KH_26_OPT4_KTQT_v4[[#This Row],[ĐGVC-KXK]])*KH_26_OPT4_KTQT_v4[[#This Row],[SL-10]]</f>
        <v>0</v>
      </c>
      <c r="CX109" s="47">
        <f ca="1">(KH_26_OPT4_KTQT_v4[[#This Row],[ĐGVC-KNĐ]]+KH_26_OPT4_KTQT_v4[[#This Row],[ĐGVC-KXK]])*KH_26_OPT4_KTQT_v4[[#This Row],[SL-11]]</f>
        <v>0</v>
      </c>
      <c r="CY109" s="47">
        <f ca="1">(KH_26_OPT4_KTQT_v4[[#This Row],[ĐGVC-KNĐ]]+KH_26_OPT4_KTQT_v4[[#This Row],[ĐGVC-KXK]])*KH_26_OPT4_KTQT_v4[[#This Row],[SL-12]]</f>
        <v>0</v>
      </c>
      <c r="CZ109" s="47">
        <f ca="1">SUM(KH_26_OPT4_KTQT_v4[[#This Row],[CPVC-01]:[CPVC-12]])</f>
        <v>0</v>
      </c>
      <c r="DA109" s="124">
        <f ca="1">KH_26_OPT4_KTQT_v4[[#This Row],[DT-EXW-01]]+KH_26_OPT4_KTQT_v4[[#This Row],[CPVC-01]]+KH_26_OPT4_KTQT_v4[[#This Row],[CPHH-01]]</f>
        <v>0</v>
      </c>
      <c r="DB109" s="47">
        <f ca="1">KH_26_OPT4_KTQT_v4[[#This Row],[DT-EXW-02]]+KH_26_OPT4_KTQT_v4[[#This Row],[CPVC-02]]+KH_26_OPT4_KTQT_v4[[#This Row],[CPHH-02]]</f>
        <v>0</v>
      </c>
      <c r="DC109" s="47">
        <f ca="1">KH_26_OPT4_KTQT_v4[[#This Row],[DT-EXW-03]]+KH_26_OPT4_KTQT_v4[[#This Row],[CPVC-03]]+KH_26_OPT4_KTQT_v4[[#This Row],[CPHH-03]]</f>
        <v>0</v>
      </c>
      <c r="DD109" s="47">
        <f ca="1">KH_26_OPT4_KTQT_v4[[#This Row],[DT-EXW-04]]+KH_26_OPT4_KTQT_v4[[#This Row],[CPVC-04]]+KH_26_OPT4_KTQT_v4[[#This Row],[CPHH-04]]</f>
        <v>0</v>
      </c>
      <c r="DE109" s="47">
        <f ca="1">KH_26_OPT4_KTQT_v4[[#This Row],[DT-EXW-05]]+KH_26_OPT4_KTQT_v4[[#This Row],[CPVC-05]]+KH_26_OPT4_KTQT_v4[[#This Row],[CPHH-05]]</f>
        <v>0</v>
      </c>
      <c r="DF109" s="47">
        <f ca="1">KH_26_OPT4_KTQT_v4[[#This Row],[DT-EXW-06]]+KH_26_OPT4_KTQT_v4[[#This Row],[CPVC-06]]+KH_26_OPT4_KTQT_v4[[#This Row],[CPHH-06]]</f>
        <v>0</v>
      </c>
      <c r="DG109" s="47">
        <f ca="1">KH_26_OPT4_KTQT_v4[[#This Row],[DT-EXW-07]]+KH_26_OPT4_KTQT_v4[[#This Row],[CPVC-07]]+KH_26_OPT4_KTQT_v4[[#This Row],[CPHH-07]]</f>
        <v>0</v>
      </c>
      <c r="DH109" s="47">
        <f ca="1">KH_26_OPT4_KTQT_v4[[#This Row],[DT-EXW-08]]+KH_26_OPT4_KTQT_v4[[#This Row],[CPVC-08]]+KH_26_OPT4_KTQT_v4[[#This Row],[CPHH-08]]</f>
        <v>0</v>
      </c>
      <c r="DI109" s="47">
        <f ca="1">KH_26_OPT4_KTQT_v4[[#This Row],[DT-EXW-09]]+KH_26_OPT4_KTQT_v4[[#This Row],[CPVC-09]]+KH_26_OPT4_KTQT_v4[[#This Row],[CPHH-09]]</f>
        <v>0</v>
      </c>
      <c r="DJ109" s="47">
        <f ca="1">KH_26_OPT4_KTQT_v4[[#This Row],[DT-EXW-10]]+KH_26_OPT4_KTQT_v4[[#This Row],[CPVC-10]]+KH_26_OPT4_KTQT_v4[[#This Row],[CPHH-10]]</f>
        <v>0</v>
      </c>
      <c r="DK109" s="47">
        <f ca="1">KH_26_OPT4_KTQT_v4[[#This Row],[DT-EXW-11]]+KH_26_OPT4_KTQT_v4[[#This Row],[CPVC-11]]+KH_26_OPT4_KTQT_v4[[#This Row],[CPHH-11]]</f>
        <v>0</v>
      </c>
      <c r="DL109" s="47">
        <f ca="1">KH_26_OPT4_KTQT_v4[[#This Row],[DT-EXW-12]]+KH_26_OPT4_KTQT_v4[[#This Row],[CPVC-12]]+KH_26_OPT4_KTQT_v4[[#This Row],[CPHH-12]]</f>
        <v>0</v>
      </c>
      <c r="DM109" s="47">
        <f ca="1">SUM(KH_26_OPT4_KTQT_v4[[#This Row],[DT-01]:[DT-12]])</f>
        <v>0</v>
      </c>
      <c r="DN109" s="7"/>
      <c r="DO109" s="7"/>
      <c r="DP109" s="125"/>
      <c r="DQ109" s="136"/>
      <c r="DR109" s="132">
        <f>IFERROR(KH_26_OPT4_KTQT_v4[[#This Row],[DT-EXW-01]]*KH_26_OPT4_KTQT_v4[[#This Row],[%CPDP]],0)</f>
        <v>0</v>
      </c>
      <c r="DS109" s="132">
        <f>IFERROR(KH_26_OPT4_KTQT_v4[[#This Row],[DT-EXW-02]]*KH_26_OPT4_KTQT_v4[[#This Row],[%CPDP]],0)</f>
        <v>0</v>
      </c>
      <c r="DT109" s="132">
        <f>IFERROR(KH_26_OPT4_KTQT_v4[[#This Row],[DT-EXW-03]]*KH_26_OPT4_KTQT_v4[[#This Row],[%CPDP]],0)</f>
        <v>0</v>
      </c>
      <c r="DU109" s="132">
        <f>IFERROR(KH_26_OPT4_KTQT_v4[[#This Row],[DT-EXW-04]]*KH_26_OPT4_KTQT_v4[[#This Row],[%CPDP]],0)</f>
        <v>0</v>
      </c>
      <c r="DV109" s="132">
        <f>IFERROR(KH_26_OPT4_KTQT_v4[[#This Row],[DT-EXW-05]]*KH_26_OPT4_KTQT_v4[[#This Row],[%CPDP]],0)</f>
        <v>0</v>
      </c>
      <c r="DW109" s="132">
        <f>IFERROR(KH_26_OPT4_KTQT_v4[[#This Row],[DT-EXW-06]]*KH_26_OPT4_KTQT_v4[[#This Row],[%CPDP]],0)</f>
        <v>0</v>
      </c>
      <c r="DX109" s="132">
        <f>IFERROR(KH_26_OPT4_KTQT_v4[[#This Row],[DT-EXW-07]]*KH_26_OPT4_KTQT_v4[[#This Row],[%CPDP]],0)</f>
        <v>0</v>
      </c>
      <c r="DY109" s="132">
        <f>IFERROR(KH_26_OPT4_KTQT_v4[[#This Row],[DT-EXW-08]]*KH_26_OPT4_KTQT_v4[[#This Row],[%CPDP]],0)</f>
        <v>0</v>
      </c>
      <c r="DZ109" s="132">
        <f>IFERROR(KH_26_OPT4_KTQT_v4[[#This Row],[DT-EXW-09]]*KH_26_OPT4_KTQT_v4[[#This Row],[%CPDP]],0)</f>
        <v>0</v>
      </c>
      <c r="EA109" s="132">
        <f>IFERROR(KH_26_OPT4_KTQT_v4[[#This Row],[DT-EXW-10]]*KH_26_OPT4_KTQT_v4[[#This Row],[%CPDP]],0)</f>
        <v>0</v>
      </c>
      <c r="EB109" s="132">
        <f>IFERROR(KH_26_OPT4_KTQT_v4[[#This Row],[DT-EXW-11]]*KH_26_OPT4_KTQT_v4[[#This Row],[%CPDP]],0)</f>
        <v>0</v>
      </c>
      <c r="EC109" s="132">
        <f>IFERROR(KH_26_OPT4_KTQT_v4[[#This Row],[DT-EXW-12]]*KH_26_OPT4_KTQT_v4[[#This Row],[%CPDP]],0)</f>
        <v>0</v>
      </c>
      <c r="ED109" s="131">
        <f ca="1">SUM(KH_26_OPT4_KTQT_v4[[#This Row],[CPDP-01]:[CPDP-12]])</f>
        <v>0</v>
      </c>
    </row>
    <row r="110" spans="1:134" ht="14.65" hidden="1" customHeight="1" x14ac:dyDescent="0.35">
      <c r="A110" s="18">
        <v>105</v>
      </c>
      <c r="B110" s="71" t="s">
        <v>115</v>
      </c>
      <c r="C110" s="18" t="str">
        <f>IFERROR(_xlfn.XLOOKUP(KH_26_OPT4_KTQT_v4[[#This Row],[Salesman]],MD_Salesman[Salesman],MD_Salesman[SalesManager]),"")</f>
        <v>Quốc Anh</v>
      </c>
      <c r="D110" s="72" t="str">
        <f>IFERROR(INDEX(MD_Customer[Mã khách],MATCH(KH_26_OPT4_KTQT_v4[[#This Row],[Tên khách]],MD_Customer[Tên khách-rút gọn],0)),"")</f>
        <v>200358</v>
      </c>
      <c r="E110" s="7" t="str">
        <f>IFERROR(INDEX(MD_Customer[Parent Account],MATCH(KH_26_OPT4_KTQT_v4[[#This Row],[Tên khách]],MD_Customer[Tên khách-rút gọn],0)),"")</f>
        <v>REYNERA</v>
      </c>
      <c r="F110" s="35" t="s">
        <v>64</v>
      </c>
      <c r="G110" s="7" t="str">
        <f>IFERROR(INDEX(MD_Customer[Phân loại],MATCH(KH_26_OPT4_KTQT_v4[[#This Row],[Tên khách]],MD_Customer[Tên khách-rút gọn],0)),"")</f>
        <v>Hiện hữu</v>
      </c>
      <c r="H110" s="7" t="str">
        <f>IFERROR(INDEX(MD_Customer[Kênh bán hàng],MATCH(KH_26_OPT4_KTQT_v4[[#This Row],[Tên khách]],MD_Customer[Tên khách-rút gọn],0)),"")</f>
        <v>Xuất khẩu</v>
      </c>
      <c r="I110" s="35" t="s">
        <v>318</v>
      </c>
      <c r="J110" s="7" t="str">
        <f>IFERROR(INDEX(MD_Destination[Nước],MATCH(KH_26_OPT4_KTQT_v4[[#This Row],[Địa điểm đến]],MD_Destination[Địa điểm đến],0)),"")</f>
        <v>Mexico</v>
      </c>
      <c r="K110" s="7" t="str">
        <f>IFERROR(INDEX(MD_Destination[Khu vực],MATCH(KH_26_OPT4_KTQT_v4[[#This Row],[Địa điểm đến]],MD_Destination[Địa điểm đến],0)),"")</f>
        <v>Châu Mỹ</v>
      </c>
      <c r="L110" s="35" t="s">
        <v>278</v>
      </c>
      <c r="M110" s="7" t="str">
        <f>IFERROR(INDEX(MD_SKU[Mã SKU],MATCH(KH_26_OPT4_KTQT_v4[[#This Row],[Tên sản phẩm]],MD_SKU[Tên SKU-rút gọn],0)),"")</f>
        <v>110000471</v>
      </c>
      <c r="N110" s="35" t="s">
        <v>503</v>
      </c>
      <c r="O110" s="7" t="str">
        <f>IFERROR(INDEX(MD_SKU[Ngành hàng],MATCH(KH_26_OPT4_KTQT_v4[[#This Row],[Tên sản phẩm]],MD_SKU[Tên SKU-rút gọn],0)),"")</f>
        <v>rPP</v>
      </c>
      <c r="P110" s="7" t="str">
        <f>IFERROR(INDEX(MD_SKU[Nhóm ngành],MATCH(KH_26_OPT4_KTQT_v4[[#This Row],[Tên sản phẩm]],MD_SKU[Tên SKU-rút gọn],0)),"")</f>
        <v>Hạt PP</v>
      </c>
      <c r="Q110" s="7" t="str">
        <f>IFERROR(
   IF(INDEX(MD_SKU[IV/IM],MATCH(KH_26_OPT4_KTQT_v4[[#This Row],[Tên sản phẩm]],MD_SKU[Tên SKU-rút gọn],0))=0,
      "",
      INDEX(MD_SKU[IV/IM],MATCH(KH_26_OPT4_KTQT_v4[[#This Row],[Tên sản phẩm]],MD_SKU[Tên SKU-rút gọn],0))
   ),
"")</f>
        <v/>
      </c>
      <c r="R110" s="44">
        <f>IFERROR(INDEX(MD_SKU[Application],MATCH(KH_26_OPT4_KTQT_v4[[#This Row],[Tên sản phẩm]],MD_SKU[Tên SKU-rút gọn],0)),"")</f>
        <v>0</v>
      </c>
      <c r="S110" s="7" t="str">
        <f>IFERROR(INDEX(MD_SKU[Phân loại],MATCH(KH_26_OPT4_KTQT_v4[[#This Row],[Tên sản phẩm]],MD_SKU[Tên SKU-rút gọn],0)),"")</f>
        <v>Cũ</v>
      </c>
      <c r="T110" s="7" t="s">
        <v>64</v>
      </c>
      <c r="U110" s="7" t="s">
        <v>1508</v>
      </c>
      <c r="V110" s="70">
        <v>0.8</v>
      </c>
      <c r="W110" s="33"/>
      <c r="X110" s="33"/>
      <c r="Y110" s="33"/>
      <c r="Z110" s="33"/>
      <c r="AA110" s="33"/>
      <c r="AB110" s="33">
        <v>12</v>
      </c>
      <c r="AC110" s="33"/>
      <c r="AD110" s="33"/>
      <c r="AE110" s="33"/>
      <c r="AF110" s="33">
        <v>12</v>
      </c>
      <c r="AG110" s="33"/>
      <c r="AH110" s="33"/>
      <c r="AI110" s="47">
        <f ca="1">SUM(KH_26_OPT4_KTQT_v4[[#This Row],[SL-01]:[SL-12]])</f>
        <v>24</v>
      </c>
      <c r="AJ110" s="47">
        <f ca="1">SUMIFS(DB_25[SL-DB25],DB_25[Mã khách],KH_26_OPT4_KTQT_v4[[#This Row],[Mã khách]],DB_25[Mã sản phẩm],KH_26_OPT4_KTQT_v4[[#This Row],[Mã sản phẩm]])</f>
        <v>85</v>
      </c>
      <c r="AK110" s="20">
        <f ca="1">KH_26_OPT4_KTQT_v4[[#This Row],[SL-KH26]]-KH_26_OPT4_KTQT_v4[[#This Row],[SL-DB25]]</f>
        <v>-61</v>
      </c>
      <c r="AL110" s="21">
        <f ca="1">IFERROR(KH_26_OPT4_KTQT_v4[[#This Row],[SL-+/-]]/KH_26_OPT4_KTQT_v4[[#This Row],[SL-DB25]],0)</f>
        <v>-0.71764705882352942</v>
      </c>
      <c r="AM110" s="51">
        <v>700</v>
      </c>
      <c r="AN110" s="51">
        <v>700</v>
      </c>
      <c r="AO110" s="51">
        <v>700</v>
      </c>
      <c r="AP110" s="51">
        <v>700</v>
      </c>
      <c r="AQ110" s="51">
        <v>700</v>
      </c>
      <c r="AR110" s="51">
        <v>700</v>
      </c>
      <c r="AS110" s="51">
        <v>700</v>
      </c>
      <c r="AT110" s="51">
        <v>700</v>
      </c>
      <c r="AU110" s="51">
        <v>700</v>
      </c>
      <c r="AV110" s="51">
        <v>700</v>
      </c>
      <c r="AW110" s="51">
        <v>700</v>
      </c>
      <c r="AX110" s="51">
        <v>700</v>
      </c>
      <c r="AY110" s="23">
        <v>700</v>
      </c>
      <c r="AZ110" s="7"/>
      <c r="BA110" s="24">
        <f>KH_26_OPT4_KTQT_v4[[#This Row],[GB-DB25]]-KH_26_OPT4_KTQT_v4[[#This Row],[GB-KH25]]</f>
        <v>700</v>
      </c>
      <c r="BB110" s="21">
        <f>IFERROR(KH_26_OPT4_KTQT_v4[[#This Row],[GB-+/-]]/KH_26_OPT4_KTQT_v4[[#This Row],[GB-KH25]],0)</f>
        <v>0</v>
      </c>
      <c r="BC110" s="21"/>
      <c r="BD110" s="47">
        <f>KH_26_OPT4_KTQT_v4[[#This Row],[SL-01]]*KH_26_OPT4_KTQT_v4[[#This Row],[GB-01]]*EXR</f>
        <v>0</v>
      </c>
      <c r="BE110" s="47">
        <f>KH_26_OPT4_KTQT_v4[[#This Row],[SL-02]]*KH_26_OPT4_KTQT_v4[[#This Row],[GB-02]]*EXR</f>
        <v>0</v>
      </c>
      <c r="BF110" s="47">
        <f>KH_26_OPT4_KTQT_v4[[#This Row],[SL-03]]*KH_26_OPT4_KTQT_v4[[#This Row],[GB-03]]*EXR</f>
        <v>0</v>
      </c>
      <c r="BG110" s="47">
        <f>KH_26_OPT4_KTQT_v4[[#This Row],[SL-04]]*KH_26_OPT4_KTQT_v4[[#This Row],[GB-04]]*EXR</f>
        <v>0</v>
      </c>
      <c r="BH110" s="47">
        <f>KH_26_OPT4_KTQT_v4[[#This Row],[SL-05]]*KH_26_OPT4_KTQT_v4[[#This Row],[GB-05]]*EXR</f>
        <v>0</v>
      </c>
      <c r="BI110" s="47">
        <f>KH_26_OPT4_KTQT_v4[[#This Row],[SL-06]]*KH_26_OPT4_KTQT_v4[[#This Row],[GB-06]]*EXR</f>
        <v>222600000</v>
      </c>
      <c r="BJ110" s="47">
        <f>KH_26_OPT4_KTQT_v4[[#This Row],[SL-07]]*KH_26_OPT4_KTQT_v4[[#This Row],[GB-07]]*EXR</f>
        <v>0</v>
      </c>
      <c r="BK110" s="47">
        <f>KH_26_OPT4_KTQT_v4[[#This Row],[SL-08]]*KH_26_OPT4_KTQT_v4[[#This Row],[GB-08]]*EXR</f>
        <v>0</v>
      </c>
      <c r="BL110" s="47">
        <f>KH_26_OPT4_KTQT_v4[[#This Row],[SL-09]]*KH_26_OPT4_KTQT_v4[[#This Row],[GB-09]]*EXR</f>
        <v>0</v>
      </c>
      <c r="BM110" s="47">
        <f>KH_26_OPT4_KTQT_v4[[#This Row],[SL-10]]*KH_26_OPT4_KTQT_v4[[#This Row],[GB-10]]*EXR</f>
        <v>222600000</v>
      </c>
      <c r="BN110" s="47">
        <f>KH_26_OPT4_KTQT_v4[[#This Row],[SL-11]]*KH_26_OPT4_KTQT_v4[[#This Row],[GB-11]]*EXR</f>
        <v>0</v>
      </c>
      <c r="BO110" s="47">
        <f>KH_26_OPT4_KTQT_v4[[#This Row],[SL-12]]*KH_26_OPT4_KTQT_v4[[#This Row],[GB-12]]*EXR</f>
        <v>0</v>
      </c>
      <c r="BP110" s="47">
        <f ca="1">SUM(KH_26_OPT4_KTQT_v4[[#This Row],[DT-EXW-01]:[DT-EXW-12]])</f>
        <v>445200000</v>
      </c>
      <c r="BQ110" s="47">
        <f ca="1">SUMIFS(DB_25[DT-DB25],DB_25[Mã khách],KH_26_OPT4_KTQT_v4[[#This Row],[Mã khách]],DB_25[Mã sản phẩm],KH_26_OPT4_KTQT_v4[[#This Row],[Mã sản phẩm]])</f>
        <v>1822320631.9399836</v>
      </c>
      <c r="BR110" s="47">
        <f ca="1">KH_26_OPT4_KTQT_v4[[#This Row],[DT-EXW-KH26]]-KH_26_OPT4_KTQT_v4[[#This Row],[DT-EXW-DB25]]</f>
        <v>-1377120631.9399836</v>
      </c>
      <c r="BS110" s="21">
        <f ca="1">IFERROR(KH_26_OPT4_KTQT_v4[[#This Row],[DT-EXW-+/-]]/KH_26_OPT4_KTQT_v4[[#This Row],[DT-EXW-DB25]],0)</f>
        <v>-0.75569612054161162</v>
      </c>
      <c r="BT110" s="139"/>
      <c r="BU110" s="57"/>
      <c r="BV110" s="51"/>
      <c r="BW110" s="47">
        <f>IF(KH_26_OPT4_KTQT_v4[[#This Row],[CPHH-%-SL]]="Dthu",KH_26_OPT4_KTQT_v4[[#This Row],[%HH]]*KH_26_OPT4_KTQT_v4[[#This Row],[DT-EXW-01]],KH_26_OPT4_KTQT_v4[[#This Row],[HH-SL]]*KH_26_OPT4_KTQT_v4[[#This Row],[SL-01]])</f>
        <v>0</v>
      </c>
      <c r="BX110" s="47">
        <f>IF(KH_26_OPT4_KTQT_v4[[#This Row],[CPHH-%-SL]]="Dthu",KH_26_OPT4_KTQT_v4[[#This Row],[%HH]]*KH_26_OPT4_KTQT_v4[[#This Row],[DT-EXW-02]],KH_26_OPT4_KTQT_v4[[#This Row],[HH-SL]]*KH_26_OPT4_KTQT_v4[[#This Row],[SL-02]])</f>
        <v>0</v>
      </c>
      <c r="BY110" s="47">
        <f>IF(KH_26_OPT4_KTQT_v4[[#This Row],[CPHH-%-SL]]="Dthu",KH_26_OPT4_KTQT_v4[[#This Row],[%HH]]*KH_26_OPT4_KTQT_v4[[#This Row],[DT-EXW-03]],KH_26_OPT4_KTQT_v4[[#This Row],[HH-SL]]*KH_26_OPT4_KTQT_v4[[#This Row],[SL-03]])</f>
        <v>0</v>
      </c>
      <c r="BZ110" s="47">
        <f>IF(KH_26_OPT4_KTQT_v4[[#This Row],[CPHH-%-SL]]="Dthu",KH_26_OPT4_KTQT_v4[[#This Row],[%HH]]*KH_26_OPT4_KTQT_v4[[#This Row],[DT-EXW-04]],KH_26_OPT4_KTQT_v4[[#This Row],[HH-SL]]*KH_26_OPT4_KTQT_v4[[#This Row],[SL-04]])</f>
        <v>0</v>
      </c>
      <c r="CA110" s="47">
        <f>IF(KH_26_OPT4_KTQT_v4[[#This Row],[CPHH-%-SL]]="Dthu",KH_26_OPT4_KTQT_v4[[#This Row],[%HH]]*KH_26_OPT4_KTQT_v4[[#This Row],[DT-EXW-05]],KH_26_OPT4_KTQT_v4[[#This Row],[HH-SL]]*KH_26_OPT4_KTQT_v4[[#This Row],[SL-05]])</f>
        <v>0</v>
      </c>
      <c r="CB110" s="47">
        <f>IF(KH_26_OPT4_KTQT_v4[[#This Row],[CPHH-%-SL]]="Dthu",KH_26_OPT4_KTQT_v4[[#This Row],[%HH]]*KH_26_OPT4_KTQT_v4[[#This Row],[DT-EXW-06]],KH_26_OPT4_KTQT_v4[[#This Row],[HH-SL]]*KH_26_OPT4_KTQT_v4[[#This Row],[SL-06]])</f>
        <v>0</v>
      </c>
      <c r="CC110" s="47">
        <f>IF(KH_26_OPT4_KTQT_v4[[#This Row],[CPHH-%-SL]]="Dthu",KH_26_OPT4_KTQT_v4[[#This Row],[%HH]]*KH_26_OPT4_KTQT_v4[[#This Row],[DT-EXW-07]],KH_26_OPT4_KTQT_v4[[#This Row],[HH-SL]]*KH_26_OPT4_KTQT_v4[[#This Row],[SL-07]])</f>
        <v>0</v>
      </c>
      <c r="CD110" s="47">
        <f>IF(KH_26_OPT4_KTQT_v4[[#This Row],[CPHH-%-SL]]="Dthu",KH_26_OPT4_KTQT_v4[[#This Row],[%HH]]*KH_26_OPT4_KTQT_v4[[#This Row],[DT-EXW-08]],KH_26_OPT4_KTQT_v4[[#This Row],[HH-SL]]*KH_26_OPT4_KTQT_v4[[#This Row],[SL-08]])</f>
        <v>0</v>
      </c>
      <c r="CE110" s="47">
        <f>IF(KH_26_OPT4_KTQT_v4[[#This Row],[CPHH-%-SL]]="Dthu",KH_26_OPT4_KTQT_v4[[#This Row],[%HH]]*KH_26_OPT4_KTQT_v4[[#This Row],[DT-EXW-09]],KH_26_OPT4_KTQT_v4[[#This Row],[HH-SL]]*KH_26_OPT4_KTQT_v4[[#This Row],[SL-09]])</f>
        <v>0</v>
      </c>
      <c r="CF110" s="47">
        <f>IF(KH_26_OPT4_KTQT_v4[[#This Row],[CPHH-%-SL]]="Dthu",KH_26_OPT4_KTQT_v4[[#This Row],[%HH]]*KH_26_OPT4_KTQT_v4[[#This Row],[DT-EXW-10]],KH_26_OPT4_KTQT_v4[[#This Row],[HH-SL]]*KH_26_OPT4_KTQT_v4[[#This Row],[SL-10]])</f>
        <v>0</v>
      </c>
      <c r="CG110" s="47">
        <f>IF(KH_26_OPT4_KTQT_v4[[#This Row],[CPHH-%-SL]]="Dthu",KH_26_OPT4_KTQT_v4[[#This Row],[%HH]]*KH_26_OPT4_KTQT_v4[[#This Row],[DT-EXW-11]],KH_26_OPT4_KTQT_v4[[#This Row],[HH-SL]]*KH_26_OPT4_KTQT_v4[[#This Row],[SL-11]])</f>
        <v>0</v>
      </c>
      <c r="CH110" s="47">
        <f>IF(KH_26_OPT4_KTQT_v4[[#This Row],[CPHH-%-SL]]="Dthu",KH_26_OPT4_KTQT_v4[[#This Row],[%HH]]*KH_26_OPT4_KTQT_v4[[#This Row],[DT-EXW-12]],KH_26_OPT4_KTQT_v4[[#This Row],[HH-SL]]*KH_26_OPT4_KTQT_v4[[#This Row],[SL-12]])</f>
        <v>0</v>
      </c>
      <c r="CI110" s="47">
        <f ca="1">SUM(KH_26_OPT4_KTQT_v4[[#This Row],[CPHH-01]:[CPHH-12]])</f>
        <v>0</v>
      </c>
      <c r="CJ110" s="47" cm="1">
        <f t="array" ref="CJ110">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10" s="19">
        <f ca="1">SUM(KH_26_OPT4_KTQT_v4[[#This Row],[ĐGVCNĐ-KXK]:[ĐGVCCT-KXK]])</f>
        <v>530000</v>
      </c>
      <c r="CL110" s="47" cm="1">
        <f t="array" ref="CL110">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530000</v>
      </c>
      <c r="CM110" s="47" cm="1">
        <f t="array" ref="CM110">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10" s="47">
        <f ca="1">(KH_26_OPT4_KTQT_v4[[#This Row],[ĐGVC-KNĐ]]+KH_26_OPT4_KTQT_v4[[#This Row],[ĐGVC-KXK]])*KH_26_OPT4_KTQT_v4[[#This Row],[SL-01]]</f>
        <v>0</v>
      </c>
      <c r="CO110" s="47">
        <f ca="1">(KH_26_OPT4_KTQT_v4[[#This Row],[ĐGVC-KNĐ]]+KH_26_OPT4_KTQT_v4[[#This Row],[ĐGVC-KXK]])*KH_26_OPT4_KTQT_v4[[#This Row],[SL-02]]</f>
        <v>0</v>
      </c>
      <c r="CP110" s="47">
        <f ca="1">(KH_26_OPT4_KTQT_v4[[#This Row],[ĐGVC-KNĐ]]+KH_26_OPT4_KTQT_v4[[#This Row],[ĐGVC-KXK]])*KH_26_OPT4_KTQT_v4[[#This Row],[SL-03]]</f>
        <v>0</v>
      </c>
      <c r="CQ110" s="47">
        <f ca="1">(KH_26_OPT4_KTQT_v4[[#This Row],[ĐGVC-KNĐ]]+KH_26_OPT4_KTQT_v4[[#This Row],[ĐGVC-KXK]])*KH_26_OPT4_KTQT_v4[[#This Row],[SL-04]]</f>
        <v>0</v>
      </c>
      <c r="CR110" s="47">
        <f ca="1">(KH_26_OPT4_KTQT_v4[[#This Row],[ĐGVC-KNĐ]]+KH_26_OPT4_KTQT_v4[[#This Row],[ĐGVC-KXK]])*KH_26_OPT4_KTQT_v4[[#This Row],[SL-05]]</f>
        <v>0</v>
      </c>
      <c r="CS110" s="47">
        <f ca="1">(KH_26_OPT4_KTQT_v4[[#This Row],[ĐGVC-KNĐ]]+KH_26_OPT4_KTQT_v4[[#This Row],[ĐGVC-KXK]])*KH_26_OPT4_KTQT_v4[[#This Row],[SL-06]]</f>
        <v>6360000</v>
      </c>
      <c r="CT110" s="47">
        <f ca="1">(KH_26_OPT4_KTQT_v4[[#This Row],[ĐGVC-KNĐ]]+KH_26_OPT4_KTQT_v4[[#This Row],[ĐGVC-KXK]])*KH_26_OPT4_KTQT_v4[[#This Row],[SL-07]]</f>
        <v>0</v>
      </c>
      <c r="CU110" s="47">
        <f ca="1">(KH_26_OPT4_KTQT_v4[[#This Row],[ĐGVC-KNĐ]]+KH_26_OPT4_KTQT_v4[[#This Row],[ĐGVC-KXK]])*KH_26_OPT4_KTQT_v4[[#This Row],[SL-08]]</f>
        <v>0</v>
      </c>
      <c r="CV110" s="47">
        <f ca="1">(KH_26_OPT4_KTQT_v4[[#This Row],[ĐGVC-KNĐ]]+KH_26_OPT4_KTQT_v4[[#This Row],[ĐGVC-KXK]])*KH_26_OPT4_KTQT_v4[[#This Row],[SL-09]]</f>
        <v>0</v>
      </c>
      <c r="CW110" s="47">
        <f ca="1">(KH_26_OPT4_KTQT_v4[[#This Row],[ĐGVC-KNĐ]]+KH_26_OPT4_KTQT_v4[[#This Row],[ĐGVC-KXK]])*KH_26_OPT4_KTQT_v4[[#This Row],[SL-10]]</f>
        <v>6360000</v>
      </c>
      <c r="CX110" s="47">
        <f ca="1">(KH_26_OPT4_KTQT_v4[[#This Row],[ĐGVC-KNĐ]]+KH_26_OPT4_KTQT_v4[[#This Row],[ĐGVC-KXK]])*KH_26_OPT4_KTQT_v4[[#This Row],[SL-11]]</f>
        <v>0</v>
      </c>
      <c r="CY110" s="47">
        <f ca="1">(KH_26_OPT4_KTQT_v4[[#This Row],[ĐGVC-KNĐ]]+KH_26_OPT4_KTQT_v4[[#This Row],[ĐGVC-KXK]])*KH_26_OPT4_KTQT_v4[[#This Row],[SL-12]]</f>
        <v>0</v>
      </c>
      <c r="CZ110" s="47">
        <f ca="1">SUM(KH_26_OPT4_KTQT_v4[[#This Row],[CPVC-01]:[CPVC-12]])</f>
        <v>12720000</v>
      </c>
      <c r="DA110" s="124">
        <f ca="1">KH_26_OPT4_KTQT_v4[[#This Row],[DT-EXW-01]]+KH_26_OPT4_KTQT_v4[[#This Row],[CPVC-01]]+KH_26_OPT4_KTQT_v4[[#This Row],[CPHH-01]]</f>
        <v>0</v>
      </c>
      <c r="DB110" s="47">
        <f ca="1">KH_26_OPT4_KTQT_v4[[#This Row],[DT-EXW-02]]+KH_26_OPT4_KTQT_v4[[#This Row],[CPVC-02]]+KH_26_OPT4_KTQT_v4[[#This Row],[CPHH-02]]</f>
        <v>0</v>
      </c>
      <c r="DC110" s="47">
        <f ca="1">KH_26_OPT4_KTQT_v4[[#This Row],[DT-EXW-03]]+KH_26_OPT4_KTQT_v4[[#This Row],[CPVC-03]]+KH_26_OPT4_KTQT_v4[[#This Row],[CPHH-03]]</f>
        <v>0</v>
      </c>
      <c r="DD110" s="47">
        <f ca="1">KH_26_OPT4_KTQT_v4[[#This Row],[DT-EXW-04]]+KH_26_OPT4_KTQT_v4[[#This Row],[CPVC-04]]+KH_26_OPT4_KTQT_v4[[#This Row],[CPHH-04]]</f>
        <v>0</v>
      </c>
      <c r="DE110" s="47">
        <f ca="1">KH_26_OPT4_KTQT_v4[[#This Row],[DT-EXW-05]]+KH_26_OPT4_KTQT_v4[[#This Row],[CPVC-05]]+KH_26_OPT4_KTQT_v4[[#This Row],[CPHH-05]]</f>
        <v>0</v>
      </c>
      <c r="DF110" s="47">
        <f ca="1">KH_26_OPT4_KTQT_v4[[#This Row],[DT-EXW-06]]+KH_26_OPT4_KTQT_v4[[#This Row],[CPVC-06]]+KH_26_OPT4_KTQT_v4[[#This Row],[CPHH-06]]</f>
        <v>228960000</v>
      </c>
      <c r="DG110" s="47">
        <f ca="1">KH_26_OPT4_KTQT_v4[[#This Row],[DT-EXW-07]]+KH_26_OPT4_KTQT_v4[[#This Row],[CPVC-07]]+KH_26_OPT4_KTQT_v4[[#This Row],[CPHH-07]]</f>
        <v>0</v>
      </c>
      <c r="DH110" s="47">
        <f ca="1">KH_26_OPT4_KTQT_v4[[#This Row],[DT-EXW-08]]+KH_26_OPT4_KTQT_v4[[#This Row],[CPVC-08]]+KH_26_OPT4_KTQT_v4[[#This Row],[CPHH-08]]</f>
        <v>0</v>
      </c>
      <c r="DI110" s="47">
        <f ca="1">KH_26_OPT4_KTQT_v4[[#This Row],[DT-EXW-09]]+KH_26_OPT4_KTQT_v4[[#This Row],[CPVC-09]]+KH_26_OPT4_KTQT_v4[[#This Row],[CPHH-09]]</f>
        <v>0</v>
      </c>
      <c r="DJ110" s="47">
        <f ca="1">KH_26_OPT4_KTQT_v4[[#This Row],[DT-EXW-10]]+KH_26_OPT4_KTQT_v4[[#This Row],[CPVC-10]]+KH_26_OPT4_KTQT_v4[[#This Row],[CPHH-10]]</f>
        <v>228960000</v>
      </c>
      <c r="DK110" s="47">
        <f ca="1">KH_26_OPT4_KTQT_v4[[#This Row],[DT-EXW-11]]+KH_26_OPT4_KTQT_v4[[#This Row],[CPVC-11]]+KH_26_OPT4_KTQT_v4[[#This Row],[CPHH-11]]</f>
        <v>0</v>
      </c>
      <c r="DL110" s="47">
        <f ca="1">KH_26_OPT4_KTQT_v4[[#This Row],[DT-EXW-12]]+KH_26_OPT4_KTQT_v4[[#This Row],[CPVC-12]]+KH_26_OPT4_KTQT_v4[[#This Row],[CPHH-12]]</f>
        <v>0</v>
      </c>
      <c r="DM110" s="47">
        <f ca="1">SUM(KH_26_OPT4_KTQT_v4[[#This Row],[DT-01]:[DT-12]])</f>
        <v>457920000</v>
      </c>
      <c r="DN110" s="7"/>
      <c r="DO110" s="7"/>
      <c r="DP110" s="125"/>
      <c r="DQ110" s="136"/>
      <c r="DR110" s="132">
        <f>IFERROR(KH_26_OPT4_KTQT_v4[[#This Row],[DT-EXW-01]]*KH_26_OPT4_KTQT_v4[[#This Row],[%CPDP]],0)</f>
        <v>0</v>
      </c>
      <c r="DS110" s="132">
        <f>IFERROR(KH_26_OPT4_KTQT_v4[[#This Row],[DT-EXW-02]]*KH_26_OPT4_KTQT_v4[[#This Row],[%CPDP]],0)</f>
        <v>0</v>
      </c>
      <c r="DT110" s="132">
        <f>IFERROR(KH_26_OPT4_KTQT_v4[[#This Row],[DT-EXW-03]]*KH_26_OPT4_KTQT_v4[[#This Row],[%CPDP]],0)</f>
        <v>0</v>
      </c>
      <c r="DU110" s="132">
        <f>IFERROR(KH_26_OPT4_KTQT_v4[[#This Row],[DT-EXW-04]]*KH_26_OPT4_KTQT_v4[[#This Row],[%CPDP]],0)</f>
        <v>0</v>
      </c>
      <c r="DV110" s="132">
        <f>IFERROR(KH_26_OPT4_KTQT_v4[[#This Row],[DT-EXW-05]]*KH_26_OPT4_KTQT_v4[[#This Row],[%CPDP]],0)</f>
        <v>0</v>
      </c>
      <c r="DW110" s="132">
        <f>IFERROR(KH_26_OPT4_KTQT_v4[[#This Row],[DT-EXW-06]]*KH_26_OPT4_KTQT_v4[[#This Row],[%CPDP]],0)</f>
        <v>0</v>
      </c>
      <c r="DX110" s="132">
        <f>IFERROR(KH_26_OPT4_KTQT_v4[[#This Row],[DT-EXW-07]]*KH_26_OPT4_KTQT_v4[[#This Row],[%CPDP]],0)</f>
        <v>0</v>
      </c>
      <c r="DY110" s="132">
        <f>IFERROR(KH_26_OPT4_KTQT_v4[[#This Row],[DT-EXW-08]]*KH_26_OPT4_KTQT_v4[[#This Row],[%CPDP]],0)</f>
        <v>0</v>
      </c>
      <c r="DZ110" s="132">
        <f>IFERROR(KH_26_OPT4_KTQT_v4[[#This Row],[DT-EXW-09]]*KH_26_OPT4_KTQT_v4[[#This Row],[%CPDP]],0)</f>
        <v>0</v>
      </c>
      <c r="EA110" s="132">
        <f>IFERROR(KH_26_OPT4_KTQT_v4[[#This Row],[DT-EXW-10]]*KH_26_OPT4_KTQT_v4[[#This Row],[%CPDP]],0)</f>
        <v>0</v>
      </c>
      <c r="EB110" s="132">
        <f>IFERROR(KH_26_OPT4_KTQT_v4[[#This Row],[DT-EXW-11]]*KH_26_OPT4_KTQT_v4[[#This Row],[%CPDP]],0)</f>
        <v>0</v>
      </c>
      <c r="EC110" s="132">
        <f>IFERROR(KH_26_OPT4_KTQT_v4[[#This Row],[DT-EXW-12]]*KH_26_OPT4_KTQT_v4[[#This Row],[%CPDP]],0)</f>
        <v>0</v>
      </c>
      <c r="ED110" s="131">
        <f ca="1">SUM(KH_26_OPT4_KTQT_v4[[#This Row],[CPDP-01]:[CPDP-12]])</f>
        <v>0</v>
      </c>
    </row>
    <row r="111" spans="1:134" ht="14.65" hidden="1" customHeight="1" x14ac:dyDescent="0.35">
      <c r="A111" s="18">
        <v>106</v>
      </c>
      <c r="B111" s="71" t="s">
        <v>115</v>
      </c>
      <c r="C111" s="18" t="str">
        <f>IFERROR(_xlfn.XLOOKUP(KH_26_OPT4_KTQT_v4[[#This Row],[Salesman]],MD_Salesman[Salesman],MD_Salesman[SalesManager]),"")</f>
        <v>Quốc Anh</v>
      </c>
      <c r="D111" s="72" t="str">
        <f>IFERROR(INDEX(MD_Customer[Mã khách],MATCH(KH_26_OPT4_KTQT_v4[[#This Row],[Tên khách]],MD_Customer[Tên khách-rút gọn],0)),"")</f>
        <v>200358</v>
      </c>
      <c r="E111" s="7" t="str">
        <f>IFERROR(INDEX(MD_Customer[Parent Account],MATCH(KH_26_OPT4_KTQT_v4[[#This Row],[Tên khách]],MD_Customer[Tên khách-rút gọn],0)),"")</f>
        <v>REYNERA</v>
      </c>
      <c r="F111" s="35" t="s">
        <v>64</v>
      </c>
      <c r="G111" s="7" t="str">
        <f>IFERROR(INDEX(MD_Customer[Phân loại],MATCH(KH_26_OPT4_KTQT_v4[[#This Row],[Tên khách]],MD_Customer[Tên khách-rút gọn],0)),"")</f>
        <v>Hiện hữu</v>
      </c>
      <c r="H111" s="7" t="str">
        <f>IFERROR(INDEX(MD_Customer[Kênh bán hàng],MATCH(KH_26_OPT4_KTQT_v4[[#This Row],[Tên khách]],MD_Customer[Tên khách-rút gọn],0)),"")</f>
        <v>Xuất khẩu</v>
      </c>
      <c r="I111" s="35" t="s">
        <v>318</v>
      </c>
      <c r="J111" s="7" t="str">
        <f>IFERROR(INDEX(MD_Destination[Nước],MATCH(KH_26_OPT4_KTQT_v4[[#This Row],[Địa điểm đến]],MD_Destination[Địa điểm đến],0)),"")</f>
        <v>Mexico</v>
      </c>
      <c r="K111" s="7" t="str">
        <f>IFERROR(INDEX(MD_Destination[Khu vực],MATCH(KH_26_OPT4_KTQT_v4[[#This Row],[Địa điểm đến]],MD_Destination[Địa điểm đến],0)),"")</f>
        <v>Châu Mỹ</v>
      </c>
      <c r="L111" s="35" t="s">
        <v>278</v>
      </c>
      <c r="M111" s="7" t="str">
        <f>IFERROR(INDEX(MD_SKU[Mã SKU],MATCH(KH_26_OPT4_KTQT_v4[[#This Row],[Tên sản phẩm]],MD_SKU[Tên SKU-rút gọn],0)),"")</f>
        <v>110000472</v>
      </c>
      <c r="N111" s="35" t="s">
        <v>490</v>
      </c>
      <c r="O111" s="7" t="str">
        <f>IFERROR(INDEX(MD_SKU[Ngành hàng],MATCH(KH_26_OPT4_KTQT_v4[[#This Row],[Tên sản phẩm]],MD_SKU[Tên SKU-rút gọn],0)),"")</f>
        <v>rPP</v>
      </c>
      <c r="P111" s="7" t="str">
        <f>IFERROR(INDEX(MD_SKU[Nhóm ngành],MATCH(KH_26_OPT4_KTQT_v4[[#This Row],[Tên sản phẩm]],MD_SKU[Tên SKU-rút gọn],0)),"")</f>
        <v>Hạt PP</v>
      </c>
      <c r="Q111" s="7" t="str">
        <f>IFERROR(
   IF(INDEX(MD_SKU[IV/IM],MATCH(KH_26_OPT4_KTQT_v4[[#This Row],[Tên sản phẩm]],MD_SKU[Tên SKU-rút gọn],0))=0,
      "",
      INDEX(MD_SKU[IV/IM],MATCH(KH_26_OPT4_KTQT_v4[[#This Row],[Tên sản phẩm]],MD_SKU[Tên SKU-rút gọn],0))
   ),
"")</f>
        <v/>
      </c>
      <c r="R111" s="44">
        <f>IFERROR(INDEX(MD_SKU[Application],MATCH(KH_26_OPT4_KTQT_v4[[#This Row],[Tên sản phẩm]],MD_SKU[Tên SKU-rút gọn],0)),"")</f>
        <v>0</v>
      </c>
      <c r="S111" s="7" t="str">
        <f>IFERROR(INDEX(MD_SKU[Phân loại],MATCH(KH_26_OPT4_KTQT_v4[[#This Row],[Tên sản phẩm]],MD_SKU[Tên SKU-rút gọn],0)),"")</f>
        <v>Cũ</v>
      </c>
      <c r="T111" s="7" t="s">
        <v>64</v>
      </c>
      <c r="U111" s="7" t="s">
        <v>1508</v>
      </c>
      <c r="V111" s="70">
        <v>0.8</v>
      </c>
      <c r="W111" s="33"/>
      <c r="X111" s="33"/>
      <c r="Y111" s="33"/>
      <c r="Z111" s="33"/>
      <c r="AA111" s="33"/>
      <c r="AB111" s="33">
        <v>12</v>
      </c>
      <c r="AC111" s="33"/>
      <c r="AD111" s="33"/>
      <c r="AE111" s="33"/>
      <c r="AF111" s="33">
        <v>12</v>
      </c>
      <c r="AG111" s="33"/>
      <c r="AH111" s="33"/>
      <c r="AI111" s="47">
        <f ca="1">SUM(KH_26_OPT4_KTQT_v4[[#This Row],[SL-01]:[SL-12]])</f>
        <v>24</v>
      </c>
      <c r="AJ111" s="47">
        <f ca="1">SUMIFS(DB_25[SL-DB25],DB_25[Mã khách],KH_26_OPT4_KTQT_v4[[#This Row],[Mã khách]],DB_25[Mã sản phẩm],KH_26_OPT4_KTQT_v4[[#This Row],[Mã sản phẩm]])</f>
        <v>35</v>
      </c>
      <c r="AK111" s="20">
        <f ca="1">KH_26_OPT4_KTQT_v4[[#This Row],[SL-KH26]]-KH_26_OPT4_KTQT_v4[[#This Row],[SL-DB25]]</f>
        <v>-11</v>
      </c>
      <c r="AL111" s="21">
        <f ca="1">IFERROR(KH_26_OPT4_KTQT_v4[[#This Row],[SL-+/-]]/KH_26_OPT4_KTQT_v4[[#This Row],[SL-DB25]],0)</f>
        <v>-0.31428571428571428</v>
      </c>
      <c r="AM111" s="51">
        <v>700</v>
      </c>
      <c r="AN111" s="51">
        <v>700</v>
      </c>
      <c r="AO111" s="51">
        <v>700</v>
      </c>
      <c r="AP111" s="51">
        <v>700</v>
      </c>
      <c r="AQ111" s="51">
        <v>700</v>
      </c>
      <c r="AR111" s="51">
        <v>700</v>
      </c>
      <c r="AS111" s="51">
        <v>700</v>
      </c>
      <c r="AT111" s="51">
        <v>700</v>
      </c>
      <c r="AU111" s="51">
        <v>700</v>
      </c>
      <c r="AV111" s="51">
        <v>700</v>
      </c>
      <c r="AW111" s="51">
        <v>700</v>
      </c>
      <c r="AX111" s="51">
        <v>700</v>
      </c>
      <c r="AY111" s="23">
        <v>700</v>
      </c>
      <c r="AZ111" s="7"/>
      <c r="BA111" s="24">
        <f>KH_26_OPT4_KTQT_v4[[#This Row],[GB-DB25]]-KH_26_OPT4_KTQT_v4[[#This Row],[GB-KH25]]</f>
        <v>700</v>
      </c>
      <c r="BB111" s="21">
        <f>IFERROR(KH_26_OPT4_KTQT_v4[[#This Row],[GB-+/-]]/KH_26_OPT4_KTQT_v4[[#This Row],[GB-KH25]],0)</f>
        <v>0</v>
      </c>
      <c r="BC111" s="21"/>
      <c r="BD111" s="47">
        <f>KH_26_OPT4_KTQT_v4[[#This Row],[SL-01]]*KH_26_OPT4_KTQT_v4[[#This Row],[GB-01]]*EXR</f>
        <v>0</v>
      </c>
      <c r="BE111" s="47">
        <f>KH_26_OPT4_KTQT_v4[[#This Row],[SL-02]]*KH_26_OPT4_KTQT_v4[[#This Row],[GB-02]]*EXR</f>
        <v>0</v>
      </c>
      <c r="BF111" s="47">
        <f>KH_26_OPT4_KTQT_v4[[#This Row],[SL-03]]*KH_26_OPT4_KTQT_v4[[#This Row],[GB-03]]*EXR</f>
        <v>0</v>
      </c>
      <c r="BG111" s="47">
        <f>KH_26_OPT4_KTQT_v4[[#This Row],[SL-04]]*KH_26_OPT4_KTQT_v4[[#This Row],[GB-04]]*EXR</f>
        <v>0</v>
      </c>
      <c r="BH111" s="47">
        <f>KH_26_OPT4_KTQT_v4[[#This Row],[SL-05]]*KH_26_OPT4_KTQT_v4[[#This Row],[GB-05]]*EXR</f>
        <v>0</v>
      </c>
      <c r="BI111" s="47">
        <f>KH_26_OPT4_KTQT_v4[[#This Row],[SL-06]]*KH_26_OPT4_KTQT_v4[[#This Row],[GB-06]]*EXR</f>
        <v>222600000</v>
      </c>
      <c r="BJ111" s="47">
        <f>KH_26_OPT4_KTQT_v4[[#This Row],[SL-07]]*KH_26_OPT4_KTQT_v4[[#This Row],[GB-07]]*EXR</f>
        <v>0</v>
      </c>
      <c r="BK111" s="47">
        <f>KH_26_OPT4_KTQT_v4[[#This Row],[SL-08]]*KH_26_OPT4_KTQT_v4[[#This Row],[GB-08]]*EXR</f>
        <v>0</v>
      </c>
      <c r="BL111" s="47">
        <f>KH_26_OPT4_KTQT_v4[[#This Row],[SL-09]]*KH_26_OPT4_KTQT_v4[[#This Row],[GB-09]]*EXR</f>
        <v>0</v>
      </c>
      <c r="BM111" s="47">
        <f>KH_26_OPT4_KTQT_v4[[#This Row],[SL-10]]*KH_26_OPT4_KTQT_v4[[#This Row],[GB-10]]*EXR</f>
        <v>222600000</v>
      </c>
      <c r="BN111" s="47">
        <f>KH_26_OPT4_KTQT_v4[[#This Row],[SL-11]]*KH_26_OPT4_KTQT_v4[[#This Row],[GB-11]]*EXR</f>
        <v>0</v>
      </c>
      <c r="BO111" s="47">
        <f>KH_26_OPT4_KTQT_v4[[#This Row],[SL-12]]*KH_26_OPT4_KTQT_v4[[#This Row],[GB-12]]*EXR</f>
        <v>0</v>
      </c>
      <c r="BP111" s="47">
        <f ca="1">SUM(KH_26_OPT4_KTQT_v4[[#This Row],[DT-EXW-01]:[DT-EXW-12]])</f>
        <v>445200000</v>
      </c>
      <c r="BQ111" s="47">
        <f ca="1">SUMIFS(DB_25[DT-DB25],DB_25[Mã khách],KH_26_OPT4_KTQT_v4[[#This Row],[Mã khách]],DB_25[Mã sản phẩm],KH_26_OPT4_KTQT_v4[[#This Row],[Mã sản phẩm]])</f>
        <v>791272681.91504729</v>
      </c>
      <c r="BR111" s="47">
        <f ca="1">KH_26_OPT4_KTQT_v4[[#This Row],[DT-EXW-KH26]]-KH_26_OPT4_KTQT_v4[[#This Row],[DT-EXW-DB25]]</f>
        <v>-346072681.91504729</v>
      </c>
      <c r="BS111" s="21">
        <f ca="1">IFERROR(KH_26_OPT4_KTQT_v4[[#This Row],[DT-EXW-+/-]]/KH_26_OPT4_KTQT_v4[[#This Row],[DT-EXW-DB25]],0)</f>
        <v>-0.43736210010116638</v>
      </c>
      <c r="BT111" s="139"/>
      <c r="BU111" s="57"/>
      <c r="BV111" s="51"/>
      <c r="BW111" s="47">
        <f>IF(KH_26_OPT4_KTQT_v4[[#This Row],[CPHH-%-SL]]="Dthu",KH_26_OPT4_KTQT_v4[[#This Row],[%HH]]*KH_26_OPT4_KTQT_v4[[#This Row],[DT-EXW-01]],KH_26_OPT4_KTQT_v4[[#This Row],[HH-SL]]*KH_26_OPT4_KTQT_v4[[#This Row],[SL-01]])</f>
        <v>0</v>
      </c>
      <c r="BX111" s="47">
        <f>IF(KH_26_OPT4_KTQT_v4[[#This Row],[CPHH-%-SL]]="Dthu",KH_26_OPT4_KTQT_v4[[#This Row],[%HH]]*KH_26_OPT4_KTQT_v4[[#This Row],[DT-EXW-02]],KH_26_OPT4_KTQT_v4[[#This Row],[HH-SL]]*KH_26_OPT4_KTQT_v4[[#This Row],[SL-02]])</f>
        <v>0</v>
      </c>
      <c r="BY111" s="47">
        <f>IF(KH_26_OPT4_KTQT_v4[[#This Row],[CPHH-%-SL]]="Dthu",KH_26_OPT4_KTQT_v4[[#This Row],[%HH]]*KH_26_OPT4_KTQT_v4[[#This Row],[DT-EXW-03]],KH_26_OPT4_KTQT_v4[[#This Row],[HH-SL]]*KH_26_OPT4_KTQT_v4[[#This Row],[SL-03]])</f>
        <v>0</v>
      </c>
      <c r="BZ111" s="47">
        <f>IF(KH_26_OPT4_KTQT_v4[[#This Row],[CPHH-%-SL]]="Dthu",KH_26_OPT4_KTQT_v4[[#This Row],[%HH]]*KH_26_OPT4_KTQT_v4[[#This Row],[DT-EXW-04]],KH_26_OPT4_KTQT_v4[[#This Row],[HH-SL]]*KH_26_OPT4_KTQT_v4[[#This Row],[SL-04]])</f>
        <v>0</v>
      </c>
      <c r="CA111" s="47">
        <f>IF(KH_26_OPT4_KTQT_v4[[#This Row],[CPHH-%-SL]]="Dthu",KH_26_OPT4_KTQT_v4[[#This Row],[%HH]]*KH_26_OPT4_KTQT_v4[[#This Row],[DT-EXW-05]],KH_26_OPT4_KTQT_v4[[#This Row],[HH-SL]]*KH_26_OPT4_KTQT_v4[[#This Row],[SL-05]])</f>
        <v>0</v>
      </c>
      <c r="CB111" s="47">
        <f>IF(KH_26_OPT4_KTQT_v4[[#This Row],[CPHH-%-SL]]="Dthu",KH_26_OPT4_KTQT_v4[[#This Row],[%HH]]*KH_26_OPT4_KTQT_v4[[#This Row],[DT-EXW-06]],KH_26_OPT4_KTQT_v4[[#This Row],[HH-SL]]*KH_26_OPT4_KTQT_v4[[#This Row],[SL-06]])</f>
        <v>0</v>
      </c>
      <c r="CC111" s="47">
        <f>IF(KH_26_OPT4_KTQT_v4[[#This Row],[CPHH-%-SL]]="Dthu",KH_26_OPT4_KTQT_v4[[#This Row],[%HH]]*KH_26_OPT4_KTQT_v4[[#This Row],[DT-EXW-07]],KH_26_OPT4_KTQT_v4[[#This Row],[HH-SL]]*KH_26_OPT4_KTQT_v4[[#This Row],[SL-07]])</f>
        <v>0</v>
      </c>
      <c r="CD111" s="47">
        <f>IF(KH_26_OPT4_KTQT_v4[[#This Row],[CPHH-%-SL]]="Dthu",KH_26_OPT4_KTQT_v4[[#This Row],[%HH]]*KH_26_OPT4_KTQT_v4[[#This Row],[DT-EXW-08]],KH_26_OPT4_KTQT_v4[[#This Row],[HH-SL]]*KH_26_OPT4_KTQT_v4[[#This Row],[SL-08]])</f>
        <v>0</v>
      </c>
      <c r="CE111" s="47">
        <f>IF(KH_26_OPT4_KTQT_v4[[#This Row],[CPHH-%-SL]]="Dthu",KH_26_OPT4_KTQT_v4[[#This Row],[%HH]]*KH_26_OPT4_KTQT_v4[[#This Row],[DT-EXW-09]],KH_26_OPT4_KTQT_v4[[#This Row],[HH-SL]]*KH_26_OPT4_KTQT_v4[[#This Row],[SL-09]])</f>
        <v>0</v>
      </c>
      <c r="CF111" s="47">
        <f>IF(KH_26_OPT4_KTQT_v4[[#This Row],[CPHH-%-SL]]="Dthu",KH_26_OPT4_KTQT_v4[[#This Row],[%HH]]*KH_26_OPT4_KTQT_v4[[#This Row],[DT-EXW-10]],KH_26_OPT4_KTQT_v4[[#This Row],[HH-SL]]*KH_26_OPT4_KTQT_v4[[#This Row],[SL-10]])</f>
        <v>0</v>
      </c>
      <c r="CG111" s="47">
        <f>IF(KH_26_OPT4_KTQT_v4[[#This Row],[CPHH-%-SL]]="Dthu",KH_26_OPT4_KTQT_v4[[#This Row],[%HH]]*KH_26_OPT4_KTQT_v4[[#This Row],[DT-EXW-11]],KH_26_OPT4_KTQT_v4[[#This Row],[HH-SL]]*KH_26_OPT4_KTQT_v4[[#This Row],[SL-11]])</f>
        <v>0</v>
      </c>
      <c r="CH111" s="47">
        <f>IF(KH_26_OPT4_KTQT_v4[[#This Row],[CPHH-%-SL]]="Dthu",KH_26_OPT4_KTQT_v4[[#This Row],[%HH]]*KH_26_OPT4_KTQT_v4[[#This Row],[DT-EXW-12]],KH_26_OPT4_KTQT_v4[[#This Row],[HH-SL]]*KH_26_OPT4_KTQT_v4[[#This Row],[SL-12]])</f>
        <v>0</v>
      </c>
      <c r="CI111" s="47">
        <f ca="1">SUM(KH_26_OPT4_KTQT_v4[[#This Row],[CPHH-01]:[CPHH-12]])</f>
        <v>0</v>
      </c>
      <c r="CJ111" s="47" cm="1">
        <f t="array" ref="CJ111">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11" s="19">
        <f ca="1">SUM(KH_26_OPT4_KTQT_v4[[#This Row],[ĐGVCNĐ-KXK]:[ĐGVCCT-KXK]])</f>
        <v>530000</v>
      </c>
      <c r="CL111" s="47" cm="1">
        <f t="array" ref="CL111">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530000</v>
      </c>
      <c r="CM111" s="47" cm="1">
        <f t="array" ref="CM111">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11" s="47">
        <f ca="1">(KH_26_OPT4_KTQT_v4[[#This Row],[ĐGVC-KNĐ]]+KH_26_OPT4_KTQT_v4[[#This Row],[ĐGVC-KXK]])*KH_26_OPT4_KTQT_v4[[#This Row],[SL-01]]</f>
        <v>0</v>
      </c>
      <c r="CO111" s="47">
        <f ca="1">(KH_26_OPT4_KTQT_v4[[#This Row],[ĐGVC-KNĐ]]+KH_26_OPT4_KTQT_v4[[#This Row],[ĐGVC-KXK]])*KH_26_OPT4_KTQT_v4[[#This Row],[SL-02]]</f>
        <v>0</v>
      </c>
      <c r="CP111" s="47">
        <f ca="1">(KH_26_OPT4_KTQT_v4[[#This Row],[ĐGVC-KNĐ]]+KH_26_OPT4_KTQT_v4[[#This Row],[ĐGVC-KXK]])*KH_26_OPT4_KTQT_v4[[#This Row],[SL-03]]</f>
        <v>0</v>
      </c>
      <c r="CQ111" s="47">
        <f ca="1">(KH_26_OPT4_KTQT_v4[[#This Row],[ĐGVC-KNĐ]]+KH_26_OPT4_KTQT_v4[[#This Row],[ĐGVC-KXK]])*KH_26_OPT4_KTQT_v4[[#This Row],[SL-04]]</f>
        <v>0</v>
      </c>
      <c r="CR111" s="47">
        <f ca="1">(KH_26_OPT4_KTQT_v4[[#This Row],[ĐGVC-KNĐ]]+KH_26_OPT4_KTQT_v4[[#This Row],[ĐGVC-KXK]])*KH_26_OPT4_KTQT_v4[[#This Row],[SL-05]]</f>
        <v>0</v>
      </c>
      <c r="CS111" s="47">
        <f ca="1">(KH_26_OPT4_KTQT_v4[[#This Row],[ĐGVC-KNĐ]]+KH_26_OPT4_KTQT_v4[[#This Row],[ĐGVC-KXK]])*KH_26_OPT4_KTQT_v4[[#This Row],[SL-06]]</f>
        <v>6360000</v>
      </c>
      <c r="CT111" s="47">
        <f ca="1">(KH_26_OPT4_KTQT_v4[[#This Row],[ĐGVC-KNĐ]]+KH_26_OPT4_KTQT_v4[[#This Row],[ĐGVC-KXK]])*KH_26_OPT4_KTQT_v4[[#This Row],[SL-07]]</f>
        <v>0</v>
      </c>
      <c r="CU111" s="47">
        <f ca="1">(KH_26_OPT4_KTQT_v4[[#This Row],[ĐGVC-KNĐ]]+KH_26_OPT4_KTQT_v4[[#This Row],[ĐGVC-KXK]])*KH_26_OPT4_KTQT_v4[[#This Row],[SL-08]]</f>
        <v>0</v>
      </c>
      <c r="CV111" s="47">
        <f ca="1">(KH_26_OPT4_KTQT_v4[[#This Row],[ĐGVC-KNĐ]]+KH_26_OPT4_KTQT_v4[[#This Row],[ĐGVC-KXK]])*KH_26_OPT4_KTQT_v4[[#This Row],[SL-09]]</f>
        <v>0</v>
      </c>
      <c r="CW111" s="47">
        <f ca="1">(KH_26_OPT4_KTQT_v4[[#This Row],[ĐGVC-KNĐ]]+KH_26_OPT4_KTQT_v4[[#This Row],[ĐGVC-KXK]])*KH_26_OPT4_KTQT_v4[[#This Row],[SL-10]]</f>
        <v>6360000</v>
      </c>
      <c r="CX111" s="47">
        <f ca="1">(KH_26_OPT4_KTQT_v4[[#This Row],[ĐGVC-KNĐ]]+KH_26_OPT4_KTQT_v4[[#This Row],[ĐGVC-KXK]])*KH_26_OPT4_KTQT_v4[[#This Row],[SL-11]]</f>
        <v>0</v>
      </c>
      <c r="CY111" s="47">
        <f ca="1">(KH_26_OPT4_KTQT_v4[[#This Row],[ĐGVC-KNĐ]]+KH_26_OPT4_KTQT_v4[[#This Row],[ĐGVC-KXK]])*KH_26_OPT4_KTQT_v4[[#This Row],[SL-12]]</f>
        <v>0</v>
      </c>
      <c r="CZ111" s="47">
        <f ca="1">SUM(KH_26_OPT4_KTQT_v4[[#This Row],[CPVC-01]:[CPVC-12]])</f>
        <v>12720000</v>
      </c>
      <c r="DA111" s="124">
        <f ca="1">KH_26_OPT4_KTQT_v4[[#This Row],[DT-EXW-01]]+KH_26_OPT4_KTQT_v4[[#This Row],[CPVC-01]]+KH_26_OPT4_KTQT_v4[[#This Row],[CPHH-01]]</f>
        <v>0</v>
      </c>
      <c r="DB111" s="47">
        <f ca="1">KH_26_OPT4_KTQT_v4[[#This Row],[DT-EXW-02]]+KH_26_OPT4_KTQT_v4[[#This Row],[CPVC-02]]+KH_26_OPT4_KTQT_v4[[#This Row],[CPHH-02]]</f>
        <v>0</v>
      </c>
      <c r="DC111" s="47">
        <f ca="1">KH_26_OPT4_KTQT_v4[[#This Row],[DT-EXW-03]]+KH_26_OPT4_KTQT_v4[[#This Row],[CPVC-03]]+KH_26_OPT4_KTQT_v4[[#This Row],[CPHH-03]]</f>
        <v>0</v>
      </c>
      <c r="DD111" s="47">
        <f ca="1">KH_26_OPT4_KTQT_v4[[#This Row],[DT-EXW-04]]+KH_26_OPT4_KTQT_v4[[#This Row],[CPVC-04]]+KH_26_OPT4_KTQT_v4[[#This Row],[CPHH-04]]</f>
        <v>0</v>
      </c>
      <c r="DE111" s="47">
        <f ca="1">KH_26_OPT4_KTQT_v4[[#This Row],[DT-EXW-05]]+KH_26_OPT4_KTQT_v4[[#This Row],[CPVC-05]]+KH_26_OPT4_KTQT_v4[[#This Row],[CPHH-05]]</f>
        <v>0</v>
      </c>
      <c r="DF111" s="47">
        <f ca="1">KH_26_OPT4_KTQT_v4[[#This Row],[DT-EXW-06]]+KH_26_OPT4_KTQT_v4[[#This Row],[CPVC-06]]+KH_26_OPT4_KTQT_v4[[#This Row],[CPHH-06]]</f>
        <v>228960000</v>
      </c>
      <c r="DG111" s="47">
        <f ca="1">KH_26_OPT4_KTQT_v4[[#This Row],[DT-EXW-07]]+KH_26_OPT4_KTQT_v4[[#This Row],[CPVC-07]]+KH_26_OPT4_KTQT_v4[[#This Row],[CPHH-07]]</f>
        <v>0</v>
      </c>
      <c r="DH111" s="47">
        <f ca="1">KH_26_OPT4_KTQT_v4[[#This Row],[DT-EXW-08]]+KH_26_OPT4_KTQT_v4[[#This Row],[CPVC-08]]+KH_26_OPT4_KTQT_v4[[#This Row],[CPHH-08]]</f>
        <v>0</v>
      </c>
      <c r="DI111" s="47">
        <f ca="1">KH_26_OPT4_KTQT_v4[[#This Row],[DT-EXW-09]]+KH_26_OPT4_KTQT_v4[[#This Row],[CPVC-09]]+KH_26_OPT4_KTQT_v4[[#This Row],[CPHH-09]]</f>
        <v>0</v>
      </c>
      <c r="DJ111" s="47">
        <f ca="1">KH_26_OPT4_KTQT_v4[[#This Row],[DT-EXW-10]]+KH_26_OPT4_KTQT_v4[[#This Row],[CPVC-10]]+KH_26_OPT4_KTQT_v4[[#This Row],[CPHH-10]]</f>
        <v>228960000</v>
      </c>
      <c r="DK111" s="47">
        <f ca="1">KH_26_OPT4_KTQT_v4[[#This Row],[DT-EXW-11]]+KH_26_OPT4_KTQT_v4[[#This Row],[CPVC-11]]+KH_26_OPT4_KTQT_v4[[#This Row],[CPHH-11]]</f>
        <v>0</v>
      </c>
      <c r="DL111" s="47">
        <f ca="1">KH_26_OPT4_KTQT_v4[[#This Row],[DT-EXW-12]]+KH_26_OPT4_KTQT_v4[[#This Row],[CPVC-12]]+KH_26_OPT4_KTQT_v4[[#This Row],[CPHH-12]]</f>
        <v>0</v>
      </c>
      <c r="DM111" s="47">
        <f ca="1">SUM(KH_26_OPT4_KTQT_v4[[#This Row],[DT-01]:[DT-12]])</f>
        <v>457920000</v>
      </c>
      <c r="DN111" s="7"/>
      <c r="DO111" s="7"/>
      <c r="DP111" s="125"/>
      <c r="DQ111" s="136"/>
      <c r="DR111" s="132">
        <f>IFERROR(KH_26_OPT4_KTQT_v4[[#This Row],[DT-EXW-01]]*KH_26_OPT4_KTQT_v4[[#This Row],[%CPDP]],0)</f>
        <v>0</v>
      </c>
      <c r="DS111" s="132">
        <f>IFERROR(KH_26_OPT4_KTQT_v4[[#This Row],[DT-EXW-02]]*KH_26_OPT4_KTQT_v4[[#This Row],[%CPDP]],0)</f>
        <v>0</v>
      </c>
      <c r="DT111" s="132">
        <f>IFERROR(KH_26_OPT4_KTQT_v4[[#This Row],[DT-EXW-03]]*KH_26_OPT4_KTQT_v4[[#This Row],[%CPDP]],0)</f>
        <v>0</v>
      </c>
      <c r="DU111" s="132">
        <f>IFERROR(KH_26_OPT4_KTQT_v4[[#This Row],[DT-EXW-04]]*KH_26_OPT4_KTQT_v4[[#This Row],[%CPDP]],0)</f>
        <v>0</v>
      </c>
      <c r="DV111" s="132">
        <f>IFERROR(KH_26_OPT4_KTQT_v4[[#This Row],[DT-EXW-05]]*KH_26_OPT4_KTQT_v4[[#This Row],[%CPDP]],0)</f>
        <v>0</v>
      </c>
      <c r="DW111" s="132">
        <f>IFERROR(KH_26_OPT4_KTQT_v4[[#This Row],[DT-EXW-06]]*KH_26_OPT4_KTQT_v4[[#This Row],[%CPDP]],0)</f>
        <v>0</v>
      </c>
      <c r="DX111" s="132">
        <f>IFERROR(KH_26_OPT4_KTQT_v4[[#This Row],[DT-EXW-07]]*KH_26_OPT4_KTQT_v4[[#This Row],[%CPDP]],0)</f>
        <v>0</v>
      </c>
      <c r="DY111" s="132">
        <f>IFERROR(KH_26_OPT4_KTQT_v4[[#This Row],[DT-EXW-08]]*KH_26_OPT4_KTQT_v4[[#This Row],[%CPDP]],0)</f>
        <v>0</v>
      </c>
      <c r="DZ111" s="132">
        <f>IFERROR(KH_26_OPT4_KTQT_v4[[#This Row],[DT-EXW-09]]*KH_26_OPT4_KTQT_v4[[#This Row],[%CPDP]],0)</f>
        <v>0</v>
      </c>
      <c r="EA111" s="132">
        <f>IFERROR(KH_26_OPT4_KTQT_v4[[#This Row],[DT-EXW-10]]*KH_26_OPT4_KTQT_v4[[#This Row],[%CPDP]],0)</f>
        <v>0</v>
      </c>
      <c r="EB111" s="132">
        <f>IFERROR(KH_26_OPT4_KTQT_v4[[#This Row],[DT-EXW-11]]*KH_26_OPT4_KTQT_v4[[#This Row],[%CPDP]],0)</f>
        <v>0</v>
      </c>
      <c r="EC111" s="132">
        <f>IFERROR(KH_26_OPT4_KTQT_v4[[#This Row],[DT-EXW-12]]*KH_26_OPT4_KTQT_v4[[#This Row],[%CPDP]],0)</f>
        <v>0</v>
      </c>
      <c r="ED111" s="131">
        <f ca="1">SUM(KH_26_OPT4_KTQT_v4[[#This Row],[CPDP-01]:[CPDP-12]])</f>
        <v>0</v>
      </c>
    </row>
    <row r="112" spans="1:134" ht="14.65" hidden="1" customHeight="1" x14ac:dyDescent="0.35">
      <c r="A112" s="18">
        <v>107</v>
      </c>
      <c r="B112" s="71" t="s">
        <v>101</v>
      </c>
      <c r="C112" s="18" t="str">
        <f>IFERROR(_xlfn.XLOOKUP(KH_26_OPT4_KTQT_v4[[#This Row],[Salesman]],MD_Salesman[Salesman],MD_Salesman[SalesManager]),"")</f>
        <v>Cường</v>
      </c>
      <c r="D112" s="72" t="str">
        <f>IFERROR(INDEX(MD_Customer[Mã khách],MATCH(KH_26_OPT4_KTQT_v4[[#This Row],[Tên khách]],MD_Customer[Tên khách-rút gọn],0)),"")</f>
        <v>105281</v>
      </c>
      <c r="E112" s="7" t="str">
        <f>IFERROR(INDEX(MD_Customer[Parent Account],MATCH(KH_26_OPT4_KTQT_v4[[#This Row],[Tên khách]],MD_Customer[Tên khách-rút gọn],0)),"")</f>
        <v>Plascene</v>
      </c>
      <c r="F112" s="35" t="s">
        <v>266</v>
      </c>
      <c r="G112" s="7" t="str">
        <f>IFERROR(INDEX(MD_Customer[Phân loại],MATCH(KH_26_OPT4_KTQT_v4[[#This Row],[Tên khách]],MD_Customer[Tên khách-rút gọn],0)),"")</f>
        <v>Hiện hữu</v>
      </c>
      <c r="H112" s="7" t="str">
        <f>IFERROR(INDEX(MD_Customer[Kênh bán hàng],MATCH(KH_26_OPT4_KTQT_v4[[#This Row],[Tên khách]],MD_Customer[Tên khách-rút gọn],0)),"")</f>
        <v>Nội địa</v>
      </c>
      <c r="I112" s="35" t="s">
        <v>258</v>
      </c>
      <c r="J112" s="7" t="str">
        <f>IFERROR(INDEX(MD_Destination[Nước],MATCH(KH_26_OPT4_KTQT_v4[[#This Row],[Địa điểm đến]],MD_Destination[Địa điểm đến],0)),"")</f>
        <v>Việt Nam</v>
      </c>
      <c r="K112" s="7" t="str">
        <f>IFERROR(INDEX(MD_Destination[Khu vực],MATCH(KH_26_OPT4_KTQT_v4[[#This Row],[Địa điểm đến]],MD_Destination[Địa điểm đến],0)),"")</f>
        <v>Châu Á</v>
      </c>
      <c r="L112" s="35" t="s">
        <v>262</v>
      </c>
      <c r="M112" s="7" t="str">
        <f>IFERROR(INDEX(MD_SKU[Mã SKU],MATCH(KH_26_OPT4_KTQT_v4[[#This Row],[Tên sản phẩm]],MD_SKU[Tên SKU-rút gọn],0)),"")</f>
        <v>110000329</v>
      </c>
      <c r="N112" s="35" t="s">
        <v>495</v>
      </c>
      <c r="O112" s="7" t="str">
        <f>IFERROR(INDEX(MD_SKU[Ngành hàng],MATCH(KH_26_OPT4_KTQT_v4[[#This Row],[Tên sản phẩm]],MD_SKU[Tên SKU-rút gọn],0)),"")</f>
        <v>rPET</v>
      </c>
      <c r="P112" s="7" t="str">
        <f>IFERROR(INDEX(MD_SKU[Nhóm ngành],MATCH(KH_26_OPT4_KTQT_v4[[#This Row],[Tên sản phẩm]],MD_SKU[Tên SKU-rút gọn],0)),"")</f>
        <v>Hạt PET</v>
      </c>
      <c r="Q112" s="7" t="str">
        <f>IFERROR(
   IF(INDEX(MD_SKU[IV/IM],MATCH(KH_26_OPT4_KTQT_v4[[#This Row],[Tên sản phẩm]],MD_SKU[Tên SKU-rút gọn],0))=0,
      "",
      INDEX(MD_SKU[IV/IM],MATCH(KH_26_OPT4_KTQT_v4[[#This Row],[Tên sản phẩm]],MD_SKU[Tên SKU-rút gọn],0))
   ),
"")</f>
        <v>0.78 ± 0.02</v>
      </c>
      <c r="R112" s="44">
        <f>IFERROR(INDEX(MD_SKU[Application],MATCH(KH_26_OPT4_KTQT_v4[[#This Row],[Tên sản phẩm]],MD_SKU[Tên SKU-rút gọn],0)),"")</f>
        <v>0</v>
      </c>
      <c r="S112" s="7" t="str">
        <f>IFERROR(INDEX(MD_SKU[Phân loại],MATCH(KH_26_OPT4_KTQT_v4[[#This Row],[Tên sản phẩm]],MD_SKU[Tên SKU-rút gọn],0)),"")</f>
        <v>Cũ</v>
      </c>
      <c r="T112" s="7" t="s">
        <v>100</v>
      </c>
      <c r="U112" s="7" t="s">
        <v>1508</v>
      </c>
      <c r="V112" s="70">
        <v>0.8</v>
      </c>
      <c r="W112" s="33">
        <v>22</v>
      </c>
      <c r="X112" s="33"/>
      <c r="Y112" s="33"/>
      <c r="Z112" s="33"/>
      <c r="AA112" s="33"/>
      <c r="AB112" s="33"/>
      <c r="AC112" s="33"/>
      <c r="AD112" s="33"/>
      <c r="AE112" s="33"/>
      <c r="AF112" s="33"/>
      <c r="AG112" s="33"/>
      <c r="AH112" s="33"/>
      <c r="AI112" s="47">
        <f ca="1">SUM(KH_26_OPT4_KTQT_v4[[#This Row],[SL-01]:[SL-12]])</f>
        <v>22</v>
      </c>
      <c r="AJ112" s="47">
        <f ca="1">SUMIFS(DB_25[SL-DB25],DB_25[Mã khách],KH_26_OPT4_KTQT_v4[[#This Row],[Mã khách]],DB_25[Mã sản phẩm],KH_26_OPT4_KTQT_v4[[#This Row],[Mã sản phẩm]])</f>
        <v>22</v>
      </c>
      <c r="AK112" s="20">
        <f ca="1">KH_26_OPT4_KTQT_v4[[#This Row],[SL-KH26]]-KH_26_OPT4_KTQT_v4[[#This Row],[SL-DB25]]</f>
        <v>0</v>
      </c>
      <c r="AL112" s="21">
        <f ca="1">IFERROR(KH_26_OPT4_KTQT_v4[[#This Row],[SL-+/-]]/KH_26_OPT4_KTQT_v4[[#This Row],[SL-DB25]],0)</f>
        <v>0</v>
      </c>
      <c r="AM112" s="51">
        <v>1150</v>
      </c>
      <c r="AN112" s="51">
        <v>1150</v>
      </c>
      <c r="AO112" s="51">
        <v>1150</v>
      </c>
      <c r="AP112" s="51">
        <v>1150</v>
      </c>
      <c r="AQ112" s="51">
        <v>1150</v>
      </c>
      <c r="AR112" s="51">
        <v>1150</v>
      </c>
      <c r="AS112" s="51">
        <v>1150</v>
      </c>
      <c r="AT112" s="51">
        <v>1150</v>
      </c>
      <c r="AU112" s="51">
        <v>1150</v>
      </c>
      <c r="AV112" s="51">
        <v>1150</v>
      </c>
      <c r="AW112" s="51">
        <v>1150</v>
      </c>
      <c r="AX112" s="51">
        <v>1150</v>
      </c>
      <c r="AY112" s="23">
        <v>1150</v>
      </c>
      <c r="AZ112" s="7"/>
      <c r="BA112" s="24">
        <f>KH_26_OPT4_KTQT_v4[[#This Row],[GB-DB25]]-KH_26_OPT4_KTQT_v4[[#This Row],[GB-KH25]]</f>
        <v>1150</v>
      </c>
      <c r="BB112" s="21">
        <f>IFERROR(KH_26_OPT4_KTQT_v4[[#This Row],[GB-+/-]]/KH_26_OPT4_KTQT_v4[[#This Row],[GB-KH25]],0)</f>
        <v>0</v>
      </c>
      <c r="BC112" s="21"/>
      <c r="BD112" s="47">
        <f>KH_26_OPT4_KTQT_v4[[#This Row],[SL-01]]*KH_26_OPT4_KTQT_v4[[#This Row],[GB-01]]*EXR</f>
        <v>670450000</v>
      </c>
      <c r="BE112" s="47">
        <f>KH_26_OPT4_KTQT_v4[[#This Row],[SL-02]]*KH_26_OPT4_KTQT_v4[[#This Row],[GB-02]]*EXR</f>
        <v>0</v>
      </c>
      <c r="BF112" s="47">
        <f>KH_26_OPT4_KTQT_v4[[#This Row],[SL-03]]*KH_26_OPT4_KTQT_v4[[#This Row],[GB-03]]*EXR</f>
        <v>0</v>
      </c>
      <c r="BG112" s="47">
        <f>KH_26_OPT4_KTQT_v4[[#This Row],[SL-04]]*KH_26_OPT4_KTQT_v4[[#This Row],[GB-04]]*EXR</f>
        <v>0</v>
      </c>
      <c r="BH112" s="47">
        <f>KH_26_OPT4_KTQT_v4[[#This Row],[SL-05]]*KH_26_OPT4_KTQT_v4[[#This Row],[GB-05]]*EXR</f>
        <v>0</v>
      </c>
      <c r="BI112" s="47">
        <f>KH_26_OPT4_KTQT_v4[[#This Row],[SL-06]]*KH_26_OPT4_KTQT_v4[[#This Row],[GB-06]]*EXR</f>
        <v>0</v>
      </c>
      <c r="BJ112" s="47">
        <f>KH_26_OPT4_KTQT_v4[[#This Row],[SL-07]]*KH_26_OPT4_KTQT_v4[[#This Row],[GB-07]]*EXR</f>
        <v>0</v>
      </c>
      <c r="BK112" s="47">
        <f>KH_26_OPT4_KTQT_v4[[#This Row],[SL-08]]*KH_26_OPT4_KTQT_v4[[#This Row],[GB-08]]*EXR</f>
        <v>0</v>
      </c>
      <c r="BL112" s="47">
        <f>KH_26_OPT4_KTQT_v4[[#This Row],[SL-09]]*KH_26_OPT4_KTQT_v4[[#This Row],[GB-09]]*EXR</f>
        <v>0</v>
      </c>
      <c r="BM112" s="47">
        <f>KH_26_OPT4_KTQT_v4[[#This Row],[SL-10]]*KH_26_OPT4_KTQT_v4[[#This Row],[GB-10]]*EXR</f>
        <v>0</v>
      </c>
      <c r="BN112" s="47">
        <f>KH_26_OPT4_KTQT_v4[[#This Row],[SL-11]]*KH_26_OPT4_KTQT_v4[[#This Row],[GB-11]]*EXR</f>
        <v>0</v>
      </c>
      <c r="BO112" s="47">
        <f>KH_26_OPT4_KTQT_v4[[#This Row],[SL-12]]*KH_26_OPT4_KTQT_v4[[#This Row],[GB-12]]*EXR</f>
        <v>0</v>
      </c>
      <c r="BP112" s="47">
        <f ca="1">SUM(KH_26_OPT4_KTQT_v4[[#This Row],[DT-EXW-01]:[DT-EXW-12]])</f>
        <v>670450000</v>
      </c>
      <c r="BQ112" s="47">
        <f ca="1">SUMIFS(DB_25[DT-DB25],DB_25[Mã khách],KH_26_OPT4_KTQT_v4[[#This Row],[Mã khách]],DB_25[Mã sản phẩm],KH_26_OPT4_KTQT_v4[[#This Row],[Mã sản phẩm]])</f>
        <v>714817625.18864775</v>
      </c>
      <c r="BR112" s="47">
        <f ca="1">KH_26_OPT4_KTQT_v4[[#This Row],[DT-EXW-KH26]]-KH_26_OPT4_KTQT_v4[[#This Row],[DT-EXW-DB25]]</f>
        <v>-44367625.188647747</v>
      </c>
      <c r="BS112" s="21">
        <f ca="1">IFERROR(KH_26_OPT4_KTQT_v4[[#This Row],[DT-EXW-+/-]]/KH_26_OPT4_KTQT_v4[[#This Row],[DT-EXW-DB25]],0)</f>
        <v>-6.2068454421417875E-2</v>
      </c>
      <c r="BT112" s="139"/>
      <c r="BU112" s="57"/>
      <c r="BV112" s="51"/>
      <c r="BW112" s="47">
        <f>IF(KH_26_OPT4_KTQT_v4[[#This Row],[CPHH-%-SL]]="Dthu",KH_26_OPT4_KTQT_v4[[#This Row],[%HH]]*KH_26_OPT4_KTQT_v4[[#This Row],[DT-EXW-01]],KH_26_OPT4_KTQT_v4[[#This Row],[HH-SL]]*KH_26_OPT4_KTQT_v4[[#This Row],[SL-01]])</f>
        <v>0</v>
      </c>
      <c r="BX112" s="47">
        <f>IF(KH_26_OPT4_KTQT_v4[[#This Row],[CPHH-%-SL]]="Dthu",KH_26_OPT4_KTQT_v4[[#This Row],[%HH]]*KH_26_OPT4_KTQT_v4[[#This Row],[DT-EXW-02]],KH_26_OPT4_KTQT_v4[[#This Row],[HH-SL]]*KH_26_OPT4_KTQT_v4[[#This Row],[SL-02]])</f>
        <v>0</v>
      </c>
      <c r="BY112" s="47">
        <f>IF(KH_26_OPT4_KTQT_v4[[#This Row],[CPHH-%-SL]]="Dthu",KH_26_OPT4_KTQT_v4[[#This Row],[%HH]]*KH_26_OPT4_KTQT_v4[[#This Row],[DT-EXW-03]],KH_26_OPT4_KTQT_v4[[#This Row],[HH-SL]]*KH_26_OPT4_KTQT_v4[[#This Row],[SL-03]])</f>
        <v>0</v>
      </c>
      <c r="BZ112" s="47">
        <f>IF(KH_26_OPT4_KTQT_v4[[#This Row],[CPHH-%-SL]]="Dthu",KH_26_OPT4_KTQT_v4[[#This Row],[%HH]]*KH_26_OPT4_KTQT_v4[[#This Row],[DT-EXW-04]],KH_26_OPT4_KTQT_v4[[#This Row],[HH-SL]]*KH_26_OPT4_KTQT_v4[[#This Row],[SL-04]])</f>
        <v>0</v>
      </c>
      <c r="CA112" s="47">
        <f>IF(KH_26_OPT4_KTQT_v4[[#This Row],[CPHH-%-SL]]="Dthu",KH_26_OPT4_KTQT_v4[[#This Row],[%HH]]*KH_26_OPT4_KTQT_v4[[#This Row],[DT-EXW-05]],KH_26_OPT4_KTQT_v4[[#This Row],[HH-SL]]*KH_26_OPT4_KTQT_v4[[#This Row],[SL-05]])</f>
        <v>0</v>
      </c>
      <c r="CB112" s="47">
        <f>IF(KH_26_OPT4_KTQT_v4[[#This Row],[CPHH-%-SL]]="Dthu",KH_26_OPT4_KTQT_v4[[#This Row],[%HH]]*KH_26_OPT4_KTQT_v4[[#This Row],[DT-EXW-06]],KH_26_OPT4_KTQT_v4[[#This Row],[HH-SL]]*KH_26_OPT4_KTQT_v4[[#This Row],[SL-06]])</f>
        <v>0</v>
      </c>
      <c r="CC112" s="47">
        <f>IF(KH_26_OPT4_KTQT_v4[[#This Row],[CPHH-%-SL]]="Dthu",KH_26_OPT4_KTQT_v4[[#This Row],[%HH]]*KH_26_OPT4_KTQT_v4[[#This Row],[DT-EXW-07]],KH_26_OPT4_KTQT_v4[[#This Row],[HH-SL]]*KH_26_OPT4_KTQT_v4[[#This Row],[SL-07]])</f>
        <v>0</v>
      </c>
      <c r="CD112" s="47">
        <f>IF(KH_26_OPT4_KTQT_v4[[#This Row],[CPHH-%-SL]]="Dthu",KH_26_OPT4_KTQT_v4[[#This Row],[%HH]]*KH_26_OPT4_KTQT_v4[[#This Row],[DT-EXW-08]],KH_26_OPT4_KTQT_v4[[#This Row],[HH-SL]]*KH_26_OPT4_KTQT_v4[[#This Row],[SL-08]])</f>
        <v>0</v>
      </c>
      <c r="CE112" s="47">
        <f>IF(KH_26_OPT4_KTQT_v4[[#This Row],[CPHH-%-SL]]="Dthu",KH_26_OPT4_KTQT_v4[[#This Row],[%HH]]*KH_26_OPT4_KTQT_v4[[#This Row],[DT-EXW-09]],KH_26_OPT4_KTQT_v4[[#This Row],[HH-SL]]*KH_26_OPT4_KTQT_v4[[#This Row],[SL-09]])</f>
        <v>0</v>
      </c>
      <c r="CF112" s="47">
        <f>IF(KH_26_OPT4_KTQT_v4[[#This Row],[CPHH-%-SL]]="Dthu",KH_26_OPT4_KTQT_v4[[#This Row],[%HH]]*KH_26_OPT4_KTQT_v4[[#This Row],[DT-EXW-10]],KH_26_OPT4_KTQT_v4[[#This Row],[HH-SL]]*KH_26_OPT4_KTQT_v4[[#This Row],[SL-10]])</f>
        <v>0</v>
      </c>
      <c r="CG112" s="47">
        <f>IF(KH_26_OPT4_KTQT_v4[[#This Row],[CPHH-%-SL]]="Dthu",KH_26_OPT4_KTQT_v4[[#This Row],[%HH]]*KH_26_OPT4_KTQT_v4[[#This Row],[DT-EXW-11]],KH_26_OPT4_KTQT_v4[[#This Row],[HH-SL]]*KH_26_OPT4_KTQT_v4[[#This Row],[SL-11]])</f>
        <v>0</v>
      </c>
      <c r="CH112" s="47">
        <f>IF(KH_26_OPT4_KTQT_v4[[#This Row],[CPHH-%-SL]]="Dthu",KH_26_OPT4_KTQT_v4[[#This Row],[%HH]]*KH_26_OPT4_KTQT_v4[[#This Row],[DT-EXW-12]],KH_26_OPT4_KTQT_v4[[#This Row],[HH-SL]]*KH_26_OPT4_KTQT_v4[[#This Row],[SL-12]])</f>
        <v>0</v>
      </c>
      <c r="CI112" s="47">
        <f ca="1">SUM(KH_26_OPT4_KTQT_v4[[#This Row],[CPHH-01]:[CPHH-12]])</f>
        <v>0</v>
      </c>
      <c r="CJ112" s="47" cm="1">
        <f t="array" ref="CJ112">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12" s="19">
        <f ca="1">SUM(KH_26_OPT4_KTQT_v4[[#This Row],[ĐGVCNĐ-KXK]:[ĐGVCCT-KXK]])</f>
        <v>0</v>
      </c>
      <c r="CL112" s="47" cm="1">
        <f t="array" ref="CL112">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112" s="47" cm="1">
        <f t="array" ref="CM112">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12" s="47">
        <f ca="1">(KH_26_OPT4_KTQT_v4[[#This Row],[ĐGVC-KNĐ]]+KH_26_OPT4_KTQT_v4[[#This Row],[ĐGVC-KXK]])*KH_26_OPT4_KTQT_v4[[#This Row],[SL-01]]</f>
        <v>0</v>
      </c>
      <c r="CO112" s="47">
        <f ca="1">(KH_26_OPT4_KTQT_v4[[#This Row],[ĐGVC-KNĐ]]+KH_26_OPT4_KTQT_v4[[#This Row],[ĐGVC-KXK]])*KH_26_OPT4_KTQT_v4[[#This Row],[SL-02]]</f>
        <v>0</v>
      </c>
      <c r="CP112" s="47">
        <f ca="1">(KH_26_OPT4_KTQT_v4[[#This Row],[ĐGVC-KNĐ]]+KH_26_OPT4_KTQT_v4[[#This Row],[ĐGVC-KXK]])*KH_26_OPT4_KTQT_v4[[#This Row],[SL-03]]</f>
        <v>0</v>
      </c>
      <c r="CQ112" s="47">
        <f ca="1">(KH_26_OPT4_KTQT_v4[[#This Row],[ĐGVC-KNĐ]]+KH_26_OPT4_KTQT_v4[[#This Row],[ĐGVC-KXK]])*KH_26_OPT4_KTQT_v4[[#This Row],[SL-04]]</f>
        <v>0</v>
      </c>
      <c r="CR112" s="47">
        <f ca="1">(KH_26_OPT4_KTQT_v4[[#This Row],[ĐGVC-KNĐ]]+KH_26_OPT4_KTQT_v4[[#This Row],[ĐGVC-KXK]])*KH_26_OPT4_KTQT_v4[[#This Row],[SL-05]]</f>
        <v>0</v>
      </c>
      <c r="CS112" s="47">
        <f ca="1">(KH_26_OPT4_KTQT_v4[[#This Row],[ĐGVC-KNĐ]]+KH_26_OPT4_KTQT_v4[[#This Row],[ĐGVC-KXK]])*KH_26_OPT4_KTQT_v4[[#This Row],[SL-06]]</f>
        <v>0</v>
      </c>
      <c r="CT112" s="47">
        <f ca="1">(KH_26_OPT4_KTQT_v4[[#This Row],[ĐGVC-KNĐ]]+KH_26_OPT4_KTQT_v4[[#This Row],[ĐGVC-KXK]])*KH_26_OPT4_KTQT_v4[[#This Row],[SL-07]]</f>
        <v>0</v>
      </c>
      <c r="CU112" s="47">
        <f ca="1">(KH_26_OPT4_KTQT_v4[[#This Row],[ĐGVC-KNĐ]]+KH_26_OPT4_KTQT_v4[[#This Row],[ĐGVC-KXK]])*KH_26_OPT4_KTQT_v4[[#This Row],[SL-08]]</f>
        <v>0</v>
      </c>
      <c r="CV112" s="47">
        <f ca="1">(KH_26_OPT4_KTQT_v4[[#This Row],[ĐGVC-KNĐ]]+KH_26_OPT4_KTQT_v4[[#This Row],[ĐGVC-KXK]])*KH_26_OPT4_KTQT_v4[[#This Row],[SL-09]]</f>
        <v>0</v>
      </c>
      <c r="CW112" s="47">
        <f ca="1">(KH_26_OPT4_KTQT_v4[[#This Row],[ĐGVC-KNĐ]]+KH_26_OPT4_KTQT_v4[[#This Row],[ĐGVC-KXK]])*KH_26_OPT4_KTQT_v4[[#This Row],[SL-10]]</f>
        <v>0</v>
      </c>
      <c r="CX112" s="47">
        <f ca="1">(KH_26_OPT4_KTQT_v4[[#This Row],[ĐGVC-KNĐ]]+KH_26_OPT4_KTQT_v4[[#This Row],[ĐGVC-KXK]])*KH_26_OPT4_KTQT_v4[[#This Row],[SL-11]]</f>
        <v>0</v>
      </c>
      <c r="CY112" s="47">
        <f ca="1">(KH_26_OPT4_KTQT_v4[[#This Row],[ĐGVC-KNĐ]]+KH_26_OPT4_KTQT_v4[[#This Row],[ĐGVC-KXK]])*KH_26_OPT4_KTQT_v4[[#This Row],[SL-12]]</f>
        <v>0</v>
      </c>
      <c r="CZ112" s="47">
        <f ca="1">SUM(KH_26_OPT4_KTQT_v4[[#This Row],[CPVC-01]:[CPVC-12]])</f>
        <v>0</v>
      </c>
      <c r="DA112" s="124">
        <f ca="1">KH_26_OPT4_KTQT_v4[[#This Row],[DT-EXW-01]]+KH_26_OPT4_KTQT_v4[[#This Row],[CPVC-01]]+KH_26_OPT4_KTQT_v4[[#This Row],[CPHH-01]]</f>
        <v>670450000</v>
      </c>
      <c r="DB112" s="47">
        <f ca="1">KH_26_OPT4_KTQT_v4[[#This Row],[DT-EXW-02]]+KH_26_OPT4_KTQT_v4[[#This Row],[CPVC-02]]+KH_26_OPT4_KTQT_v4[[#This Row],[CPHH-02]]</f>
        <v>0</v>
      </c>
      <c r="DC112" s="47">
        <f ca="1">KH_26_OPT4_KTQT_v4[[#This Row],[DT-EXW-03]]+KH_26_OPT4_KTQT_v4[[#This Row],[CPVC-03]]+KH_26_OPT4_KTQT_v4[[#This Row],[CPHH-03]]</f>
        <v>0</v>
      </c>
      <c r="DD112" s="47">
        <f ca="1">KH_26_OPT4_KTQT_v4[[#This Row],[DT-EXW-04]]+KH_26_OPT4_KTQT_v4[[#This Row],[CPVC-04]]+KH_26_OPT4_KTQT_v4[[#This Row],[CPHH-04]]</f>
        <v>0</v>
      </c>
      <c r="DE112" s="47">
        <f ca="1">KH_26_OPT4_KTQT_v4[[#This Row],[DT-EXW-05]]+KH_26_OPT4_KTQT_v4[[#This Row],[CPVC-05]]+KH_26_OPT4_KTQT_v4[[#This Row],[CPHH-05]]</f>
        <v>0</v>
      </c>
      <c r="DF112" s="47">
        <f ca="1">KH_26_OPT4_KTQT_v4[[#This Row],[DT-EXW-06]]+KH_26_OPT4_KTQT_v4[[#This Row],[CPVC-06]]+KH_26_OPT4_KTQT_v4[[#This Row],[CPHH-06]]</f>
        <v>0</v>
      </c>
      <c r="DG112" s="47">
        <f ca="1">KH_26_OPT4_KTQT_v4[[#This Row],[DT-EXW-07]]+KH_26_OPT4_KTQT_v4[[#This Row],[CPVC-07]]+KH_26_OPT4_KTQT_v4[[#This Row],[CPHH-07]]</f>
        <v>0</v>
      </c>
      <c r="DH112" s="47">
        <f ca="1">KH_26_OPT4_KTQT_v4[[#This Row],[DT-EXW-08]]+KH_26_OPT4_KTQT_v4[[#This Row],[CPVC-08]]+KH_26_OPT4_KTQT_v4[[#This Row],[CPHH-08]]</f>
        <v>0</v>
      </c>
      <c r="DI112" s="47">
        <f ca="1">KH_26_OPT4_KTQT_v4[[#This Row],[DT-EXW-09]]+KH_26_OPT4_KTQT_v4[[#This Row],[CPVC-09]]+KH_26_OPT4_KTQT_v4[[#This Row],[CPHH-09]]</f>
        <v>0</v>
      </c>
      <c r="DJ112" s="47">
        <f ca="1">KH_26_OPT4_KTQT_v4[[#This Row],[DT-EXW-10]]+KH_26_OPT4_KTQT_v4[[#This Row],[CPVC-10]]+KH_26_OPT4_KTQT_v4[[#This Row],[CPHH-10]]</f>
        <v>0</v>
      </c>
      <c r="DK112" s="47">
        <f ca="1">KH_26_OPT4_KTQT_v4[[#This Row],[DT-EXW-11]]+KH_26_OPT4_KTQT_v4[[#This Row],[CPVC-11]]+KH_26_OPT4_KTQT_v4[[#This Row],[CPHH-11]]</f>
        <v>0</v>
      </c>
      <c r="DL112" s="47">
        <f ca="1">KH_26_OPT4_KTQT_v4[[#This Row],[DT-EXW-12]]+KH_26_OPT4_KTQT_v4[[#This Row],[CPVC-12]]+KH_26_OPT4_KTQT_v4[[#This Row],[CPHH-12]]</f>
        <v>0</v>
      </c>
      <c r="DM112" s="47">
        <f ca="1">SUM(KH_26_OPT4_KTQT_v4[[#This Row],[DT-01]:[DT-12]])</f>
        <v>670450000</v>
      </c>
      <c r="DN112" s="7"/>
      <c r="DO112" s="7"/>
      <c r="DP112" s="125"/>
      <c r="DQ112" s="136"/>
      <c r="DR112" s="132">
        <f>IFERROR(KH_26_OPT4_KTQT_v4[[#This Row],[DT-EXW-01]]*KH_26_OPT4_KTQT_v4[[#This Row],[%CPDP]],0)</f>
        <v>0</v>
      </c>
      <c r="DS112" s="132">
        <f>IFERROR(KH_26_OPT4_KTQT_v4[[#This Row],[DT-EXW-02]]*KH_26_OPT4_KTQT_v4[[#This Row],[%CPDP]],0)</f>
        <v>0</v>
      </c>
      <c r="DT112" s="132">
        <f>IFERROR(KH_26_OPT4_KTQT_v4[[#This Row],[DT-EXW-03]]*KH_26_OPT4_KTQT_v4[[#This Row],[%CPDP]],0)</f>
        <v>0</v>
      </c>
      <c r="DU112" s="132">
        <f>IFERROR(KH_26_OPT4_KTQT_v4[[#This Row],[DT-EXW-04]]*KH_26_OPT4_KTQT_v4[[#This Row],[%CPDP]],0)</f>
        <v>0</v>
      </c>
      <c r="DV112" s="132">
        <f>IFERROR(KH_26_OPT4_KTQT_v4[[#This Row],[DT-EXW-05]]*KH_26_OPT4_KTQT_v4[[#This Row],[%CPDP]],0)</f>
        <v>0</v>
      </c>
      <c r="DW112" s="132">
        <f>IFERROR(KH_26_OPT4_KTQT_v4[[#This Row],[DT-EXW-06]]*KH_26_OPT4_KTQT_v4[[#This Row],[%CPDP]],0)</f>
        <v>0</v>
      </c>
      <c r="DX112" s="132">
        <f>IFERROR(KH_26_OPT4_KTQT_v4[[#This Row],[DT-EXW-07]]*KH_26_OPT4_KTQT_v4[[#This Row],[%CPDP]],0)</f>
        <v>0</v>
      </c>
      <c r="DY112" s="132">
        <f>IFERROR(KH_26_OPT4_KTQT_v4[[#This Row],[DT-EXW-08]]*KH_26_OPT4_KTQT_v4[[#This Row],[%CPDP]],0)</f>
        <v>0</v>
      </c>
      <c r="DZ112" s="132">
        <f>IFERROR(KH_26_OPT4_KTQT_v4[[#This Row],[DT-EXW-09]]*KH_26_OPT4_KTQT_v4[[#This Row],[%CPDP]],0)</f>
        <v>0</v>
      </c>
      <c r="EA112" s="132">
        <f>IFERROR(KH_26_OPT4_KTQT_v4[[#This Row],[DT-EXW-10]]*KH_26_OPT4_KTQT_v4[[#This Row],[%CPDP]],0)</f>
        <v>0</v>
      </c>
      <c r="EB112" s="132">
        <f>IFERROR(KH_26_OPT4_KTQT_v4[[#This Row],[DT-EXW-11]]*KH_26_OPT4_KTQT_v4[[#This Row],[%CPDP]],0)</f>
        <v>0</v>
      </c>
      <c r="EC112" s="132">
        <f>IFERROR(KH_26_OPT4_KTQT_v4[[#This Row],[DT-EXW-12]]*KH_26_OPT4_KTQT_v4[[#This Row],[%CPDP]],0)</f>
        <v>0</v>
      </c>
      <c r="ED112" s="131">
        <f ca="1">SUM(KH_26_OPT4_KTQT_v4[[#This Row],[CPDP-01]:[CPDP-12]])</f>
        <v>0</v>
      </c>
    </row>
    <row r="113" spans="1:134" ht="14.65" hidden="1" customHeight="1" x14ac:dyDescent="0.35">
      <c r="A113" s="18">
        <v>108</v>
      </c>
      <c r="B113" s="71" t="s">
        <v>115</v>
      </c>
      <c r="C113" s="18" t="str">
        <f>IFERROR(_xlfn.XLOOKUP(KH_26_OPT4_KTQT_v4[[#This Row],[Salesman]],MD_Salesman[Salesman],MD_Salesman[SalesManager]),"")</f>
        <v>Quốc Anh</v>
      </c>
      <c r="D113" s="72" t="str">
        <f>IFERROR(INDEX(MD_Customer[Mã khách],MATCH(KH_26_OPT4_KTQT_v4[[#This Row],[Tên khách]],MD_Customer[Tên khách-rút gọn],0)),"")</f>
        <v>105189</v>
      </c>
      <c r="E113" s="7" t="str">
        <f>IFERROR(INDEX(MD_Customer[Parent Account],MATCH(KH_26_OPT4_KTQT_v4[[#This Row],[Tên khách]],MD_Customer[Tên khách-rút gọn],0)),"")</f>
        <v>Chấn Thuận Thành</v>
      </c>
      <c r="F113" s="35" t="s">
        <v>273</v>
      </c>
      <c r="G113" s="7" t="str">
        <f>IFERROR(INDEX(MD_Customer[Phân loại],MATCH(KH_26_OPT4_KTQT_v4[[#This Row],[Tên khách]],MD_Customer[Tên khách-rút gọn],0)),"")</f>
        <v>Hiện hữu</v>
      </c>
      <c r="H113" s="7" t="str">
        <f>IFERROR(INDEX(MD_Customer[Kênh bán hàng],MATCH(KH_26_OPT4_KTQT_v4[[#This Row],[Tên khách]],MD_Customer[Tên khách-rút gọn],0)),"")</f>
        <v>Nội địa</v>
      </c>
      <c r="I113" s="35" t="s">
        <v>261</v>
      </c>
      <c r="J113" s="7" t="str">
        <f>IFERROR(INDEX(MD_Destination[Nước],MATCH(KH_26_OPT4_KTQT_v4[[#This Row],[Địa điểm đến]],MD_Destination[Địa điểm đến],0)),"")</f>
        <v>Việt Nam</v>
      </c>
      <c r="K113" s="7" t="str">
        <f>IFERROR(INDEX(MD_Destination[Khu vực],MATCH(KH_26_OPT4_KTQT_v4[[#This Row],[Địa điểm đến]],MD_Destination[Địa điểm đến],0)),"")</f>
        <v>Châu Á</v>
      </c>
      <c r="L113" s="35" t="s">
        <v>262</v>
      </c>
      <c r="M113" s="7" t="str">
        <f>IFERROR(INDEX(MD_SKU[Mã SKU],MATCH(KH_26_OPT4_KTQT_v4[[#This Row],[Tên sản phẩm]],MD_SKU[Tên SKU-rút gọn],0)),"")</f>
        <v>110000408</v>
      </c>
      <c r="N113" s="35" t="s">
        <v>471</v>
      </c>
      <c r="O113" s="7" t="str">
        <f>IFERROR(INDEX(MD_SKU[Ngành hàng],MATCH(KH_26_OPT4_KTQT_v4[[#This Row],[Tên sản phẩm]],MD_SKU[Tên SKU-rút gọn],0)),"")</f>
        <v>rHDPE ép</v>
      </c>
      <c r="P113" s="7" t="str">
        <f>IFERROR(INDEX(MD_SKU[Nhóm ngành],MATCH(KH_26_OPT4_KTQT_v4[[#This Row],[Tên sản phẩm]],MD_SKU[Tên SKU-rút gọn],0)),"")</f>
        <v>Vảy HD ép</v>
      </c>
      <c r="Q113" s="7" t="str">
        <f>IFERROR(
   IF(INDEX(MD_SKU[IV/IM],MATCH(KH_26_OPT4_KTQT_v4[[#This Row],[Tên sản phẩm]],MD_SKU[Tên SKU-rút gọn],0))=0,
      "",
      INDEX(MD_SKU[IV/IM],MATCH(KH_26_OPT4_KTQT_v4[[#This Row],[Tên sản phẩm]],MD_SKU[Tên SKU-rút gọn],0))
   ),
"")</f>
        <v/>
      </c>
      <c r="R113" s="44">
        <f>IFERROR(INDEX(MD_SKU[Application],MATCH(KH_26_OPT4_KTQT_v4[[#This Row],[Tên sản phẩm]],MD_SKU[Tên SKU-rút gọn],0)),"")</f>
        <v>0</v>
      </c>
      <c r="S113" s="7" t="str">
        <f>IFERROR(INDEX(MD_SKU[Phân loại],MATCH(KH_26_OPT4_KTQT_v4[[#This Row],[Tên sản phẩm]],MD_SKU[Tên SKU-rút gọn],0)),"")</f>
        <v>Cũ</v>
      </c>
      <c r="T113" s="7" t="s">
        <v>542</v>
      </c>
      <c r="U113" s="7" t="s">
        <v>1508</v>
      </c>
      <c r="V113" s="70">
        <v>0.8</v>
      </c>
      <c r="W113" s="33"/>
      <c r="X113" s="33"/>
      <c r="Y113" s="33"/>
      <c r="Z113" s="33"/>
      <c r="AA113" s="33"/>
      <c r="AB113" s="33"/>
      <c r="AC113" s="33"/>
      <c r="AD113" s="33"/>
      <c r="AE113" s="33"/>
      <c r="AF113" s="33"/>
      <c r="AG113" s="33"/>
      <c r="AH113" s="33"/>
      <c r="AI113" s="47">
        <f ca="1">SUM(KH_26_OPT4_KTQT_v4[[#This Row],[SL-01]:[SL-12]])</f>
        <v>0</v>
      </c>
      <c r="AJ113" s="47">
        <f ca="1">SUMIFS(DB_25[SL-DB25],DB_25[Mã khách],KH_26_OPT4_KTQT_v4[[#This Row],[Mã khách]],DB_25[Mã sản phẩm],KH_26_OPT4_KTQT_v4[[#This Row],[Mã sản phẩm]])</f>
        <v>0.75</v>
      </c>
      <c r="AK113" s="20">
        <f ca="1">KH_26_OPT4_KTQT_v4[[#This Row],[SL-KH26]]-KH_26_OPT4_KTQT_v4[[#This Row],[SL-DB25]]</f>
        <v>-0.75</v>
      </c>
      <c r="AL113" s="21">
        <f ca="1">IFERROR(KH_26_OPT4_KTQT_v4[[#This Row],[SL-+/-]]/KH_26_OPT4_KTQT_v4[[#This Row],[SL-DB25]],0)</f>
        <v>-1</v>
      </c>
      <c r="AM113" s="51">
        <v>560</v>
      </c>
      <c r="AN113" s="51">
        <v>560</v>
      </c>
      <c r="AO113" s="51">
        <v>560</v>
      </c>
      <c r="AP113" s="51">
        <v>560</v>
      </c>
      <c r="AQ113" s="51">
        <v>560</v>
      </c>
      <c r="AR113" s="51">
        <v>560</v>
      </c>
      <c r="AS113" s="51">
        <v>560</v>
      </c>
      <c r="AT113" s="51">
        <v>560</v>
      </c>
      <c r="AU113" s="51">
        <v>560</v>
      </c>
      <c r="AV113" s="51">
        <v>560</v>
      </c>
      <c r="AW113" s="51">
        <v>560</v>
      </c>
      <c r="AX113" s="51">
        <v>560</v>
      </c>
      <c r="AY113" s="23">
        <v>560</v>
      </c>
      <c r="AZ113" s="7"/>
      <c r="BA113" s="24">
        <f>KH_26_OPT4_KTQT_v4[[#This Row],[GB-DB25]]-KH_26_OPT4_KTQT_v4[[#This Row],[GB-KH25]]</f>
        <v>560</v>
      </c>
      <c r="BB113" s="21">
        <f>IFERROR(KH_26_OPT4_KTQT_v4[[#This Row],[GB-+/-]]/KH_26_OPT4_KTQT_v4[[#This Row],[GB-KH25]],0)</f>
        <v>0</v>
      </c>
      <c r="BC113" s="21"/>
      <c r="BD113" s="47">
        <f>KH_26_OPT4_KTQT_v4[[#This Row],[SL-01]]*KH_26_OPT4_KTQT_v4[[#This Row],[GB-01]]*EXR</f>
        <v>0</v>
      </c>
      <c r="BE113" s="47">
        <f>KH_26_OPT4_KTQT_v4[[#This Row],[SL-02]]*KH_26_OPT4_KTQT_v4[[#This Row],[GB-02]]*EXR</f>
        <v>0</v>
      </c>
      <c r="BF113" s="47">
        <f>KH_26_OPT4_KTQT_v4[[#This Row],[SL-03]]*KH_26_OPT4_KTQT_v4[[#This Row],[GB-03]]*EXR</f>
        <v>0</v>
      </c>
      <c r="BG113" s="47">
        <f>KH_26_OPT4_KTQT_v4[[#This Row],[SL-04]]*KH_26_OPT4_KTQT_v4[[#This Row],[GB-04]]*EXR</f>
        <v>0</v>
      </c>
      <c r="BH113" s="47">
        <f>KH_26_OPT4_KTQT_v4[[#This Row],[SL-05]]*KH_26_OPT4_KTQT_v4[[#This Row],[GB-05]]*EXR</f>
        <v>0</v>
      </c>
      <c r="BI113" s="47">
        <f>KH_26_OPT4_KTQT_v4[[#This Row],[SL-06]]*KH_26_OPT4_KTQT_v4[[#This Row],[GB-06]]*EXR</f>
        <v>0</v>
      </c>
      <c r="BJ113" s="47">
        <f>KH_26_OPT4_KTQT_v4[[#This Row],[SL-07]]*KH_26_OPT4_KTQT_v4[[#This Row],[GB-07]]*EXR</f>
        <v>0</v>
      </c>
      <c r="BK113" s="47">
        <f>KH_26_OPT4_KTQT_v4[[#This Row],[SL-08]]*KH_26_OPT4_KTQT_v4[[#This Row],[GB-08]]*EXR</f>
        <v>0</v>
      </c>
      <c r="BL113" s="47">
        <f>KH_26_OPT4_KTQT_v4[[#This Row],[SL-09]]*KH_26_OPT4_KTQT_v4[[#This Row],[GB-09]]*EXR</f>
        <v>0</v>
      </c>
      <c r="BM113" s="47">
        <f>KH_26_OPT4_KTQT_v4[[#This Row],[SL-10]]*KH_26_OPT4_KTQT_v4[[#This Row],[GB-10]]*EXR</f>
        <v>0</v>
      </c>
      <c r="BN113" s="47">
        <f>KH_26_OPT4_KTQT_v4[[#This Row],[SL-11]]*KH_26_OPT4_KTQT_v4[[#This Row],[GB-11]]*EXR</f>
        <v>0</v>
      </c>
      <c r="BO113" s="47">
        <f>KH_26_OPT4_KTQT_v4[[#This Row],[SL-12]]*KH_26_OPT4_KTQT_v4[[#This Row],[GB-12]]*EXR</f>
        <v>0</v>
      </c>
      <c r="BP113" s="47">
        <f ca="1">SUM(KH_26_OPT4_KTQT_v4[[#This Row],[DT-EXW-01]:[DT-EXW-12]])</f>
        <v>0</v>
      </c>
      <c r="BQ113" s="47">
        <f ca="1">SUMIFS(DB_25[DT-DB25],DB_25[Mã khách],KH_26_OPT4_KTQT_v4[[#This Row],[Mã khách]],DB_25[Mã sản phẩm],KH_26_OPT4_KTQT_v4[[#This Row],[Mã sản phẩm]])</f>
        <v>13000250.974885846</v>
      </c>
      <c r="BR113" s="47">
        <f ca="1">KH_26_OPT4_KTQT_v4[[#This Row],[DT-EXW-KH26]]-KH_26_OPT4_KTQT_v4[[#This Row],[DT-EXW-DB25]]</f>
        <v>-13000250.974885846</v>
      </c>
      <c r="BS113" s="21">
        <f ca="1">IFERROR(KH_26_OPT4_KTQT_v4[[#This Row],[DT-EXW-+/-]]/KH_26_OPT4_KTQT_v4[[#This Row],[DT-EXW-DB25]],0)</f>
        <v>-1</v>
      </c>
      <c r="BT113" s="139"/>
      <c r="BU113" s="57"/>
      <c r="BV113" s="51"/>
      <c r="BW113" s="47">
        <f>IF(KH_26_OPT4_KTQT_v4[[#This Row],[CPHH-%-SL]]="Dthu",KH_26_OPT4_KTQT_v4[[#This Row],[%HH]]*KH_26_OPT4_KTQT_v4[[#This Row],[DT-EXW-01]],KH_26_OPT4_KTQT_v4[[#This Row],[HH-SL]]*KH_26_OPT4_KTQT_v4[[#This Row],[SL-01]])</f>
        <v>0</v>
      </c>
      <c r="BX113" s="47">
        <f>IF(KH_26_OPT4_KTQT_v4[[#This Row],[CPHH-%-SL]]="Dthu",KH_26_OPT4_KTQT_v4[[#This Row],[%HH]]*KH_26_OPT4_KTQT_v4[[#This Row],[DT-EXW-02]],KH_26_OPT4_KTQT_v4[[#This Row],[HH-SL]]*KH_26_OPT4_KTQT_v4[[#This Row],[SL-02]])</f>
        <v>0</v>
      </c>
      <c r="BY113" s="47">
        <f>IF(KH_26_OPT4_KTQT_v4[[#This Row],[CPHH-%-SL]]="Dthu",KH_26_OPT4_KTQT_v4[[#This Row],[%HH]]*KH_26_OPT4_KTQT_v4[[#This Row],[DT-EXW-03]],KH_26_OPT4_KTQT_v4[[#This Row],[HH-SL]]*KH_26_OPT4_KTQT_v4[[#This Row],[SL-03]])</f>
        <v>0</v>
      </c>
      <c r="BZ113" s="47">
        <f>IF(KH_26_OPT4_KTQT_v4[[#This Row],[CPHH-%-SL]]="Dthu",KH_26_OPT4_KTQT_v4[[#This Row],[%HH]]*KH_26_OPT4_KTQT_v4[[#This Row],[DT-EXW-04]],KH_26_OPT4_KTQT_v4[[#This Row],[HH-SL]]*KH_26_OPT4_KTQT_v4[[#This Row],[SL-04]])</f>
        <v>0</v>
      </c>
      <c r="CA113" s="47">
        <f>IF(KH_26_OPT4_KTQT_v4[[#This Row],[CPHH-%-SL]]="Dthu",KH_26_OPT4_KTQT_v4[[#This Row],[%HH]]*KH_26_OPT4_KTQT_v4[[#This Row],[DT-EXW-05]],KH_26_OPT4_KTQT_v4[[#This Row],[HH-SL]]*KH_26_OPT4_KTQT_v4[[#This Row],[SL-05]])</f>
        <v>0</v>
      </c>
      <c r="CB113" s="47">
        <f>IF(KH_26_OPT4_KTQT_v4[[#This Row],[CPHH-%-SL]]="Dthu",KH_26_OPT4_KTQT_v4[[#This Row],[%HH]]*KH_26_OPT4_KTQT_v4[[#This Row],[DT-EXW-06]],KH_26_OPT4_KTQT_v4[[#This Row],[HH-SL]]*KH_26_OPT4_KTQT_v4[[#This Row],[SL-06]])</f>
        <v>0</v>
      </c>
      <c r="CC113" s="47">
        <f>IF(KH_26_OPT4_KTQT_v4[[#This Row],[CPHH-%-SL]]="Dthu",KH_26_OPT4_KTQT_v4[[#This Row],[%HH]]*KH_26_OPT4_KTQT_v4[[#This Row],[DT-EXW-07]],KH_26_OPT4_KTQT_v4[[#This Row],[HH-SL]]*KH_26_OPT4_KTQT_v4[[#This Row],[SL-07]])</f>
        <v>0</v>
      </c>
      <c r="CD113" s="47">
        <f>IF(KH_26_OPT4_KTQT_v4[[#This Row],[CPHH-%-SL]]="Dthu",KH_26_OPT4_KTQT_v4[[#This Row],[%HH]]*KH_26_OPT4_KTQT_v4[[#This Row],[DT-EXW-08]],KH_26_OPT4_KTQT_v4[[#This Row],[HH-SL]]*KH_26_OPT4_KTQT_v4[[#This Row],[SL-08]])</f>
        <v>0</v>
      </c>
      <c r="CE113" s="47">
        <f>IF(KH_26_OPT4_KTQT_v4[[#This Row],[CPHH-%-SL]]="Dthu",KH_26_OPT4_KTQT_v4[[#This Row],[%HH]]*KH_26_OPT4_KTQT_v4[[#This Row],[DT-EXW-09]],KH_26_OPT4_KTQT_v4[[#This Row],[HH-SL]]*KH_26_OPT4_KTQT_v4[[#This Row],[SL-09]])</f>
        <v>0</v>
      </c>
      <c r="CF113" s="47">
        <f>IF(KH_26_OPT4_KTQT_v4[[#This Row],[CPHH-%-SL]]="Dthu",KH_26_OPT4_KTQT_v4[[#This Row],[%HH]]*KH_26_OPT4_KTQT_v4[[#This Row],[DT-EXW-10]],KH_26_OPT4_KTQT_v4[[#This Row],[HH-SL]]*KH_26_OPT4_KTQT_v4[[#This Row],[SL-10]])</f>
        <v>0</v>
      </c>
      <c r="CG113" s="47">
        <f>IF(KH_26_OPT4_KTQT_v4[[#This Row],[CPHH-%-SL]]="Dthu",KH_26_OPT4_KTQT_v4[[#This Row],[%HH]]*KH_26_OPT4_KTQT_v4[[#This Row],[DT-EXW-11]],KH_26_OPT4_KTQT_v4[[#This Row],[HH-SL]]*KH_26_OPT4_KTQT_v4[[#This Row],[SL-11]])</f>
        <v>0</v>
      </c>
      <c r="CH113" s="47">
        <f>IF(KH_26_OPT4_KTQT_v4[[#This Row],[CPHH-%-SL]]="Dthu",KH_26_OPT4_KTQT_v4[[#This Row],[%HH]]*KH_26_OPT4_KTQT_v4[[#This Row],[DT-EXW-12]],KH_26_OPT4_KTQT_v4[[#This Row],[HH-SL]]*KH_26_OPT4_KTQT_v4[[#This Row],[SL-12]])</f>
        <v>0</v>
      </c>
      <c r="CI113" s="47">
        <f ca="1">SUM(KH_26_OPT4_KTQT_v4[[#This Row],[CPHH-01]:[CPHH-12]])</f>
        <v>0</v>
      </c>
      <c r="CJ113" s="47" cm="1">
        <f t="array" ref="CJ113">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13" s="19">
        <f ca="1">SUM(KH_26_OPT4_KTQT_v4[[#This Row],[ĐGVCNĐ-KXK]:[ĐGVCCT-KXK]])</f>
        <v>0</v>
      </c>
      <c r="CL113" s="47" cm="1">
        <f t="array" ref="CL113">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113" s="47" cm="1">
        <f t="array" ref="CM113">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13" s="47">
        <f ca="1">(KH_26_OPT4_KTQT_v4[[#This Row],[ĐGVC-KNĐ]]+KH_26_OPT4_KTQT_v4[[#This Row],[ĐGVC-KXK]])*KH_26_OPT4_KTQT_v4[[#This Row],[SL-01]]</f>
        <v>0</v>
      </c>
      <c r="CO113" s="47">
        <f ca="1">(KH_26_OPT4_KTQT_v4[[#This Row],[ĐGVC-KNĐ]]+KH_26_OPT4_KTQT_v4[[#This Row],[ĐGVC-KXK]])*KH_26_OPT4_KTQT_v4[[#This Row],[SL-02]]</f>
        <v>0</v>
      </c>
      <c r="CP113" s="47">
        <f ca="1">(KH_26_OPT4_KTQT_v4[[#This Row],[ĐGVC-KNĐ]]+KH_26_OPT4_KTQT_v4[[#This Row],[ĐGVC-KXK]])*KH_26_OPT4_KTQT_v4[[#This Row],[SL-03]]</f>
        <v>0</v>
      </c>
      <c r="CQ113" s="47">
        <f ca="1">(KH_26_OPT4_KTQT_v4[[#This Row],[ĐGVC-KNĐ]]+KH_26_OPT4_KTQT_v4[[#This Row],[ĐGVC-KXK]])*KH_26_OPT4_KTQT_v4[[#This Row],[SL-04]]</f>
        <v>0</v>
      </c>
      <c r="CR113" s="47">
        <f ca="1">(KH_26_OPT4_KTQT_v4[[#This Row],[ĐGVC-KNĐ]]+KH_26_OPT4_KTQT_v4[[#This Row],[ĐGVC-KXK]])*KH_26_OPT4_KTQT_v4[[#This Row],[SL-05]]</f>
        <v>0</v>
      </c>
      <c r="CS113" s="47">
        <f ca="1">(KH_26_OPT4_KTQT_v4[[#This Row],[ĐGVC-KNĐ]]+KH_26_OPT4_KTQT_v4[[#This Row],[ĐGVC-KXK]])*KH_26_OPT4_KTQT_v4[[#This Row],[SL-06]]</f>
        <v>0</v>
      </c>
      <c r="CT113" s="47">
        <f ca="1">(KH_26_OPT4_KTQT_v4[[#This Row],[ĐGVC-KNĐ]]+KH_26_OPT4_KTQT_v4[[#This Row],[ĐGVC-KXK]])*KH_26_OPT4_KTQT_v4[[#This Row],[SL-07]]</f>
        <v>0</v>
      </c>
      <c r="CU113" s="47">
        <f ca="1">(KH_26_OPT4_KTQT_v4[[#This Row],[ĐGVC-KNĐ]]+KH_26_OPT4_KTQT_v4[[#This Row],[ĐGVC-KXK]])*KH_26_OPT4_KTQT_v4[[#This Row],[SL-08]]</f>
        <v>0</v>
      </c>
      <c r="CV113" s="47">
        <f ca="1">(KH_26_OPT4_KTQT_v4[[#This Row],[ĐGVC-KNĐ]]+KH_26_OPT4_KTQT_v4[[#This Row],[ĐGVC-KXK]])*KH_26_OPT4_KTQT_v4[[#This Row],[SL-09]]</f>
        <v>0</v>
      </c>
      <c r="CW113" s="47">
        <f ca="1">(KH_26_OPT4_KTQT_v4[[#This Row],[ĐGVC-KNĐ]]+KH_26_OPT4_KTQT_v4[[#This Row],[ĐGVC-KXK]])*KH_26_OPT4_KTQT_v4[[#This Row],[SL-10]]</f>
        <v>0</v>
      </c>
      <c r="CX113" s="47">
        <f ca="1">(KH_26_OPT4_KTQT_v4[[#This Row],[ĐGVC-KNĐ]]+KH_26_OPT4_KTQT_v4[[#This Row],[ĐGVC-KXK]])*KH_26_OPT4_KTQT_v4[[#This Row],[SL-11]]</f>
        <v>0</v>
      </c>
      <c r="CY113" s="47">
        <f ca="1">(KH_26_OPT4_KTQT_v4[[#This Row],[ĐGVC-KNĐ]]+KH_26_OPT4_KTQT_v4[[#This Row],[ĐGVC-KXK]])*KH_26_OPT4_KTQT_v4[[#This Row],[SL-12]]</f>
        <v>0</v>
      </c>
      <c r="CZ113" s="47">
        <f ca="1">SUM(KH_26_OPT4_KTQT_v4[[#This Row],[CPVC-01]:[CPVC-12]])</f>
        <v>0</v>
      </c>
      <c r="DA113" s="124">
        <f ca="1">KH_26_OPT4_KTQT_v4[[#This Row],[DT-EXW-01]]+KH_26_OPT4_KTQT_v4[[#This Row],[CPVC-01]]+KH_26_OPT4_KTQT_v4[[#This Row],[CPHH-01]]</f>
        <v>0</v>
      </c>
      <c r="DB113" s="47">
        <f ca="1">KH_26_OPT4_KTQT_v4[[#This Row],[DT-EXW-02]]+KH_26_OPT4_KTQT_v4[[#This Row],[CPVC-02]]+KH_26_OPT4_KTQT_v4[[#This Row],[CPHH-02]]</f>
        <v>0</v>
      </c>
      <c r="DC113" s="47">
        <f ca="1">KH_26_OPT4_KTQT_v4[[#This Row],[DT-EXW-03]]+KH_26_OPT4_KTQT_v4[[#This Row],[CPVC-03]]+KH_26_OPT4_KTQT_v4[[#This Row],[CPHH-03]]</f>
        <v>0</v>
      </c>
      <c r="DD113" s="47">
        <f ca="1">KH_26_OPT4_KTQT_v4[[#This Row],[DT-EXW-04]]+KH_26_OPT4_KTQT_v4[[#This Row],[CPVC-04]]+KH_26_OPT4_KTQT_v4[[#This Row],[CPHH-04]]</f>
        <v>0</v>
      </c>
      <c r="DE113" s="47">
        <f ca="1">KH_26_OPT4_KTQT_v4[[#This Row],[DT-EXW-05]]+KH_26_OPT4_KTQT_v4[[#This Row],[CPVC-05]]+KH_26_OPT4_KTQT_v4[[#This Row],[CPHH-05]]</f>
        <v>0</v>
      </c>
      <c r="DF113" s="47">
        <f ca="1">KH_26_OPT4_KTQT_v4[[#This Row],[DT-EXW-06]]+KH_26_OPT4_KTQT_v4[[#This Row],[CPVC-06]]+KH_26_OPT4_KTQT_v4[[#This Row],[CPHH-06]]</f>
        <v>0</v>
      </c>
      <c r="DG113" s="47">
        <f ca="1">KH_26_OPT4_KTQT_v4[[#This Row],[DT-EXW-07]]+KH_26_OPT4_KTQT_v4[[#This Row],[CPVC-07]]+KH_26_OPT4_KTQT_v4[[#This Row],[CPHH-07]]</f>
        <v>0</v>
      </c>
      <c r="DH113" s="47">
        <f ca="1">KH_26_OPT4_KTQT_v4[[#This Row],[DT-EXW-08]]+KH_26_OPT4_KTQT_v4[[#This Row],[CPVC-08]]+KH_26_OPT4_KTQT_v4[[#This Row],[CPHH-08]]</f>
        <v>0</v>
      </c>
      <c r="DI113" s="47">
        <f ca="1">KH_26_OPT4_KTQT_v4[[#This Row],[DT-EXW-09]]+KH_26_OPT4_KTQT_v4[[#This Row],[CPVC-09]]+KH_26_OPT4_KTQT_v4[[#This Row],[CPHH-09]]</f>
        <v>0</v>
      </c>
      <c r="DJ113" s="47">
        <f ca="1">KH_26_OPT4_KTQT_v4[[#This Row],[DT-EXW-10]]+KH_26_OPT4_KTQT_v4[[#This Row],[CPVC-10]]+KH_26_OPT4_KTQT_v4[[#This Row],[CPHH-10]]</f>
        <v>0</v>
      </c>
      <c r="DK113" s="47">
        <f ca="1">KH_26_OPT4_KTQT_v4[[#This Row],[DT-EXW-11]]+KH_26_OPT4_KTQT_v4[[#This Row],[CPVC-11]]+KH_26_OPT4_KTQT_v4[[#This Row],[CPHH-11]]</f>
        <v>0</v>
      </c>
      <c r="DL113" s="47">
        <f ca="1">KH_26_OPT4_KTQT_v4[[#This Row],[DT-EXW-12]]+KH_26_OPT4_KTQT_v4[[#This Row],[CPVC-12]]+KH_26_OPT4_KTQT_v4[[#This Row],[CPHH-12]]</f>
        <v>0</v>
      </c>
      <c r="DM113" s="47">
        <f ca="1">SUM(KH_26_OPT4_KTQT_v4[[#This Row],[DT-01]:[DT-12]])</f>
        <v>0</v>
      </c>
      <c r="DN113" s="7"/>
      <c r="DO113" s="7"/>
      <c r="DP113" s="125"/>
      <c r="DQ113" s="136"/>
      <c r="DR113" s="132">
        <f>IFERROR(KH_26_OPT4_KTQT_v4[[#This Row],[DT-EXW-01]]*KH_26_OPT4_KTQT_v4[[#This Row],[%CPDP]],0)</f>
        <v>0</v>
      </c>
      <c r="DS113" s="132">
        <f>IFERROR(KH_26_OPT4_KTQT_v4[[#This Row],[DT-EXW-02]]*KH_26_OPT4_KTQT_v4[[#This Row],[%CPDP]],0)</f>
        <v>0</v>
      </c>
      <c r="DT113" s="132">
        <f>IFERROR(KH_26_OPT4_KTQT_v4[[#This Row],[DT-EXW-03]]*KH_26_OPT4_KTQT_v4[[#This Row],[%CPDP]],0)</f>
        <v>0</v>
      </c>
      <c r="DU113" s="132">
        <f>IFERROR(KH_26_OPT4_KTQT_v4[[#This Row],[DT-EXW-04]]*KH_26_OPT4_KTQT_v4[[#This Row],[%CPDP]],0)</f>
        <v>0</v>
      </c>
      <c r="DV113" s="132">
        <f>IFERROR(KH_26_OPT4_KTQT_v4[[#This Row],[DT-EXW-05]]*KH_26_OPT4_KTQT_v4[[#This Row],[%CPDP]],0)</f>
        <v>0</v>
      </c>
      <c r="DW113" s="132">
        <f>IFERROR(KH_26_OPT4_KTQT_v4[[#This Row],[DT-EXW-06]]*KH_26_OPT4_KTQT_v4[[#This Row],[%CPDP]],0)</f>
        <v>0</v>
      </c>
      <c r="DX113" s="132">
        <f>IFERROR(KH_26_OPT4_KTQT_v4[[#This Row],[DT-EXW-07]]*KH_26_OPT4_KTQT_v4[[#This Row],[%CPDP]],0)</f>
        <v>0</v>
      </c>
      <c r="DY113" s="132">
        <f>IFERROR(KH_26_OPT4_KTQT_v4[[#This Row],[DT-EXW-08]]*KH_26_OPT4_KTQT_v4[[#This Row],[%CPDP]],0)</f>
        <v>0</v>
      </c>
      <c r="DZ113" s="132">
        <f>IFERROR(KH_26_OPT4_KTQT_v4[[#This Row],[DT-EXW-09]]*KH_26_OPT4_KTQT_v4[[#This Row],[%CPDP]],0)</f>
        <v>0</v>
      </c>
      <c r="EA113" s="132">
        <f>IFERROR(KH_26_OPT4_KTQT_v4[[#This Row],[DT-EXW-10]]*KH_26_OPT4_KTQT_v4[[#This Row],[%CPDP]],0)</f>
        <v>0</v>
      </c>
      <c r="EB113" s="132">
        <f>IFERROR(KH_26_OPT4_KTQT_v4[[#This Row],[DT-EXW-11]]*KH_26_OPT4_KTQT_v4[[#This Row],[%CPDP]],0)</f>
        <v>0</v>
      </c>
      <c r="EC113" s="132">
        <f>IFERROR(KH_26_OPT4_KTQT_v4[[#This Row],[DT-EXW-12]]*KH_26_OPT4_KTQT_v4[[#This Row],[%CPDP]],0)</f>
        <v>0</v>
      </c>
      <c r="ED113" s="131">
        <f ca="1">SUM(KH_26_OPT4_KTQT_v4[[#This Row],[CPDP-01]:[CPDP-12]])</f>
        <v>0</v>
      </c>
    </row>
    <row r="114" spans="1:134" ht="14.65" hidden="1" customHeight="1" x14ac:dyDescent="0.35">
      <c r="A114" s="18">
        <v>109</v>
      </c>
      <c r="B114" s="71" t="s">
        <v>115</v>
      </c>
      <c r="C114" s="18" t="str">
        <f>IFERROR(_xlfn.XLOOKUP(KH_26_OPT4_KTQT_v4[[#This Row],[Salesman]],MD_Salesman[Salesman],MD_Salesman[SalesManager]),"")</f>
        <v>Quốc Anh</v>
      </c>
      <c r="D114" s="72" t="str">
        <f>IFERROR(INDEX(MD_Customer[Mã khách],MATCH(KH_26_OPT4_KTQT_v4[[#This Row],[Tên khách]],MD_Customer[Tên khách-rút gọn],0)),"")</f>
        <v>105189</v>
      </c>
      <c r="E114" s="7" t="str">
        <f>IFERROR(INDEX(MD_Customer[Parent Account],MATCH(KH_26_OPT4_KTQT_v4[[#This Row],[Tên khách]],MD_Customer[Tên khách-rút gọn],0)),"")</f>
        <v>Chấn Thuận Thành</v>
      </c>
      <c r="F114" s="35" t="s">
        <v>273</v>
      </c>
      <c r="G114" s="7" t="str">
        <f>IFERROR(INDEX(MD_Customer[Phân loại],MATCH(KH_26_OPT4_KTQT_v4[[#This Row],[Tên khách]],MD_Customer[Tên khách-rút gọn],0)),"")</f>
        <v>Hiện hữu</v>
      </c>
      <c r="H114" s="7" t="str">
        <f>IFERROR(INDEX(MD_Customer[Kênh bán hàng],MATCH(KH_26_OPT4_KTQT_v4[[#This Row],[Tên khách]],MD_Customer[Tên khách-rút gọn],0)),"")</f>
        <v>Nội địa</v>
      </c>
      <c r="I114" s="35" t="s">
        <v>261</v>
      </c>
      <c r="J114" s="7" t="str">
        <f>IFERROR(INDEX(MD_Destination[Nước],MATCH(KH_26_OPT4_KTQT_v4[[#This Row],[Địa điểm đến]],MD_Destination[Địa điểm đến],0)),"")</f>
        <v>Việt Nam</v>
      </c>
      <c r="K114" s="7" t="str">
        <f>IFERROR(INDEX(MD_Destination[Khu vực],MATCH(KH_26_OPT4_KTQT_v4[[#This Row],[Địa điểm đến]],MD_Destination[Địa điểm đến],0)),"")</f>
        <v>Châu Á</v>
      </c>
      <c r="L114" s="35" t="s">
        <v>262</v>
      </c>
      <c r="M114" s="7" t="str">
        <f>IFERROR(INDEX(MD_SKU[Mã SKU],MATCH(KH_26_OPT4_KTQT_v4[[#This Row],[Tên sản phẩm]],MD_SKU[Tên SKU-rút gọn],0)),"")</f>
        <v>110000407</v>
      </c>
      <c r="N114" s="35" t="s">
        <v>470</v>
      </c>
      <c r="O114" s="7" t="str">
        <f>IFERROR(INDEX(MD_SKU[Ngành hàng],MATCH(KH_26_OPT4_KTQT_v4[[#This Row],[Tên sản phẩm]],MD_SKU[Tên SKU-rút gọn],0)),"")</f>
        <v>rHDPE ép</v>
      </c>
      <c r="P114" s="7" t="str">
        <f>IFERROR(INDEX(MD_SKU[Nhóm ngành],MATCH(KH_26_OPT4_KTQT_v4[[#This Row],[Tên sản phẩm]],MD_SKU[Tên SKU-rút gọn],0)),"")</f>
        <v>Vảy HD ép</v>
      </c>
      <c r="Q114" s="7" t="str">
        <f>IFERROR(
   IF(INDEX(MD_SKU[IV/IM],MATCH(KH_26_OPT4_KTQT_v4[[#This Row],[Tên sản phẩm]],MD_SKU[Tên SKU-rút gọn],0))=0,
      "",
      INDEX(MD_SKU[IV/IM],MATCH(KH_26_OPT4_KTQT_v4[[#This Row],[Tên sản phẩm]],MD_SKU[Tên SKU-rút gọn],0))
   ),
"")</f>
        <v/>
      </c>
      <c r="R114" s="44">
        <f>IFERROR(INDEX(MD_SKU[Application],MATCH(KH_26_OPT4_KTQT_v4[[#This Row],[Tên sản phẩm]],MD_SKU[Tên SKU-rút gọn],0)),"")</f>
        <v>0</v>
      </c>
      <c r="S114" s="7" t="str">
        <f>IFERROR(INDEX(MD_SKU[Phân loại],MATCH(KH_26_OPT4_KTQT_v4[[#This Row],[Tên sản phẩm]],MD_SKU[Tên SKU-rút gọn],0)),"")</f>
        <v>Cũ</v>
      </c>
      <c r="T114" s="7" t="s">
        <v>154</v>
      </c>
      <c r="U114" s="7" t="s">
        <v>1508</v>
      </c>
      <c r="V114" s="70">
        <v>0.8</v>
      </c>
      <c r="W114" s="33"/>
      <c r="X114" s="33"/>
      <c r="Y114" s="33"/>
      <c r="Z114" s="33"/>
      <c r="AA114" s="33"/>
      <c r="AB114" s="33"/>
      <c r="AC114" s="33"/>
      <c r="AD114" s="33"/>
      <c r="AE114" s="33"/>
      <c r="AF114" s="33"/>
      <c r="AG114" s="33"/>
      <c r="AH114" s="33"/>
      <c r="AI114" s="47">
        <f ca="1">SUM(KH_26_OPT4_KTQT_v4[[#This Row],[SL-01]:[SL-12]])</f>
        <v>0</v>
      </c>
      <c r="AJ114" s="47">
        <f ca="1">SUMIFS(DB_25[SL-DB25],DB_25[Mã khách],KH_26_OPT4_KTQT_v4[[#This Row],[Mã khách]],DB_25[Mã sản phẩm],KH_26_OPT4_KTQT_v4[[#This Row],[Mã sản phẩm]])</f>
        <v>0.75</v>
      </c>
      <c r="AK114" s="20">
        <f ca="1">KH_26_OPT4_KTQT_v4[[#This Row],[SL-KH26]]-KH_26_OPT4_KTQT_v4[[#This Row],[SL-DB25]]</f>
        <v>-0.75</v>
      </c>
      <c r="AL114" s="21">
        <f ca="1">IFERROR(KH_26_OPT4_KTQT_v4[[#This Row],[SL-+/-]]/KH_26_OPT4_KTQT_v4[[#This Row],[SL-DB25]],0)</f>
        <v>-1</v>
      </c>
      <c r="AM114" s="51">
        <v>560</v>
      </c>
      <c r="AN114" s="51">
        <v>560</v>
      </c>
      <c r="AO114" s="51">
        <v>560</v>
      </c>
      <c r="AP114" s="51">
        <v>560</v>
      </c>
      <c r="AQ114" s="51">
        <v>560</v>
      </c>
      <c r="AR114" s="51">
        <v>560</v>
      </c>
      <c r="AS114" s="51">
        <v>560</v>
      </c>
      <c r="AT114" s="51">
        <v>560</v>
      </c>
      <c r="AU114" s="51">
        <v>560</v>
      </c>
      <c r="AV114" s="51">
        <v>560</v>
      </c>
      <c r="AW114" s="51">
        <v>560</v>
      </c>
      <c r="AX114" s="51">
        <v>560</v>
      </c>
      <c r="AY114" s="23">
        <v>560</v>
      </c>
      <c r="AZ114" s="7"/>
      <c r="BA114" s="24">
        <f>KH_26_OPT4_KTQT_v4[[#This Row],[GB-DB25]]-KH_26_OPT4_KTQT_v4[[#This Row],[GB-KH25]]</f>
        <v>560</v>
      </c>
      <c r="BB114" s="21">
        <f>IFERROR(KH_26_OPT4_KTQT_v4[[#This Row],[GB-+/-]]/KH_26_OPT4_KTQT_v4[[#This Row],[GB-KH25]],0)</f>
        <v>0</v>
      </c>
      <c r="BC114" s="21"/>
      <c r="BD114" s="47">
        <f>KH_26_OPT4_KTQT_v4[[#This Row],[SL-01]]*KH_26_OPT4_KTQT_v4[[#This Row],[GB-01]]*EXR</f>
        <v>0</v>
      </c>
      <c r="BE114" s="47">
        <f>KH_26_OPT4_KTQT_v4[[#This Row],[SL-02]]*KH_26_OPT4_KTQT_v4[[#This Row],[GB-02]]*EXR</f>
        <v>0</v>
      </c>
      <c r="BF114" s="47">
        <f>KH_26_OPT4_KTQT_v4[[#This Row],[SL-03]]*KH_26_OPT4_KTQT_v4[[#This Row],[GB-03]]*EXR</f>
        <v>0</v>
      </c>
      <c r="BG114" s="47">
        <f>KH_26_OPT4_KTQT_v4[[#This Row],[SL-04]]*KH_26_OPT4_KTQT_v4[[#This Row],[GB-04]]*EXR</f>
        <v>0</v>
      </c>
      <c r="BH114" s="47">
        <f>KH_26_OPT4_KTQT_v4[[#This Row],[SL-05]]*KH_26_OPT4_KTQT_v4[[#This Row],[GB-05]]*EXR</f>
        <v>0</v>
      </c>
      <c r="BI114" s="47">
        <f>KH_26_OPT4_KTQT_v4[[#This Row],[SL-06]]*KH_26_OPT4_KTQT_v4[[#This Row],[GB-06]]*EXR</f>
        <v>0</v>
      </c>
      <c r="BJ114" s="47">
        <f>KH_26_OPT4_KTQT_v4[[#This Row],[SL-07]]*KH_26_OPT4_KTQT_v4[[#This Row],[GB-07]]*EXR</f>
        <v>0</v>
      </c>
      <c r="BK114" s="47">
        <f>KH_26_OPT4_KTQT_v4[[#This Row],[SL-08]]*KH_26_OPT4_KTQT_v4[[#This Row],[GB-08]]*EXR</f>
        <v>0</v>
      </c>
      <c r="BL114" s="47">
        <f>KH_26_OPT4_KTQT_v4[[#This Row],[SL-09]]*KH_26_OPT4_KTQT_v4[[#This Row],[GB-09]]*EXR</f>
        <v>0</v>
      </c>
      <c r="BM114" s="47">
        <f>KH_26_OPT4_KTQT_v4[[#This Row],[SL-10]]*KH_26_OPT4_KTQT_v4[[#This Row],[GB-10]]*EXR</f>
        <v>0</v>
      </c>
      <c r="BN114" s="47">
        <f>KH_26_OPT4_KTQT_v4[[#This Row],[SL-11]]*KH_26_OPT4_KTQT_v4[[#This Row],[GB-11]]*EXR</f>
        <v>0</v>
      </c>
      <c r="BO114" s="47">
        <f>KH_26_OPT4_KTQT_v4[[#This Row],[SL-12]]*KH_26_OPT4_KTQT_v4[[#This Row],[GB-12]]*EXR</f>
        <v>0</v>
      </c>
      <c r="BP114" s="47">
        <f ca="1">SUM(KH_26_OPT4_KTQT_v4[[#This Row],[DT-EXW-01]:[DT-EXW-12]])</f>
        <v>0</v>
      </c>
      <c r="BQ114" s="47">
        <f ca="1">SUMIFS(DB_25[DT-DB25],DB_25[Mã khách],KH_26_OPT4_KTQT_v4[[#This Row],[Mã khách]],DB_25[Mã sản phẩm],KH_26_OPT4_KTQT_v4[[#This Row],[Mã sản phẩm]])</f>
        <v>13000250.974885846</v>
      </c>
      <c r="BR114" s="47">
        <f ca="1">KH_26_OPT4_KTQT_v4[[#This Row],[DT-EXW-KH26]]-KH_26_OPT4_KTQT_v4[[#This Row],[DT-EXW-DB25]]</f>
        <v>-13000250.974885846</v>
      </c>
      <c r="BS114" s="21">
        <f ca="1">IFERROR(KH_26_OPT4_KTQT_v4[[#This Row],[DT-EXW-+/-]]/KH_26_OPT4_KTQT_v4[[#This Row],[DT-EXW-DB25]],0)</f>
        <v>-1</v>
      </c>
      <c r="BT114" s="139"/>
      <c r="BU114" s="57"/>
      <c r="BV114" s="51"/>
      <c r="BW114" s="47">
        <f>IF(KH_26_OPT4_KTQT_v4[[#This Row],[CPHH-%-SL]]="Dthu",KH_26_OPT4_KTQT_v4[[#This Row],[%HH]]*KH_26_OPT4_KTQT_v4[[#This Row],[DT-EXW-01]],KH_26_OPT4_KTQT_v4[[#This Row],[HH-SL]]*KH_26_OPT4_KTQT_v4[[#This Row],[SL-01]])</f>
        <v>0</v>
      </c>
      <c r="BX114" s="47">
        <f>IF(KH_26_OPT4_KTQT_v4[[#This Row],[CPHH-%-SL]]="Dthu",KH_26_OPT4_KTQT_v4[[#This Row],[%HH]]*KH_26_OPT4_KTQT_v4[[#This Row],[DT-EXW-02]],KH_26_OPT4_KTQT_v4[[#This Row],[HH-SL]]*KH_26_OPT4_KTQT_v4[[#This Row],[SL-02]])</f>
        <v>0</v>
      </c>
      <c r="BY114" s="47">
        <f>IF(KH_26_OPT4_KTQT_v4[[#This Row],[CPHH-%-SL]]="Dthu",KH_26_OPT4_KTQT_v4[[#This Row],[%HH]]*KH_26_OPT4_KTQT_v4[[#This Row],[DT-EXW-03]],KH_26_OPT4_KTQT_v4[[#This Row],[HH-SL]]*KH_26_OPT4_KTQT_v4[[#This Row],[SL-03]])</f>
        <v>0</v>
      </c>
      <c r="BZ114" s="47">
        <f>IF(KH_26_OPT4_KTQT_v4[[#This Row],[CPHH-%-SL]]="Dthu",KH_26_OPT4_KTQT_v4[[#This Row],[%HH]]*KH_26_OPT4_KTQT_v4[[#This Row],[DT-EXW-04]],KH_26_OPT4_KTQT_v4[[#This Row],[HH-SL]]*KH_26_OPT4_KTQT_v4[[#This Row],[SL-04]])</f>
        <v>0</v>
      </c>
      <c r="CA114" s="47">
        <f>IF(KH_26_OPT4_KTQT_v4[[#This Row],[CPHH-%-SL]]="Dthu",KH_26_OPT4_KTQT_v4[[#This Row],[%HH]]*KH_26_OPT4_KTQT_v4[[#This Row],[DT-EXW-05]],KH_26_OPT4_KTQT_v4[[#This Row],[HH-SL]]*KH_26_OPT4_KTQT_v4[[#This Row],[SL-05]])</f>
        <v>0</v>
      </c>
      <c r="CB114" s="47">
        <f>IF(KH_26_OPT4_KTQT_v4[[#This Row],[CPHH-%-SL]]="Dthu",KH_26_OPT4_KTQT_v4[[#This Row],[%HH]]*KH_26_OPT4_KTQT_v4[[#This Row],[DT-EXW-06]],KH_26_OPT4_KTQT_v4[[#This Row],[HH-SL]]*KH_26_OPT4_KTQT_v4[[#This Row],[SL-06]])</f>
        <v>0</v>
      </c>
      <c r="CC114" s="47">
        <f>IF(KH_26_OPT4_KTQT_v4[[#This Row],[CPHH-%-SL]]="Dthu",KH_26_OPT4_KTQT_v4[[#This Row],[%HH]]*KH_26_OPT4_KTQT_v4[[#This Row],[DT-EXW-07]],KH_26_OPT4_KTQT_v4[[#This Row],[HH-SL]]*KH_26_OPT4_KTQT_v4[[#This Row],[SL-07]])</f>
        <v>0</v>
      </c>
      <c r="CD114" s="47">
        <f>IF(KH_26_OPT4_KTQT_v4[[#This Row],[CPHH-%-SL]]="Dthu",KH_26_OPT4_KTQT_v4[[#This Row],[%HH]]*KH_26_OPT4_KTQT_v4[[#This Row],[DT-EXW-08]],KH_26_OPT4_KTQT_v4[[#This Row],[HH-SL]]*KH_26_OPT4_KTQT_v4[[#This Row],[SL-08]])</f>
        <v>0</v>
      </c>
      <c r="CE114" s="47">
        <f>IF(KH_26_OPT4_KTQT_v4[[#This Row],[CPHH-%-SL]]="Dthu",KH_26_OPT4_KTQT_v4[[#This Row],[%HH]]*KH_26_OPT4_KTQT_v4[[#This Row],[DT-EXW-09]],KH_26_OPT4_KTQT_v4[[#This Row],[HH-SL]]*KH_26_OPT4_KTQT_v4[[#This Row],[SL-09]])</f>
        <v>0</v>
      </c>
      <c r="CF114" s="47">
        <f>IF(KH_26_OPT4_KTQT_v4[[#This Row],[CPHH-%-SL]]="Dthu",KH_26_OPT4_KTQT_v4[[#This Row],[%HH]]*KH_26_OPT4_KTQT_v4[[#This Row],[DT-EXW-10]],KH_26_OPT4_KTQT_v4[[#This Row],[HH-SL]]*KH_26_OPT4_KTQT_v4[[#This Row],[SL-10]])</f>
        <v>0</v>
      </c>
      <c r="CG114" s="47">
        <f>IF(KH_26_OPT4_KTQT_v4[[#This Row],[CPHH-%-SL]]="Dthu",KH_26_OPT4_KTQT_v4[[#This Row],[%HH]]*KH_26_OPT4_KTQT_v4[[#This Row],[DT-EXW-11]],KH_26_OPT4_KTQT_v4[[#This Row],[HH-SL]]*KH_26_OPT4_KTQT_v4[[#This Row],[SL-11]])</f>
        <v>0</v>
      </c>
      <c r="CH114" s="47">
        <f>IF(KH_26_OPT4_KTQT_v4[[#This Row],[CPHH-%-SL]]="Dthu",KH_26_OPT4_KTQT_v4[[#This Row],[%HH]]*KH_26_OPT4_KTQT_v4[[#This Row],[DT-EXW-12]],KH_26_OPT4_KTQT_v4[[#This Row],[HH-SL]]*KH_26_OPT4_KTQT_v4[[#This Row],[SL-12]])</f>
        <v>0</v>
      </c>
      <c r="CI114" s="47">
        <f ca="1">SUM(KH_26_OPT4_KTQT_v4[[#This Row],[CPHH-01]:[CPHH-12]])</f>
        <v>0</v>
      </c>
      <c r="CJ114" s="47" cm="1">
        <f t="array" ref="CJ114">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14" s="19">
        <f ca="1">SUM(KH_26_OPT4_KTQT_v4[[#This Row],[ĐGVCNĐ-KXK]:[ĐGVCCT-KXK]])</f>
        <v>0</v>
      </c>
      <c r="CL114" s="47" cm="1">
        <f t="array" ref="CL114">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114" s="47" cm="1">
        <f t="array" ref="CM114">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14" s="47">
        <f ca="1">(KH_26_OPT4_KTQT_v4[[#This Row],[ĐGVC-KNĐ]]+KH_26_OPT4_KTQT_v4[[#This Row],[ĐGVC-KXK]])*KH_26_OPT4_KTQT_v4[[#This Row],[SL-01]]</f>
        <v>0</v>
      </c>
      <c r="CO114" s="47">
        <f ca="1">(KH_26_OPT4_KTQT_v4[[#This Row],[ĐGVC-KNĐ]]+KH_26_OPT4_KTQT_v4[[#This Row],[ĐGVC-KXK]])*KH_26_OPT4_KTQT_v4[[#This Row],[SL-02]]</f>
        <v>0</v>
      </c>
      <c r="CP114" s="47">
        <f ca="1">(KH_26_OPT4_KTQT_v4[[#This Row],[ĐGVC-KNĐ]]+KH_26_OPT4_KTQT_v4[[#This Row],[ĐGVC-KXK]])*KH_26_OPT4_KTQT_v4[[#This Row],[SL-03]]</f>
        <v>0</v>
      </c>
      <c r="CQ114" s="47">
        <f ca="1">(KH_26_OPT4_KTQT_v4[[#This Row],[ĐGVC-KNĐ]]+KH_26_OPT4_KTQT_v4[[#This Row],[ĐGVC-KXK]])*KH_26_OPT4_KTQT_v4[[#This Row],[SL-04]]</f>
        <v>0</v>
      </c>
      <c r="CR114" s="47">
        <f ca="1">(KH_26_OPT4_KTQT_v4[[#This Row],[ĐGVC-KNĐ]]+KH_26_OPT4_KTQT_v4[[#This Row],[ĐGVC-KXK]])*KH_26_OPT4_KTQT_v4[[#This Row],[SL-05]]</f>
        <v>0</v>
      </c>
      <c r="CS114" s="47">
        <f ca="1">(KH_26_OPT4_KTQT_v4[[#This Row],[ĐGVC-KNĐ]]+KH_26_OPT4_KTQT_v4[[#This Row],[ĐGVC-KXK]])*KH_26_OPT4_KTQT_v4[[#This Row],[SL-06]]</f>
        <v>0</v>
      </c>
      <c r="CT114" s="47">
        <f ca="1">(KH_26_OPT4_KTQT_v4[[#This Row],[ĐGVC-KNĐ]]+KH_26_OPT4_KTQT_v4[[#This Row],[ĐGVC-KXK]])*KH_26_OPT4_KTQT_v4[[#This Row],[SL-07]]</f>
        <v>0</v>
      </c>
      <c r="CU114" s="47">
        <f ca="1">(KH_26_OPT4_KTQT_v4[[#This Row],[ĐGVC-KNĐ]]+KH_26_OPT4_KTQT_v4[[#This Row],[ĐGVC-KXK]])*KH_26_OPT4_KTQT_v4[[#This Row],[SL-08]]</f>
        <v>0</v>
      </c>
      <c r="CV114" s="47">
        <f ca="1">(KH_26_OPT4_KTQT_v4[[#This Row],[ĐGVC-KNĐ]]+KH_26_OPT4_KTQT_v4[[#This Row],[ĐGVC-KXK]])*KH_26_OPT4_KTQT_v4[[#This Row],[SL-09]]</f>
        <v>0</v>
      </c>
      <c r="CW114" s="47">
        <f ca="1">(KH_26_OPT4_KTQT_v4[[#This Row],[ĐGVC-KNĐ]]+KH_26_OPT4_KTQT_v4[[#This Row],[ĐGVC-KXK]])*KH_26_OPT4_KTQT_v4[[#This Row],[SL-10]]</f>
        <v>0</v>
      </c>
      <c r="CX114" s="47">
        <f ca="1">(KH_26_OPT4_KTQT_v4[[#This Row],[ĐGVC-KNĐ]]+KH_26_OPT4_KTQT_v4[[#This Row],[ĐGVC-KXK]])*KH_26_OPT4_KTQT_v4[[#This Row],[SL-11]]</f>
        <v>0</v>
      </c>
      <c r="CY114" s="47">
        <f ca="1">(KH_26_OPT4_KTQT_v4[[#This Row],[ĐGVC-KNĐ]]+KH_26_OPT4_KTQT_v4[[#This Row],[ĐGVC-KXK]])*KH_26_OPT4_KTQT_v4[[#This Row],[SL-12]]</f>
        <v>0</v>
      </c>
      <c r="CZ114" s="47">
        <f ca="1">SUM(KH_26_OPT4_KTQT_v4[[#This Row],[CPVC-01]:[CPVC-12]])</f>
        <v>0</v>
      </c>
      <c r="DA114" s="124">
        <f ca="1">KH_26_OPT4_KTQT_v4[[#This Row],[DT-EXW-01]]+KH_26_OPT4_KTQT_v4[[#This Row],[CPVC-01]]+KH_26_OPT4_KTQT_v4[[#This Row],[CPHH-01]]</f>
        <v>0</v>
      </c>
      <c r="DB114" s="47">
        <f ca="1">KH_26_OPT4_KTQT_v4[[#This Row],[DT-EXW-02]]+KH_26_OPT4_KTQT_v4[[#This Row],[CPVC-02]]+KH_26_OPT4_KTQT_v4[[#This Row],[CPHH-02]]</f>
        <v>0</v>
      </c>
      <c r="DC114" s="47">
        <f ca="1">KH_26_OPT4_KTQT_v4[[#This Row],[DT-EXW-03]]+KH_26_OPT4_KTQT_v4[[#This Row],[CPVC-03]]+KH_26_OPT4_KTQT_v4[[#This Row],[CPHH-03]]</f>
        <v>0</v>
      </c>
      <c r="DD114" s="47">
        <f ca="1">KH_26_OPT4_KTQT_v4[[#This Row],[DT-EXW-04]]+KH_26_OPT4_KTQT_v4[[#This Row],[CPVC-04]]+KH_26_OPT4_KTQT_v4[[#This Row],[CPHH-04]]</f>
        <v>0</v>
      </c>
      <c r="DE114" s="47">
        <f ca="1">KH_26_OPT4_KTQT_v4[[#This Row],[DT-EXW-05]]+KH_26_OPT4_KTQT_v4[[#This Row],[CPVC-05]]+KH_26_OPT4_KTQT_v4[[#This Row],[CPHH-05]]</f>
        <v>0</v>
      </c>
      <c r="DF114" s="47">
        <f ca="1">KH_26_OPT4_KTQT_v4[[#This Row],[DT-EXW-06]]+KH_26_OPT4_KTQT_v4[[#This Row],[CPVC-06]]+KH_26_OPT4_KTQT_v4[[#This Row],[CPHH-06]]</f>
        <v>0</v>
      </c>
      <c r="DG114" s="47">
        <f ca="1">KH_26_OPT4_KTQT_v4[[#This Row],[DT-EXW-07]]+KH_26_OPT4_KTQT_v4[[#This Row],[CPVC-07]]+KH_26_OPT4_KTQT_v4[[#This Row],[CPHH-07]]</f>
        <v>0</v>
      </c>
      <c r="DH114" s="47">
        <f ca="1">KH_26_OPT4_KTQT_v4[[#This Row],[DT-EXW-08]]+KH_26_OPT4_KTQT_v4[[#This Row],[CPVC-08]]+KH_26_OPT4_KTQT_v4[[#This Row],[CPHH-08]]</f>
        <v>0</v>
      </c>
      <c r="DI114" s="47">
        <f ca="1">KH_26_OPT4_KTQT_v4[[#This Row],[DT-EXW-09]]+KH_26_OPT4_KTQT_v4[[#This Row],[CPVC-09]]+KH_26_OPT4_KTQT_v4[[#This Row],[CPHH-09]]</f>
        <v>0</v>
      </c>
      <c r="DJ114" s="47">
        <f ca="1">KH_26_OPT4_KTQT_v4[[#This Row],[DT-EXW-10]]+KH_26_OPT4_KTQT_v4[[#This Row],[CPVC-10]]+KH_26_OPT4_KTQT_v4[[#This Row],[CPHH-10]]</f>
        <v>0</v>
      </c>
      <c r="DK114" s="47">
        <f ca="1">KH_26_OPT4_KTQT_v4[[#This Row],[DT-EXW-11]]+KH_26_OPT4_KTQT_v4[[#This Row],[CPVC-11]]+KH_26_OPT4_KTQT_v4[[#This Row],[CPHH-11]]</f>
        <v>0</v>
      </c>
      <c r="DL114" s="47">
        <f ca="1">KH_26_OPT4_KTQT_v4[[#This Row],[DT-EXW-12]]+KH_26_OPT4_KTQT_v4[[#This Row],[CPVC-12]]+KH_26_OPT4_KTQT_v4[[#This Row],[CPHH-12]]</f>
        <v>0</v>
      </c>
      <c r="DM114" s="47">
        <f ca="1">SUM(KH_26_OPT4_KTQT_v4[[#This Row],[DT-01]:[DT-12]])</f>
        <v>0</v>
      </c>
      <c r="DN114" s="7"/>
      <c r="DO114" s="7"/>
      <c r="DP114" s="125"/>
      <c r="DQ114" s="136"/>
      <c r="DR114" s="132">
        <f>IFERROR(KH_26_OPT4_KTQT_v4[[#This Row],[DT-EXW-01]]*KH_26_OPT4_KTQT_v4[[#This Row],[%CPDP]],0)</f>
        <v>0</v>
      </c>
      <c r="DS114" s="132">
        <f>IFERROR(KH_26_OPT4_KTQT_v4[[#This Row],[DT-EXW-02]]*KH_26_OPT4_KTQT_v4[[#This Row],[%CPDP]],0)</f>
        <v>0</v>
      </c>
      <c r="DT114" s="132">
        <f>IFERROR(KH_26_OPT4_KTQT_v4[[#This Row],[DT-EXW-03]]*KH_26_OPT4_KTQT_v4[[#This Row],[%CPDP]],0)</f>
        <v>0</v>
      </c>
      <c r="DU114" s="132">
        <f>IFERROR(KH_26_OPT4_KTQT_v4[[#This Row],[DT-EXW-04]]*KH_26_OPT4_KTQT_v4[[#This Row],[%CPDP]],0)</f>
        <v>0</v>
      </c>
      <c r="DV114" s="132">
        <f>IFERROR(KH_26_OPT4_KTQT_v4[[#This Row],[DT-EXW-05]]*KH_26_OPT4_KTQT_v4[[#This Row],[%CPDP]],0)</f>
        <v>0</v>
      </c>
      <c r="DW114" s="132">
        <f>IFERROR(KH_26_OPT4_KTQT_v4[[#This Row],[DT-EXW-06]]*KH_26_OPT4_KTQT_v4[[#This Row],[%CPDP]],0)</f>
        <v>0</v>
      </c>
      <c r="DX114" s="132">
        <f>IFERROR(KH_26_OPT4_KTQT_v4[[#This Row],[DT-EXW-07]]*KH_26_OPT4_KTQT_v4[[#This Row],[%CPDP]],0)</f>
        <v>0</v>
      </c>
      <c r="DY114" s="132">
        <f>IFERROR(KH_26_OPT4_KTQT_v4[[#This Row],[DT-EXW-08]]*KH_26_OPT4_KTQT_v4[[#This Row],[%CPDP]],0)</f>
        <v>0</v>
      </c>
      <c r="DZ114" s="132">
        <f>IFERROR(KH_26_OPT4_KTQT_v4[[#This Row],[DT-EXW-09]]*KH_26_OPT4_KTQT_v4[[#This Row],[%CPDP]],0)</f>
        <v>0</v>
      </c>
      <c r="EA114" s="132">
        <f>IFERROR(KH_26_OPT4_KTQT_v4[[#This Row],[DT-EXW-10]]*KH_26_OPT4_KTQT_v4[[#This Row],[%CPDP]],0)</f>
        <v>0</v>
      </c>
      <c r="EB114" s="132">
        <f>IFERROR(KH_26_OPT4_KTQT_v4[[#This Row],[DT-EXW-11]]*KH_26_OPT4_KTQT_v4[[#This Row],[%CPDP]],0)</f>
        <v>0</v>
      </c>
      <c r="EC114" s="132">
        <f>IFERROR(KH_26_OPT4_KTQT_v4[[#This Row],[DT-EXW-12]]*KH_26_OPT4_KTQT_v4[[#This Row],[%CPDP]],0)</f>
        <v>0</v>
      </c>
      <c r="ED114" s="131">
        <f ca="1">SUM(KH_26_OPT4_KTQT_v4[[#This Row],[CPDP-01]:[CPDP-12]])</f>
        <v>0</v>
      </c>
    </row>
    <row r="115" spans="1:134" ht="14.65" hidden="1" customHeight="1" x14ac:dyDescent="0.35">
      <c r="A115" s="18">
        <v>110</v>
      </c>
      <c r="B115" s="71" t="s">
        <v>115</v>
      </c>
      <c r="C115" s="18" t="str">
        <f>IFERROR(_xlfn.XLOOKUP(KH_26_OPT4_KTQT_v4[[#This Row],[Salesman]],MD_Salesman[Salesman],MD_Salesman[SalesManager]),"")</f>
        <v>Quốc Anh</v>
      </c>
      <c r="D115" s="72" t="str">
        <f>IFERROR(INDEX(MD_Customer[Mã khách],MATCH(KH_26_OPT4_KTQT_v4[[#This Row],[Tên khách]],MD_Customer[Tên khách-rút gọn],0)),"")</f>
        <v>105327</v>
      </c>
      <c r="E115" s="7" t="str">
        <f>IFERROR(INDEX(MD_Customer[Parent Account],MATCH(KH_26_OPT4_KTQT_v4[[#This Row],[Tên khách]],MD_Customer[Tên khách-rút gọn],0)),"")</f>
        <v>MEGA</v>
      </c>
      <c r="F115" s="35" t="s">
        <v>72</v>
      </c>
      <c r="G115" s="7" t="str">
        <f>IFERROR(INDEX(MD_Customer[Phân loại],MATCH(KH_26_OPT4_KTQT_v4[[#This Row],[Tên khách]],MD_Customer[Tên khách-rút gọn],0)),"")</f>
        <v>Mới</v>
      </c>
      <c r="H115" s="7" t="str">
        <f>IFERROR(INDEX(MD_Customer[Kênh bán hàng],MATCH(KH_26_OPT4_KTQT_v4[[#This Row],[Tên khách]],MD_Customer[Tên khách-rút gọn],0)),"")</f>
        <v>Nội địa</v>
      </c>
      <c r="I115" s="35" t="s">
        <v>261</v>
      </c>
      <c r="J115" s="7" t="str">
        <f>IFERROR(INDEX(MD_Destination[Nước],MATCH(KH_26_OPT4_KTQT_v4[[#This Row],[Địa điểm đến]],MD_Destination[Địa điểm đến],0)),"")</f>
        <v>Việt Nam</v>
      </c>
      <c r="K115" s="7" t="str">
        <f>IFERROR(INDEX(MD_Destination[Khu vực],MATCH(KH_26_OPT4_KTQT_v4[[#This Row],[Địa điểm đến]],MD_Destination[Địa điểm đến],0)),"")</f>
        <v>Châu Á</v>
      </c>
      <c r="L115" s="35" t="s">
        <v>260</v>
      </c>
      <c r="M115" s="7" t="str">
        <f>IFERROR(INDEX(MD_SKU[Mã SKU],MATCH(KH_26_OPT4_KTQT_v4[[#This Row],[Tên sản phẩm]],MD_SKU[Tên SKU-rút gọn],0)),"")</f>
        <v>110000392</v>
      </c>
      <c r="N115" s="35" t="s">
        <v>485</v>
      </c>
      <c r="O115" s="7" t="str">
        <f>IFERROR(INDEX(MD_SKU[Ngành hàng],MATCH(KH_26_OPT4_KTQT_v4[[#This Row],[Tên sản phẩm]],MD_SKU[Tên SKU-rút gọn],0)),"")</f>
        <v>rPP</v>
      </c>
      <c r="P115" s="7" t="str">
        <f>IFERROR(INDEX(MD_SKU[Nhóm ngành],MATCH(KH_26_OPT4_KTQT_v4[[#This Row],[Tên sản phẩm]],MD_SKU[Tên SKU-rút gọn],0)),"")</f>
        <v>Hạt PP</v>
      </c>
      <c r="Q115" s="7" t="str">
        <f>IFERROR(
   IF(INDEX(MD_SKU[IV/IM],MATCH(KH_26_OPT4_KTQT_v4[[#This Row],[Tên sản phẩm]],MD_SKU[Tên SKU-rút gọn],0))=0,
      "",
      INDEX(MD_SKU[IV/IM],MATCH(KH_26_OPT4_KTQT_v4[[#This Row],[Tên sản phẩm]],MD_SKU[Tên SKU-rút gọn],0))
   ),
"")</f>
        <v/>
      </c>
      <c r="R115" s="44">
        <f>IFERROR(INDEX(MD_SKU[Application],MATCH(KH_26_OPT4_KTQT_v4[[#This Row],[Tên sản phẩm]],MD_SKU[Tên SKU-rút gọn],0)),"")</f>
        <v>0</v>
      </c>
      <c r="S115" s="7" t="str">
        <f>IFERROR(INDEX(MD_SKU[Phân loại],MATCH(KH_26_OPT4_KTQT_v4[[#This Row],[Tên sản phẩm]],MD_SKU[Tên SKU-rút gọn],0)),"")</f>
        <v>Cũ</v>
      </c>
      <c r="T115" s="7" t="s">
        <v>72</v>
      </c>
      <c r="U115" s="7" t="s">
        <v>1508</v>
      </c>
      <c r="V115" s="70">
        <v>0.8</v>
      </c>
      <c r="W115" s="33">
        <v>3</v>
      </c>
      <c r="X115" s="33"/>
      <c r="Y115" s="33">
        <v>3</v>
      </c>
      <c r="Z115" s="33"/>
      <c r="AA115" s="33">
        <v>3</v>
      </c>
      <c r="AB115" s="33"/>
      <c r="AC115" s="33">
        <v>3</v>
      </c>
      <c r="AD115" s="33"/>
      <c r="AE115" s="33">
        <v>3</v>
      </c>
      <c r="AF115" s="33"/>
      <c r="AG115" s="33">
        <v>3</v>
      </c>
      <c r="AH115" s="33"/>
      <c r="AI115" s="47">
        <f ca="1">SUM(KH_26_OPT4_KTQT_v4[[#This Row],[SL-01]:[SL-12]])</f>
        <v>18</v>
      </c>
      <c r="AJ115" s="47">
        <f ca="1">SUMIFS(DB_25[SL-DB25],DB_25[Mã khách],KH_26_OPT4_KTQT_v4[[#This Row],[Mã khách]],DB_25[Mã sản phẩm],KH_26_OPT4_KTQT_v4[[#This Row],[Mã sản phẩm]])</f>
        <v>3.0000000000000002E-2</v>
      </c>
      <c r="AK115" s="20">
        <f ca="1">KH_26_OPT4_KTQT_v4[[#This Row],[SL-KH26]]-KH_26_OPT4_KTQT_v4[[#This Row],[SL-DB25]]</f>
        <v>17.97</v>
      </c>
      <c r="AL115" s="21">
        <f ca="1">IFERROR(KH_26_OPT4_KTQT_v4[[#This Row],[SL-+/-]]/KH_26_OPT4_KTQT_v4[[#This Row],[SL-DB25]],0)</f>
        <v>598.99999999999989</v>
      </c>
      <c r="AM115" s="51">
        <v>700</v>
      </c>
      <c r="AN115" s="51">
        <v>700</v>
      </c>
      <c r="AO115" s="51">
        <v>700</v>
      </c>
      <c r="AP115" s="51">
        <v>700</v>
      </c>
      <c r="AQ115" s="51">
        <v>700</v>
      </c>
      <c r="AR115" s="51">
        <v>700</v>
      </c>
      <c r="AS115" s="51">
        <v>700</v>
      </c>
      <c r="AT115" s="51">
        <v>700</v>
      </c>
      <c r="AU115" s="51">
        <v>700</v>
      </c>
      <c r="AV115" s="51">
        <v>700</v>
      </c>
      <c r="AW115" s="51">
        <v>700</v>
      </c>
      <c r="AX115" s="51">
        <v>700</v>
      </c>
      <c r="AY115" s="23">
        <v>700</v>
      </c>
      <c r="AZ115" s="7"/>
      <c r="BA115" s="24">
        <f>KH_26_OPT4_KTQT_v4[[#This Row],[GB-DB25]]-KH_26_OPT4_KTQT_v4[[#This Row],[GB-KH25]]</f>
        <v>700</v>
      </c>
      <c r="BB115" s="21">
        <f>IFERROR(KH_26_OPT4_KTQT_v4[[#This Row],[GB-+/-]]/KH_26_OPT4_KTQT_v4[[#This Row],[GB-KH25]],0)</f>
        <v>0</v>
      </c>
      <c r="BC115" s="21"/>
      <c r="BD115" s="47">
        <f>KH_26_OPT4_KTQT_v4[[#This Row],[SL-01]]*KH_26_OPT4_KTQT_v4[[#This Row],[GB-01]]*EXR</f>
        <v>55650000</v>
      </c>
      <c r="BE115" s="47">
        <f>KH_26_OPT4_KTQT_v4[[#This Row],[SL-02]]*KH_26_OPT4_KTQT_v4[[#This Row],[GB-02]]*EXR</f>
        <v>0</v>
      </c>
      <c r="BF115" s="47">
        <f>KH_26_OPT4_KTQT_v4[[#This Row],[SL-03]]*KH_26_OPT4_KTQT_v4[[#This Row],[GB-03]]*EXR</f>
        <v>55650000</v>
      </c>
      <c r="BG115" s="47">
        <f>KH_26_OPT4_KTQT_v4[[#This Row],[SL-04]]*KH_26_OPT4_KTQT_v4[[#This Row],[GB-04]]*EXR</f>
        <v>0</v>
      </c>
      <c r="BH115" s="47">
        <f>KH_26_OPT4_KTQT_v4[[#This Row],[SL-05]]*KH_26_OPT4_KTQT_v4[[#This Row],[GB-05]]*EXR</f>
        <v>55650000</v>
      </c>
      <c r="BI115" s="47">
        <f>KH_26_OPT4_KTQT_v4[[#This Row],[SL-06]]*KH_26_OPT4_KTQT_v4[[#This Row],[GB-06]]*EXR</f>
        <v>0</v>
      </c>
      <c r="BJ115" s="47">
        <f>KH_26_OPT4_KTQT_v4[[#This Row],[SL-07]]*KH_26_OPT4_KTQT_v4[[#This Row],[GB-07]]*EXR</f>
        <v>55650000</v>
      </c>
      <c r="BK115" s="47">
        <f>KH_26_OPT4_KTQT_v4[[#This Row],[SL-08]]*KH_26_OPT4_KTQT_v4[[#This Row],[GB-08]]*EXR</f>
        <v>0</v>
      </c>
      <c r="BL115" s="47">
        <f>KH_26_OPT4_KTQT_v4[[#This Row],[SL-09]]*KH_26_OPT4_KTQT_v4[[#This Row],[GB-09]]*EXR</f>
        <v>55650000</v>
      </c>
      <c r="BM115" s="47">
        <f>KH_26_OPT4_KTQT_v4[[#This Row],[SL-10]]*KH_26_OPT4_KTQT_v4[[#This Row],[GB-10]]*EXR</f>
        <v>0</v>
      </c>
      <c r="BN115" s="47">
        <f>KH_26_OPT4_KTQT_v4[[#This Row],[SL-11]]*KH_26_OPT4_KTQT_v4[[#This Row],[GB-11]]*EXR</f>
        <v>55650000</v>
      </c>
      <c r="BO115" s="47">
        <f>KH_26_OPT4_KTQT_v4[[#This Row],[SL-12]]*KH_26_OPT4_KTQT_v4[[#This Row],[GB-12]]*EXR</f>
        <v>0</v>
      </c>
      <c r="BP115" s="47">
        <f ca="1">SUM(KH_26_OPT4_KTQT_v4[[#This Row],[DT-EXW-01]:[DT-EXW-12]])</f>
        <v>333900000</v>
      </c>
      <c r="BQ115" s="47">
        <f ca="1">SUMIFS(DB_25[DT-DB25],DB_25[Mã khách],KH_26_OPT4_KTQT_v4[[#This Row],[Mã khách]],DB_25[Mã sản phẩm],KH_26_OPT4_KTQT_v4[[#This Row],[Mã sản phẩm]])</f>
        <v>526750</v>
      </c>
      <c r="BR115" s="47">
        <f ca="1">KH_26_OPT4_KTQT_v4[[#This Row],[DT-EXW-KH26]]-KH_26_OPT4_KTQT_v4[[#This Row],[DT-EXW-DB25]]</f>
        <v>333373250</v>
      </c>
      <c r="BS115" s="21">
        <f ca="1">IFERROR(KH_26_OPT4_KTQT_v4[[#This Row],[DT-EXW-+/-]]/KH_26_OPT4_KTQT_v4[[#This Row],[DT-EXW-DB25]],0)</f>
        <v>632.8870431893688</v>
      </c>
      <c r="BT115" s="139"/>
      <c r="BU115" s="57"/>
      <c r="BV115" s="51"/>
      <c r="BW115" s="47">
        <f>IF(KH_26_OPT4_KTQT_v4[[#This Row],[CPHH-%-SL]]="Dthu",KH_26_OPT4_KTQT_v4[[#This Row],[%HH]]*KH_26_OPT4_KTQT_v4[[#This Row],[DT-EXW-01]],KH_26_OPT4_KTQT_v4[[#This Row],[HH-SL]]*KH_26_OPT4_KTQT_v4[[#This Row],[SL-01]])</f>
        <v>0</v>
      </c>
      <c r="BX115" s="47">
        <f>IF(KH_26_OPT4_KTQT_v4[[#This Row],[CPHH-%-SL]]="Dthu",KH_26_OPT4_KTQT_v4[[#This Row],[%HH]]*KH_26_OPT4_KTQT_v4[[#This Row],[DT-EXW-02]],KH_26_OPT4_KTQT_v4[[#This Row],[HH-SL]]*KH_26_OPT4_KTQT_v4[[#This Row],[SL-02]])</f>
        <v>0</v>
      </c>
      <c r="BY115" s="47">
        <f>IF(KH_26_OPT4_KTQT_v4[[#This Row],[CPHH-%-SL]]="Dthu",KH_26_OPT4_KTQT_v4[[#This Row],[%HH]]*KH_26_OPT4_KTQT_v4[[#This Row],[DT-EXW-03]],KH_26_OPT4_KTQT_v4[[#This Row],[HH-SL]]*KH_26_OPT4_KTQT_v4[[#This Row],[SL-03]])</f>
        <v>0</v>
      </c>
      <c r="BZ115" s="47">
        <f>IF(KH_26_OPT4_KTQT_v4[[#This Row],[CPHH-%-SL]]="Dthu",KH_26_OPT4_KTQT_v4[[#This Row],[%HH]]*KH_26_OPT4_KTQT_v4[[#This Row],[DT-EXW-04]],KH_26_OPT4_KTQT_v4[[#This Row],[HH-SL]]*KH_26_OPT4_KTQT_v4[[#This Row],[SL-04]])</f>
        <v>0</v>
      </c>
      <c r="CA115" s="47">
        <f>IF(KH_26_OPT4_KTQT_v4[[#This Row],[CPHH-%-SL]]="Dthu",KH_26_OPT4_KTQT_v4[[#This Row],[%HH]]*KH_26_OPT4_KTQT_v4[[#This Row],[DT-EXW-05]],KH_26_OPT4_KTQT_v4[[#This Row],[HH-SL]]*KH_26_OPT4_KTQT_v4[[#This Row],[SL-05]])</f>
        <v>0</v>
      </c>
      <c r="CB115" s="47">
        <f>IF(KH_26_OPT4_KTQT_v4[[#This Row],[CPHH-%-SL]]="Dthu",KH_26_OPT4_KTQT_v4[[#This Row],[%HH]]*KH_26_OPT4_KTQT_v4[[#This Row],[DT-EXW-06]],KH_26_OPT4_KTQT_v4[[#This Row],[HH-SL]]*KH_26_OPT4_KTQT_v4[[#This Row],[SL-06]])</f>
        <v>0</v>
      </c>
      <c r="CC115" s="47">
        <f>IF(KH_26_OPT4_KTQT_v4[[#This Row],[CPHH-%-SL]]="Dthu",KH_26_OPT4_KTQT_v4[[#This Row],[%HH]]*KH_26_OPT4_KTQT_v4[[#This Row],[DT-EXW-07]],KH_26_OPT4_KTQT_v4[[#This Row],[HH-SL]]*KH_26_OPT4_KTQT_v4[[#This Row],[SL-07]])</f>
        <v>0</v>
      </c>
      <c r="CD115" s="47">
        <f>IF(KH_26_OPT4_KTQT_v4[[#This Row],[CPHH-%-SL]]="Dthu",KH_26_OPT4_KTQT_v4[[#This Row],[%HH]]*KH_26_OPT4_KTQT_v4[[#This Row],[DT-EXW-08]],KH_26_OPT4_KTQT_v4[[#This Row],[HH-SL]]*KH_26_OPT4_KTQT_v4[[#This Row],[SL-08]])</f>
        <v>0</v>
      </c>
      <c r="CE115" s="47">
        <f>IF(KH_26_OPT4_KTQT_v4[[#This Row],[CPHH-%-SL]]="Dthu",KH_26_OPT4_KTQT_v4[[#This Row],[%HH]]*KH_26_OPT4_KTQT_v4[[#This Row],[DT-EXW-09]],KH_26_OPT4_KTQT_v4[[#This Row],[HH-SL]]*KH_26_OPT4_KTQT_v4[[#This Row],[SL-09]])</f>
        <v>0</v>
      </c>
      <c r="CF115" s="47">
        <f>IF(KH_26_OPT4_KTQT_v4[[#This Row],[CPHH-%-SL]]="Dthu",KH_26_OPT4_KTQT_v4[[#This Row],[%HH]]*KH_26_OPT4_KTQT_v4[[#This Row],[DT-EXW-10]],KH_26_OPT4_KTQT_v4[[#This Row],[HH-SL]]*KH_26_OPT4_KTQT_v4[[#This Row],[SL-10]])</f>
        <v>0</v>
      </c>
      <c r="CG115" s="47">
        <f>IF(KH_26_OPT4_KTQT_v4[[#This Row],[CPHH-%-SL]]="Dthu",KH_26_OPT4_KTQT_v4[[#This Row],[%HH]]*KH_26_OPT4_KTQT_v4[[#This Row],[DT-EXW-11]],KH_26_OPT4_KTQT_v4[[#This Row],[HH-SL]]*KH_26_OPT4_KTQT_v4[[#This Row],[SL-11]])</f>
        <v>0</v>
      </c>
      <c r="CH115" s="47">
        <f>IF(KH_26_OPT4_KTQT_v4[[#This Row],[CPHH-%-SL]]="Dthu",KH_26_OPT4_KTQT_v4[[#This Row],[%HH]]*KH_26_OPT4_KTQT_v4[[#This Row],[DT-EXW-12]],KH_26_OPT4_KTQT_v4[[#This Row],[HH-SL]]*KH_26_OPT4_KTQT_v4[[#This Row],[SL-12]])</f>
        <v>0</v>
      </c>
      <c r="CI115" s="47">
        <f ca="1">SUM(KH_26_OPT4_KTQT_v4[[#This Row],[CPHH-01]:[CPHH-12]])</f>
        <v>0</v>
      </c>
      <c r="CJ115" s="47" cm="1">
        <f t="array" ref="CJ115">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15" s="19">
        <f ca="1">SUM(KH_26_OPT4_KTQT_v4[[#This Row],[ĐGVCNĐ-KXK]:[ĐGVCCT-KXK]])</f>
        <v>0</v>
      </c>
      <c r="CL115" s="47" cm="1">
        <f t="array" ref="CL115">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115" s="47" cm="1">
        <f t="array" ref="CM115">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15" s="47">
        <f ca="1">(KH_26_OPT4_KTQT_v4[[#This Row],[ĐGVC-KNĐ]]+KH_26_OPT4_KTQT_v4[[#This Row],[ĐGVC-KXK]])*KH_26_OPT4_KTQT_v4[[#This Row],[SL-01]]</f>
        <v>0</v>
      </c>
      <c r="CO115" s="47">
        <f ca="1">(KH_26_OPT4_KTQT_v4[[#This Row],[ĐGVC-KNĐ]]+KH_26_OPT4_KTQT_v4[[#This Row],[ĐGVC-KXK]])*KH_26_OPT4_KTQT_v4[[#This Row],[SL-02]]</f>
        <v>0</v>
      </c>
      <c r="CP115" s="47">
        <f ca="1">(KH_26_OPT4_KTQT_v4[[#This Row],[ĐGVC-KNĐ]]+KH_26_OPT4_KTQT_v4[[#This Row],[ĐGVC-KXK]])*KH_26_OPT4_KTQT_v4[[#This Row],[SL-03]]</f>
        <v>0</v>
      </c>
      <c r="CQ115" s="47">
        <f ca="1">(KH_26_OPT4_KTQT_v4[[#This Row],[ĐGVC-KNĐ]]+KH_26_OPT4_KTQT_v4[[#This Row],[ĐGVC-KXK]])*KH_26_OPT4_KTQT_v4[[#This Row],[SL-04]]</f>
        <v>0</v>
      </c>
      <c r="CR115" s="47">
        <f ca="1">(KH_26_OPT4_KTQT_v4[[#This Row],[ĐGVC-KNĐ]]+KH_26_OPT4_KTQT_v4[[#This Row],[ĐGVC-KXK]])*KH_26_OPT4_KTQT_v4[[#This Row],[SL-05]]</f>
        <v>0</v>
      </c>
      <c r="CS115" s="47">
        <f ca="1">(KH_26_OPT4_KTQT_v4[[#This Row],[ĐGVC-KNĐ]]+KH_26_OPT4_KTQT_v4[[#This Row],[ĐGVC-KXK]])*KH_26_OPT4_KTQT_v4[[#This Row],[SL-06]]</f>
        <v>0</v>
      </c>
      <c r="CT115" s="47">
        <f ca="1">(KH_26_OPT4_KTQT_v4[[#This Row],[ĐGVC-KNĐ]]+KH_26_OPT4_KTQT_v4[[#This Row],[ĐGVC-KXK]])*KH_26_OPT4_KTQT_v4[[#This Row],[SL-07]]</f>
        <v>0</v>
      </c>
      <c r="CU115" s="47">
        <f ca="1">(KH_26_OPT4_KTQT_v4[[#This Row],[ĐGVC-KNĐ]]+KH_26_OPT4_KTQT_v4[[#This Row],[ĐGVC-KXK]])*KH_26_OPT4_KTQT_v4[[#This Row],[SL-08]]</f>
        <v>0</v>
      </c>
      <c r="CV115" s="47">
        <f ca="1">(KH_26_OPT4_KTQT_v4[[#This Row],[ĐGVC-KNĐ]]+KH_26_OPT4_KTQT_v4[[#This Row],[ĐGVC-KXK]])*KH_26_OPT4_KTQT_v4[[#This Row],[SL-09]]</f>
        <v>0</v>
      </c>
      <c r="CW115" s="47">
        <f ca="1">(KH_26_OPT4_KTQT_v4[[#This Row],[ĐGVC-KNĐ]]+KH_26_OPT4_KTQT_v4[[#This Row],[ĐGVC-KXK]])*KH_26_OPT4_KTQT_v4[[#This Row],[SL-10]]</f>
        <v>0</v>
      </c>
      <c r="CX115" s="47">
        <f ca="1">(KH_26_OPT4_KTQT_v4[[#This Row],[ĐGVC-KNĐ]]+KH_26_OPT4_KTQT_v4[[#This Row],[ĐGVC-KXK]])*KH_26_OPT4_KTQT_v4[[#This Row],[SL-11]]</f>
        <v>0</v>
      </c>
      <c r="CY115" s="47">
        <f ca="1">(KH_26_OPT4_KTQT_v4[[#This Row],[ĐGVC-KNĐ]]+KH_26_OPT4_KTQT_v4[[#This Row],[ĐGVC-KXK]])*KH_26_OPT4_KTQT_v4[[#This Row],[SL-12]]</f>
        <v>0</v>
      </c>
      <c r="CZ115" s="47">
        <f ca="1">SUM(KH_26_OPT4_KTQT_v4[[#This Row],[CPVC-01]:[CPVC-12]])</f>
        <v>0</v>
      </c>
      <c r="DA115" s="124">
        <f ca="1">KH_26_OPT4_KTQT_v4[[#This Row],[DT-EXW-01]]+KH_26_OPT4_KTQT_v4[[#This Row],[CPVC-01]]+KH_26_OPT4_KTQT_v4[[#This Row],[CPHH-01]]</f>
        <v>55650000</v>
      </c>
      <c r="DB115" s="47">
        <f ca="1">KH_26_OPT4_KTQT_v4[[#This Row],[DT-EXW-02]]+KH_26_OPT4_KTQT_v4[[#This Row],[CPVC-02]]+KH_26_OPT4_KTQT_v4[[#This Row],[CPHH-02]]</f>
        <v>0</v>
      </c>
      <c r="DC115" s="47">
        <f ca="1">KH_26_OPT4_KTQT_v4[[#This Row],[DT-EXW-03]]+KH_26_OPT4_KTQT_v4[[#This Row],[CPVC-03]]+KH_26_OPT4_KTQT_v4[[#This Row],[CPHH-03]]</f>
        <v>55650000</v>
      </c>
      <c r="DD115" s="47">
        <f ca="1">KH_26_OPT4_KTQT_v4[[#This Row],[DT-EXW-04]]+KH_26_OPT4_KTQT_v4[[#This Row],[CPVC-04]]+KH_26_OPT4_KTQT_v4[[#This Row],[CPHH-04]]</f>
        <v>0</v>
      </c>
      <c r="DE115" s="47">
        <f ca="1">KH_26_OPT4_KTQT_v4[[#This Row],[DT-EXW-05]]+KH_26_OPT4_KTQT_v4[[#This Row],[CPVC-05]]+KH_26_OPT4_KTQT_v4[[#This Row],[CPHH-05]]</f>
        <v>55650000</v>
      </c>
      <c r="DF115" s="47">
        <f ca="1">KH_26_OPT4_KTQT_v4[[#This Row],[DT-EXW-06]]+KH_26_OPT4_KTQT_v4[[#This Row],[CPVC-06]]+KH_26_OPT4_KTQT_v4[[#This Row],[CPHH-06]]</f>
        <v>0</v>
      </c>
      <c r="DG115" s="47">
        <f ca="1">KH_26_OPT4_KTQT_v4[[#This Row],[DT-EXW-07]]+KH_26_OPT4_KTQT_v4[[#This Row],[CPVC-07]]+KH_26_OPT4_KTQT_v4[[#This Row],[CPHH-07]]</f>
        <v>55650000</v>
      </c>
      <c r="DH115" s="47">
        <f ca="1">KH_26_OPT4_KTQT_v4[[#This Row],[DT-EXW-08]]+KH_26_OPT4_KTQT_v4[[#This Row],[CPVC-08]]+KH_26_OPT4_KTQT_v4[[#This Row],[CPHH-08]]</f>
        <v>0</v>
      </c>
      <c r="DI115" s="47">
        <f ca="1">KH_26_OPT4_KTQT_v4[[#This Row],[DT-EXW-09]]+KH_26_OPT4_KTQT_v4[[#This Row],[CPVC-09]]+KH_26_OPT4_KTQT_v4[[#This Row],[CPHH-09]]</f>
        <v>55650000</v>
      </c>
      <c r="DJ115" s="47">
        <f ca="1">KH_26_OPT4_KTQT_v4[[#This Row],[DT-EXW-10]]+KH_26_OPT4_KTQT_v4[[#This Row],[CPVC-10]]+KH_26_OPT4_KTQT_v4[[#This Row],[CPHH-10]]</f>
        <v>0</v>
      </c>
      <c r="DK115" s="47">
        <f ca="1">KH_26_OPT4_KTQT_v4[[#This Row],[DT-EXW-11]]+KH_26_OPT4_KTQT_v4[[#This Row],[CPVC-11]]+KH_26_OPT4_KTQT_v4[[#This Row],[CPHH-11]]</f>
        <v>55650000</v>
      </c>
      <c r="DL115" s="47">
        <f ca="1">KH_26_OPT4_KTQT_v4[[#This Row],[DT-EXW-12]]+KH_26_OPT4_KTQT_v4[[#This Row],[CPVC-12]]+KH_26_OPT4_KTQT_v4[[#This Row],[CPHH-12]]</f>
        <v>0</v>
      </c>
      <c r="DM115" s="47">
        <f ca="1">SUM(KH_26_OPT4_KTQT_v4[[#This Row],[DT-01]:[DT-12]])</f>
        <v>333900000</v>
      </c>
      <c r="DN115" s="7"/>
      <c r="DO115" s="7"/>
      <c r="DP115" s="125"/>
      <c r="DQ115" s="136"/>
      <c r="DR115" s="132">
        <f>IFERROR(KH_26_OPT4_KTQT_v4[[#This Row],[DT-EXW-01]]*KH_26_OPT4_KTQT_v4[[#This Row],[%CPDP]],0)</f>
        <v>0</v>
      </c>
      <c r="DS115" s="132">
        <f>IFERROR(KH_26_OPT4_KTQT_v4[[#This Row],[DT-EXW-02]]*KH_26_OPT4_KTQT_v4[[#This Row],[%CPDP]],0)</f>
        <v>0</v>
      </c>
      <c r="DT115" s="132">
        <f>IFERROR(KH_26_OPT4_KTQT_v4[[#This Row],[DT-EXW-03]]*KH_26_OPT4_KTQT_v4[[#This Row],[%CPDP]],0)</f>
        <v>0</v>
      </c>
      <c r="DU115" s="132">
        <f>IFERROR(KH_26_OPT4_KTQT_v4[[#This Row],[DT-EXW-04]]*KH_26_OPT4_KTQT_v4[[#This Row],[%CPDP]],0)</f>
        <v>0</v>
      </c>
      <c r="DV115" s="132">
        <f>IFERROR(KH_26_OPT4_KTQT_v4[[#This Row],[DT-EXW-05]]*KH_26_OPT4_KTQT_v4[[#This Row],[%CPDP]],0)</f>
        <v>0</v>
      </c>
      <c r="DW115" s="132">
        <f>IFERROR(KH_26_OPT4_KTQT_v4[[#This Row],[DT-EXW-06]]*KH_26_OPT4_KTQT_v4[[#This Row],[%CPDP]],0)</f>
        <v>0</v>
      </c>
      <c r="DX115" s="132">
        <f>IFERROR(KH_26_OPT4_KTQT_v4[[#This Row],[DT-EXW-07]]*KH_26_OPT4_KTQT_v4[[#This Row],[%CPDP]],0)</f>
        <v>0</v>
      </c>
      <c r="DY115" s="132">
        <f>IFERROR(KH_26_OPT4_KTQT_v4[[#This Row],[DT-EXW-08]]*KH_26_OPT4_KTQT_v4[[#This Row],[%CPDP]],0)</f>
        <v>0</v>
      </c>
      <c r="DZ115" s="132">
        <f>IFERROR(KH_26_OPT4_KTQT_v4[[#This Row],[DT-EXW-09]]*KH_26_OPT4_KTQT_v4[[#This Row],[%CPDP]],0)</f>
        <v>0</v>
      </c>
      <c r="EA115" s="132">
        <f>IFERROR(KH_26_OPT4_KTQT_v4[[#This Row],[DT-EXW-10]]*KH_26_OPT4_KTQT_v4[[#This Row],[%CPDP]],0)</f>
        <v>0</v>
      </c>
      <c r="EB115" s="132">
        <f>IFERROR(KH_26_OPT4_KTQT_v4[[#This Row],[DT-EXW-11]]*KH_26_OPT4_KTQT_v4[[#This Row],[%CPDP]],0)</f>
        <v>0</v>
      </c>
      <c r="EC115" s="132">
        <f>IFERROR(KH_26_OPT4_KTQT_v4[[#This Row],[DT-EXW-12]]*KH_26_OPT4_KTQT_v4[[#This Row],[%CPDP]],0)</f>
        <v>0</v>
      </c>
      <c r="ED115" s="131">
        <f ca="1">SUM(KH_26_OPT4_KTQT_v4[[#This Row],[CPDP-01]:[CPDP-12]])</f>
        <v>0</v>
      </c>
    </row>
    <row r="116" spans="1:134" ht="14.65" hidden="1" customHeight="1" x14ac:dyDescent="0.35">
      <c r="A116" s="18">
        <v>111</v>
      </c>
      <c r="B116" s="71" t="s">
        <v>115</v>
      </c>
      <c r="C116" s="18" t="str">
        <f>IFERROR(_xlfn.XLOOKUP(KH_26_OPT4_KTQT_v4[[#This Row],[Salesman]],MD_Salesman[Salesman],MD_Salesman[SalesManager]),"")</f>
        <v>Quốc Anh</v>
      </c>
      <c r="D116" s="72" t="str">
        <f>IFERROR(INDEX(MD_Customer[Mã khách],MATCH(KH_26_OPT4_KTQT_v4[[#This Row],[Tên khách]],MD_Customer[Tên khách-rút gọn],0)),"")</f>
        <v>105342</v>
      </c>
      <c r="E116" s="7" t="str">
        <f>IFERROR(INDEX(MD_Customer[Parent Account],MATCH(KH_26_OPT4_KTQT_v4[[#This Row],[Tên khách]],MD_Customer[Tên khách-rút gọn],0)),"")</f>
        <v>VIỆT NHẬT</v>
      </c>
      <c r="F116" s="35" t="s">
        <v>155</v>
      </c>
      <c r="G116" s="7" t="str">
        <f>IFERROR(INDEX(MD_Customer[Phân loại],MATCH(KH_26_OPT4_KTQT_v4[[#This Row],[Tên khách]],MD_Customer[Tên khách-rút gọn],0)),"")</f>
        <v>Mới</v>
      </c>
      <c r="H116" s="7" t="str">
        <f>IFERROR(INDEX(MD_Customer[Kênh bán hàng],MATCH(KH_26_OPT4_KTQT_v4[[#This Row],[Tên khách]],MD_Customer[Tên khách-rút gọn],0)),"")</f>
        <v>Nội địa</v>
      </c>
      <c r="I116" s="35" t="s">
        <v>258</v>
      </c>
      <c r="J116" s="7" t="str">
        <f>IFERROR(INDEX(MD_Destination[Nước],MATCH(KH_26_OPT4_KTQT_v4[[#This Row],[Địa điểm đến]],MD_Destination[Địa điểm đến],0)),"")</f>
        <v>Việt Nam</v>
      </c>
      <c r="K116" s="7" t="str">
        <f>IFERROR(INDEX(MD_Destination[Khu vực],MATCH(KH_26_OPT4_KTQT_v4[[#This Row],[Địa điểm đến]],MD_Destination[Địa điểm đến],0)),"")</f>
        <v>Châu Á</v>
      </c>
      <c r="L116" s="35" t="s">
        <v>260</v>
      </c>
      <c r="M116" s="7" t="str">
        <f>IFERROR(INDEX(MD_SKU[Mã SKU],MATCH(KH_26_OPT4_KTQT_v4[[#This Row],[Tên sản phẩm]],MD_SKU[Tên SKU-rút gọn],0)),"")</f>
        <v>110000409</v>
      </c>
      <c r="N116" s="35" t="s">
        <v>473</v>
      </c>
      <c r="O116" s="7" t="str">
        <f>IFERROR(INDEX(MD_SKU[Ngành hàng],MATCH(KH_26_OPT4_KTQT_v4[[#This Row],[Tên sản phẩm]],MD_SKU[Tên SKU-rút gọn],0)),"")</f>
        <v>rHDPE ép</v>
      </c>
      <c r="P116" s="7" t="str">
        <f>IFERROR(INDEX(MD_SKU[Nhóm ngành],MATCH(KH_26_OPT4_KTQT_v4[[#This Row],[Tên sản phẩm]],MD_SKU[Tên SKU-rút gọn],0)),"")</f>
        <v>Vảy HD ép</v>
      </c>
      <c r="Q116" s="7" t="str">
        <f>IFERROR(
   IF(INDEX(MD_SKU[IV/IM],MATCH(KH_26_OPT4_KTQT_v4[[#This Row],[Tên sản phẩm]],MD_SKU[Tên SKU-rút gọn],0))=0,
      "",
      INDEX(MD_SKU[IV/IM],MATCH(KH_26_OPT4_KTQT_v4[[#This Row],[Tên sản phẩm]],MD_SKU[Tên SKU-rút gọn],0))
   ),
"")</f>
        <v/>
      </c>
      <c r="R116" s="44">
        <f>IFERROR(INDEX(MD_SKU[Application],MATCH(KH_26_OPT4_KTQT_v4[[#This Row],[Tên sản phẩm]],MD_SKU[Tên SKU-rút gọn],0)),"")</f>
        <v>0</v>
      </c>
      <c r="S116" s="7" t="str">
        <f>IFERROR(INDEX(MD_SKU[Phân loại],MATCH(KH_26_OPT4_KTQT_v4[[#This Row],[Tên sản phẩm]],MD_SKU[Tên SKU-rút gọn],0)),"")</f>
        <v>Cũ</v>
      </c>
      <c r="T116" s="7" t="s">
        <v>155</v>
      </c>
      <c r="U116" s="7" t="s">
        <v>1508</v>
      </c>
      <c r="V116" s="70">
        <v>0.8</v>
      </c>
      <c r="W116" s="33"/>
      <c r="X116" s="33"/>
      <c r="Y116" s="33"/>
      <c r="Z116" s="33"/>
      <c r="AA116" s="33"/>
      <c r="AB116" s="33"/>
      <c r="AC116" s="33"/>
      <c r="AD116" s="33"/>
      <c r="AE116" s="33"/>
      <c r="AF116" s="33"/>
      <c r="AG116" s="33"/>
      <c r="AH116" s="33"/>
      <c r="AI116" s="47">
        <f ca="1">SUM(KH_26_OPT4_KTQT_v4[[#This Row],[SL-01]:[SL-12]])</f>
        <v>0</v>
      </c>
      <c r="AJ116" s="47">
        <f ca="1">SUMIFS(DB_25[SL-DB25],DB_25[Mã khách],KH_26_OPT4_KTQT_v4[[#This Row],[Mã khách]],DB_25[Mã sản phẩm],KH_26_OPT4_KTQT_v4[[#This Row],[Mã sản phẩm]])</f>
        <v>0.75</v>
      </c>
      <c r="AK116" s="20">
        <f ca="1">KH_26_OPT4_KTQT_v4[[#This Row],[SL-KH26]]-KH_26_OPT4_KTQT_v4[[#This Row],[SL-DB25]]</f>
        <v>-0.75</v>
      </c>
      <c r="AL116" s="21">
        <f ca="1">IFERROR(KH_26_OPT4_KTQT_v4[[#This Row],[SL-+/-]]/KH_26_OPT4_KTQT_v4[[#This Row],[SL-DB25]],0)</f>
        <v>-1</v>
      </c>
      <c r="AM116" s="51">
        <v>560</v>
      </c>
      <c r="AN116" s="51">
        <v>560</v>
      </c>
      <c r="AO116" s="51">
        <v>560</v>
      </c>
      <c r="AP116" s="51">
        <v>560</v>
      </c>
      <c r="AQ116" s="51">
        <v>560</v>
      </c>
      <c r="AR116" s="51">
        <v>560</v>
      </c>
      <c r="AS116" s="51">
        <v>560</v>
      </c>
      <c r="AT116" s="51">
        <v>560</v>
      </c>
      <c r="AU116" s="51">
        <v>560</v>
      </c>
      <c r="AV116" s="51">
        <v>560</v>
      </c>
      <c r="AW116" s="51">
        <v>560</v>
      </c>
      <c r="AX116" s="51">
        <v>560</v>
      </c>
      <c r="AY116" s="23">
        <v>560</v>
      </c>
      <c r="AZ116" s="7"/>
      <c r="BA116" s="24">
        <f>KH_26_OPT4_KTQT_v4[[#This Row],[GB-DB25]]-KH_26_OPT4_KTQT_v4[[#This Row],[GB-KH25]]</f>
        <v>560</v>
      </c>
      <c r="BB116" s="21">
        <f>IFERROR(KH_26_OPT4_KTQT_v4[[#This Row],[GB-+/-]]/KH_26_OPT4_KTQT_v4[[#This Row],[GB-KH25]],0)</f>
        <v>0</v>
      </c>
      <c r="BC116" s="21"/>
      <c r="BD116" s="47">
        <f>KH_26_OPT4_KTQT_v4[[#This Row],[SL-01]]*KH_26_OPT4_KTQT_v4[[#This Row],[GB-01]]*EXR</f>
        <v>0</v>
      </c>
      <c r="BE116" s="47">
        <f>KH_26_OPT4_KTQT_v4[[#This Row],[SL-02]]*KH_26_OPT4_KTQT_v4[[#This Row],[GB-02]]*EXR</f>
        <v>0</v>
      </c>
      <c r="BF116" s="47">
        <f>KH_26_OPT4_KTQT_v4[[#This Row],[SL-03]]*KH_26_OPT4_KTQT_v4[[#This Row],[GB-03]]*EXR</f>
        <v>0</v>
      </c>
      <c r="BG116" s="47">
        <f>KH_26_OPT4_KTQT_v4[[#This Row],[SL-04]]*KH_26_OPT4_KTQT_v4[[#This Row],[GB-04]]*EXR</f>
        <v>0</v>
      </c>
      <c r="BH116" s="47">
        <f>KH_26_OPT4_KTQT_v4[[#This Row],[SL-05]]*KH_26_OPT4_KTQT_v4[[#This Row],[GB-05]]*EXR</f>
        <v>0</v>
      </c>
      <c r="BI116" s="47">
        <f>KH_26_OPT4_KTQT_v4[[#This Row],[SL-06]]*KH_26_OPT4_KTQT_v4[[#This Row],[GB-06]]*EXR</f>
        <v>0</v>
      </c>
      <c r="BJ116" s="47">
        <f>KH_26_OPT4_KTQT_v4[[#This Row],[SL-07]]*KH_26_OPT4_KTQT_v4[[#This Row],[GB-07]]*EXR</f>
        <v>0</v>
      </c>
      <c r="BK116" s="47">
        <f>KH_26_OPT4_KTQT_v4[[#This Row],[SL-08]]*KH_26_OPT4_KTQT_v4[[#This Row],[GB-08]]*EXR</f>
        <v>0</v>
      </c>
      <c r="BL116" s="47">
        <f>KH_26_OPT4_KTQT_v4[[#This Row],[SL-09]]*KH_26_OPT4_KTQT_v4[[#This Row],[GB-09]]*EXR</f>
        <v>0</v>
      </c>
      <c r="BM116" s="47">
        <f>KH_26_OPT4_KTQT_v4[[#This Row],[SL-10]]*KH_26_OPT4_KTQT_v4[[#This Row],[GB-10]]*EXR</f>
        <v>0</v>
      </c>
      <c r="BN116" s="47">
        <f>KH_26_OPT4_KTQT_v4[[#This Row],[SL-11]]*KH_26_OPT4_KTQT_v4[[#This Row],[GB-11]]*EXR</f>
        <v>0</v>
      </c>
      <c r="BO116" s="47">
        <f>KH_26_OPT4_KTQT_v4[[#This Row],[SL-12]]*KH_26_OPT4_KTQT_v4[[#This Row],[GB-12]]*EXR</f>
        <v>0</v>
      </c>
      <c r="BP116" s="47">
        <f ca="1">SUM(KH_26_OPT4_KTQT_v4[[#This Row],[DT-EXW-01]:[DT-EXW-12]])</f>
        <v>0</v>
      </c>
      <c r="BQ116" s="47">
        <f ca="1">SUMIFS(DB_25[DT-DB25],DB_25[Mã khách],KH_26_OPT4_KTQT_v4[[#This Row],[Mã khách]],DB_25[Mã sản phẩm],KH_26_OPT4_KTQT_v4[[#This Row],[Mã sản phẩm]])</f>
        <v>11637057.781321185</v>
      </c>
      <c r="BR116" s="47">
        <f ca="1">KH_26_OPT4_KTQT_v4[[#This Row],[DT-EXW-KH26]]-KH_26_OPT4_KTQT_v4[[#This Row],[DT-EXW-DB25]]</f>
        <v>-11637057.781321185</v>
      </c>
      <c r="BS116" s="21">
        <f ca="1">IFERROR(KH_26_OPT4_KTQT_v4[[#This Row],[DT-EXW-+/-]]/KH_26_OPT4_KTQT_v4[[#This Row],[DT-EXW-DB25]],0)</f>
        <v>-1</v>
      </c>
      <c r="BT116" s="139"/>
      <c r="BU116" s="57"/>
      <c r="BV116" s="51"/>
      <c r="BW116" s="47">
        <f>IF(KH_26_OPT4_KTQT_v4[[#This Row],[CPHH-%-SL]]="Dthu",KH_26_OPT4_KTQT_v4[[#This Row],[%HH]]*KH_26_OPT4_KTQT_v4[[#This Row],[DT-EXW-01]],KH_26_OPT4_KTQT_v4[[#This Row],[HH-SL]]*KH_26_OPT4_KTQT_v4[[#This Row],[SL-01]])</f>
        <v>0</v>
      </c>
      <c r="BX116" s="47">
        <f>IF(KH_26_OPT4_KTQT_v4[[#This Row],[CPHH-%-SL]]="Dthu",KH_26_OPT4_KTQT_v4[[#This Row],[%HH]]*KH_26_OPT4_KTQT_v4[[#This Row],[DT-EXW-02]],KH_26_OPT4_KTQT_v4[[#This Row],[HH-SL]]*KH_26_OPT4_KTQT_v4[[#This Row],[SL-02]])</f>
        <v>0</v>
      </c>
      <c r="BY116" s="47">
        <f>IF(KH_26_OPT4_KTQT_v4[[#This Row],[CPHH-%-SL]]="Dthu",KH_26_OPT4_KTQT_v4[[#This Row],[%HH]]*KH_26_OPT4_KTQT_v4[[#This Row],[DT-EXW-03]],KH_26_OPT4_KTQT_v4[[#This Row],[HH-SL]]*KH_26_OPT4_KTQT_v4[[#This Row],[SL-03]])</f>
        <v>0</v>
      </c>
      <c r="BZ116" s="47">
        <f>IF(KH_26_OPT4_KTQT_v4[[#This Row],[CPHH-%-SL]]="Dthu",KH_26_OPT4_KTQT_v4[[#This Row],[%HH]]*KH_26_OPT4_KTQT_v4[[#This Row],[DT-EXW-04]],KH_26_OPT4_KTQT_v4[[#This Row],[HH-SL]]*KH_26_OPT4_KTQT_v4[[#This Row],[SL-04]])</f>
        <v>0</v>
      </c>
      <c r="CA116" s="47">
        <f>IF(KH_26_OPT4_KTQT_v4[[#This Row],[CPHH-%-SL]]="Dthu",KH_26_OPT4_KTQT_v4[[#This Row],[%HH]]*KH_26_OPT4_KTQT_v4[[#This Row],[DT-EXW-05]],KH_26_OPT4_KTQT_v4[[#This Row],[HH-SL]]*KH_26_OPT4_KTQT_v4[[#This Row],[SL-05]])</f>
        <v>0</v>
      </c>
      <c r="CB116" s="47">
        <f>IF(KH_26_OPT4_KTQT_v4[[#This Row],[CPHH-%-SL]]="Dthu",KH_26_OPT4_KTQT_v4[[#This Row],[%HH]]*KH_26_OPT4_KTQT_v4[[#This Row],[DT-EXW-06]],KH_26_OPT4_KTQT_v4[[#This Row],[HH-SL]]*KH_26_OPT4_KTQT_v4[[#This Row],[SL-06]])</f>
        <v>0</v>
      </c>
      <c r="CC116" s="47">
        <f>IF(KH_26_OPT4_KTQT_v4[[#This Row],[CPHH-%-SL]]="Dthu",KH_26_OPT4_KTQT_v4[[#This Row],[%HH]]*KH_26_OPT4_KTQT_v4[[#This Row],[DT-EXW-07]],KH_26_OPT4_KTQT_v4[[#This Row],[HH-SL]]*KH_26_OPT4_KTQT_v4[[#This Row],[SL-07]])</f>
        <v>0</v>
      </c>
      <c r="CD116" s="47">
        <f>IF(KH_26_OPT4_KTQT_v4[[#This Row],[CPHH-%-SL]]="Dthu",KH_26_OPT4_KTQT_v4[[#This Row],[%HH]]*KH_26_OPT4_KTQT_v4[[#This Row],[DT-EXW-08]],KH_26_OPT4_KTQT_v4[[#This Row],[HH-SL]]*KH_26_OPT4_KTQT_v4[[#This Row],[SL-08]])</f>
        <v>0</v>
      </c>
      <c r="CE116" s="47">
        <f>IF(KH_26_OPT4_KTQT_v4[[#This Row],[CPHH-%-SL]]="Dthu",KH_26_OPT4_KTQT_v4[[#This Row],[%HH]]*KH_26_OPT4_KTQT_v4[[#This Row],[DT-EXW-09]],KH_26_OPT4_KTQT_v4[[#This Row],[HH-SL]]*KH_26_OPT4_KTQT_v4[[#This Row],[SL-09]])</f>
        <v>0</v>
      </c>
      <c r="CF116" s="47">
        <f>IF(KH_26_OPT4_KTQT_v4[[#This Row],[CPHH-%-SL]]="Dthu",KH_26_OPT4_KTQT_v4[[#This Row],[%HH]]*KH_26_OPT4_KTQT_v4[[#This Row],[DT-EXW-10]],KH_26_OPT4_KTQT_v4[[#This Row],[HH-SL]]*KH_26_OPT4_KTQT_v4[[#This Row],[SL-10]])</f>
        <v>0</v>
      </c>
      <c r="CG116" s="47">
        <f>IF(KH_26_OPT4_KTQT_v4[[#This Row],[CPHH-%-SL]]="Dthu",KH_26_OPT4_KTQT_v4[[#This Row],[%HH]]*KH_26_OPT4_KTQT_v4[[#This Row],[DT-EXW-11]],KH_26_OPT4_KTQT_v4[[#This Row],[HH-SL]]*KH_26_OPT4_KTQT_v4[[#This Row],[SL-11]])</f>
        <v>0</v>
      </c>
      <c r="CH116" s="47">
        <f>IF(KH_26_OPT4_KTQT_v4[[#This Row],[CPHH-%-SL]]="Dthu",KH_26_OPT4_KTQT_v4[[#This Row],[%HH]]*KH_26_OPT4_KTQT_v4[[#This Row],[DT-EXW-12]],KH_26_OPT4_KTQT_v4[[#This Row],[HH-SL]]*KH_26_OPT4_KTQT_v4[[#This Row],[SL-12]])</f>
        <v>0</v>
      </c>
      <c r="CI116" s="47">
        <f ca="1">SUM(KH_26_OPT4_KTQT_v4[[#This Row],[CPHH-01]:[CPHH-12]])</f>
        <v>0</v>
      </c>
      <c r="CJ116" s="47" cm="1">
        <f t="array" ref="CJ116">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16" s="19">
        <f ca="1">SUM(KH_26_OPT4_KTQT_v4[[#This Row],[ĐGVCNĐ-KXK]:[ĐGVCCT-KXK]])</f>
        <v>0</v>
      </c>
      <c r="CL116" s="47" cm="1">
        <f t="array" ref="CL116">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116" s="47" cm="1">
        <f t="array" ref="CM116">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16" s="47">
        <f ca="1">(KH_26_OPT4_KTQT_v4[[#This Row],[ĐGVC-KNĐ]]+KH_26_OPT4_KTQT_v4[[#This Row],[ĐGVC-KXK]])*KH_26_OPT4_KTQT_v4[[#This Row],[SL-01]]</f>
        <v>0</v>
      </c>
      <c r="CO116" s="47">
        <f ca="1">(KH_26_OPT4_KTQT_v4[[#This Row],[ĐGVC-KNĐ]]+KH_26_OPT4_KTQT_v4[[#This Row],[ĐGVC-KXK]])*KH_26_OPT4_KTQT_v4[[#This Row],[SL-02]]</f>
        <v>0</v>
      </c>
      <c r="CP116" s="47">
        <f ca="1">(KH_26_OPT4_KTQT_v4[[#This Row],[ĐGVC-KNĐ]]+KH_26_OPT4_KTQT_v4[[#This Row],[ĐGVC-KXK]])*KH_26_OPT4_KTQT_v4[[#This Row],[SL-03]]</f>
        <v>0</v>
      </c>
      <c r="CQ116" s="47">
        <f ca="1">(KH_26_OPT4_KTQT_v4[[#This Row],[ĐGVC-KNĐ]]+KH_26_OPT4_KTQT_v4[[#This Row],[ĐGVC-KXK]])*KH_26_OPT4_KTQT_v4[[#This Row],[SL-04]]</f>
        <v>0</v>
      </c>
      <c r="CR116" s="47">
        <f ca="1">(KH_26_OPT4_KTQT_v4[[#This Row],[ĐGVC-KNĐ]]+KH_26_OPT4_KTQT_v4[[#This Row],[ĐGVC-KXK]])*KH_26_OPT4_KTQT_v4[[#This Row],[SL-05]]</f>
        <v>0</v>
      </c>
      <c r="CS116" s="47">
        <f ca="1">(KH_26_OPT4_KTQT_v4[[#This Row],[ĐGVC-KNĐ]]+KH_26_OPT4_KTQT_v4[[#This Row],[ĐGVC-KXK]])*KH_26_OPT4_KTQT_v4[[#This Row],[SL-06]]</f>
        <v>0</v>
      </c>
      <c r="CT116" s="47">
        <f ca="1">(KH_26_OPT4_KTQT_v4[[#This Row],[ĐGVC-KNĐ]]+KH_26_OPT4_KTQT_v4[[#This Row],[ĐGVC-KXK]])*KH_26_OPT4_KTQT_v4[[#This Row],[SL-07]]</f>
        <v>0</v>
      </c>
      <c r="CU116" s="47">
        <f ca="1">(KH_26_OPT4_KTQT_v4[[#This Row],[ĐGVC-KNĐ]]+KH_26_OPT4_KTQT_v4[[#This Row],[ĐGVC-KXK]])*KH_26_OPT4_KTQT_v4[[#This Row],[SL-08]]</f>
        <v>0</v>
      </c>
      <c r="CV116" s="47">
        <f ca="1">(KH_26_OPT4_KTQT_v4[[#This Row],[ĐGVC-KNĐ]]+KH_26_OPT4_KTQT_v4[[#This Row],[ĐGVC-KXK]])*KH_26_OPT4_KTQT_v4[[#This Row],[SL-09]]</f>
        <v>0</v>
      </c>
      <c r="CW116" s="47">
        <f ca="1">(KH_26_OPT4_KTQT_v4[[#This Row],[ĐGVC-KNĐ]]+KH_26_OPT4_KTQT_v4[[#This Row],[ĐGVC-KXK]])*KH_26_OPT4_KTQT_v4[[#This Row],[SL-10]]</f>
        <v>0</v>
      </c>
      <c r="CX116" s="47">
        <f ca="1">(KH_26_OPT4_KTQT_v4[[#This Row],[ĐGVC-KNĐ]]+KH_26_OPT4_KTQT_v4[[#This Row],[ĐGVC-KXK]])*KH_26_OPT4_KTQT_v4[[#This Row],[SL-11]]</f>
        <v>0</v>
      </c>
      <c r="CY116" s="47">
        <f ca="1">(KH_26_OPT4_KTQT_v4[[#This Row],[ĐGVC-KNĐ]]+KH_26_OPT4_KTQT_v4[[#This Row],[ĐGVC-KXK]])*KH_26_OPT4_KTQT_v4[[#This Row],[SL-12]]</f>
        <v>0</v>
      </c>
      <c r="CZ116" s="47">
        <f ca="1">SUM(KH_26_OPT4_KTQT_v4[[#This Row],[CPVC-01]:[CPVC-12]])</f>
        <v>0</v>
      </c>
      <c r="DA116" s="124">
        <f ca="1">KH_26_OPT4_KTQT_v4[[#This Row],[DT-EXW-01]]+KH_26_OPT4_KTQT_v4[[#This Row],[CPVC-01]]+KH_26_OPT4_KTQT_v4[[#This Row],[CPHH-01]]</f>
        <v>0</v>
      </c>
      <c r="DB116" s="47">
        <f ca="1">KH_26_OPT4_KTQT_v4[[#This Row],[DT-EXW-02]]+KH_26_OPT4_KTQT_v4[[#This Row],[CPVC-02]]+KH_26_OPT4_KTQT_v4[[#This Row],[CPHH-02]]</f>
        <v>0</v>
      </c>
      <c r="DC116" s="47">
        <f ca="1">KH_26_OPT4_KTQT_v4[[#This Row],[DT-EXW-03]]+KH_26_OPT4_KTQT_v4[[#This Row],[CPVC-03]]+KH_26_OPT4_KTQT_v4[[#This Row],[CPHH-03]]</f>
        <v>0</v>
      </c>
      <c r="DD116" s="47">
        <f ca="1">KH_26_OPT4_KTQT_v4[[#This Row],[DT-EXW-04]]+KH_26_OPT4_KTQT_v4[[#This Row],[CPVC-04]]+KH_26_OPT4_KTQT_v4[[#This Row],[CPHH-04]]</f>
        <v>0</v>
      </c>
      <c r="DE116" s="47">
        <f ca="1">KH_26_OPT4_KTQT_v4[[#This Row],[DT-EXW-05]]+KH_26_OPT4_KTQT_v4[[#This Row],[CPVC-05]]+KH_26_OPT4_KTQT_v4[[#This Row],[CPHH-05]]</f>
        <v>0</v>
      </c>
      <c r="DF116" s="47">
        <f ca="1">KH_26_OPT4_KTQT_v4[[#This Row],[DT-EXW-06]]+KH_26_OPT4_KTQT_v4[[#This Row],[CPVC-06]]+KH_26_OPT4_KTQT_v4[[#This Row],[CPHH-06]]</f>
        <v>0</v>
      </c>
      <c r="DG116" s="47">
        <f ca="1">KH_26_OPT4_KTQT_v4[[#This Row],[DT-EXW-07]]+KH_26_OPT4_KTQT_v4[[#This Row],[CPVC-07]]+KH_26_OPT4_KTQT_v4[[#This Row],[CPHH-07]]</f>
        <v>0</v>
      </c>
      <c r="DH116" s="47">
        <f ca="1">KH_26_OPT4_KTQT_v4[[#This Row],[DT-EXW-08]]+KH_26_OPT4_KTQT_v4[[#This Row],[CPVC-08]]+KH_26_OPT4_KTQT_v4[[#This Row],[CPHH-08]]</f>
        <v>0</v>
      </c>
      <c r="DI116" s="47">
        <f ca="1">KH_26_OPT4_KTQT_v4[[#This Row],[DT-EXW-09]]+KH_26_OPT4_KTQT_v4[[#This Row],[CPVC-09]]+KH_26_OPT4_KTQT_v4[[#This Row],[CPHH-09]]</f>
        <v>0</v>
      </c>
      <c r="DJ116" s="47">
        <f ca="1">KH_26_OPT4_KTQT_v4[[#This Row],[DT-EXW-10]]+KH_26_OPT4_KTQT_v4[[#This Row],[CPVC-10]]+KH_26_OPT4_KTQT_v4[[#This Row],[CPHH-10]]</f>
        <v>0</v>
      </c>
      <c r="DK116" s="47">
        <f ca="1">KH_26_OPT4_KTQT_v4[[#This Row],[DT-EXW-11]]+KH_26_OPT4_KTQT_v4[[#This Row],[CPVC-11]]+KH_26_OPT4_KTQT_v4[[#This Row],[CPHH-11]]</f>
        <v>0</v>
      </c>
      <c r="DL116" s="47">
        <f ca="1">KH_26_OPT4_KTQT_v4[[#This Row],[DT-EXW-12]]+KH_26_OPT4_KTQT_v4[[#This Row],[CPVC-12]]+KH_26_OPT4_KTQT_v4[[#This Row],[CPHH-12]]</f>
        <v>0</v>
      </c>
      <c r="DM116" s="47">
        <f ca="1">SUM(KH_26_OPT4_KTQT_v4[[#This Row],[DT-01]:[DT-12]])</f>
        <v>0</v>
      </c>
      <c r="DN116" s="7"/>
      <c r="DO116" s="7"/>
      <c r="DP116" s="125"/>
      <c r="DQ116" s="136"/>
      <c r="DR116" s="132">
        <f>IFERROR(KH_26_OPT4_KTQT_v4[[#This Row],[DT-EXW-01]]*KH_26_OPT4_KTQT_v4[[#This Row],[%CPDP]],0)</f>
        <v>0</v>
      </c>
      <c r="DS116" s="132">
        <f>IFERROR(KH_26_OPT4_KTQT_v4[[#This Row],[DT-EXW-02]]*KH_26_OPT4_KTQT_v4[[#This Row],[%CPDP]],0)</f>
        <v>0</v>
      </c>
      <c r="DT116" s="132">
        <f>IFERROR(KH_26_OPT4_KTQT_v4[[#This Row],[DT-EXW-03]]*KH_26_OPT4_KTQT_v4[[#This Row],[%CPDP]],0)</f>
        <v>0</v>
      </c>
      <c r="DU116" s="132">
        <f>IFERROR(KH_26_OPT4_KTQT_v4[[#This Row],[DT-EXW-04]]*KH_26_OPT4_KTQT_v4[[#This Row],[%CPDP]],0)</f>
        <v>0</v>
      </c>
      <c r="DV116" s="132">
        <f>IFERROR(KH_26_OPT4_KTQT_v4[[#This Row],[DT-EXW-05]]*KH_26_OPT4_KTQT_v4[[#This Row],[%CPDP]],0)</f>
        <v>0</v>
      </c>
      <c r="DW116" s="132">
        <f>IFERROR(KH_26_OPT4_KTQT_v4[[#This Row],[DT-EXW-06]]*KH_26_OPT4_KTQT_v4[[#This Row],[%CPDP]],0)</f>
        <v>0</v>
      </c>
      <c r="DX116" s="132">
        <f>IFERROR(KH_26_OPT4_KTQT_v4[[#This Row],[DT-EXW-07]]*KH_26_OPT4_KTQT_v4[[#This Row],[%CPDP]],0)</f>
        <v>0</v>
      </c>
      <c r="DY116" s="132">
        <f>IFERROR(KH_26_OPT4_KTQT_v4[[#This Row],[DT-EXW-08]]*KH_26_OPT4_KTQT_v4[[#This Row],[%CPDP]],0)</f>
        <v>0</v>
      </c>
      <c r="DZ116" s="132">
        <f>IFERROR(KH_26_OPT4_KTQT_v4[[#This Row],[DT-EXW-09]]*KH_26_OPT4_KTQT_v4[[#This Row],[%CPDP]],0)</f>
        <v>0</v>
      </c>
      <c r="EA116" s="132">
        <f>IFERROR(KH_26_OPT4_KTQT_v4[[#This Row],[DT-EXW-10]]*KH_26_OPT4_KTQT_v4[[#This Row],[%CPDP]],0)</f>
        <v>0</v>
      </c>
      <c r="EB116" s="132">
        <f>IFERROR(KH_26_OPT4_KTQT_v4[[#This Row],[DT-EXW-11]]*KH_26_OPT4_KTQT_v4[[#This Row],[%CPDP]],0)</f>
        <v>0</v>
      </c>
      <c r="EC116" s="132">
        <f>IFERROR(KH_26_OPT4_KTQT_v4[[#This Row],[DT-EXW-12]]*KH_26_OPT4_KTQT_v4[[#This Row],[%CPDP]],0)</f>
        <v>0</v>
      </c>
      <c r="ED116" s="131">
        <f ca="1">SUM(KH_26_OPT4_KTQT_v4[[#This Row],[CPDP-01]:[CPDP-12]])</f>
        <v>0</v>
      </c>
    </row>
    <row r="117" spans="1:134" ht="14.65" hidden="1" customHeight="1" x14ac:dyDescent="0.35">
      <c r="A117" s="18">
        <v>112</v>
      </c>
      <c r="B117" s="71" t="s">
        <v>115</v>
      </c>
      <c r="C117" s="18" t="str">
        <f>IFERROR(_xlfn.XLOOKUP(KH_26_OPT4_KTQT_v4[[#This Row],[Salesman]],MD_Salesman[Salesman],MD_Salesman[SalesManager]),"")</f>
        <v>Quốc Anh</v>
      </c>
      <c r="D117" s="72" t="str">
        <f>IFERROR(INDEX(MD_Customer[Mã khách],MATCH(KH_26_OPT4_KTQT_v4[[#This Row],[Tên khách]],MD_Customer[Tên khách-rút gọn],0)),"")</f>
        <v>105342</v>
      </c>
      <c r="E117" s="7" t="str">
        <f>IFERROR(INDEX(MD_Customer[Parent Account],MATCH(KH_26_OPT4_KTQT_v4[[#This Row],[Tên khách]],MD_Customer[Tên khách-rút gọn],0)),"")</f>
        <v>VIỆT NHẬT</v>
      </c>
      <c r="F117" s="35" t="s">
        <v>155</v>
      </c>
      <c r="G117" s="7" t="str">
        <f>IFERROR(INDEX(MD_Customer[Phân loại],MATCH(KH_26_OPT4_KTQT_v4[[#This Row],[Tên khách]],MD_Customer[Tên khách-rút gọn],0)),"")</f>
        <v>Mới</v>
      </c>
      <c r="H117" s="7" t="str">
        <f>IFERROR(INDEX(MD_Customer[Kênh bán hàng],MATCH(KH_26_OPT4_KTQT_v4[[#This Row],[Tên khách]],MD_Customer[Tên khách-rút gọn],0)),"")</f>
        <v>Nội địa</v>
      </c>
      <c r="I117" s="35" t="s">
        <v>258</v>
      </c>
      <c r="J117" s="7" t="str">
        <f>IFERROR(INDEX(MD_Destination[Nước],MATCH(KH_26_OPT4_KTQT_v4[[#This Row],[Địa điểm đến]],MD_Destination[Địa điểm đến],0)),"")</f>
        <v>Việt Nam</v>
      </c>
      <c r="K117" s="7" t="str">
        <f>IFERROR(INDEX(MD_Destination[Khu vực],MATCH(KH_26_OPT4_KTQT_v4[[#This Row],[Địa điểm đến]],MD_Destination[Địa điểm đến],0)),"")</f>
        <v>Châu Á</v>
      </c>
      <c r="L117" s="35" t="s">
        <v>260</v>
      </c>
      <c r="M117" s="7" t="str">
        <f>IFERROR(INDEX(MD_SKU[Mã SKU],MATCH(KH_26_OPT4_KTQT_v4[[#This Row],[Tên sản phẩm]],MD_SKU[Tên SKU-rút gọn],0)),"")</f>
        <v>110000410</v>
      </c>
      <c r="N117" s="35" t="s">
        <v>472</v>
      </c>
      <c r="O117" s="7" t="str">
        <f>IFERROR(INDEX(MD_SKU[Ngành hàng],MATCH(KH_26_OPT4_KTQT_v4[[#This Row],[Tên sản phẩm]],MD_SKU[Tên SKU-rút gọn],0)),"")</f>
        <v>rHDPE ép</v>
      </c>
      <c r="P117" s="7" t="str">
        <f>IFERROR(INDEX(MD_SKU[Nhóm ngành],MATCH(KH_26_OPT4_KTQT_v4[[#This Row],[Tên sản phẩm]],MD_SKU[Tên SKU-rút gọn],0)),"")</f>
        <v>Vảy HD ép</v>
      </c>
      <c r="Q117" s="7" t="str">
        <f>IFERROR(
   IF(INDEX(MD_SKU[IV/IM],MATCH(KH_26_OPT4_KTQT_v4[[#This Row],[Tên sản phẩm]],MD_SKU[Tên SKU-rút gọn],0))=0,
      "",
      INDEX(MD_SKU[IV/IM],MATCH(KH_26_OPT4_KTQT_v4[[#This Row],[Tên sản phẩm]],MD_SKU[Tên SKU-rút gọn],0))
   ),
"")</f>
        <v/>
      </c>
      <c r="R117" s="44">
        <f>IFERROR(INDEX(MD_SKU[Application],MATCH(KH_26_OPT4_KTQT_v4[[#This Row],[Tên sản phẩm]],MD_SKU[Tên SKU-rút gọn],0)),"")</f>
        <v>0</v>
      </c>
      <c r="S117" s="7" t="str">
        <f>IFERROR(INDEX(MD_SKU[Phân loại],MATCH(KH_26_OPT4_KTQT_v4[[#This Row],[Tên sản phẩm]],MD_SKU[Tên SKU-rút gọn],0)),"")</f>
        <v>Cũ</v>
      </c>
      <c r="T117" s="7" t="s">
        <v>155</v>
      </c>
      <c r="U117" s="7" t="s">
        <v>1508</v>
      </c>
      <c r="V117" s="70">
        <v>0.8</v>
      </c>
      <c r="W117" s="33"/>
      <c r="X117" s="33"/>
      <c r="Y117" s="33"/>
      <c r="Z117" s="33"/>
      <c r="AA117" s="33"/>
      <c r="AB117" s="33"/>
      <c r="AC117" s="33"/>
      <c r="AD117" s="33"/>
      <c r="AE117" s="33"/>
      <c r="AF117" s="33"/>
      <c r="AG117" s="33"/>
      <c r="AH117" s="33"/>
      <c r="AI117" s="47">
        <f ca="1">SUM(KH_26_OPT4_KTQT_v4[[#This Row],[SL-01]:[SL-12]])</f>
        <v>0</v>
      </c>
      <c r="AJ117" s="47">
        <f ca="1">SUMIFS(DB_25[SL-DB25],DB_25[Mã khách],KH_26_OPT4_KTQT_v4[[#This Row],[Mã khách]],DB_25[Mã sản phẩm],KH_26_OPT4_KTQT_v4[[#This Row],[Mã sản phẩm]])</f>
        <v>0.75</v>
      </c>
      <c r="AK117" s="20">
        <f ca="1">KH_26_OPT4_KTQT_v4[[#This Row],[SL-KH26]]-KH_26_OPT4_KTQT_v4[[#This Row],[SL-DB25]]</f>
        <v>-0.75</v>
      </c>
      <c r="AL117" s="21">
        <f ca="1">IFERROR(KH_26_OPT4_KTQT_v4[[#This Row],[SL-+/-]]/KH_26_OPT4_KTQT_v4[[#This Row],[SL-DB25]],0)</f>
        <v>-1</v>
      </c>
      <c r="AM117" s="51">
        <v>560</v>
      </c>
      <c r="AN117" s="51">
        <v>560</v>
      </c>
      <c r="AO117" s="51">
        <v>560</v>
      </c>
      <c r="AP117" s="51">
        <v>560</v>
      </c>
      <c r="AQ117" s="51">
        <v>560</v>
      </c>
      <c r="AR117" s="51">
        <v>560</v>
      </c>
      <c r="AS117" s="51">
        <v>560</v>
      </c>
      <c r="AT117" s="51">
        <v>560</v>
      </c>
      <c r="AU117" s="51">
        <v>560</v>
      </c>
      <c r="AV117" s="51">
        <v>560</v>
      </c>
      <c r="AW117" s="51">
        <v>560</v>
      </c>
      <c r="AX117" s="51">
        <v>560</v>
      </c>
      <c r="AY117" s="23">
        <v>560</v>
      </c>
      <c r="AZ117" s="7"/>
      <c r="BA117" s="24">
        <f>KH_26_OPT4_KTQT_v4[[#This Row],[GB-DB25]]-KH_26_OPT4_KTQT_v4[[#This Row],[GB-KH25]]</f>
        <v>560</v>
      </c>
      <c r="BB117" s="21">
        <f>IFERROR(KH_26_OPT4_KTQT_v4[[#This Row],[GB-+/-]]/KH_26_OPT4_KTQT_v4[[#This Row],[GB-KH25]],0)</f>
        <v>0</v>
      </c>
      <c r="BC117" s="21"/>
      <c r="BD117" s="47">
        <f>KH_26_OPT4_KTQT_v4[[#This Row],[SL-01]]*KH_26_OPT4_KTQT_v4[[#This Row],[GB-01]]*EXR</f>
        <v>0</v>
      </c>
      <c r="BE117" s="47">
        <f>KH_26_OPT4_KTQT_v4[[#This Row],[SL-02]]*KH_26_OPT4_KTQT_v4[[#This Row],[GB-02]]*EXR</f>
        <v>0</v>
      </c>
      <c r="BF117" s="47">
        <f>KH_26_OPT4_KTQT_v4[[#This Row],[SL-03]]*KH_26_OPT4_KTQT_v4[[#This Row],[GB-03]]*EXR</f>
        <v>0</v>
      </c>
      <c r="BG117" s="47">
        <f>KH_26_OPT4_KTQT_v4[[#This Row],[SL-04]]*KH_26_OPT4_KTQT_v4[[#This Row],[GB-04]]*EXR</f>
        <v>0</v>
      </c>
      <c r="BH117" s="47">
        <f>KH_26_OPT4_KTQT_v4[[#This Row],[SL-05]]*KH_26_OPT4_KTQT_v4[[#This Row],[GB-05]]*EXR</f>
        <v>0</v>
      </c>
      <c r="BI117" s="47">
        <f>KH_26_OPT4_KTQT_v4[[#This Row],[SL-06]]*KH_26_OPT4_KTQT_v4[[#This Row],[GB-06]]*EXR</f>
        <v>0</v>
      </c>
      <c r="BJ117" s="47">
        <f>KH_26_OPT4_KTQT_v4[[#This Row],[SL-07]]*KH_26_OPT4_KTQT_v4[[#This Row],[GB-07]]*EXR</f>
        <v>0</v>
      </c>
      <c r="BK117" s="47">
        <f>KH_26_OPT4_KTQT_v4[[#This Row],[SL-08]]*KH_26_OPT4_KTQT_v4[[#This Row],[GB-08]]*EXR</f>
        <v>0</v>
      </c>
      <c r="BL117" s="47">
        <f>KH_26_OPT4_KTQT_v4[[#This Row],[SL-09]]*KH_26_OPT4_KTQT_v4[[#This Row],[GB-09]]*EXR</f>
        <v>0</v>
      </c>
      <c r="BM117" s="47">
        <f>KH_26_OPT4_KTQT_v4[[#This Row],[SL-10]]*KH_26_OPT4_KTQT_v4[[#This Row],[GB-10]]*EXR</f>
        <v>0</v>
      </c>
      <c r="BN117" s="47">
        <f>KH_26_OPT4_KTQT_v4[[#This Row],[SL-11]]*KH_26_OPT4_KTQT_v4[[#This Row],[GB-11]]*EXR</f>
        <v>0</v>
      </c>
      <c r="BO117" s="47">
        <f>KH_26_OPT4_KTQT_v4[[#This Row],[SL-12]]*KH_26_OPT4_KTQT_v4[[#This Row],[GB-12]]*EXR</f>
        <v>0</v>
      </c>
      <c r="BP117" s="47">
        <f ca="1">SUM(KH_26_OPT4_KTQT_v4[[#This Row],[DT-EXW-01]:[DT-EXW-12]])</f>
        <v>0</v>
      </c>
      <c r="BQ117" s="47">
        <f ca="1">SUMIFS(DB_25[DT-DB25],DB_25[Mã khách],KH_26_OPT4_KTQT_v4[[#This Row],[Mã khách]],DB_25[Mã sản phẩm],KH_26_OPT4_KTQT_v4[[#This Row],[Mã sản phẩm]])</f>
        <v>11637057.781321185</v>
      </c>
      <c r="BR117" s="47">
        <f ca="1">KH_26_OPT4_KTQT_v4[[#This Row],[DT-EXW-KH26]]-KH_26_OPT4_KTQT_v4[[#This Row],[DT-EXW-DB25]]</f>
        <v>-11637057.781321185</v>
      </c>
      <c r="BS117" s="21">
        <f ca="1">IFERROR(KH_26_OPT4_KTQT_v4[[#This Row],[DT-EXW-+/-]]/KH_26_OPT4_KTQT_v4[[#This Row],[DT-EXW-DB25]],0)</f>
        <v>-1</v>
      </c>
      <c r="BT117" s="139"/>
      <c r="BU117" s="57"/>
      <c r="BV117" s="51"/>
      <c r="BW117" s="47">
        <f>IF(KH_26_OPT4_KTQT_v4[[#This Row],[CPHH-%-SL]]="Dthu",KH_26_OPT4_KTQT_v4[[#This Row],[%HH]]*KH_26_OPT4_KTQT_v4[[#This Row],[DT-EXW-01]],KH_26_OPT4_KTQT_v4[[#This Row],[HH-SL]]*KH_26_OPT4_KTQT_v4[[#This Row],[SL-01]])</f>
        <v>0</v>
      </c>
      <c r="BX117" s="47">
        <f>IF(KH_26_OPT4_KTQT_v4[[#This Row],[CPHH-%-SL]]="Dthu",KH_26_OPT4_KTQT_v4[[#This Row],[%HH]]*KH_26_OPT4_KTQT_v4[[#This Row],[DT-EXW-02]],KH_26_OPT4_KTQT_v4[[#This Row],[HH-SL]]*KH_26_OPT4_KTQT_v4[[#This Row],[SL-02]])</f>
        <v>0</v>
      </c>
      <c r="BY117" s="47">
        <f>IF(KH_26_OPT4_KTQT_v4[[#This Row],[CPHH-%-SL]]="Dthu",KH_26_OPT4_KTQT_v4[[#This Row],[%HH]]*KH_26_OPT4_KTQT_v4[[#This Row],[DT-EXW-03]],KH_26_OPT4_KTQT_v4[[#This Row],[HH-SL]]*KH_26_OPT4_KTQT_v4[[#This Row],[SL-03]])</f>
        <v>0</v>
      </c>
      <c r="BZ117" s="47">
        <f>IF(KH_26_OPT4_KTQT_v4[[#This Row],[CPHH-%-SL]]="Dthu",KH_26_OPT4_KTQT_v4[[#This Row],[%HH]]*KH_26_OPT4_KTQT_v4[[#This Row],[DT-EXW-04]],KH_26_OPT4_KTQT_v4[[#This Row],[HH-SL]]*KH_26_OPT4_KTQT_v4[[#This Row],[SL-04]])</f>
        <v>0</v>
      </c>
      <c r="CA117" s="47">
        <f>IF(KH_26_OPT4_KTQT_v4[[#This Row],[CPHH-%-SL]]="Dthu",KH_26_OPT4_KTQT_v4[[#This Row],[%HH]]*KH_26_OPT4_KTQT_v4[[#This Row],[DT-EXW-05]],KH_26_OPT4_KTQT_v4[[#This Row],[HH-SL]]*KH_26_OPT4_KTQT_v4[[#This Row],[SL-05]])</f>
        <v>0</v>
      </c>
      <c r="CB117" s="47">
        <f>IF(KH_26_OPT4_KTQT_v4[[#This Row],[CPHH-%-SL]]="Dthu",KH_26_OPT4_KTQT_v4[[#This Row],[%HH]]*KH_26_OPT4_KTQT_v4[[#This Row],[DT-EXW-06]],KH_26_OPT4_KTQT_v4[[#This Row],[HH-SL]]*KH_26_OPT4_KTQT_v4[[#This Row],[SL-06]])</f>
        <v>0</v>
      </c>
      <c r="CC117" s="47">
        <f>IF(KH_26_OPT4_KTQT_v4[[#This Row],[CPHH-%-SL]]="Dthu",KH_26_OPT4_KTQT_v4[[#This Row],[%HH]]*KH_26_OPT4_KTQT_v4[[#This Row],[DT-EXW-07]],KH_26_OPT4_KTQT_v4[[#This Row],[HH-SL]]*KH_26_OPT4_KTQT_v4[[#This Row],[SL-07]])</f>
        <v>0</v>
      </c>
      <c r="CD117" s="47">
        <f>IF(KH_26_OPT4_KTQT_v4[[#This Row],[CPHH-%-SL]]="Dthu",KH_26_OPT4_KTQT_v4[[#This Row],[%HH]]*KH_26_OPT4_KTQT_v4[[#This Row],[DT-EXW-08]],KH_26_OPT4_KTQT_v4[[#This Row],[HH-SL]]*KH_26_OPT4_KTQT_v4[[#This Row],[SL-08]])</f>
        <v>0</v>
      </c>
      <c r="CE117" s="47">
        <f>IF(KH_26_OPT4_KTQT_v4[[#This Row],[CPHH-%-SL]]="Dthu",KH_26_OPT4_KTQT_v4[[#This Row],[%HH]]*KH_26_OPT4_KTQT_v4[[#This Row],[DT-EXW-09]],KH_26_OPT4_KTQT_v4[[#This Row],[HH-SL]]*KH_26_OPT4_KTQT_v4[[#This Row],[SL-09]])</f>
        <v>0</v>
      </c>
      <c r="CF117" s="47">
        <f>IF(KH_26_OPT4_KTQT_v4[[#This Row],[CPHH-%-SL]]="Dthu",KH_26_OPT4_KTQT_v4[[#This Row],[%HH]]*KH_26_OPT4_KTQT_v4[[#This Row],[DT-EXW-10]],KH_26_OPT4_KTQT_v4[[#This Row],[HH-SL]]*KH_26_OPT4_KTQT_v4[[#This Row],[SL-10]])</f>
        <v>0</v>
      </c>
      <c r="CG117" s="47">
        <f>IF(KH_26_OPT4_KTQT_v4[[#This Row],[CPHH-%-SL]]="Dthu",KH_26_OPT4_KTQT_v4[[#This Row],[%HH]]*KH_26_OPT4_KTQT_v4[[#This Row],[DT-EXW-11]],KH_26_OPT4_KTQT_v4[[#This Row],[HH-SL]]*KH_26_OPT4_KTQT_v4[[#This Row],[SL-11]])</f>
        <v>0</v>
      </c>
      <c r="CH117" s="47">
        <f>IF(KH_26_OPT4_KTQT_v4[[#This Row],[CPHH-%-SL]]="Dthu",KH_26_OPT4_KTQT_v4[[#This Row],[%HH]]*KH_26_OPT4_KTQT_v4[[#This Row],[DT-EXW-12]],KH_26_OPT4_KTQT_v4[[#This Row],[HH-SL]]*KH_26_OPT4_KTQT_v4[[#This Row],[SL-12]])</f>
        <v>0</v>
      </c>
      <c r="CI117" s="47">
        <f ca="1">SUM(KH_26_OPT4_KTQT_v4[[#This Row],[CPHH-01]:[CPHH-12]])</f>
        <v>0</v>
      </c>
      <c r="CJ117" s="47" cm="1">
        <f t="array" ref="CJ117">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17" s="19">
        <f ca="1">SUM(KH_26_OPT4_KTQT_v4[[#This Row],[ĐGVCNĐ-KXK]:[ĐGVCCT-KXK]])</f>
        <v>0</v>
      </c>
      <c r="CL117" s="47" cm="1">
        <f t="array" ref="CL117">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117" s="47" cm="1">
        <f t="array" ref="CM117">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17" s="47">
        <f ca="1">(KH_26_OPT4_KTQT_v4[[#This Row],[ĐGVC-KNĐ]]+KH_26_OPT4_KTQT_v4[[#This Row],[ĐGVC-KXK]])*KH_26_OPT4_KTQT_v4[[#This Row],[SL-01]]</f>
        <v>0</v>
      </c>
      <c r="CO117" s="47">
        <f ca="1">(KH_26_OPT4_KTQT_v4[[#This Row],[ĐGVC-KNĐ]]+KH_26_OPT4_KTQT_v4[[#This Row],[ĐGVC-KXK]])*KH_26_OPT4_KTQT_v4[[#This Row],[SL-02]]</f>
        <v>0</v>
      </c>
      <c r="CP117" s="47">
        <f ca="1">(KH_26_OPT4_KTQT_v4[[#This Row],[ĐGVC-KNĐ]]+KH_26_OPT4_KTQT_v4[[#This Row],[ĐGVC-KXK]])*KH_26_OPT4_KTQT_v4[[#This Row],[SL-03]]</f>
        <v>0</v>
      </c>
      <c r="CQ117" s="47">
        <f ca="1">(KH_26_OPT4_KTQT_v4[[#This Row],[ĐGVC-KNĐ]]+KH_26_OPT4_KTQT_v4[[#This Row],[ĐGVC-KXK]])*KH_26_OPT4_KTQT_v4[[#This Row],[SL-04]]</f>
        <v>0</v>
      </c>
      <c r="CR117" s="47">
        <f ca="1">(KH_26_OPT4_KTQT_v4[[#This Row],[ĐGVC-KNĐ]]+KH_26_OPT4_KTQT_v4[[#This Row],[ĐGVC-KXK]])*KH_26_OPT4_KTQT_v4[[#This Row],[SL-05]]</f>
        <v>0</v>
      </c>
      <c r="CS117" s="47">
        <f ca="1">(KH_26_OPT4_KTQT_v4[[#This Row],[ĐGVC-KNĐ]]+KH_26_OPT4_KTQT_v4[[#This Row],[ĐGVC-KXK]])*KH_26_OPT4_KTQT_v4[[#This Row],[SL-06]]</f>
        <v>0</v>
      </c>
      <c r="CT117" s="47">
        <f ca="1">(KH_26_OPT4_KTQT_v4[[#This Row],[ĐGVC-KNĐ]]+KH_26_OPT4_KTQT_v4[[#This Row],[ĐGVC-KXK]])*KH_26_OPT4_KTQT_v4[[#This Row],[SL-07]]</f>
        <v>0</v>
      </c>
      <c r="CU117" s="47">
        <f ca="1">(KH_26_OPT4_KTQT_v4[[#This Row],[ĐGVC-KNĐ]]+KH_26_OPT4_KTQT_v4[[#This Row],[ĐGVC-KXK]])*KH_26_OPT4_KTQT_v4[[#This Row],[SL-08]]</f>
        <v>0</v>
      </c>
      <c r="CV117" s="47">
        <f ca="1">(KH_26_OPT4_KTQT_v4[[#This Row],[ĐGVC-KNĐ]]+KH_26_OPT4_KTQT_v4[[#This Row],[ĐGVC-KXK]])*KH_26_OPT4_KTQT_v4[[#This Row],[SL-09]]</f>
        <v>0</v>
      </c>
      <c r="CW117" s="47">
        <f ca="1">(KH_26_OPT4_KTQT_v4[[#This Row],[ĐGVC-KNĐ]]+KH_26_OPT4_KTQT_v4[[#This Row],[ĐGVC-KXK]])*KH_26_OPT4_KTQT_v4[[#This Row],[SL-10]]</f>
        <v>0</v>
      </c>
      <c r="CX117" s="47">
        <f ca="1">(KH_26_OPT4_KTQT_v4[[#This Row],[ĐGVC-KNĐ]]+KH_26_OPT4_KTQT_v4[[#This Row],[ĐGVC-KXK]])*KH_26_OPT4_KTQT_v4[[#This Row],[SL-11]]</f>
        <v>0</v>
      </c>
      <c r="CY117" s="47">
        <f ca="1">(KH_26_OPT4_KTQT_v4[[#This Row],[ĐGVC-KNĐ]]+KH_26_OPT4_KTQT_v4[[#This Row],[ĐGVC-KXK]])*KH_26_OPT4_KTQT_v4[[#This Row],[SL-12]]</f>
        <v>0</v>
      </c>
      <c r="CZ117" s="47">
        <f ca="1">SUM(KH_26_OPT4_KTQT_v4[[#This Row],[CPVC-01]:[CPVC-12]])</f>
        <v>0</v>
      </c>
      <c r="DA117" s="124">
        <f ca="1">KH_26_OPT4_KTQT_v4[[#This Row],[DT-EXW-01]]+KH_26_OPT4_KTQT_v4[[#This Row],[CPVC-01]]+KH_26_OPT4_KTQT_v4[[#This Row],[CPHH-01]]</f>
        <v>0</v>
      </c>
      <c r="DB117" s="47">
        <f ca="1">KH_26_OPT4_KTQT_v4[[#This Row],[DT-EXW-02]]+KH_26_OPT4_KTQT_v4[[#This Row],[CPVC-02]]+KH_26_OPT4_KTQT_v4[[#This Row],[CPHH-02]]</f>
        <v>0</v>
      </c>
      <c r="DC117" s="47">
        <f ca="1">KH_26_OPT4_KTQT_v4[[#This Row],[DT-EXW-03]]+KH_26_OPT4_KTQT_v4[[#This Row],[CPVC-03]]+KH_26_OPT4_KTQT_v4[[#This Row],[CPHH-03]]</f>
        <v>0</v>
      </c>
      <c r="DD117" s="47">
        <f ca="1">KH_26_OPT4_KTQT_v4[[#This Row],[DT-EXW-04]]+KH_26_OPT4_KTQT_v4[[#This Row],[CPVC-04]]+KH_26_OPT4_KTQT_v4[[#This Row],[CPHH-04]]</f>
        <v>0</v>
      </c>
      <c r="DE117" s="47">
        <f ca="1">KH_26_OPT4_KTQT_v4[[#This Row],[DT-EXW-05]]+KH_26_OPT4_KTQT_v4[[#This Row],[CPVC-05]]+KH_26_OPT4_KTQT_v4[[#This Row],[CPHH-05]]</f>
        <v>0</v>
      </c>
      <c r="DF117" s="47">
        <f ca="1">KH_26_OPT4_KTQT_v4[[#This Row],[DT-EXW-06]]+KH_26_OPT4_KTQT_v4[[#This Row],[CPVC-06]]+KH_26_OPT4_KTQT_v4[[#This Row],[CPHH-06]]</f>
        <v>0</v>
      </c>
      <c r="DG117" s="47">
        <f ca="1">KH_26_OPT4_KTQT_v4[[#This Row],[DT-EXW-07]]+KH_26_OPT4_KTQT_v4[[#This Row],[CPVC-07]]+KH_26_OPT4_KTQT_v4[[#This Row],[CPHH-07]]</f>
        <v>0</v>
      </c>
      <c r="DH117" s="47">
        <f ca="1">KH_26_OPT4_KTQT_v4[[#This Row],[DT-EXW-08]]+KH_26_OPT4_KTQT_v4[[#This Row],[CPVC-08]]+KH_26_OPT4_KTQT_v4[[#This Row],[CPHH-08]]</f>
        <v>0</v>
      </c>
      <c r="DI117" s="47">
        <f ca="1">KH_26_OPT4_KTQT_v4[[#This Row],[DT-EXW-09]]+KH_26_OPT4_KTQT_v4[[#This Row],[CPVC-09]]+KH_26_OPT4_KTQT_v4[[#This Row],[CPHH-09]]</f>
        <v>0</v>
      </c>
      <c r="DJ117" s="47">
        <f ca="1">KH_26_OPT4_KTQT_v4[[#This Row],[DT-EXW-10]]+KH_26_OPT4_KTQT_v4[[#This Row],[CPVC-10]]+KH_26_OPT4_KTQT_v4[[#This Row],[CPHH-10]]</f>
        <v>0</v>
      </c>
      <c r="DK117" s="47">
        <f ca="1">KH_26_OPT4_KTQT_v4[[#This Row],[DT-EXW-11]]+KH_26_OPT4_KTQT_v4[[#This Row],[CPVC-11]]+KH_26_OPT4_KTQT_v4[[#This Row],[CPHH-11]]</f>
        <v>0</v>
      </c>
      <c r="DL117" s="47">
        <f ca="1">KH_26_OPT4_KTQT_v4[[#This Row],[DT-EXW-12]]+KH_26_OPT4_KTQT_v4[[#This Row],[CPVC-12]]+KH_26_OPT4_KTQT_v4[[#This Row],[CPHH-12]]</f>
        <v>0</v>
      </c>
      <c r="DM117" s="47">
        <f ca="1">SUM(KH_26_OPT4_KTQT_v4[[#This Row],[DT-01]:[DT-12]])</f>
        <v>0</v>
      </c>
      <c r="DN117" s="7"/>
      <c r="DO117" s="7"/>
      <c r="DP117" s="125"/>
      <c r="DQ117" s="136"/>
      <c r="DR117" s="132">
        <f>IFERROR(KH_26_OPT4_KTQT_v4[[#This Row],[DT-EXW-01]]*KH_26_OPT4_KTQT_v4[[#This Row],[%CPDP]],0)</f>
        <v>0</v>
      </c>
      <c r="DS117" s="132">
        <f>IFERROR(KH_26_OPT4_KTQT_v4[[#This Row],[DT-EXW-02]]*KH_26_OPT4_KTQT_v4[[#This Row],[%CPDP]],0)</f>
        <v>0</v>
      </c>
      <c r="DT117" s="132">
        <f>IFERROR(KH_26_OPT4_KTQT_v4[[#This Row],[DT-EXW-03]]*KH_26_OPT4_KTQT_v4[[#This Row],[%CPDP]],0)</f>
        <v>0</v>
      </c>
      <c r="DU117" s="132">
        <f>IFERROR(KH_26_OPT4_KTQT_v4[[#This Row],[DT-EXW-04]]*KH_26_OPT4_KTQT_v4[[#This Row],[%CPDP]],0)</f>
        <v>0</v>
      </c>
      <c r="DV117" s="132">
        <f>IFERROR(KH_26_OPT4_KTQT_v4[[#This Row],[DT-EXW-05]]*KH_26_OPT4_KTQT_v4[[#This Row],[%CPDP]],0)</f>
        <v>0</v>
      </c>
      <c r="DW117" s="132">
        <f>IFERROR(KH_26_OPT4_KTQT_v4[[#This Row],[DT-EXW-06]]*KH_26_OPT4_KTQT_v4[[#This Row],[%CPDP]],0)</f>
        <v>0</v>
      </c>
      <c r="DX117" s="132">
        <f>IFERROR(KH_26_OPT4_KTQT_v4[[#This Row],[DT-EXW-07]]*KH_26_OPT4_KTQT_v4[[#This Row],[%CPDP]],0)</f>
        <v>0</v>
      </c>
      <c r="DY117" s="132">
        <f>IFERROR(KH_26_OPT4_KTQT_v4[[#This Row],[DT-EXW-08]]*KH_26_OPT4_KTQT_v4[[#This Row],[%CPDP]],0)</f>
        <v>0</v>
      </c>
      <c r="DZ117" s="132">
        <f>IFERROR(KH_26_OPT4_KTQT_v4[[#This Row],[DT-EXW-09]]*KH_26_OPT4_KTQT_v4[[#This Row],[%CPDP]],0)</f>
        <v>0</v>
      </c>
      <c r="EA117" s="132">
        <f>IFERROR(KH_26_OPT4_KTQT_v4[[#This Row],[DT-EXW-10]]*KH_26_OPT4_KTQT_v4[[#This Row],[%CPDP]],0)</f>
        <v>0</v>
      </c>
      <c r="EB117" s="132">
        <f>IFERROR(KH_26_OPT4_KTQT_v4[[#This Row],[DT-EXW-11]]*KH_26_OPT4_KTQT_v4[[#This Row],[%CPDP]],0)</f>
        <v>0</v>
      </c>
      <c r="EC117" s="132">
        <f>IFERROR(KH_26_OPT4_KTQT_v4[[#This Row],[DT-EXW-12]]*KH_26_OPT4_KTQT_v4[[#This Row],[%CPDP]],0)</f>
        <v>0</v>
      </c>
      <c r="ED117" s="131">
        <f ca="1">SUM(KH_26_OPT4_KTQT_v4[[#This Row],[CPDP-01]:[CPDP-12]])</f>
        <v>0</v>
      </c>
    </row>
    <row r="118" spans="1:134" ht="14.65" hidden="1" customHeight="1" x14ac:dyDescent="0.35">
      <c r="A118" s="18">
        <v>113</v>
      </c>
      <c r="B118" s="71" t="s">
        <v>104</v>
      </c>
      <c r="C118" s="18" t="str">
        <f>IFERROR(_xlfn.XLOOKUP(KH_26_OPT4_KTQT_v4[[#This Row],[Salesman]],MD_Salesman[Salesman],MD_Salesman[SalesManager]),"")</f>
        <v>Quốc Anh</v>
      </c>
      <c r="D118" s="72" t="str">
        <f>IFERROR(INDEX(MD_Customer[Mã khách],MATCH(KH_26_OPT4_KTQT_v4[[#This Row],[Tên khách]],MD_Customer[Tên khách-rút gọn],0)),"")</f>
        <v>105319</v>
      </c>
      <c r="E118" s="7" t="str">
        <f>IFERROR(INDEX(MD_Customer[Parent Account],MATCH(KH_26_OPT4_KTQT_v4[[#This Row],[Tên khách]],MD_Customer[Tên khách-rút gọn],0)),"")</f>
        <v>Coca Cola Việt Nam</v>
      </c>
      <c r="F118" s="35" t="s">
        <v>487</v>
      </c>
      <c r="G118" s="7" t="str">
        <f>IFERROR(INDEX(MD_Customer[Phân loại],MATCH(KH_26_OPT4_KTQT_v4[[#This Row],[Tên khách]],MD_Customer[Tên khách-rút gọn],0)),"")</f>
        <v>Hiện hữu</v>
      </c>
      <c r="H118" s="7" t="str">
        <f>IFERROR(INDEX(MD_Customer[Kênh bán hàng],MATCH(KH_26_OPT4_KTQT_v4[[#This Row],[Tên khách]],MD_Customer[Tên khách-rút gọn],0)),"")</f>
        <v>Nội địa</v>
      </c>
      <c r="I118" s="35" t="s">
        <v>268</v>
      </c>
      <c r="J118" s="7" t="str">
        <f>IFERROR(INDEX(MD_Destination[Nước],MATCH(KH_26_OPT4_KTQT_v4[[#This Row],[Địa điểm đến]],MD_Destination[Địa điểm đến],0)),"")</f>
        <v>Việt Nam</v>
      </c>
      <c r="K118" s="7" t="str">
        <f>IFERROR(INDEX(MD_Destination[Khu vực],MATCH(KH_26_OPT4_KTQT_v4[[#This Row],[Địa điểm đến]],MD_Destination[Địa điểm đến],0)),"")</f>
        <v>Châu Á</v>
      </c>
      <c r="L118" s="35" t="s">
        <v>262</v>
      </c>
      <c r="M118" s="7" t="str">
        <f>IFERROR(INDEX(MD_SKU[Mã SKU],MATCH(KH_26_OPT4_KTQT_v4[[#This Row],[Tên sản phẩm]],MD_SKU[Tên SKU-rút gọn],0)),"")</f>
        <v>110000365</v>
      </c>
      <c r="N118" s="35" t="s">
        <v>488</v>
      </c>
      <c r="O118" s="7" t="str">
        <f>IFERROR(INDEX(MD_SKU[Ngành hàng],MATCH(KH_26_OPT4_KTQT_v4[[#This Row],[Tên sản phẩm]],MD_SKU[Tên SKU-rút gọn],0)),"")</f>
        <v>rHDPE ép</v>
      </c>
      <c r="P118" s="7" t="str">
        <f>IFERROR(INDEX(MD_SKU[Nhóm ngành],MATCH(KH_26_OPT4_KTQT_v4[[#This Row],[Tên sản phẩm]],MD_SKU[Tên SKU-rút gọn],0)),"")</f>
        <v>Hạt HD ép</v>
      </c>
      <c r="Q118" s="7" t="str">
        <f>IFERROR(
   IF(INDEX(MD_SKU[IV/IM],MATCH(KH_26_OPT4_KTQT_v4[[#This Row],[Tên sản phẩm]],MD_SKU[Tên SKU-rút gọn],0))=0,
      "",
      INDEX(MD_SKU[IV/IM],MATCH(KH_26_OPT4_KTQT_v4[[#This Row],[Tên sản phẩm]],MD_SKU[Tên SKU-rút gọn],0))
   ),
"")</f>
        <v/>
      </c>
      <c r="R118" s="44">
        <f>IFERROR(INDEX(MD_SKU[Application],MATCH(KH_26_OPT4_KTQT_v4[[#This Row],[Tên sản phẩm]],MD_SKU[Tên SKU-rút gọn],0)),"")</f>
        <v>0</v>
      </c>
      <c r="S118" s="7" t="str">
        <f>IFERROR(INDEX(MD_SKU[Phân loại],MATCH(KH_26_OPT4_KTQT_v4[[#This Row],[Tên sản phẩm]],MD_SKU[Tên SKU-rút gọn],0)),"")</f>
        <v>Cũ</v>
      </c>
      <c r="T118" s="7" t="s">
        <v>99</v>
      </c>
      <c r="U118" s="7" t="s">
        <v>1508</v>
      </c>
      <c r="V118" s="70">
        <v>0.8</v>
      </c>
      <c r="W118" s="33"/>
      <c r="X118" s="33"/>
      <c r="Y118" s="33"/>
      <c r="Z118" s="33"/>
      <c r="AA118" s="33"/>
      <c r="AB118" s="33"/>
      <c r="AC118" s="33"/>
      <c r="AD118" s="33"/>
      <c r="AE118" s="33"/>
      <c r="AF118" s="33"/>
      <c r="AG118" s="33"/>
      <c r="AH118" s="33"/>
      <c r="AI118" s="47">
        <f ca="1">SUM(KH_26_OPT4_KTQT_v4[[#This Row],[SL-01]:[SL-12]])</f>
        <v>0</v>
      </c>
      <c r="AJ118" s="47">
        <f ca="1">SUMIFS(DB_25[SL-DB25],DB_25[Mã khách],KH_26_OPT4_KTQT_v4[[#This Row],[Mã khách]],DB_25[Mã sản phẩm],KH_26_OPT4_KTQT_v4[[#This Row],[Mã sản phẩm]])</f>
        <v>11</v>
      </c>
      <c r="AK118" s="20">
        <f ca="1">KH_26_OPT4_KTQT_v4[[#This Row],[SL-KH26]]-KH_26_OPT4_KTQT_v4[[#This Row],[SL-DB25]]</f>
        <v>-11</v>
      </c>
      <c r="AL118" s="21">
        <f ca="1">IFERROR(KH_26_OPT4_KTQT_v4[[#This Row],[SL-+/-]]/KH_26_OPT4_KTQT_v4[[#This Row],[SL-DB25]],0)</f>
        <v>-1</v>
      </c>
      <c r="AM118" s="51">
        <v>930</v>
      </c>
      <c r="AN118" s="51">
        <v>930</v>
      </c>
      <c r="AO118" s="51">
        <v>930</v>
      </c>
      <c r="AP118" s="51">
        <v>930</v>
      </c>
      <c r="AQ118" s="51">
        <v>930</v>
      </c>
      <c r="AR118" s="51">
        <v>930</v>
      </c>
      <c r="AS118" s="51">
        <v>930</v>
      </c>
      <c r="AT118" s="51">
        <v>930</v>
      </c>
      <c r="AU118" s="51">
        <v>930</v>
      </c>
      <c r="AV118" s="51">
        <v>930</v>
      </c>
      <c r="AW118" s="51">
        <v>930</v>
      </c>
      <c r="AX118" s="51">
        <v>930</v>
      </c>
      <c r="AY118" s="23">
        <v>930</v>
      </c>
      <c r="AZ118" s="7"/>
      <c r="BA118" s="24">
        <f>KH_26_OPT4_KTQT_v4[[#This Row],[GB-DB25]]-KH_26_OPT4_KTQT_v4[[#This Row],[GB-KH25]]</f>
        <v>930</v>
      </c>
      <c r="BB118" s="21">
        <f>IFERROR(KH_26_OPT4_KTQT_v4[[#This Row],[GB-+/-]]/KH_26_OPT4_KTQT_v4[[#This Row],[GB-KH25]],0)</f>
        <v>0</v>
      </c>
      <c r="BC118" s="21"/>
      <c r="BD118" s="47">
        <f>KH_26_OPT4_KTQT_v4[[#This Row],[SL-01]]*KH_26_OPT4_KTQT_v4[[#This Row],[GB-01]]*EXR</f>
        <v>0</v>
      </c>
      <c r="BE118" s="47">
        <f>KH_26_OPT4_KTQT_v4[[#This Row],[SL-02]]*KH_26_OPT4_KTQT_v4[[#This Row],[GB-02]]*EXR</f>
        <v>0</v>
      </c>
      <c r="BF118" s="47">
        <f>KH_26_OPT4_KTQT_v4[[#This Row],[SL-03]]*KH_26_OPT4_KTQT_v4[[#This Row],[GB-03]]*EXR</f>
        <v>0</v>
      </c>
      <c r="BG118" s="47">
        <f>KH_26_OPT4_KTQT_v4[[#This Row],[SL-04]]*KH_26_OPT4_KTQT_v4[[#This Row],[GB-04]]*EXR</f>
        <v>0</v>
      </c>
      <c r="BH118" s="47">
        <f>KH_26_OPT4_KTQT_v4[[#This Row],[SL-05]]*KH_26_OPT4_KTQT_v4[[#This Row],[GB-05]]*EXR</f>
        <v>0</v>
      </c>
      <c r="BI118" s="47">
        <f>KH_26_OPT4_KTQT_v4[[#This Row],[SL-06]]*KH_26_OPT4_KTQT_v4[[#This Row],[GB-06]]*EXR</f>
        <v>0</v>
      </c>
      <c r="BJ118" s="47">
        <f>KH_26_OPT4_KTQT_v4[[#This Row],[SL-07]]*KH_26_OPT4_KTQT_v4[[#This Row],[GB-07]]*EXR</f>
        <v>0</v>
      </c>
      <c r="BK118" s="47">
        <f>KH_26_OPT4_KTQT_v4[[#This Row],[SL-08]]*KH_26_OPT4_KTQT_v4[[#This Row],[GB-08]]*EXR</f>
        <v>0</v>
      </c>
      <c r="BL118" s="47">
        <f>KH_26_OPT4_KTQT_v4[[#This Row],[SL-09]]*KH_26_OPT4_KTQT_v4[[#This Row],[GB-09]]*EXR</f>
        <v>0</v>
      </c>
      <c r="BM118" s="47">
        <f>KH_26_OPT4_KTQT_v4[[#This Row],[SL-10]]*KH_26_OPT4_KTQT_v4[[#This Row],[GB-10]]*EXR</f>
        <v>0</v>
      </c>
      <c r="BN118" s="47">
        <f>KH_26_OPT4_KTQT_v4[[#This Row],[SL-11]]*KH_26_OPT4_KTQT_v4[[#This Row],[GB-11]]*EXR</f>
        <v>0</v>
      </c>
      <c r="BO118" s="47">
        <f>KH_26_OPT4_KTQT_v4[[#This Row],[SL-12]]*KH_26_OPT4_KTQT_v4[[#This Row],[GB-12]]*EXR</f>
        <v>0</v>
      </c>
      <c r="BP118" s="47">
        <f ca="1">SUM(KH_26_OPT4_KTQT_v4[[#This Row],[DT-EXW-01]:[DT-EXW-12]])</f>
        <v>0</v>
      </c>
      <c r="BQ118" s="47">
        <f ca="1">SUMIFS(DB_25[DT-DB25],DB_25[Mã khách],KH_26_OPT4_KTQT_v4[[#This Row],[Mã khách]],DB_25[Mã sản phẩm],KH_26_OPT4_KTQT_v4[[#This Row],[Mã sản phẩm]])</f>
        <v>298480000</v>
      </c>
      <c r="BR118" s="47">
        <f ca="1">KH_26_OPT4_KTQT_v4[[#This Row],[DT-EXW-KH26]]-KH_26_OPT4_KTQT_v4[[#This Row],[DT-EXW-DB25]]</f>
        <v>-298480000</v>
      </c>
      <c r="BS118" s="21">
        <f ca="1">IFERROR(KH_26_OPT4_KTQT_v4[[#This Row],[DT-EXW-+/-]]/KH_26_OPT4_KTQT_v4[[#This Row],[DT-EXW-DB25]],0)</f>
        <v>-1</v>
      </c>
      <c r="BT118" s="139" t="s">
        <v>532</v>
      </c>
      <c r="BU118" s="57"/>
      <c r="BV118" s="51"/>
      <c r="BW118" s="47">
        <f>IF(KH_26_OPT4_KTQT_v4[[#This Row],[CPHH-%-SL]]="Dthu",KH_26_OPT4_KTQT_v4[[#This Row],[%HH]]*KH_26_OPT4_KTQT_v4[[#This Row],[DT-EXW-01]],KH_26_OPT4_KTQT_v4[[#This Row],[HH-SL]]*KH_26_OPT4_KTQT_v4[[#This Row],[SL-01]])</f>
        <v>0</v>
      </c>
      <c r="BX118" s="47">
        <f>IF(KH_26_OPT4_KTQT_v4[[#This Row],[CPHH-%-SL]]="Dthu",KH_26_OPT4_KTQT_v4[[#This Row],[%HH]]*KH_26_OPT4_KTQT_v4[[#This Row],[DT-EXW-02]],KH_26_OPT4_KTQT_v4[[#This Row],[HH-SL]]*KH_26_OPT4_KTQT_v4[[#This Row],[SL-02]])</f>
        <v>0</v>
      </c>
      <c r="BY118" s="47">
        <f>IF(KH_26_OPT4_KTQT_v4[[#This Row],[CPHH-%-SL]]="Dthu",KH_26_OPT4_KTQT_v4[[#This Row],[%HH]]*KH_26_OPT4_KTQT_v4[[#This Row],[DT-EXW-03]],KH_26_OPT4_KTQT_v4[[#This Row],[HH-SL]]*KH_26_OPT4_KTQT_v4[[#This Row],[SL-03]])</f>
        <v>0</v>
      </c>
      <c r="BZ118" s="47">
        <f>IF(KH_26_OPT4_KTQT_v4[[#This Row],[CPHH-%-SL]]="Dthu",KH_26_OPT4_KTQT_v4[[#This Row],[%HH]]*KH_26_OPT4_KTQT_v4[[#This Row],[DT-EXW-04]],KH_26_OPT4_KTQT_v4[[#This Row],[HH-SL]]*KH_26_OPT4_KTQT_v4[[#This Row],[SL-04]])</f>
        <v>0</v>
      </c>
      <c r="CA118" s="47">
        <f>IF(KH_26_OPT4_KTQT_v4[[#This Row],[CPHH-%-SL]]="Dthu",KH_26_OPT4_KTQT_v4[[#This Row],[%HH]]*KH_26_OPT4_KTQT_v4[[#This Row],[DT-EXW-05]],KH_26_OPT4_KTQT_v4[[#This Row],[HH-SL]]*KH_26_OPT4_KTQT_v4[[#This Row],[SL-05]])</f>
        <v>0</v>
      </c>
      <c r="CB118" s="47">
        <f>IF(KH_26_OPT4_KTQT_v4[[#This Row],[CPHH-%-SL]]="Dthu",KH_26_OPT4_KTQT_v4[[#This Row],[%HH]]*KH_26_OPT4_KTQT_v4[[#This Row],[DT-EXW-06]],KH_26_OPT4_KTQT_v4[[#This Row],[HH-SL]]*KH_26_OPT4_KTQT_v4[[#This Row],[SL-06]])</f>
        <v>0</v>
      </c>
      <c r="CC118" s="47">
        <f>IF(KH_26_OPT4_KTQT_v4[[#This Row],[CPHH-%-SL]]="Dthu",KH_26_OPT4_KTQT_v4[[#This Row],[%HH]]*KH_26_OPT4_KTQT_v4[[#This Row],[DT-EXW-07]],KH_26_OPT4_KTQT_v4[[#This Row],[HH-SL]]*KH_26_OPT4_KTQT_v4[[#This Row],[SL-07]])</f>
        <v>0</v>
      </c>
      <c r="CD118" s="47">
        <f>IF(KH_26_OPT4_KTQT_v4[[#This Row],[CPHH-%-SL]]="Dthu",KH_26_OPT4_KTQT_v4[[#This Row],[%HH]]*KH_26_OPT4_KTQT_v4[[#This Row],[DT-EXW-08]],KH_26_OPT4_KTQT_v4[[#This Row],[HH-SL]]*KH_26_OPT4_KTQT_v4[[#This Row],[SL-08]])</f>
        <v>0</v>
      </c>
      <c r="CE118" s="47">
        <f>IF(KH_26_OPT4_KTQT_v4[[#This Row],[CPHH-%-SL]]="Dthu",KH_26_OPT4_KTQT_v4[[#This Row],[%HH]]*KH_26_OPT4_KTQT_v4[[#This Row],[DT-EXW-09]],KH_26_OPT4_KTQT_v4[[#This Row],[HH-SL]]*KH_26_OPT4_KTQT_v4[[#This Row],[SL-09]])</f>
        <v>0</v>
      </c>
      <c r="CF118" s="47">
        <f>IF(KH_26_OPT4_KTQT_v4[[#This Row],[CPHH-%-SL]]="Dthu",KH_26_OPT4_KTQT_v4[[#This Row],[%HH]]*KH_26_OPT4_KTQT_v4[[#This Row],[DT-EXW-10]],KH_26_OPT4_KTQT_v4[[#This Row],[HH-SL]]*KH_26_OPT4_KTQT_v4[[#This Row],[SL-10]])</f>
        <v>0</v>
      </c>
      <c r="CG118" s="47">
        <f>IF(KH_26_OPT4_KTQT_v4[[#This Row],[CPHH-%-SL]]="Dthu",KH_26_OPT4_KTQT_v4[[#This Row],[%HH]]*KH_26_OPT4_KTQT_v4[[#This Row],[DT-EXW-11]],KH_26_OPT4_KTQT_v4[[#This Row],[HH-SL]]*KH_26_OPT4_KTQT_v4[[#This Row],[SL-11]])</f>
        <v>0</v>
      </c>
      <c r="CH118" s="47">
        <f>IF(KH_26_OPT4_KTQT_v4[[#This Row],[CPHH-%-SL]]="Dthu",KH_26_OPT4_KTQT_v4[[#This Row],[%HH]]*KH_26_OPT4_KTQT_v4[[#This Row],[DT-EXW-12]],KH_26_OPT4_KTQT_v4[[#This Row],[HH-SL]]*KH_26_OPT4_KTQT_v4[[#This Row],[SL-12]])</f>
        <v>0</v>
      </c>
      <c r="CI118" s="47">
        <f ca="1">SUM(KH_26_OPT4_KTQT_v4[[#This Row],[CPHH-01]:[CPHH-12]])</f>
        <v>0</v>
      </c>
      <c r="CJ118" s="47" cm="1">
        <f t="array" ref="CJ118">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18" s="19">
        <f ca="1">SUM(KH_26_OPT4_KTQT_v4[[#This Row],[ĐGVCNĐ-KXK]:[ĐGVCCT-KXK]])</f>
        <v>0</v>
      </c>
      <c r="CL118" s="47" cm="1">
        <f t="array" ref="CL118">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118" s="47" cm="1">
        <f t="array" ref="CM118">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18" s="47">
        <f ca="1">(KH_26_OPT4_KTQT_v4[[#This Row],[ĐGVC-KNĐ]]+KH_26_OPT4_KTQT_v4[[#This Row],[ĐGVC-KXK]])*KH_26_OPT4_KTQT_v4[[#This Row],[SL-01]]</f>
        <v>0</v>
      </c>
      <c r="CO118" s="47">
        <f ca="1">(KH_26_OPT4_KTQT_v4[[#This Row],[ĐGVC-KNĐ]]+KH_26_OPT4_KTQT_v4[[#This Row],[ĐGVC-KXK]])*KH_26_OPT4_KTQT_v4[[#This Row],[SL-02]]</f>
        <v>0</v>
      </c>
      <c r="CP118" s="47">
        <f ca="1">(KH_26_OPT4_KTQT_v4[[#This Row],[ĐGVC-KNĐ]]+KH_26_OPT4_KTQT_v4[[#This Row],[ĐGVC-KXK]])*KH_26_OPT4_KTQT_v4[[#This Row],[SL-03]]</f>
        <v>0</v>
      </c>
      <c r="CQ118" s="47">
        <f ca="1">(KH_26_OPT4_KTQT_v4[[#This Row],[ĐGVC-KNĐ]]+KH_26_OPT4_KTQT_v4[[#This Row],[ĐGVC-KXK]])*KH_26_OPT4_KTQT_v4[[#This Row],[SL-04]]</f>
        <v>0</v>
      </c>
      <c r="CR118" s="47">
        <f ca="1">(KH_26_OPT4_KTQT_v4[[#This Row],[ĐGVC-KNĐ]]+KH_26_OPT4_KTQT_v4[[#This Row],[ĐGVC-KXK]])*KH_26_OPT4_KTQT_v4[[#This Row],[SL-05]]</f>
        <v>0</v>
      </c>
      <c r="CS118" s="47">
        <f ca="1">(KH_26_OPT4_KTQT_v4[[#This Row],[ĐGVC-KNĐ]]+KH_26_OPT4_KTQT_v4[[#This Row],[ĐGVC-KXK]])*KH_26_OPT4_KTQT_v4[[#This Row],[SL-06]]</f>
        <v>0</v>
      </c>
      <c r="CT118" s="47">
        <f ca="1">(KH_26_OPT4_KTQT_v4[[#This Row],[ĐGVC-KNĐ]]+KH_26_OPT4_KTQT_v4[[#This Row],[ĐGVC-KXK]])*KH_26_OPT4_KTQT_v4[[#This Row],[SL-07]]</f>
        <v>0</v>
      </c>
      <c r="CU118" s="47">
        <f ca="1">(KH_26_OPT4_KTQT_v4[[#This Row],[ĐGVC-KNĐ]]+KH_26_OPT4_KTQT_v4[[#This Row],[ĐGVC-KXK]])*KH_26_OPT4_KTQT_v4[[#This Row],[SL-08]]</f>
        <v>0</v>
      </c>
      <c r="CV118" s="47">
        <f ca="1">(KH_26_OPT4_KTQT_v4[[#This Row],[ĐGVC-KNĐ]]+KH_26_OPT4_KTQT_v4[[#This Row],[ĐGVC-KXK]])*KH_26_OPT4_KTQT_v4[[#This Row],[SL-09]]</f>
        <v>0</v>
      </c>
      <c r="CW118" s="47">
        <f ca="1">(KH_26_OPT4_KTQT_v4[[#This Row],[ĐGVC-KNĐ]]+KH_26_OPT4_KTQT_v4[[#This Row],[ĐGVC-KXK]])*KH_26_OPT4_KTQT_v4[[#This Row],[SL-10]]</f>
        <v>0</v>
      </c>
      <c r="CX118" s="47">
        <f ca="1">(KH_26_OPT4_KTQT_v4[[#This Row],[ĐGVC-KNĐ]]+KH_26_OPT4_KTQT_v4[[#This Row],[ĐGVC-KXK]])*KH_26_OPT4_KTQT_v4[[#This Row],[SL-11]]</f>
        <v>0</v>
      </c>
      <c r="CY118" s="47">
        <f ca="1">(KH_26_OPT4_KTQT_v4[[#This Row],[ĐGVC-KNĐ]]+KH_26_OPT4_KTQT_v4[[#This Row],[ĐGVC-KXK]])*KH_26_OPT4_KTQT_v4[[#This Row],[SL-12]]</f>
        <v>0</v>
      </c>
      <c r="CZ118" s="47">
        <f ca="1">SUM(KH_26_OPT4_KTQT_v4[[#This Row],[CPVC-01]:[CPVC-12]])</f>
        <v>0</v>
      </c>
      <c r="DA118" s="124">
        <f ca="1">KH_26_OPT4_KTQT_v4[[#This Row],[DT-EXW-01]]+KH_26_OPT4_KTQT_v4[[#This Row],[CPVC-01]]+KH_26_OPT4_KTQT_v4[[#This Row],[CPHH-01]]</f>
        <v>0</v>
      </c>
      <c r="DB118" s="47">
        <f ca="1">KH_26_OPT4_KTQT_v4[[#This Row],[DT-EXW-02]]+KH_26_OPT4_KTQT_v4[[#This Row],[CPVC-02]]+KH_26_OPT4_KTQT_v4[[#This Row],[CPHH-02]]</f>
        <v>0</v>
      </c>
      <c r="DC118" s="47">
        <f ca="1">KH_26_OPT4_KTQT_v4[[#This Row],[DT-EXW-03]]+KH_26_OPT4_KTQT_v4[[#This Row],[CPVC-03]]+KH_26_OPT4_KTQT_v4[[#This Row],[CPHH-03]]</f>
        <v>0</v>
      </c>
      <c r="DD118" s="47">
        <f ca="1">KH_26_OPT4_KTQT_v4[[#This Row],[DT-EXW-04]]+KH_26_OPT4_KTQT_v4[[#This Row],[CPVC-04]]+KH_26_OPT4_KTQT_v4[[#This Row],[CPHH-04]]</f>
        <v>0</v>
      </c>
      <c r="DE118" s="47">
        <f ca="1">KH_26_OPT4_KTQT_v4[[#This Row],[DT-EXW-05]]+KH_26_OPT4_KTQT_v4[[#This Row],[CPVC-05]]+KH_26_OPT4_KTQT_v4[[#This Row],[CPHH-05]]</f>
        <v>0</v>
      </c>
      <c r="DF118" s="47">
        <f ca="1">KH_26_OPT4_KTQT_v4[[#This Row],[DT-EXW-06]]+KH_26_OPT4_KTQT_v4[[#This Row],[CPVC-06]]+KH_26_OPT4_KTQT_v4[[#This Row],[CPHH-06]]</f>
        <v>0</v>
      </c>
      <c r="DG118" s="47">
        <f ca="1">KH_26_OPT4_KTQT_v4[[#This Row],[DT-EXW-07]]+KH_26_OPT4_KTQT_v4[[#This Row],[CPVC-07]]+KH_26_OPT4_KTQT_v4[[#This Row],[CPHH-07]]</f>
        <v>0</v>
      </c>
      <c r="DH118" s="47">
        <f ca="1">KH_26_OPT4_KTQT_v4[[#This Row],[DT-EXW-08]]+KH_26_OPT4_KTQT_v4[[#This Row],[CPVC-08]]+KH_26_OPT4_KTQT_v4[[#This Row],[CPHH-08]]</f>
        <v>0</v>
      </c>
      <c r="DI118" s="47">
        <f ca="1">KH_26_OPT4_KTQT_v4[[#This Row],[DT-EXW-09]]+KH_26_OPT4_KTQT_v4[[#This Row],[CPVC-09]]+KH_26_OPT4_KTQT_v4[[#This Row],[CPHH-09]]</f>
        <v>0</v>
      </c>
      <c r="DJ118" s="47">
        <f ca="1">KH_26_OPT4_KTQT_v4[[#This Row],[DT-EXW-10]]+KH_26_OPT4_KTQT_v4[[#This Row],[CPVC-10]]+KH_26_OPT4_KTQT_v4[[#This Row],[CPHH-10]]</f>
        <v>0</v>
      </c>
      <c r="DK118" s="47">
        <f ca="1">KH_26_OPT4_KTQT_v4[[#This Row],[DT-EXW-11]]+KH_26_OPT4_KTQT_v4[[#This Row],[CPVC-11]]+KH_26_OPT4_KTQT_v4[[#This Row],[CPHH-11]]</f>
        <v>0</v>
      </c>
      <c r="DL118" s="47">
        <f ca="1">KH_26_OPT4_KTQT_v4[[#This Row],[DT-EXW-12]]+KH_26_OPT4_KTQT_v4[[#This Row],[CPVC-12]]+KH_26_OPT4_KTQT_v4[[#This Row],[CPHH-12]]</f>
        <v>0</v>
      </c>
      <c r="DM118" s="47">
        <f ca="1">SUM(KH_26_OPT4_KTQT_v4[[#This Row],[DT-01]:[DT-12]])</f>
        <v>0</v>
      </c>
      <c r="DN118" s="7"/>
      <c r="DO118" s="7"/>
      <c r="DP118" s="125"/>
      <c r="DQ118" s="136"/>
      <c r="DR118" s="132">
        <f>IFERROR(KH_26_OPT4_KTQT_v4[[#This Row],[DT-EXW-01]]*KH_26_OPT4_KTQT_v4[[#This Row],[%CPDP]],0)</f>
        <v>0</v>
      </c>
      <c r="DS118" s="132">
        <f>IFERROR(KH_26_OPT4_KTQT_v4[[#This Row],[DT-EXW-02]]*KH_26_OPT4_KTQT_v4[[#This Row],[%CPDP]],0)</f>
        <v>0</v>
      </c>
      <c r="DT118" s="132">
        <f>IFERROR(KH_26_OPT4_KTQT_v4[[#This Row],[DT-EXW-03]]*KH_26_OPT4_KTQT_v4[[#This Row],[%CPDP]],0)</f>
        <v>0</v>
      </c>
      <c r="DU118" s="132">
        <f>IFERROR(KH_26_OPT4_KTQT_v4[[#This Row],[DT-EXW-04]]*KH_26_OPT4_KTQT_v4[[#This Row],[%CPDP]],0)</f>
        <v>0</v>
      </c>
      <c r="DV118" s="132">
        <f>IFERROR(KH_26_OPT4_KTQT_v4[[#This Row],[DT-EXW-05]]*KH_26_OPT4_KTQT_v4[[#This Row],[%CPDP]],0)</f>
        <v>0</v>
      </c>
      <c r="DW118" s="132">
        <f>IFERROR(KH_26_OPT4_KTQT_v4[[#This Row],[DT-EXW-06]]*KH_26_OPT4_KTQT_v4[[#This Row],[%CPDP]],0)</f>
        <v>0</v>
      </c>
      <c r="DX118" s="132">
        <f>IFERROR(KH_26_OPT4_KTQT_v4[[#This Row],[DT-EXW-07]]*KH_26_OPT4_KTQT_v4[[#This Row],[%CPDP]],0)</f>
        <v>0</v>
      </c>
      <c r="DY118" s="132">
        <f>IFERROR(KH_26_OPT4_KTQT_v4[[#This Row],[DT-EXW-08]]*KH_26_OPT4_KTQT_v4[[#This Row],[%CPDP]],0)</f>
        <v>0</v>
      </c>
      <c r="DZ118" s="132">
        <f>IFERROR(KH_26_OPT4_KTQT_v4[[#This Row],[DT-EXW-09]]*KH_26_OPT4_KTQT_v4[[#This Row],[%CPDP]],0)</f>
        <v>0</v>
      </c>
      <c r="EA118" s="132">
        <f>IFERROR(KH_26_OPT4_KTQT_v4[[#This Row],[DT-EXW-10]]*KH_26_OPT4_KTQT_v4[[#This Row],[%CPDP]],0)</f>
        <v>0</v>
      </c>
      <c r="EB118" s="132">
        <f>IFERROR(KH_26_OPT4_KTQT_v4[[#This Row],[DT-EXW-11]]*KH_26_OPT4_KTQT_v4[[#This Row],[%CPDP]],0)</f>
        <v>0</v>
      </c>
      <c r="EC118" s="132">
        <f>IFERROR(KH_26_OPT4_KTQT_v4[[#This Row],[DT-EXW-12]]*KH_26_OPT4_KTQT_v4[[#This Row],[%CPDP]],0)</f>
        <v>0</v>
      </c>
      <c r="ED118" s="131">
        <f ca="1">SUM(KH_26_OPT4_KTQT_v4[[#This Row],[CPDP-01]:[CPDP-12]])</f>
        <v>0</v>
      </c>
    </row>
    <row r="119" spans="1:134" ht="14.65" hidden="1" customHeight="1" x14ac:dyDescent="0.35">
      <c r="A119" s="18">
        <v>114</v>
      </c>
      <c r="B119" s="71" t="s">
        <v>115</v>
      </c>
      <c r="C119" s="18" t="str">
        <f>IFERROR(_xlfn.XLOOKUP(KH_26_OPT4_KTQT_v4[[#This Row],[Salesman]],MD_Salesman[Salesman],MD_Salesman[SalesManager]),"")</f>
        <v>Quốc Anh</v>
      </c>
      <c r="D119" s="72" t="str">
        <f>IFERROR(INDEX(MD_Customer[Mã khách],MATCH(KH_26_OPT4_KTQT_v4[[#This Row],[Tên khách]],MD_Customer[Tên khách-rút gọn],0)),"")</f>
        <v>105291</v>
      </c>
      <c r="E119" s="7" t="str">
        <f>IFERROR(INDEX(MD_Customer[Parent Account],MATCH(KH_26_OPT4_KTQT_v4[[#This Row],[Tên khách]],MD_Customer[Tên khách-rút gọn],0)),"")</f>
        <v>AN NHẬT</v>
      </c>
      <c r="F119" s="35" t="s">
        <v>71</v>
      </c>
      <c r="G119" s="7" t="str">
        <f>IFERROR(INDEX(MD_Customer[Phân loại],MATCH(KH_26_OPT4_KTQT_v4[[#This Row],[Tên khách]],MD_Customer[Tên khách-rút gọn],0)),"")</f>
        <v>Hiện hữu</v>
      </c>
      <c r="H119" s="7" t="str">
        <f>IFERROR(INDEX(MD_Customer[Kênh bán hàng],MATCH(KH_26_OPT4_KTQT_v4[[#This Row],[Tên khách]],MD_Customer[Tên khách-rút gọn],0)),"")</f>
        <v>Nội địa</v>
      </c>
      <c r="I119" s="35" t="s">
        <v>274</v>
      </c>
      <c r="J119" s="7" t="str">
        <f>IFERROR(INDEX(MD_Destination[Nước],MATCH(KH_26_OPT4_KTQT_v4[[#This Row],[Địa điểm đến]],MD_Destination[Địa điểm đến],0)),"")</f>
        <v>Việt Nam</v>
      </c>
      <c r="K119" s="7" t="str">
        <f>IFERROR(INDEX(MD_Destination[Khu vực],MATCH(KH_26_OPT4_KTQT_v4[[#This Row],[Địa điểm đến]],MD_Destination[Địa điểm đến],0)),"")</f>
        <v>Châu Á</v>
      </c>
      <c r="L119" s="35" t="s">
        <v>260</v>
      </c>
      <c r="M119" s="7" t="str">
        <f>IFERROR(INDEX(MD_SKU[Mã SKU],MATCH(KH_26_OPT4_KTQT_v4[[#This Row],[Tên sản phẩm]],MD_SKU[Tên SKU-rút gọn],0)),"")</f>
        <v>110000354</v>
      </c>
      <c r="N119" s="35" t="s">
        <v>456</v>
      </c>
      <c r="O119" s="7" t="str">
        <f>IFERROR(INDEX(MD_SKU[Ngành hàng],MATCH(KH_26_OPT4_KTQT_v4[[#This Row],[Tên sản phẩm]],MD_SKU[Tên SKU-rút gọn],0)),"")</f>
        <v>rPET</v>
      </c>
      <c r="P119" s="7" t="str">
        <f>IFERROR(INDEX(MD_SKU[Nhóm ngành],MATCH(KH_26_OPT4_KTQT_v4[[#This Row],[Tên sản phẩm]],MD_SKU[Tên SKU-rút gọn],0)),"")</f>
        <v>Hạt PET</v>
      </c>
      <c r="Q119" s="7" t="str">
        <f>IFERROR(
   IF(INDEX(MD_SKU[IV/IM],MATCH(KH_26_OPT4_KTQT_v4[[#This Row],[Tên sản phẩm]],MD_SKU[Tên SKU-rút gọn],0))=0,
      "",
      INDEX(MD_SKU[IV/IM],MATCH(KH_26_OPT4_KTQT_v4[[#This Row],[Tên sản phẩm]],MD_SKU[Tên SKU-rút gọn],0))
   ),
"")</f>
        <v>0.78 ± 0.02</v>
      </c>
      <c r="R119" s="44">
        <f>IFERROR(INDEX(MD_SKU[Application],MATCH(KH_26_OPT4_KTQT_v4[[#This Row],[Tên sản phẩm]],MD_SKU[Tên SKU-rút gọn],0)),"")</f>
        <v>0</v>
      </c>
      <c r="S119" s="7" t="str">
        <f>IFERROR(INDEX(MD_SKU[Phân loại],MATCH(KH_26_OPT4_KTQT_v4[[#This Row],[Tên sản phẩm]],MD_SKU[Tên SKU-rút gọn],0)),"")</f>
        <v>Cũ</v>
      </c>
      <c r="T119" s="180" t="s">
        <v>542</v>
      </c>
      <c r="U119" s="7" t="s">
        <v>1508</v>
      </c>
      <c r="V119" s="70">
        <v>0.8</v>
      </c>
      <c r="W119" s="33">
        <v>2.2000000000000002</v>
      </c>
      <c r="X119" s="33">
        <v>2.2000000000000002</v>
      </c>
      <c r="Y119" s="33">
        <v>2.2000000000000002</v>
      </c>
      <c r="Z119" s="33"/>
      <c r="AA119" s="33"/>
      <c r="AB119" s="33">
        <v>2.2000000000000002</v>
      </c>
      <c r="AC119" s="33"/>
      <c r="AD119" s="33"/>
      <c r="AE119" s="33">
        <v>2.2000000000000002</v>
      </c>
      <c r="AF119" s="33"/>
      <c r="AG119" s="33"/>
      <c r="AH119" s="33"/>
      <c r="AI119" s="47">
        <f ca="1">SUM(KH_26_OPT4_KTQT_v4[[#This Row],[SL-01]:[SL-12]])</f>
        <v>11</v>
      </c>
      <c r="AJ119" s="47">
        <f ca="1">SUMIFS(DB_25[SL-DB25],DB_25[Mã khách],KH_26_OPT4_KTQT_v4[[#This Row],[Mã khách]],DB_25[Mã sản phẩm],KH_26_OPT4_KTQT_v4[[#This Row],[Mã sản phẩm]])</f>
        <v>20.9</v>
      </c>
      <c r="AK119" s="20">
        <f ca="1">KH_26_OPT4_KTQT_v4[[#This Row],[SL-KH26]]-KH_26_OPT4_KTQT_v4[[#This Row],[SL-DB25]]</f>
        <v>-9.8999999999999986</v>
      </c>
      <c r="AL119" s="21">
        <f ca="1">IFERROR(KH_26_OPT4_KTQT_v4[[#This Row],[SL-+/-]]/KH_26_OPT4_KTQT_v4[[#This Row],[SL-DB25]],0)</f>
        <v>-0.47368421052631576</v>
      </c>
      <c r="AM119" s="51">
        <v>1150</v>
      </c>
      <c r="AN119" s="51">
        <v>1150</v>
      </c>
      <c r="AO119" s="51">
        <v>1150</v>
      </c>
      <c r="AP119" s="51">
        <v>1150</v>
      </c>
      <c r="AQ119" s="51">
        <v>1150</v>
      </c>
      <c r="AR119" s="51">
        <v>1150</v>
      </c>
      <c r="AS119" s="51">
        <v>1150</v>
      </c>
      <c r="AT119" s="51">
        <v>1150</v>
      </c>
      <c r="AU119" s="51">
        <v>1150</v>
      </c>
      <c r="AV119" s="51">
        <v>1150</v>
      </c>
      <c r="AW119" s="51">
        <v>1150</v>
      </c>
      <c r="AX119" s="51">
        <v>1150</v>
      </c>
      <c r="AY119" s="23">
        <v>1150</v>
      </c>
      <c r="AZ119" s="7"/>
      <c r="BA119" s="24">
        <f>KH_26_OPT4_KTQT_v4[[#This Row],[GB-DB25]]-KH_26_OPT4_KTQT_v4[[#This Row],[GB-KH25]]</f>
        <v>1150</v>
      </c>
      <c r="BB119" s="21">
        <f>IFERROR(KH_26_OPT4_KTQT_v4[[#This Row],[GB-+/-]]/KH_26_OPT4_KTQT_v4[[#This Row],[GB-KH25]],0)</f>
        <v>0</v>
      </c>
      <c r="BC119" s="21"/>
      <c r="BD119" s="47">
        <f>KH_26_OPT4_KTQT_v4[[#This Row],[SL-01]]*KH_26_OPT4_KTQT_v4[[#This Row],[GB-01]]*EXR</f>
        <v>67045000</v>
      </c>
      <c r="BE119" s="47">
        <f>KH_26_OPT4_KTQT_v4[[#This Row],[SL-02]]*KH_26_OPT4_KTQT_v4[[#This Row],[GB-02]]*EXR</f>
        <v>67045000</v>
      </c>
      <c r="BF119" s="47">
        <f>KH_26_OPT4_KTQT_v4[[#This Row],[SL-03]]*KH_26_OPT4_KTQT_v4[[#This Row],[GB-03]]*EXR</f>
        <v>67045000</v>
      </c>
      <c r="BG119" s="47">
        <f>KH_26_OPT4_KTQT_v4[[#This Row],[SL-04]]*KH_26_OPT4_KTQT_v4[[#This Row],[GB-04]]*EXR</f>
        <v>0</v>
      </c>
      <c r="BH119" s="47">
        <f>KH_26_OPT4_KTQT_v4[[#This Row],[SL-05]]*KH_26_OPT4_KTQT_v4[[#This Row],[GB-05]]*EXR</f>
        <v>0</v>
      </c>
      <c r="BI119" s="47">
        <f>KH_26_OPT4_KTQT_v4[[#This Row],[SL-06]]*KH_26_OPT4_KTQT_v4[[#This Row],[GB-06]]*EXR</f>
        <v>67045000</v>
      </c>
      <c r="BJ119" s="47">
        <f>KH_26_OPT4_KTQT_v4[[#This Row],[SL-07]]*KH_26_OPT4_KTQT_v4[[#This Row],[GB-07]]*EXR</f>
        <v>0</v>
      </c>
      <c r="BK119" s="47">
        <f>KH_26_OPT4_KTQT_v4[[#This Row],[SL-08]]*KH_26_OPT4_KTQT_v4[[#This Row],[GB-08]]*EXR</f>
        <v>0</v>
      </c>
      <c r="BL119" s="47">
        <f>KH_26_OPT4_KTQT_v4[[#This Row],[SL-09]]*KH_26_OPT4_KTQT_v4[[#This Row],[GB-09]]*EXR</f>
        <v>67045000</v>
      </c>
      <c r="BM119" s="47">
        <f>KH_26_OPT4_KTQT_v4[[#This Row],[SL-10]]*KH_26_OPT4_KTQT_v4[[#This Row],[GB-10]]*EXR</f>
        <v>0</v>
      </c>
      <c r="BN119" s="47">
        <f>KH_26_OPT4_KTQT_v4[[#This Row],[SL-11]]*KH_26_OPT4_KTQT_v4[[#This Row],[GB-11]]*EXR</f>
        <v>0</v>
      </c>
      <c r="BO119" s="47">
        <f>KH_26_OPT4_KTQT_v4[[#This Row],[SL-12]]*KH_26_OPT4_KTQT_v4[[#This Row],[GB-12]]*EXR</f>
        <v>0</v>
      </c>
      <c r="BP119" s="47">
        <f ca="1">SUM(KH_26_OPT4_KTQT_v4[[#This Row],[DT-EXW-01]:[DT-EXW-12]])</f>
        <v>335225000</v>
      </c>
      <c r="BQ119" s="47">
        <f ca="1">SUMIFS(DB_25[DT-DB25],DB_25[Mã khách],KH_26_OPT4_KTQT_v4[[#This Row],[Mã khách]],DB_25[Mã sản phẩm],KH_26_OPT4_KTQT_v4[[#This Row],[Mã sản phẩm]])</f>
        <v>681283135.9529748</v>
      </c>
      <c r="BR119" s="47">
        <f ca="1">KH_26_OPT4_KTQT_v4[[#This Row],[DT-EXW-KH26]]-KH_26_OPT4_KTQT_v4[[#This Row],[DT-EXW-DB25]]</f>
        <v>-346058135.9529748</v>
      </c>
      <c r="BS119" s="21">
        <f ca="1">IFERROR(KH_26_OPT4_KTQT_v4[[#This Row],[DT-EXW-+/-]]/KH_26_OPT4_KTQT_v4[[#This Row],[DT-EXW-DB25]],0)</f>
        <v>-0.50795053875641694</v>
      </c>
      <c r="BT119" s="139"/>
      <c r="BU119" s="57"/>
      <c r="BV119" s="51"/>
      <c r="BW119" s="47">
        <f>IF(KH_26_OPT4_KTQT_v4[[#This Row],[CPHH-%-SL]]="Dthu",KH_26_OPT4_KTQT_v4[[#This Row],[%HH]]*KH_26_OPT4_KTQT_v4[[#This Row],[DT-EXW-01]],KH_26_OPT4_KTQT_v4[[#This Row],[HH-SL]]*KH_26_OPT4_KTQT_v4[[#This Row],[SL-01]])</f>
        <v>0</v>
      </c>
      <c r="BX119" s="47">
        <f>IF(KH_26_OPT4_KTQT_v4[[#This Row],[CPHH-%-SL]]="Dthu",KH_26_OPT4_KTQT_v4[[#This Row],[%HH]]*KH_26_OPT4_KTQT_v4[[#This Row],[DT-EXW-02]],KH_26_OPT4_KTQT_v4[[#This Row],[HH-SL]]*KH_26_OPT4_KTQT_v4[[#This Row],[SL-02]])</f>
        <v>0</v>
      </c>
      <c r="BY119" s="47">
        <f>IF(KH_26_OPT4_KTQT_v4[[#This Row],[CPHH-%-SL]]="Dthu",KH_26_OPT4_KTQT_v4[[#This Row],[%HH]]*KH_26_OPT4_KTQT_v4[[#This Row],[DT-EXW-03]],KH_26_OPT4_KTQT_v4[[#This Row],[HH-SL]]*KH_26_OPT4_KTQT_v4[[#This Row],[SL-03]])</f>
        <v>0</v>
      </c>
      <c r="BZ119" s="47">
        <f>IF(KH_26_OPT4_KTQT_v4[[#This Row],[CPHH-%-SL]]="Dthu",KH_26_OPT4_KTQT_v4[[#This Row],[%HH]]*KH_26_OPT4_KTQT_v4[[#This Row],[DT-EXW-04]],KH_26_OPT4_KTQT_v4[[#This Row],[HH-SL]]*KH_26_OPT4_KTQT_v4[[#This Row],[SL-04]])</f>
        <v>0</v>
      </c>
      <c r="CA119" s="47">
        <f>IF(KH_26_OPT4_KTQT_v4[[#This Row],[CPHH-%-SL]]="Dthu",KH_26_OPT4_KTQT_v4[[#This Row],[%HH]]*KH_26_OPT4_KTQT_v4[[#This Row],[DT-EXW-05]],KH_26_OPT4_KTQT_v4[[#This Row],[HH-SL]]*KH_26_OPT4_KTQT_v4[[#This Row],[SL-05]])</f>
        <v>0</v>
      </c>
      <c r="CB119" s="47">
        <f>IF(KH_26_OPT4_KTQT_v4[[#This Row],[CPHH-%-SL]]="Dthu",KH_26_OPT4_KTQT_v4[[#This Row],[%HH]]*KH_26_OPT4_KTQT_v4[[#This Row],[DT-EXW-06]],KH_26_OPT4_KTQT_v4[[#This Row],[HH-SL]]*KH_26_OPT4_KTQT_v4[[#This Row],[SL-06]])</f>
        <v>0</v>
      </c>
      <c r="CC119" s="47">
        <f>IF(KH_26_OPT4_KTQT_v4[[#This Row],[CPHH-%-SL]]="Dthu",KH_26_OPT4_KTQT_v4[[#This Row],[%HH]]*KH_26_OPT4_KTQT_v4[[#This Row],[DT-EXW-07]],KH_26_OPT4_KTQT_v4[[#This Row],[HH-SL]]*KH_26_OPT4_KTQT_v4[[#This Row],[SL-07]])</f>
        <v>0</v>
      </c>
      <c r="CD119" s="47">
        <f>IF(KH_26_OPT4_KTQT_v4[[#This Row],[CPHH-%-SL]]="Dthu",KH_26_OPT4_KTQT_v4[[#This Row],[%HH]]*KH_26_OPT4_KTQT_v4[[#This Row],[DT-EXW-08]],KH_26_OPT4_KTQT_v4[[#This Row],[HH-SL]]*KH_26_OPT4_KTQT_v4[[#This Row],[SL-08]])</f>
        <v>0</v>
      </c>
      <c r="CE119" s="47">
        <f>IF(KH_26_OPT4_KTQT_v4[[#This Row],[CPHH-%-SL]]="Dthu",KH_26_OPT4_KTQT_v4[[#This Row],[%HH]]*KH_26_OPT4_KTQT_v4[[#This Row],[DT-EXW-09]],KH_26_OPT4_KTQT_v4[[#This Row],[HH-SL]]*KH_26_OPT4_KTQT_v4[[#This Row],[SL-09]])</f>
        <v>0</v>
      </c>
      <c r="CF119" s="47">
        <f>IF(KH_26_OPT4_KTQT_v4[[#This Row],[CPHH-%-SL]]="Dthu",KH_26_OPT4_KTQT_v4[[#This Row],[%HH]]*KH_26_OPT4_KTQT_v4[[#This Row],[DT-EXW-10]],KH_26_OPT4_KTQT_v4[[#This Row],[HH-SL]]*KH_26_OPT4_KTQT_v4[[#This Row],[SL-10]])</f>
        <v>0</v>
      </c>
      <c r="CG119" s="47">
        <f>IF(KH_26_OPT4_KTQT_v4[[#This Row],[CPHH-%-SL]]="Dthu",KH_26_OPT4_KTQT_v4[[#This Row],[%HH]]*KH_26_OPT4_KTQT_v4[[#This Row],[DT-EXW-11]],KH_26_OPT4_KTQT_v4[[#This Row],[HH-SL]]*KH_26_OPT4_KTQT_v4[[#This Row],[SL-11]])</f>
        <v>0</v>
      </c>
      <c r="CH119" s="47">
        <f>IF(KH_26_OPT4_KTQT_v4[[#This Row],[CPHH-%-SL]]="Dthu",KH_26_OPT4_KTQT_v4[[#This Row],[%HH]]*KH_26_OPT4_KTQT_v4[[#This Row],[DT-EXW-12]],KH_26_OPT4_KTQT_v4[[#This Row],[HH-SL]]*KH_26_OPT4_KTQT_v4[[#This Row],[SL-12]])</f>
        <v>0</v>
      </c>
      <c r="CI119" s="47">
        <f ca="1">SUM(KH_26_OPT4_KTQT_v4[[#This Row],[CPHH-01]:[CPHH-12]])</f>
        <v>0</v>
      </c>
      <c r="CJ119" s="47" cm="1">
        <f t="array" ref="CJ119">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19" s="19">
        <f ca="1">SUM(KH_26_OPT4_KTQT_v4[[#This Row],[ĐGVCNĐ-KXK]:[ĐGVCCT-KXK]])</f>
        <v>0</v>
      </c>
      <c r="CL119" s="47" cm="1">
        <f t="array" ref="CL119">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119" s="47" cm="1">
        <f t="array" ref="CM119">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19" s="47">
        <f ca="1">(KH_26_OPT4_KTQT_v4[[#This Row],[ĐGVC-KNĐ]]+KH_26_OPT4_KTQT_v4[[#This Row],[ĐGVC-KXK]])*KH_26_OPT4_KTQT_v4[[#This Row],[SL-01]]</f>
        <v>0</v>
      </c>
      <c r="CO119" s="47">
        <f ca="1">(KH_26_OPT4_KTQT_v4[[#This Row],[ĐGVC-KNĐ]]+KH_26_OPT4_KTQT_v4[[#This Row],[ĐGVC-KXK]])*KH_26_OPT4_KTQT_v4[[#This Row],[SL-02]]</f>
        <v>0</v>
      </c>
      <c r="CP119" s="47">
        <f ca="1">(KH_26_OPT4_KTQT_v4[[#This Row],[ĐGVC-KNĐ]]+KH_26_OPT4_KTQT_v4[[#This Row],[ĐGVC-KXK]])*KH_26_OPT4_KTQT_v4[[#This Row],[SL-03]]</f>
        <v>0</v>
      </c>
      <c r="CQ119" s="47">
        <f ca="1">(KH_26_OPT4_KTQT_v4[[#This Row],[ĐGVC-KNĐ]]+KH_26_OPT4_KTQT_v4[[#This Row],[ĐGVC-KXK]])*KH_26_OPT4_KTQT_v4[[#This Row],[SL-04]]</f>
        <v>0</v>
      </c>
      <c r="CR119" s="47">
        <f ca="1">(KH_26_OPT4_KTQT_v4[[#This Row],[ĐGVC-KNĐ]]+KH_26_OPT4_KTQT_v4[[#This Row],[ĐGVC-KXK]])*KH_26_OPT4_KTQT_v4[[#This Row],[SL-05]]</f>
        <v>0</v>
      </c>
      <c r="CS119" s="47">
        <f ca="1">(KH_26_OPT4_KTQT_v4[[#This Row],[ĐGVC-KNĐ]]+KH_26_OPT4_KTQT_v4[[#This Row],[ĐGVC-KXK]])*KH_26_OPT4_KTQT_v4[[#This Row],[SL-06]]</f>
        <v>0</v>
      </c>
      <c r="CT119" s="47">
        <f ca="1">(KH_26_OPT4_KTQT_v4[[#This Row],[ĐGVC-KNĐ]]+KH_26_OPT4_KTQT_v4[[#This Row],[ĐGVC-KXK]])*KH_26_OPT4_KTQT_v4[[#This Row],[SL-07]]</f>
        <v>0</v>
      </c>
      <c r="CU119" s="47">
        <f ca="1">(KH_26_OPT4_KTQT_v4[[#This Row],[ĐGVC-KNĐ]]+KH_26_OPT4_KTQT_v4[[#This Row],[ĐGVC-KXK]])*KH_26_OPT4_KTQT_v4[[#This Row],[SL-08]]</f>
        <v>0</v>
      </c>
      <c r="CV119" s="47">
        <f ca="1">(KH_26_OPT4_KTQT_v4[[#This Row],[ĐGVC-KNĐ]]+KH_26_OPT4_KTQT_v4[[#This Row],[ĐGVC-KXK]])*KH_26_OPT4_KTQT_v4[[#This Row],[SL-09]]</f>
        <v>0</v>
      </c>
      <c r="CW119" s="47">
        <f ca="1">(KH_26_OPT4_KTQT_v4[[#This Row],[ĐGVC-KNĐ]]+KH_26_OPT4_KTQT_v4[[#This Row],[ĐGVC-KXK]])*KH_26_OPT4_KTQT_v4[[#This Row],[SL-10]]</f>
        <v>0</v>
      </c>
      <c r="CX119" s="47">
        <f ca="1">(KH_26_OPT4_KTQT_v4[[#This Row],[ĐGVC-KNĐ]]+KH_26_OPT4_KTQT_v4[[#This Row],[ĐGVC-KXK]])*KH_26_OPT4_KTQT_v4[[#This Row],[SL-11]]</f>
        <v>0</v>
      </c>
      <c r="CY119" s="47">
        <f ca="1">(KH_26_OPT4_KTQT_v4[[#This Row],[ĐGVC-KNĐ]]+KH_26_OPT4_KTQT_v4[[#This Row],[ĐGVC-KXK]])*KH_26_OPT4_KTQT_v4[[#This Row],[SL-12]]</f>
        <v>0</v>
      </c>
      <c r="CZ119" s="47">
        <f ca="1">SUM(KH_26_OPT4_KTQT_v4[[#This Row],[CPVC-01]:[CPVC-12]])</f>
        <v>0</v>
      </c>
      <c r="DA119" s="124">
        <f ca="1">KH_26_OPT4_KTQT_v4[[#This Row],[DT-EXW-01]]+KH_26_OPT4_KTQT_v4[[#This Row],[CPVC-01]]+KH_26_OPT4_KTQT_v4[[#This Row],[CPHH-01]]</f>
        <v>67045000</v>
      </c>
      <c r="DB119" s="47">
        <f ca="1">KH_26_OPT4_KTQT_v4[[#This Row],[DT-EXW-02]]+KH_26_OPT4_KTQT_v4[[#This Row],[CPVC-02]]+KH_26_OPT4_KTQT_v4[[#This Row],[CPHH-02]]</f>
        <v>67045000</v>
      </c>
      <c r="DC119" s="47">
        <f ca="1">KH_26_OPT4_KTQT_v4[[#This Row],[DT-EXW-03]]+KH_26_OPT4_KTQT_v4[[#This Row],[CPVC-03]]+KH_26_OPT4_KTQT_v4[[#This Row],[CPHH-03]]</f>
        <v>67045000</v>
      </c>
      <c r="DD119" s="47">
        <f ca="1">KH_26_OPT4_KTQT_v4[[#This Row],[DT-EXW-04]]+KH_26_OPT4_KTQT_v4[[#This Row],[CPVC-04]]+KH_26_OPT4_KTQT_v4[[#This Row],[CPHH-04]]</f>
        <v>0</v>
      </c>
      <c r="DE119" s="47">
        <f ca="1">KH_26_OPT4_KTQT_v4[[#This Row],[DT-EXW-05]]+KH_26_OPT4_KTQT_v4[[#This Row],[CPVC-05]]+KH_26_OPT4_KTQT_v4[[#This Row],[CPHH-05]]</f>
        <v>0</v>
      </c>
      <c r="DF119" s="47">
        <f ca="1">KH_26_OPT4_KTQT_v4[[#This Row],[DT-EXW-06]]+KH_26_OPT4_KTQT_v4[[#This Row],[CPVC-06]]+KH_26_OPT4_KTQT_v4[[#This Row],[CPHH-06]]</f>
        <v>67045000</v>
      </c>
      <c r="DG119" s="47">
        <f ca="1">KH_26_OPT4_KTQT_v4[[#This Row],[DT-EXW-07]]+KH_26_OPT4_KTQT_v4[[#This Row],[CPVC-07]]+KH_26_OPT4_KTQT_v4[[#This Row],[CPHH-07]]</f>
        <v>0</v>
      </c>
      <c r="DH119" s="47">
        <f ca="1">KH_26_OPT4_KTQT_v4[[#This Row],[DT-EXW-08]]+KH_26_OPT4_KTQT_v4[[#This Row],[CPVC-08]]+KH_26_OPT4_KTQT_v4[[#This Row],[CPHH-08]]</f>
        <v>0</v>
      </c>
      <c r="DI119" s="47">
        <f ca="1">KH_26_OPT4_KTQT_v4[[#This Row],[DT-EXW-09]]+KH_26_OPT4_KTQT_v4[[#This Row],[CPVC-09]]+KH_26_OPT4_KTQT_v4[[#This Row],[CPHH-09]]</f>
        <v>67045000</v>
      </c>
      <c r="DJ119" s="47">
        <f ca="1">KH_26_OPT4_KTQT_v4[[#This Row],[DT-EXW-10]]+KH_26_OPT4_KTQT_v4[[#This Row],[CPVC-10]]+KH_26_OPT4_KTQT_v4[[#This Row],[CPHH-10]]</f>
        <v>0</v>
      </c>
      <c r="DK119" s="47">
        <f ca="1">KH_26_OPT4_KTQT_v4[[#This Row],[DT-EXW-11]]+KH_26_OPT4_KTQT_v4[[#This Row],[CPVC-11]]+KH_26_OPT4_KTQT_v4[[#This Row],[CPHH-11]]</f>
        <v>0</v>
      </c>
      <c r="DL119" s="47">
        <f ca="1">KH_26_OPT4_KTQT_v4[[#This Row],[DT-EXW-12]]+KH_26_OPT4_KTQT_v4[[#This Row],[CPVC-12]]+KH_26_OPT4_KTQT_v4[[#This Row],[CPHH-12]]</f>
        <v>0</v>
      </c>
      <c r="DM119" s="47">
        <f ca="1">SUM(KH_26_OPT4_KTQT_v4[[#This Row],[DT-01]:[DT-12]])</f>
        <v>335225000</v>
      </c>
      <c r="DN119" s="7"/>
      <c r="DO119" s="7"/>
      <c r="DP119" s="125"/>
      <c r="DQ119" s="136"/>
      <c r="DR119" s="132">
        <f>IFERROR(KH_26_OPT4_KTQT_v4[[#This Row],[DT-EXW-01]]*KH_26_OPT4_KTQT_v4[[#This Row],[%CPDP]],0)</f>
        <v>0</v>
      </c>
      <c r="DS119" s="132">
        <f>IFERROR(KH_26_OPT4_KTQT_v4[[#This Row],[DT-EXW-02]]*KH_26_OPT4_KTQT_v4[[#This Row],[%CPDP]],0)</f>
        <v>0</v>
      </c>
      <c r="DT119" s="132">
        <f>IFERROR(KH_26_OPT4_KTQT_v4[[#This Row],[DT-EXW-03]]*KH_26_OPT4_KTQT_v4[[#This Row],[%CPDP]],0)</f>
        <v>0</v>
      </c>
      <c r="DU119" s="132">
        <f>IFERROR(KH_26_OPT4_KTQT_v4[[#This Row],[DT-EXW-04]]*KH_26_OPT4_KTQT_v4[[#This Row],[%CPDP]],0)</f>
        <v>0</v>
      </c>
      <c r="DV119" s="132">
        <f>IFERROR(KH_26_OPT4_KTQT_v4[[#This Row],[DT-EXW-05]]*KH_26_OPT4_KTQT_v4[[#This Row],[%CPDP]],0)</f>
        <v>0</v>
      </c>
      <c r="DW119" s="132">
        <f>IFERROR(KH_26_OPT4_KTQT_v4[[#This Row],[DT-EXW-06]]*KH_26_OPT4_KTQT_v4[[#This Row],[%CPDP]],0)</f>
        <v>0</v>
      </c>
      <c r="DX119" s="132">
        <f>IFERROR(KH_26_OPT4_KTQT_v4[[#This Row],[DT-EXW-07]]*KH_26_OPT4_KTQT_v4[[#This Row],[%CPDP]],0)</f>
        <v>0</v>
      </c>
      <c r="DY119" s="132">
        <f>IFERROR(KH_26_OPT4_KTQT_v4[[#This Row],[DT-EXW-08]]*KH_26_OPT4_KTQT_v4[[#This Row],[%CPDP]],0)</f>
        <v>0</v>
      </c>
      <c r="DZ119" s="132">
        <f>IFERROR(KH_26_OPT4_KTQT_v4[[#This Row],[DT-EXW-09]]*KH_26_OPT4_KTQT_v4[[#This Row],[%CPDP]],0)</f>
        <v>0</v>
      </c>
      <c r="EA119" s="132">
        <f>IFERROR(KH_26_OPT4_KTQT_v4[[#This Row],[DT-EXW-10]]*KH_26_OPT4_KTQT_v4[[#This Row],[%CPDP]],0)</f>
        <v>0</v>
      </c>
      <c r="EB119" s="132">
        <f>IFERROR(KH_26_OPT4_KTQT_v4[[#This Row],[DT-EXW-11]]*KH_26_OPT4_KTQT_v4[[#This Row],[%CPDP]],0)</f>
        <v>0</v>
      </c>
      <c r="EC119" s="132">
        <f>IFERROR(KH_26_OPT4_KTQT_v4[[#This Row],[DT-EXW-12]]*KH_26_OPT4_KTQT_v4[[#This Row],[%CPDP]],0)</f>
        <v>0</v>
      </c>
      <c r="ED119" s="131">
        <f ca="1">SUM(KH_26_OPT4_KTQT_v4[[#This Row],[CPDP-01]:[CPDP-12]])</f>
        <v>0</v>
      </c>
    </row>
    <row r="120" spans="1:134" ht="14.65" hidden="1" customHeight="1" x14ac:dyDescent="0.35">
      <c r="A120" s="18">
        <v>115</v>
      </c>
      <c r="B120" s="71" t="s">
        <v>115</v>
      </c>
      <c r="C120" s="18" t="str">
        <f>IFERROR(_xlfn.XLOOKUP(KH_26_OPT4_KTQT_v4[[#This Row],[Salesman]],MD_Salesman[Salesman],MD_Salesman[SalesManager]),"")</f>
        <v>Quốc Anh</v>
      </c>
      <c r="D120" s="72" t="str">
        <f>IFERROR(INDEX(MD_Customer[Mã khách],MATCH(KH_26_OPT4_KTQT_v4[[#This Row],[Tên khách]],MD_Customer[Tên khách-rút gọn],0)),"")</f>
        <v>105248</v>
      </c>
      <c r="E120" s="7" t="str">
        <f>IFERROR(INDEX(MD_Customer[Parent Account],MATCH(KH_26_OPT4_KTQT_v4[[#This Row],[Tên khách]],MD_Customer[Tên khách-rút gọn],0)),"")</f>
        <v>ĐẠI NHẤT LONG</v>
      </c>
      <c r="F120" s="35" t="s">
        <v>62</v>
      </c>
      <c r="G120" s="7" t="str">
        <f>IFERROR(INDEX(MD_Customer[Phân loại],MATCH(KH_26_OPT4_KTQT_v4[[#This Row],[Tên khách]],MD_Customer[Tên khách-rút gọn],0)),"")</f>
        <v>Hiện hữu</v>
      </c>
      <c r="H120" s="7" t="str">
        <f>IFERROR(INDEX(MD_Customer[Kênh bán hàng],MATCH(KH_26_OPT4_KTQT_v4[[#This Row],[Tên khách]],MD_Customer[Tên khách-rút gọn],0)),"")</f>
        <v>Nội địa</v>
      </c>
      <c r="I120" s="35" t="s">
        <v>258</v>
      </c>
      <c r="J120" s="7" t="str">
        <f>IFERROR(INDEX(MD_Destination[Nước],MATCH(KH_26_OPT4_KTQT_v4[[#This Row],[Địa điểm đến]],MD_Destination[Địa điểm đến],0)),"")</f>
        <v>Việt Nam</v>
      </c>
      <c r="K120" s="7" t="str">
        <f>IFERROR(INDEX(MD_Destination[Khu vực],MATCH(KH_26_OPT4_KTQT_v4[[#This Row],[Địa điểm đến]],MD_Destination[Địa điểm đến],0)),"")</f>
        <v>Châu Á</v>
      </c>
      <c r="L120" s="35" t="s">
        <v>262</v>
      </c>
      <c r="M120" s="7" t="str">
        <f>IFERROR(INDEX(MD_SKU[Mã SKU],MATCH(KH_26_OPT4_KTQT_v4[[#This Row],[Tên sản phẩm]],MD_SKU[Tên SKU-rút gọn],0)),"")</f>
        <v>110000407</v>
      </c>
      <c r="N120" s="35" t="s">
        <v>470</v>
      </c>
      <c r="O120" s="7" t="str">
        <f>IFERROR(INDEX(MD_SKU[Ngành hàng],MATCH(KH_26_OPT4_KTQT_v4[[#This Row],[Tên sản phẩm]],MD_SKU[Tên SKU-rút gọn],0)),"")</f>
        <v>rHDPE ép</v>
      </c>
      <c r="P120" s="7" t="str">
        <f>IFERROR(INDEX(MD_SKU[Nhóm ngành],MATCH(KH_26_OPT4_KTQT_v4[[#This Row],[Tên sản phẩm]],MD_SKU[Tên SKU-rút gọn],0)),"")</f>
        <v>Vảy HD ép</v>
      </c>
      <c r="Q120" s="7" t="str">
        <f>IFERROR(
   IF(INDEX(MD_SKU[IV/IM],MATCH(KH_26_OPT4_KTQT_v4[[#This Row],[Tên sản phẩm]],MD_SKU[Tên SKU-rút gọn],0))=0,
      "",
      INDEX(MD_SKU[IV/IM],MATCH(KH_26_OPT4_KTQT_v4[[#This Row],[Tên sản phẩm]],MD_SKU[Tên SKU-rút gọn],0))
   ),
"")</f>
        <v/>
      </c>
      <c r="R120" s="44">
        <f>IFERROR(INDEX(MD_SKU[Application],MATCH(KH_26_OPT4_KTQT_v4[[#This Row],[Tên sản phẩm]],MD_SKU[Tên SKU-rút gọn],0)),"")</f>
        <v>0</v>
      </c>
      <c r="S120" s="7" t="str">
        <f>IFERROR(INDEX(MD_SKU[Phân loại],MATCH(KH_26_OPT4_KTQT_v4[[#This Row],[Tên sản phẩm]],MD_SKU[Tên SKU-rút gọn],0)),"")</f>
        <v>Cũ</v>
      </c>
      <c r="T120" s="7" t="s">
        <v>542</v>
      </c>
      <c r="U120" s="7" t="s">
        <v>1508</v>
      </c>
      <c r="V120" s="70">
        <v>0.8</v>
      </c>
      <c r="W120" s="33"/>
      <c r="X120" s="33"/>
      <c r="Y120" s="33"/>
      <c r="Z120" s="33"/>
      <c r="AA120" s="33"/>
      <c r="AB120" s="33"/>
      <c r="AC120" s="33"/>
      <c r="AD120" s="33"/>
      <c r="AE120" s="33"/>
      <c r="AF120" s="33"/>
      <c r="AG120" s="33"/>
      <c r="AH120" s="33"/>
      <c r="AI120" s="47">
        <f ca="1">SUM(KH_26_OPT4_KTQT_v4[[#This Row],[SL-01]:[SL-12]])</f>
        <v>0</v>
      </c>
      <c r="AJ120" s="47">
        <f ca="1">SUMIFS(DB_25[SL-DB25],DB_25[Mã khách],KH_26_OPT4_KTQT_v4[[#This Row],[Mã khách]],DB_25[Mã sản phẩm],KH_26_OPT4_KTQT_v4[[#This Row],[Mã sản phẩm]])</f>
        <v>34.25</v>
      </c>
      <c r="AK120" s="20">
        <f ca="1">KH_26_OPT4_KTQT_v4[[#This Row],[SL-KH26]]-KH_26_OPT4_KTQT_v4[[#This Row],[SL-DB25]]</f>
        <v>-34.25</v>
      </c>
      <c r="AL120" s="21">
        <f ca="1">IFERROR(KH_26_OPT4_KTQT_v4[[#This Row],[SL-+/-]]/KH_26_OPT4_KTQT_v4[[#This Row],[SL-DB25]],0)</f>
        <v>-1</v>
      </c>
      <c r="AM120" s="51">
        <v>560</v>
      </c>
      <c r="AN120" s="51">
        <v>560</v>
      </c>
      <c r="AO120" s="51">
        <v>560</v>
      </c>
      <c r="AP120" s="51">
        <v>560</v>
      </c>
      <c r="AQ120" s="51">
        <v>560</v>
      </c>
      <c r="AR120" s="51">
        <v>560</v>
      </c>
      <c r="AS120" s="51">
        <v>560</v>
      </c>
      <c r="AT120" s="51">
        <v>560</v>
      </c>
      <c r="AU120" s="51">
        <v>560</v>
      </c>
      <c r="AV120" s="51">
        <v>560</v>
      </c>
      <c r="AW120" s="51">
        <v>560</v>
      </c>
      <c r="AX120" s="51">
        <v>560</v>
      </c>
      <c r="AY120" s="23">
        <v>560</v>
      </c>
      <c r="AZ120" s="7"/>
      <c r="BA120" s="24">
        <f>KH_26_OPT4_KTQT_v4[[#This Row],[GB-DB25]]-KH_26_OPT4_KTQT_v4[[#This Row],[GB-KH25]]</f>
        <v>560</v>
      </c>
      <c r="BB120" s="21">
        <f>IFERROR(KH_26_OPT4_KTQT_v4[[#This Row],[GB-+/-]]/KH_26_OPT4_KTQT_v4[[#This Row],[GB-KH25]],0)</f>
        <v>0</v>
      </c>
      <c r="BC120" s="21"/>
      <c r="BD120" s="47">
        <f>KH_26_OPT4_KTQT_v4[[#This Row],[SL-01]]*KH_26_OPT4_KTQT_v4[[#This Row],[GB-01]]*EXR</f>
        <v>0</v>
      </c>
      <c r="BE120" s="47">
        <f>KH_26_OPT4_KTQT_v4[[#This Row],[SL-02]]*KH_26_OPT4_KTQT_v4[[#This Row],[GB-02]]*EXR</f>
        <v>0</v>
      </c>
      <c r="BF120" s="47">
        <f>KH_26_OPT4_KTQT_v4[[#This Row],[SL-03]]*KH_26_OPT4_KTQT_v4[[#This Row],[GB-03]]*EXR</f>
        <v>0</v>
      </c>
      <c r="BG120" s="47">
        <f>KH_26_OPT4_KTQT_v4[[#This Row],[SL-04]]*KH_26_OPT4_KTQT_v4[[#This Row],[GB-04]]*EXR</f>
        <v>0</v>
      </c>
      <c r="BH120" s="47">
        <f>KH_26_OPT4_KTQT_v4[[#This Row],[SL-05]]*KH_26_OPT4_KTQT_v4[[#This Row],[GB-05]]*EXR</f>
        <v>0</v>
      </c>
      <c r="BI120" s="47">
        <f>KH_26_OPT4_KTQT_v4[[#This Row],[SL-06]]*KH_26_OPT4_KTQT_v4[[#This Row],[GB-06]]*EXR</f>
        <v>0</v>
      </c>
      <c r="BJ120" s="47">
        <f>KH_26_OPT4_KTQT_v4[[#This Row],[SL-07]]*KH_26_OPT4_KTQT_v4[[#This Row],[GB-07]]*EXR</f>
        <v>0</v>
      </c>
      <c r="BK120" s="47">
        <f>KH_26_OPT4_KTQT_v4[[#This Row],[SL-08]]*KH_26_OPT4_KTQT_v4[[#This Row],[GB-08]]*EXR</f>
        <v>0</v>
      </c>
      <c r="BL120" s="47">
        <f>KH_26_OPT4_KTQT_v4[[#This Row],[SL-09]]*KH_26_OPT4_KTQT_v4[[#This Row],[GB-09]]*EXR</f>
        <v>0</v>
      </c>
      <c r="BM120" s="47">
        <f>KH_26_OPT4_KTQT_v4[[#This Row],[SL-10]]*KH_26_OPT4_KTQT_v4[[#This Row],[GB-10]]*EXR</f>
        <v>0</v>
      </c>
      <c r="BN120" s="47">
        <f>KH_26_OPT4_KTQT_v4[[#This Row],[SL-11]]*KH_26_OPT4_KTQT_v4[[#This Row],[GB-11]]*EXR</f>
        <v>0</v>
      </c>
      <c r="BO120" s="47">
        <f>KH_26_OPT4_KTQT_v4[[#This Row],[SL-12]]*KH_26_OPT4_KTQT_v4[[#This Row],[GB-12]]*EXR</f>
        <v>0</v>
      </c>
      <c r="BP120" s="47">
        <f ca="1">SUM(KH_26_OPT4_KTQT_v4[[#This Row],[DT-EXW-01]:[DT-EXW-12]])</f>
        <v>0</v>
      </c>
      <c r="BQ120" s="47">
        <f ca="1">SUMIFS(DB_25[DT-DB25],DB_25[Mã khách],KH_26_OPT4_KTQT_v4[[#This Row],[Mã khách]],DB_25[Mã sản phẩm],KH_26_OPT4_KTQT_v4[[#This Row],[Mã sản phẩm]])</f>
        <v>328928281.2477178</v>
      </c>
      <c r="BR120" s="47">
        <f ca="1">KH_26_OPT4_KTQT_v4[[#This Row],[DT-EXW-KH26]]-KH_26_OPT4_KTQT_v4[[#This Row],[DT-EXW-DB25]]</f>
        <v>-328928281.2477178</v>
      </c>
      <c r="BS120" s="21">
        <f ca="1">IFERROR(KH_26_OPT4_KTQT_v4[[#This Row],[DT-EXW-+/-]]/KH_26_OPT4_KTQT_v4[[#This Row],[DT-EXW-DB25]],0)</f>
        <v>-1</v>
      </c>
      <c r="BT120" s="139"/>
      <c r="BU120" s="57"/>
      <c r="BV120" s="51"/>
      <c r="BW120" s="47">
        <f>IF(KH_26_OPT4_KTQT_v4[[#This Row],[CPHH-%-SL]]="Dthu",KH_26_OPT4_KTQT_v4[[#This Row],[%HH]]*KH_26_OPT4_KTQT_v4[[#This Row],[DT-EXW-01]],KH_26_OPT4_KTQT_v4[[#This Row],[HH-SL]]*KH_26_OPT4_KTQT_v4[[#This Row],[SL-01]])</f>
        <v>0</v>
      </c>
      <c r="BX120" s="47">
        <f>IF(KH_26_OPT4_KTQT_v4[[#This Row],[CPHH-%-SL]]="Dthu",KH_26_OPT4_KTQT_v4[[#This Row],[%HH]]*KH_26_OPT4_KTQT_v4[[#This Row],[DT-EXW-02]],KH_26_OPT4_KTQT_v4[[#This Row],[HH-SL]]*KH_26_OPT4_KTQT_v4[[#This Row],[SL-02]])</f>
        <v>0</v>
      </c>
      <c r="BY120" s="47">
        <f>IF(KH_26_OPT4_KTQT_v4[[#This Row],[CPHH-%-SL]]="Dthu",KH_26_OPT4_KTQT_v4[[#This Row],[%HH]]*KH_26_OPT4_KTQT_v4[[#This Row],[DT-EXW-03]],KH_26_OPT4_KTQT_v4[[#This Row],[HH-SL]]*KH_26_OPT4_KTQT_v4[[#This Row],[SL-03]])</f>
        <v>0</v>
      </c>
      <c r="BZ120" s="47">
        <f>IF(KH_26_OPT4_KTQT_v4[[#This Row],[CPHH-%-SL]]="Dthu",KH_26_OPT4_KTQT_v4[[#This Row],[%HH]]*KH_26_OPT4_KTQT_v4[[#This Row],[DT-EXW-04]],KH_26_OPT4_KTQT_v4[[#This Row],[HH-SL]]*KH_26_OPT4_KTQT_v4[[#This Row],[SL-04]])</f>
        <v>0</v>
      </c>
      <c r="CA120" s="47">
        <f>IF(KH_26_OPT4_KTQT_v4[[#This Row],[CPHH-%-SL]]="Dthu",KH_26_OPT4_KTQT_v4[[#This Row],[%HH]]*KH_26_OPT4_KTQT_v4[[#This Row],[DT-EXW-05]],KH_26_OPT4_KTQT_v4[[#This Row],[HH-SL]]*KH_26_OPT4_KTQT_v4[[#This Row],[SL-05]])</f>
        <v>0</v>
      </c>
      <c r="CB120" s="47">
        <f>IF(KH_26_OPT4_KTQT_v4[[#This Row],[CPHH-%-SL]]="Dthu",KH_26_OPT4_KTQT_v4[[#This Row],[%HH]]*KH_26_OPT4_KTQT_v4[[#This Row],[DT-EXW-06]],KH_26_OPT4_KTQT_v4[[#This Row],[HH-SL]]*KH_26_OPT4_KTQT_v4[[#This Row],[SL-06]])</f>
        <v>0</v>
      </c>
      <c r="CC120" s="47">
        <f>IF(KH_26_OPT4_KTQT_v4[[#This Row],[CPHH-%-SL]]="Dthu",KH_26_OPT4_KTQT_v4[[#This Row],[%HH]]*KH_26_OPT4_KTQT_v4[[#This Row],[DT-EXW-07]],KH_26_OPT4_KTQT_v4[[#This Row],[HH-SL]]*KH_26_OPT4_KTQT_v4[[#This Row],[SL-07]])</f>
        <v>0</v>
      </c>
      <c r="CD120" s="47">
        <f>IF(KH_26_OPT4_KTQT_v4[[#This Row],[CPHH-%-SL]]="Dthu",KH_26_OPT4_KTQT_v4[[#This Row],[%HH]]*KH_26_OPT4_KTQT_v4[[#This Row],[DT-EXW-08]],KH_26_OPT4_KTQT_v4[[#This Row],[HH-SL]]*KH_26_OPT4_KTQT_v4[[#This Row],[SL-08]])</f>
        <v>0</v>
      </c>
      <c r="CE120" s="47">
        <f>IF(KH_26_OPT4_KTQT_v4[[#This Row],[CPHH-%-SL]]="Dthu",KH_26_OPT4_KTQT_v4[[#This Row],[%HH]]*KH_26_OPT4_KTQT_v4[[#This Row],[DT-EXW-09]],KH_26_OPT4_KTQT_v4[[#This Row],[HH-SL]]*KH_26_OPT4_KTQT_v4[[#This Row],[SL-09]])</f>
        <v>0</v>
      </c>
      <c r="CF120" s="47">
        <f>IF(KH_26_OPT4_KTQT_v4[[#This Row],[CPHH-%-SL]]="Dthu",KH_26_OPT4_KTQT_v4[[#This Row],[%HH]]*KH_26_OPT4_KTQT_v4[[#This Row],[DT-EXW-10]],KH_26_OPT4_KTQT_v4[[#This Row],[HH-SL]]*KH_26_OPT4_KTQT_v4[[#This Row],[SL-10]])</f>
        <v>0</v>
      </c>
      <c r="CG120" s="47">
        <f>IF(KH_26_OPT4_KTQT_v4[[#This Row],[CPHH-%-SL]]="Dthu",KH_26_OPT4_KTQT_v4[[#This Row],[%HH]]*KH_26_OPT4_KTQT_v4[[#This Row],[DT-EXW-11]],KH_26_OPT4_KTQT_v4[[#This Row],[HH-SL]]*KH_26_OPT4_KTQT_v4[[#This Row],[SL-11]])</f>
        <v>0</v>
      </c>
      <c r="CH120" s="47">
        <f>IF(KH_26_OPT4_KTQT_v4[[#This Row],[CPHH-%-SL]]="Dthu",KH_26_OPT4_KTQT_v4[[#This Row],[%HH]]*KH_26_OPT4_KTQT_v4[[#This Row],[DT-EXW-12]],KH_26_OPT4_KTQT_v4[[#This Row],[HH-SL]]*KH_26_OPT4_KTQT_v4[[#This Row],[SL-12]])</f>
        <v>0</v>
      </c>
      <c r="CI120" s="47">
        <f ca="1">SUM(KH_26_OPT4_KTQT_v4[[#This Row],[CPHH-01]:[CPHH-12]])</f>
        <v>0</v>
      </c>
      <c r="CJ120" s="47" cm="1">
        <f t="array" ref="CJ120">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20" s="19">
        <f ca="1">SUM(KH_26_OPT4_KTQT_v4[[#This Row],[ĐGVCNĐ-KXK]:[ĐGVCCT-KXK]])</f>
        <v>0</v>
      </c>
      <c r="CL120" s="47" cm="1">
        <f t="array" ref="CL120">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120" s="47" cm="1">
        <f t="array" ref="CM120">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20" s="47">
        <f ca="1">(KH_26_OPT4_KTQT_v4[[#This Row],[ĐGVC-KNĐ]]+KH_26_OPT4_KTQT_v4[[#This Row],[ĐGVC-KXK]])*KH_26_OPT4_KTQT_v4[[#This Row],[SL-01]]</f>
        <v>0</v>
      </c>
      <c r="CO120" s="47">
        <f ca="1">(KH_26_OPT4_KTQT_v4[[#This Row],[ĐGVC-KNĐ]]+KH_26_OPT4_KTQT_v4[[#This Row],[ĐGVC-KXK]])*KH_26_OPT4_KTQT_v4[[#This Row],[SL-02]]</f>
        <v>0</v>
      </c>
      <c r="CP120" s="47">
        <f ca="1">(KH_26_OPT4_KTQT_v4[[#This Row],[ĐGVC-KNĐ]]+KH_26_OPT4_KTQT_v4[[#This Row],[ĐGVC-KXK]])*KH_26_OPT4_KTQT_v4[[#This Row],[SL-03]]</f>
        <v>0</v>
      </c>
      <c r="CQ120" s="47">
        <f ca="1">(KH_26_OPT4_KTQT_v4[[#This Row],[ĐGVC-KNĐ]]+KH_26_OPT4_KTQT_v4[[#This Row],[ĐGVC-KXK]])*KH_26_OPT4_KTQT_v4[[#This Row],[SL-04]]</f>
        <v>0</v>
      </c>
      <c r="CR120" s="47">
        <f ca="1">(KH_26_OPT4_KTQT_v4[[#This Row],[ĐGVC-KNĐ]]+KH_26_OPT4_KTQT_v4[[#This Row],[ĐGVC-KXK]])*KH_26_OPT4_KTQT_v4[[#This Row],[SL-05]]</f>
        <v>0</v>
      </c>
      <c r="CS120" s="47">
        <f ca="1">(KH_26_OPT4_KTQT_v4[[#This Row],[ĐGVC-KNĐ]]+KH_26_OPT4_KTQT_v4[[#This Row],[ĐGVC-KXK]])*KH_26_OPT4_KTQT_v4[[#This Row],[SL-06]]</f>
        <v>0</v>
      </c>
      <c r="CT120" s="47">
        <f ca="1">(KH_26_OPT4_KTQT_v4[[#This Row],[ĐGVC-KNĐ]]+KH_26_OPT4_KTQT_v4[[#This Row],[ĐGVC-KXK]])*KH_26_OPT4_KTQT_v4[[#This Row],[SL-07]]</f>
        <v>0</v>
      </c>
      <c r="CU120" s="47">
        <f ca="1">(KH_26_OPT4_KTQT_v4[[#This Row],[ĐGVC-KNĐ]]+KH_26_OPT4_KTQT_v4[[#This Row],[ĐGVC-KXK]])*KH_26_OPT4_KTQT_v4[[#This Row],[SL-08]]</f>
        <v>0</v>
      </c>
      <c r="CV120" s="47">
        <f ca="1">(KH_26_OPT4_KTQT_v4[[#This Row],[ĐGVC-KNĐ]]+KH_26_OPT4_KTQT_v4[[#This Row],[ĐGVC-KXK]])*KH_26_OPT4_KTQT_v4[[#This Row],[SL-09]]</f>
        <v>0</v>
      </c>
      <c r="CW120" s="47">
        <f ca="1">(KH_26_OPT4_KTQT_v4[[#This Row],[ĐGVC-KNĐ]]+KH_26_OPT4_KTQT_v4[[#This Row],[ĐGVC-KXK]])*KH_26_OPT4_KTQT_v4[[#This Row],[SL-10]]</f>
        <v>0</v>
      </c>
      <c r="CX120" s="47">
        <f ca="1">(KH_26_OPT4_KTQT_v4[[#This Row],[ĐGVC-KNĐ]]+KH_26_OPT4_KTQT_v4[[#This Row],[ĐGVC-KXK]])*KH_26_OPT4_KTQT_v4[[#This Row],[SL-11]]</f>
        <v>0</v>
      </c>
      <c r="CY120" s="47">
        <f ca="1">(KH_26_OPT4_KTQT_v4[[#This Row],[ĐGVC-KNĐ]]+KH_26_OPT4_KTQT_v4[[#This Row],[ĐGVC-KXK]])*KH_26_OPT4_KTQT_v4[[#This Row],[SL-12]]</f>
        <v>0</v>
      </c>
      <c r="CZ120" s="47">
        <f ca="1">SUM(KH_26_OPT4_KTQT_v4[[#This Row],[CPVC-01]:[CPVC-12]])</f>
        <v>0</v>
      </c>
      <c r="DA120" s="124">
        <f ca="1">KH_26_OPT4_KTQT_v4[[#This Row],[DT-EXW-01]]+KH_26_OPT4_KTQT_v4[[#This Row],[CPVC-01]]+KH_26_OPT4_KTQT_v4[[#This Row],[CPHH-01]]</f>
        <v>0</v>
      </c>
      <c r="DB120" s="47">
        <f ca="1">KH_26_OPT4_KTQT_v4[[#This Row],[DT-EXW-02]]+KH_26_OPT4_KTQT_v4[[#This Row],[CPVC-02]]+KH_26_OPT4_KTQT_v4[[#This Row],[CPHH-02]]</f>
        <v>0</v>
      </c>
      <c r="DC120" s="47">
        <f ca="1">KH_26_OPT4_KTQT_v4[[#This Row],[DT-EXW-03]]+KH_26_OPT4_KTQT_v4[[#This Row],[CPVC-03]]+KH_26_OPT4_KTQT_v4[[#This Row],[CPHH-03]]</f>
        <v>0</v>
      </c>
      <c r="DD120" s="47">
        <f ca="1">KH_26_OPT4_KTQT_v4[[#This Row],[DT-EXW-04]]+KH_26_OPT4_KTQT_v4[[#This Row],[CPVC-04]]+KH_26_OPT4_KTQT_v4[[#This Row],[CPHH-04]]</f>
        <v>0</v>
      </c>
      <c r="DE120" s="47">
        <f ca="1">KH_26_OPT4_KTQT_v4[[#This Row],[DT-EXW-05]]+KH_26_OPT4_KTQT_v4[[#This Row],[CPVC-05]]+KH_26_OPT4_KTQT_v4[[#This Row],[CPHH-05]]</f>
        <v>0</v>
      </c>
      <c r="DF120" s="47">
        <f ca="1">KH_26_OPT4_KTQT_v4[[#This Row],[DT-EXW-06]]+KH_26_OPT4_KTQT_v4[[#This Row],[CPVC-06]]+KH_26_OPT4_KTQT_v4[[#This Row],[CPHH-06]]</f>
        <v>0</v>
      </c>
      <c r="DG120" s="47">
        <f ca="1">KH_26_OPT4_KTQT_v4[[#This Row],[DT-EXW-07]]+KH_26_OPT4_KTQT_v4[[#This Row],[CPVC-07]]+KH_26_OPT4_KTQT_v4[[#This Row],[CPHH-07]]</f>
        <v>0</v>
      </c>
      <c r="DH120" s="47">
        <f ca="1">KH_26_OPT4_KTQT_v4[[#This Row],[DT-EXW-08]]+KH_26_OPT4_KTQT_v4[[#This Row],[CPVC-08]]+KH_26_OPT4_KTQT_v4[[#This Row],[CPHH-08]]</f>
        <v>0</v>
      </c>
      <c r="DI120" s="47">
        <f ca="1">KH_26_OPT4_KTQT_v4[[#This Row],[DT-EXW-09]]+KH_26_OPT4_KTQT_v4[[#This Row],[CPVC-09]]+KH_26_OPT4_KTQT_v4[[#This Row],[CPHH-09]]</f>
        <v>0</v>
      </c>
      <c r="DJ120" s="47">
        <f ca="1">KH_26_OPT4_KTQT_v4[[#This Row],[DT-EXW-10]]+KH_26_OPT4_KTQT_v4[[#This Row],[CPVC-10]]+KH_26_OPT4_KTQT_v4[[#This Row],[CPHH-10]]</f>
        <v>0</v>
      </c>
      <c r="DK120" s="47">
        <f ca="1">KH_26_OPT4_KTQT_v4[[#This Row],[DT-EXW-11]]+KH_26_OPT4_KTQT_v4[[#This Row],[CPVC-11]]+KH_26_OPT4_KTQT_v4[[#This Row],[CPHH-11]]</f>
        <v>0</v>
      </c>
      <c r="DL120" s="47">
        <f ca="1">KH_26_OPT4_KTQT_v4[[#This Row],[DT-EXW-12]]+KH_26_OPT4_KTQT_v4[[#This Row],[CPVC-12]]+KH_26_OPT4_KTQT_v4[[#This Row],[CPHH-12]]</f>
        <v>0</v>
      </c>
      <c r="DM120" s="47">
        <f ca="1">SUM(KH_26_OPT4_KTQT_v4[[#This Row],[DT-01]:[DT-12]])</f>
        <v>0</v>
      </c>
      <c r="DN120" s="7"/>
      <c r="DO120" s="7"/>
      <c r="DP120" s="125"/>
      <c r="DQ120" s="136"/>
      <c r="DR120" s="132">
        <f>IFERROR(KH_26_OPT4_KTQT_v4[[#This Row],[DT-EXW-01]]*KH_26_OPT4_KTQT_v4[[#This Row],[%CPDP]],0)</f>
        <v>0</v>
      </c>
      <c r="DS120" s="132">
        <f>IFERROR(KH_26_OPT4_KTQT_v4[[#This Row],[DT-EXW-02]]*KH_26_OPT4_KTQT_v4[[#This Row],[%CPDP]],0)</f>
        <v>0</v>
      </c>
      <c r="DT120" s="132">
        <f>IFERROR(KH_26_OPT4_KTQT_v4[[#This Row],[DT-EXW-03]]*KH_26_OPT4_KTQT_v4[[#This Row],[%CPDP]],0)</f>
        <v>0</v>
      </c>
      <c r="DU120" s="132">
        <f>IFERROR(KH_26_OPT4_KTQT_v4[[#This Row],[DT-EXW-04]]*KH_26_OPT4_KTQT_v4[[#This Row],[%CPDP]],0)</f>
        <v>0</v>
      </c>
      <c r="DV120" s="132">
        <f>IFERROR(KH_26_OPT4_KTQT_v4[[#This Row],[DT-EXW-05]]*KH_26_OPT4_KTQT_v4[[#This Row],[%CPDP]],0)</f>
        <v>0</v>
      </c>
      <c r="DW120" s="132">
        <f>IFERROR(KH_26_OPT4_KTQT_v4[[#This Row],[DT-EXW-06]]*KH_26_OPT4_KTQT_v4[[#This Row],[%CPDP]],0)</f>
        <v>0</v>
      </c>
      <c r="DX120" s="132">
        <f>IFERROR(KH_26_OPT4_KTQT_v4[[#This Row],[DT-EXW-07]]*KH_26_OPT4_KTQT_v4[[#This Row],[%CPDP]],0)</f>
        <v>0</v>
      </c>
      <c r="DY120" s="132">
        <f>IFERROR(KH_26_OPT4_KTQT_v4[[#This Row],[DT-EXW-08]]*KH_26_OPT4_KTQT_v4[[#This Row],[%CPDP]],0)</f>
        <v>0</v>
      </c>
      <c r="DZ120" s="132">
        <f>IFERROR(KH_26_OPT4_KTQT_v4[[#This Row],[DT-EXW-09]]*KH_26_OPT4_KTQT_v4[[#This Row],[%CPDP]],0)</f>
        <v>0</v>
      </c>
      <c r="EA120" s="132">
        <f>IFERROR(KH_26_OPT4_KTQT_v4[[#This Row],[DT-EXW-10]]*KH_26_OPT4_KTQT_v4[[#This Row],[%CPDP]],0)</f>
        <v>0</v>
      </c>
      <c r="EB120" s="132">
        <f>IFERROR(KH_26_OPT4_KTQT_v4[[#This Row],[DT-EXW-11]]*KH_26_OPT4_KTQT_v4[[#This Row],[%CPDP]],0)</f>
        <v>0</v>
      </c>
      <c r="EC120" s="132">
        <f>IFERROR(KH_26_OPT4_KTQT_v4[[#This Row],[DT-EXW-12]]*KH_26_OPT4_KTQT_v4[[#This Row],[%CPDP]],0)</f>
        <v>0</v>
      </c>
      <c r="ED120" s="131">
        <f ca="1">SUM(KH_26_OPT4_KTQT_v4[[#This Row],[CPDP-01]:[CPDP-12]])</f>
        <v>0</v>
      </c>
    </row>
    <row r="121" spans="1:134" ht="14.65" hidden="1" customHeight="1" x14ac:dyDescent="0.35">
      <c r="A121" s="18">
        <v>116</v>
      </c>
      <c r="B121" s="71" t="s">
        <v>115</v>
      </c>
      <c r="C121" s="18" t="str">
        <f>IFERROR(_xlfn.XLOOKUP(KH_26_OPT4_KTQT_v4[[#This Row],[Salesman]],MD_Salesman[Salesman],MD_Salesman[SalesManager]),"")</f>
        <v>Quốc Anh</v>
      </c>
      <c r="D121" s="72" t="str">
        <f>IFERROR(INDEX(MD_Customer[Mã khách],MATCH(KH_26_OPT4_KTQT_v4[[#This Row],[Tên khách]],MD_Customer[Tên khách-rút gọn],0)),"")</f>
        <v>105339</v>
      </c>
      <c r="E121" s="7" t="str">
        <f>IFERROR(INDEX(MD_Customer[Parent Account],MATCH(KH_26_OPT4_KTQT_v4[[#This Row],[Tên khách]],MD_Customer[Tên khách-rút gọn],0)),"")</f>
        <v>HUY THÀNH</v>
      </c>
      <c r="F121" s="35" t="s">
        <v>57</v>
      </c>
      <c r="G121" s="7" t="str">
        <f>IFERROR(INDEX(MD_Customer[Phân loại],MATCH(KH_26_OPT4_KTQT_v4[[#This Row],[Tên khách]],MD_Customer[Tên khách-rút gọn],0)),"")</f>
        <v>Hiện hữu</v>
      </c>
      <c r="H121" s="7" t="str">
        <f>IFERROR(INDEX(MD_Customer[Kênh bán hàng],MATCH(KH_26_OPT4_KTQT_v4[[#This Row],[Tên khách]],MD_Customer[Tên khách-rút gọn],0)),"")</f>
        <v>Nội địa</v>
      </c>
      <c r="I121" s="35" t="s">
        <v>258</v>
      </c>
      <c r="J121" s="7" t="str">
        <f>IFERROR(INDEX(MD_Destination[Nước],MATCH(KH_26_OPT4_KTQT_v4[[#This Row],[Địa điểm đến]],MD_Destination[Địa điểm đến],0)),"")</f>
        <v>Việt Nam</v>
      </c>
      <c r="K121" s="7" t="str">
        <f>IFERROR(INDEX(MD_Destination[Khu vực],MATCH(KH_26_OPT4_KTQT_v4[[#This Row],[Địa điểm đến]],MD_Destination[Địa điểm đến],0)),"")</f>
        <v>Châu Á</v>
      </c>
      <c r="L121" s="35" t="s">
        <v>262</v>
      </c>
      <c r="M121" s="7" t="str">
        <f>IFERROR(INDEX(MD_SKU[Mã SKU],MATCH(KH_26_OPT4_KTQT_v4[[#This Row],[Tên sản phẩm]],MD_SKU[Tên SKU-rút gọn],0)),"")</f>
        <v>110000411</v>
      </c>
      <c r="N121" s="35" t="s">
        <v>474</v>
      </c>
      <c r="O121" s="7" t="str">
        <f>IFERROR(INDEX(MD_SKU[Ngành hàng],MATCH(KH_26_OPT4_KTQT_v4[[#This Row],[Tên sản phẩm]],MD_SKU[Tên SKU-rút gọn],0)),"")</f>
        <v>rHDPE ép</v>
      </c>
      <c r="P121" s="7" t="str">
        <f>IFERROR(INDEX(MD_SKU[Nhóm ngành],MATCH(KH_26_OPT4_KTQT_v4[[#This Row],[Tên sản phẩm]],MD_SKU[Tên SKU-rút gọn],0)),"")</f>
        <v>Vảy HD ép</v>
      </c>
      <c r="Q121" s="7" t="str">
        <f>IFERROR(
   IF(INDEX(MD_SKU[IV/IM],MATCH(KH_26_OPT4_KTQT_v4[[#This Row],[Tên sản phẩm]],MD_SKU[Tên SKU-rút gọn],0))=0,
      "",
      INDEX(MD_SKU[IV/IM],MATCH(KH_26_OPT4_KTQT_v4[[#This Row],[Tên sản phẩm]],MD_SKU[Tên SKU-rút gọn],0))
   ),
"")</f>
        <v/>
      </c>
      <c r="R121" s="44">
        <f>IFERROR(INDEX(MD_SKU[Application],MATCH(KH_26_OPT4_KTQT_v4[[#This Row],[Tên sản phẩm]],MD_SKU[Tên SKU-rút gọn],0)),"")</f>
        <v>0</v>
      </c>
      <c r="S121" s="7" t="str">
        <f>IFERROR(INDEX(MD_SKU[Phân loại],MATCH(KH_26_OPT4_KTQT_v4[[#This Row],[Tên sản phẩm]],MD_SKU[Tên SKU-rút gọn],0)),"")</f>
        <v>Cũ</v>
      </c>
      <c r="T121" s="7" t="s">
        <v>57</v>
      </c>
      <c r="U121" s="7" t="s">
        <v>1508</v>
      </c>
      <c r="V121" s="70">
        <v>0.8</v>
      </c>
      <c r="W121" s="33"/>
      <c r="X121" s="33"/>
      <c r="Y121" s="33"/>
      <c r="Z121" s="33"/>
      <c r="AA121" s="33"/>
      <c r="AB121" s="33"/>
      <c r="AC121" s="33"/>
      <c r="AD121" s="33"/>
      <c r="AE121" s="33"/>
      <c r="AF121" s="33"/>
      <c r="AG121" s="33"/>
      <c r="AH121" s="33"/>
      <c r="AI121" s="47">
        <f ca="1">SUM(KH_26_OPT4_KTQT_v4[[#This Row],[SL-01]:[SL-12]])</f>
        <v>0</v>
      </c>
      <c r="AJ121" s="47">
        <f ca="1">SUMIFS(DB_25[SL-DB25],DB_25[Mã khách],KH_26_OPT4_KTQT_v4[[#This Row],[Mã khách]],DB_25[Mã sản phẩm],KH_26_OPT4_KTQT_v4[[#This Row],[Mã sản phẩm]])</f>
        <v>48.8</v>
      </c>
      <c r="AK121" s="20">
        <f ca="1">KH_26_OPT4_KTQT_v4[[#This Row],[SL-KH26]]-KH_26_OPT4_KTQT_v4[[#This Row],[SL-DB25]]</f>
        <v>-48.8</v>
      </c>
      <c r="AL121" s="21">
        <f ca="1">IFERROR(KH_26_OPT4_KTQT_v4[[#This Row],[SL-+/-]]/KH_26_OPT4_KTQT_v4[[#This Row],[SL-DB25]],0)</f>
        <v>-1</v>
      </c>
      <c r="AM121" s="51">
        <v>560</v>
      </c>
      <c r="AN121" s="51">
        <v>560</v>
      </c>
      <c r="AO121" s="51">
        <v>560</v>
      </c>
      <c r="AP121" s="51">
        <v>560</v>
      </c>
      <c r="AQ121" s="51">
        <v>560</v>
      </c>
      <c r="AR121" s="51">
        <v>560</v>
      </c>
      <c r="AS121" s="51">
        <v>560</v>
      </c>
      <c r="AT121" s="51">
        <v>560</v>
      </c>
      <c r="AU121" s="51">
        <v>560</v>
      </c>
      <c r="AV121" s="51">
        <v>560</v>
      </c>
      <c r="AW121" s="51">
        <v>560</v>
      </c>
      <c r="AX121" s="51">
        <v>560</v>
      </c>
      <c r="AY121" s="23">
        <v>560</v>
      </c>
      <c r="AZ121" s="7"/>
      <c r="BA121" s="24">
        <f>KH_26_OPT4_KTQT_v4[[#This Row],[GB-DB25]]-KH_26_OPT4_KTQT_v4[[#This Row],[GB-KH25]]</f>
        <v>560</v>
      </c>
      <c r="BB121" s="21">
        <f>IFERROR(KH_26_OPT4_KTQT_v4[[#This Row],[GB-+/-]]/KH_26_OPT4_KTQT_v4[[#This Row],[GB-KH25]],0)</f>
        <v>0</v>
      </c>
      <c r="BC121" s="21"/>
      <c r="BD121" s="47">
        <f>KH_26_OPT4_KTQT_v4[[#This Row],[SL-01]]*KH_26_OPT4_KTQT_v4[[#This Row],[GB-01]]*EXR</f>
        <v>0</v>
      </c>
      <c r="BE121" s="47">
        <f>KH_26_OPT4_KTQT_v4[[#This Row],[SL-02]]*KH_26_OPT4_KTQT_v4[[#This Row],[GB-02]]*EXR</f>
        <v>0</v>
      </c>
      <c r="BF121" s="47">
        <f>KH_26_OPT4_KTQT_v4[[#This Row],[SL-03]]*KH_26_OPT4_KTQT_v4[[#This Row],[GB-03]]*EXR</f>
        <v>0</v>
      </c>
      <c r="BG121" s="47">
        <f>KH_26_OPT4_KTQT_v4[[#This Row],[SL-04]]*KH_26_OPT4_KTQT_v4[[#This Row],[GB-04]]*EXR</f>
        <v>0</v>
      </c>
      <c r="BH121" s="47">
        <f>KH_26_OPT4_KTQT_v4[[#This Row],[SL-05]]*KH_26_OPT4_KTQT_v4[[#This Row],[GB-05]]*EXR</f>
        <v>0</v>
      </c>
      <c r="BI121" s="47">
        <f>KH_26_OPT4_KTQT_v4[[#This Row],[SL-06]]*KH_26_OPT4_KTQT_v4[[#This Row],[GB-06]]*EXR</f>
        <v>0</v>
      </c>
      <c r="BJ121" s="47">
        <f>KH_26_OPT4_KTQT_v4[[#This Row],[SL-07]]*KH_26_OPT4_KTQT_v4[[#This Row],[GB-07]]*EXR</f>
        <v>0</v>
      </c>
      <c r="BK121" s="47">
        <f>KH_26_OPT4_KTQT_v4[[#This Row],[SL-08]]*KH_26_OPT4_KTQT_v4[[#This Row],[GB-08]]*EXR</f>
        <v>0</v>
      </c>
      <c r="BL121" s="47">
        <f>KH_26_OPT4_KTQT_v4[[#This Row],[SL-09]]*KH_26_OPT4_KTQT_v4[[#This Row],[GB-09]]*EXR</f>
        <v>0</v>
      </c>
      <c r="BM121" s="47">
        <f>KH_26_OPT4_KTQT_v4[[#This Row],[SL-10]]*KH_26_OPT4_KTQT_v4[[#This Row],[GB-10]]*EXR</f>
        <v>0</v>
      </c>
      <c r="BN121" s="47">
        <f>KH_26_OPT4_KTQT_v4[[#This Row],[SL-11]]*KH_26_OPT4_KTQT_v4[[#This Row],[GB-11]]*EXR</f>
        <v>0</v>
      </c>
      <c r="BO121" s="47">
        <f>KH_26_OPT4_KTQT_v4[[#This Row],[SL-12]]*KH_26_OPT4_KTQT_v4[[#This Row],[GB-12]]*EXR</f>
        <v>0</v>
      </c>
      <c r="BP121" s="47">
        <f ca="1">SUM(KH_26_OPT4_KTQT_v4[[#This Row],[DT-EXW-01]:[DT-EXW-12]])</f>
        <v>0</v>
      </c>
      <c r="BQ121" s="47">
        <f ca="1">SUMIFS(DB_25[DT-DB25],DB_25[Mã khách],KH_26_OPT4_KTQT_v4[[#This Row],[Mã khách]],DB_25[Mã sản phẩm],KH_26_OPT4_KTQT_v4[[#This Row],[Mã sản phẩm]])</f>
        <v>252644243.78180128</v>
      </c>
      <c r="BR121" s="47">
        <f ca="1">KH_26_OPT4_KTQT_v4[[#This Row],[DT-EXW-KH26]]-KH_26_OPT4_KTQT_v4[[#This Row],[DT-EXW-DB25]]</f>
        <v>-252644243.78180128</v>
      </c>
      <c r="BS121" s="21">
        <f ca="1">IFERROR(KH_26_OPT4_KTQT_v4[[#This Row],[DT-EXW-+/-]]/KH_26_OPT4_KTQT_v4[[#This Row],[DT-EXW-DB25]],0)</f>
        <v>-1</v>
      </c>
      <c r="BT121" s="139" t="s">
        <v>536</v>
      </c>
      <c r="BU121" s="57"/>
      <c r="BV121" s="51">
        <v>1000000</v>
      </c>
      <c r="BW121" s="47">
        <f>IF(KH_26_OPT4_KTQT_v4[[#This Row],[CPHH-%-SL]]="Dthu",KH_26_OPT4_KTQT_v4[[#This Row],[%HH]]*KH_26_OPT4_KTQT_v4[[#This Row],[DT-EXW-01]],KH_26_OPT4_KTQT_v4[[#This Row],[HH-SL]]*KH_26_OPT4_KTQT_v4[[#This Row],[SL-01]])</f>
        <v>0</v>
      </c>
      <c r="BX121" s="47">
        <f>IF(KH_26_OPT4_KTQT_v4[[#This Row],[CPHH-%-SL]]="Dthu",KH_26_OPT4_KTQT_v4[[#This Row],[%HH]]*KH_26_OPT4_KTQT_v4[[#This Row],[DT-EXW-02]],KH_26_OPT4_KTQT_v4[[#This Row],[HH-SL]]*KH_26_OPT4_KTQT_v4[[#This Row],[SL-02]])</f>
        <v>0</v>
      </c>
      <c r="BY121" s="47">
        <f>IF(KH_26_OPT4_KTQT_v4[[#This Row],[CPHH-%-SL]]="Dthu",KH_26_OPT4_KTQT_v4[[#This Row],[%HH]]*KH_26_OPT4_KTQT_v4[[#This Row],[DT-EXW-03]],KH_26_OPT4_KTQT_v4[[#This Row],[HH-SL]]*KH_26_OPT4_KTQT_v4[[#This Row],[SL-03]])</f>
        <v>0</v>
      </c>
      <c r="BZ121" s="47">
        <f>IF(KH_26_OPT4_KTQT_v4[[#This Row],[CPHH-%-SL]]="Dthu",KH_26_OPT4_KTQT_v4[[#This Row],[%HH]]*KH_26_OPT4_KTQT_v4[[#This Row],[DT-EXW-04]],KH_26_OPT4_KTQT_v4[[#This Row],[HH-SL]]*KH_26_OPT4_KTQT_v4[[#This Row],[SL-04]])</f>
        <v>0</v>
      </c>
      <c r="CA121" s="47">
        <f>IF(KH_26_OPT4_KTQT_v4[[#This Row],[CPHH-%-SL]]="Dthu",KH_26_OPT4_KTQT_v4[[#This Row],[%HH]]*KH_26_OPT4_KTQT_v4[[#This Row],[DT-EXW-05]],KH_26_OPT4_KTQT_v4[[#This Row],[HH-SL]]*KH_26_OPT4_KTQT_v4[[#This Row],[SL-05]])</f>
        <v>0</v>
      </c>
      <c r="CB121" s="47">
        <f>IF(KH_26_OPT4_KTQT_v4[[#This Row],[CPHH-%-SL]]="Dthu",KH_26_OPT4_KTQT_v4[[#This Row],[%HH]]*KH_26_OPT4_KTQT_v4[[#This Row],[DT-EXW-06]],KH_26_OPT4_KTQT_v4[[#This Row],[HH-SL]]*KH_26_OPT4_KTQT_v4[[#This Row],[SL-06]])</f>
        <v>0</v>
      </c>
      <c r="CC121" s="47">
        <f>IF(KH_26_OPT4_KTQT_v4[[#This Row],[CPHH-%-SL]]="Dthu",KH_26_OPT4_KTQT_v4[[#This Row],[%HH]]*KH_26_OPT4_KTQT_v4[[#This Row],[DT-EXW-07]],KH_26_OPT4_KTQT_v4[[#This Row],[HH-SL]]*KH_26_OPT4_KTQT_v4[[#This Row],[SL-07]])</f>
        <v>0</v>
      </c>
      <c r="CD121" s="47">
        <f>IF(KH_26_OPT4_KTQT_v4[[#This Row],[CPHH-%-SL]]="Dthu",KH_26_OPT4_KTQT_v4[[#This Row],[%HH]]*KH_26_OPT4_KTQT_v4[[#This Row],[DT-EXW-08]],KH_26_OPT4_KTQT_v4[[#This Row],[HH-SL]]*KH_26_OPT4_KTQT_v4[[#This Row],[SL-08]])</f>
        <v>0</v>
      </c>
      <c r="CE121" s="47">
        <f>IF(KH_26_OPT4_KTQT_v4[[#This Row],[CPHH-%-SL]]="Dthu",KH_26_OPT4_KTQT_v4[[#This Row],[%HH]]*KH_26_OPT4_KTQT_v4[[#This Row],[DT-EXW-09]],KH_26_OPT4_KTQT_v4[[#This Row],[HH-SL]]*KH_26_OPT4_KTQT_v4[[#This Row],[SL-09]])</f>
        <v>0</v>
      </c>
      <c r="CF121" s="47">
        <f>IF(KH_26_OPT4_KTQT_v4[[#This Row],[CPHH-%-SL]]="Dthu",KH_26_OPT4_KTQT_v4[[#This Row],[%HH]]*KH_26_OPT4_KTQT_v4[[#This Row],[DT-EXW-10]],KH_26_OPT4_KTQT_v4[[#This Row],[HH-SL]]*KH_26_OPT4_KTQT_v4[[#This Row],[SL-10]])</f>
        <v>0</v>
      </c>
      <c r="CG121" s="47">
        <f>IF(KH_26_OPT4_KTQT_v4[[#This Row],[CPHH-%-SL]]="Dthu",KH_26_OPT4_KTQT_v4[[#This Row],[%HH]]*KH_26_OPT4_KTQT_v4[[#This Row],[DT-EXW-11]],KH_26_OPT4_KTQT_v4[[#This Row],[HH-SL]]*KH_26_OPT4_KTQT_v4[[#This Row],[SL-11]])</f>
        <v>0</v>
      </c>
      <c r="CH121" s="47">
        <f>IF(KH_26_OPT4_KTQT_v4[[#This Row],[CPHH-%-SL]]="Dthu",KH_26_OPT4_KTQT_v4[[#This Row],[%HH]]*KH_26_OPT4_KTQT_v4[[#This Row],[DT-EXW-12]],KH_26_OPT4_KTQT_v4[[#This Row],[HH-SL]]*KH_26_OPT4_KTQT_v4[[#This Row],[SL-12]])</f>
        <v>0</v>
      </c>
      <c r="CI121" s="47">
        <f ca="1">SUM(KH_26_OPT4_KTQT_v4[[#This Row],[CPHH-01]:[CPHH-12]])</f>
        <v>0</v>
      </c>
      <c r="CJ121" s="47" cm="1">
        <f t="array" ref="CJ121">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21" s="19">
        <f ca="1">SUM(KH_26_OPT4_KTQT_v4[[#This Row],[ĐGVCNĐ-KXK]:[ĐGVCCT-KXK]])</f>
        <v>0</v>
      </c>
      <c r="CL121" s="47" cm="1">
        <f t="array" ref="CL121">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121" s="47" cm="1">
        <f t="array" ref="CM121">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21" s="47">
        <f ca="1">(KH_26_OPT4_KTQT_v4[[#This Row],[ĐGVC-KNĐ]]+KH_26_OPT4_KTQT_v4[[#This Row],[ĐGVC-KXK]])*KH_26_OPT4_KTQT_v4[[#This Row],[SL-01]]</f>
        <v>0</v>
      </c>
      <c r="CO121" s="47">
        <f ca="1">(KH_26_OPT4_KTQT_v4[[#This Row],[ĐGVC-KNĐ]]+KH_26_OPT4_KTQT_v4[[#This Row],[ĐGVC-KXK]])*KH_26_OPT4_KTQT_v4[[#This Row],[SL-02]]</f>
        <v>0</v>
      </c>
      <c r="CP121" s="47">
        <f ca="1">(KH_26_OPT4_KTQT_v4[[#This Row],[ĐGVC-KNĐ]]+KH_26_OPT4_KTQT_v4[[#This Row],[ĐGVC-KXK]])*KH_26_OPT4_KTQT_v4[[#This Row],[SL-03]]</f>
        <v>0</v>
      </c>
      <c r="CQ121" s="47">
        <f ca="1">(KH_26_OPT4_KTQT_v4[[#This Row],[ĐGVC-KNĐ]]+KH_26_OPT4_KTQT_v4[[#This Row],[ĐGVC-KXK]])*KH_26_OPT4_KTQT_v4[[#This Row],[SL-04]]</f>
        <v>0</v>
      </c>
      <c r="CR121" s="47">
        <f ca="1">(KH_26_OPT4_KTQT_v4[[#This Row],[ĐGVC-KNĐ]]+KH_26_OPT4_KTQT_v4[[#This Row],[ĐGVC-KXK]])*KH_26_OPT4_KTQT_v4[[#This Row],[SL-05]]</f>
        <v>0</v>
      </c>
      <c r="CS121" s="47">
        <f ca="1">(KH_26_OPT4_KTQT_v4[[#This Row],[ĐGVC-KNĐ]]+KH_26_OPT4_KTQT_v4[[#This Row],[ĐGVC-KXK]])*KH_26_OPT4_KTQT_v4[[#This Row],[SL-06]]</f>
        <v>0</v>
      </c>
      <c r="CT121" s="47">
        <f ca="1">(KH_26_OPT4_KTQT_v4[[#This Row],[ĐGVC-KNĐ]]+KH_26_OPT4_KTQT_v4[[#This Row],[ĐGVC-KXK]])*KH_26_OPT4_KTQT_v4[[#This Row],[SL-07]]</f>
        <v>0</v>
      </c>
      <c r="CU121" s="47">
        <f ca="1">(KH_26_OPT4_KTQT_v4[[#This Row],[ĐGVC-KNĐ]]+KH_26_OPT4_KTQT_v4[[#This Row],[ĐGVC-KXK]])*KH_26_OPT4_KTQT_v4[[#This Row],[SL-08]]</f>
        <v>0</v>
      </c>
      <c r="CV121" s="47">
        <f ca="1">(KH_26_OPT4_KTQT_v4[[#This Row],[ĐGVC-KNĐ]]+KH_26_OPT4_KTQT_v4[[#This Row],[ĐGVC-KXK]])*KH_26_OPT4_KTQT_v4[[#This Row],[SL-09]]</f>
        <v>0</v>
      </c>
      <c r="CW121" s="47">
        <f ca="1">(KH_26_OPT4_KTQT_v4[[#This Row],[ĐGVC-KNĐ]]+KH_26_OPT4_KTQT_v4[[#This Row],[ĐGVC-KXK]])*KH_26_OPT4_KTQT_v4[[#This Row],[SL-10]]</f>
        <v>0</v>
      </c>
      <c r="CX121" s="47">
        <f ca="1">(KH_26_OPT4_KTQT_v4[[#This Row],[ĐGVC-KNĐ]]+KH_26_OPT4_KTQT_v4[[#This Row],[ĐGVC-KXK]])*KH_26_OPT4_KTQT_v4[[#This Row],[SL-11]]</f>
        <v>0</v>
      </c>
      <c r="CY121" s="47">
        <f ca="1">(KH_26_OPT4_KTQT_v4[[#This Row],[ĐGVC-KNĐ]]+KH_26_OPT4_KTQT_v4[[#This Row],[ĐGVC-KXK]])*KH_26_OPT4_KTQT_v4[[#This Row],[SL-12]]</f>
        <v>0</v>
      </c>
      <c r="CZ121" s="47">
        <f ca="1">SUM(KH_26_OPT4_KTQT_v4[[#This Row],[CPVC-01]:[CPVC-12]])</f>
        <v>0</v>
      </c>
      <c r="DA121" s="124">
        <f ca="1">KH_26_OPT4_KTQT_v4[[#This Row],[DT-EXW-01]]+KH_26_OPT4_KTQT_v4[[#This Row],[CPVC-01]]+KH_26_OPT4_KTQT_v4[[#This Row],[CPHH-01]]</f>
        <v>0</v>
      </c>
      <c r="DB121" s="47">
        <f ca="1">KH_26_OPT4_KTQT_v4[[#This Row],[DT-EXW-02]]+KH_26_OPT4_KTQT_v4[[#This Row],[CPVC-02]]+KH_26_OPT4_KTQT_v4[[#This Row],[CPHH-02]]</f>
        <v>0</v>
      </c>
      <c r="DC121" s="47">
        <f ca="1">KH_26_OPT4_KTQT_v4[[#This Row],[DT-EXW-03]]+KH_26_OPT4_KTQT_v4[[#This Row],[CPVC-03]]+KH_26_OPT4_KTQT_v4[[#This Row],[CPHH-03]]</f>
        <v>0</v>
      </c>
      <c r="DD121" s="47">
        <f ca="1">KH_26_OPT4_KTQT_v4[[#This Row],[DT-EXW-04]]+KH_26_OPT4_KTQT_v4[[#This Row],[CPVC-04]]+KH_26_OPT4_KTQT_v4[[#This Row],[CPHH-04]]</f>
        <v>0</v>
      </c>
      <c r="DE121" s="47">
        <f ca="1">KH_26_OPT4_KTQT_v4[[#This Row],[DT-EXW-05]]+KH_26_OPT4_KTQT_v4[[#This Row],[CPVC-05]]+KH_26_OPT4_KTQT_v4[[#This Row],[CPHH-05]]</f>
        <v>0</v>
      </c>
      <c r="DF121" s="47">
        <f ca="1">KH_26_OPT4_KTQT_v4[[#This Row],[DT-EXW-06]]+KH_26_OPT4_KTQT_v4[[#This Row],[CPVC-06]]+KH_26_OPT4_KTQT_v4[[#This Row],[CPHH-06]]</f>
        <v>0</v>
      </c>
      <c r="DG121" s="47">
        <f ca="1">KH_26_OPT4_KTQT_v4[[#This Row],[DT-EXW-07]]+KH_26_OPT4_KTQT_v4[[#This Row],[CPVC-07]]+KH_26_OPT4_KTQT_v4[[#This Row],[CPHH-07]]</f>
        <v>0</v>
      </c>
      <c r="DH121" s="47">
        <f ca="1">KH_26_OPT4_KTQT_v4[[#This Row],[DT-EXW-08]]+KH_26_OPT4_KTQT_v4[[#This Row],[CPVC-08]]+KH_26_OPT4_KTQT_v4[[#This Row],[CPHH-08]]</f>
        <v>0</v>
      </c>
      <c r="DI121" s="47">
        <f ca="1">KH_26_OPT4_KTQT_v4[[#This Row],[DT-EXW-09]]+KH_26_OPT4_KTQT_v4[[#This Row],[CPVC-09]]+KH_26_OPT4_KTQT_v4[[#This Row],[CPHH-09]]</f>
        <v>0</v>
      </c>
      <c r="DJ121" s="47">
        <f ca="1">KH_26_OPT4_KTQT_v4[[#This Row],[DT-EXW-10]]+KH_26_OPT4_KTQT_v4[[#This Row],[CPVC-10]]+KH_26_OPT4_KTQT_v4[[#This Row],[CPHH-10]]</f>
        <v>0</v>
      </c>
      <c r="DK121" s="47">
        <f ca="1">KH_26_OPT4_KTQT_v4[[#This Row],[DT-EXW-11]]+KH_26_OPT4_KTQT_v4[[#This Row],[CPVC-11]]+KH_26_OPT4_KTQT_v4[[#This Row],[CPHH-11]]</f>
        <v>0</v>
      </c>
      <c r="DL121" s="47">
        <f ca="1">KH_26_OPT4_KTQT_v4[[#This Row],[DT-EXW-12]]+KH_26_OPT4_KTQT_v4[[#This Row],[CPVC-12]]+KH_26_OPT4_KTQT_v4[[#This Row],[CPHH-12]]</f>
        <v>0</v>
      </c>
      <c r="DM121" s="47">
        <f ca="1">SUM(KH_26_OPT4_KTQT_v4[[#This Row],[DT-01]:[DT-12]])</f>
        <v>0</v>
      </c>
      <c r="DN121" s="7"/>
      <c r="DO121" s="7"/>
      <c r="DP121" s="125"/>
      <c r="DQ121" s="136"/>
      <c r="DR121" s="132">
        <f>IFERROR(KH_26_OPT4_KTQT_v4[[#This Row],[DT-EXW-01]]*KH_26_OPT4_KTQT_v4[[#This Row],[%CPDP]],0)</f>
        <v>0</v>
      </c>
      <c r="DS121" s="132">
        <f>IFERROR(KH_26_OPT4_KTQT_v4[[#This Row],[DT-EXW-02]]*KH_26_OPT4_KTQT_v4[[#This Row],[%CPDP]],0)</f>
        <v>0</v>
      </c>
      <c r="DT121" s="132">
        <f>IFERROR(KH_26_OPT4_KTQT_v4[[#This Row],[DT-EXW-03]]*KH_26_OPT4_KTQT_v4[[#This Row],[%CPDP]],0)</f>
        <v>0</v>
      </c>
      <c r="DU121" s="132">
        <f>IFERROR(KH_26_OPT4_KTQT_v4[[#This Row],[DT-EXW-04]]*KH_26_OPT4_KTQT_v4[[#This Row],[%CPDP]],0)</f>
        <v>0</v>
      </c>
      <c r="DV121" s="132">
        <f>IFERROR(KH_26_OPT4_KTQT_v4[[#This Row],[DT-EXW-05]]*KH_26_OPT4_KTQT_v4[[#This Row],[%CPDP]],0)</f>
        <v>0</v>
      </c>
      <c r="DW121" s="132">
        <f>IFERROR(KH_26_OPT4_KTQT_v4[[#This Row],[DT-EXW-06]]*KH_26_OPT4_KTQT_v4[[#This Row],[%CPDP]],0)</f>
        <v>0</v>
      </c>
      <c r="DX121" s="132">
        <f>IFERROR(KH_26_OPT4_KTQT_v4[[#This Row],[DT-EXW-07]]*KH_26_OPT4_KTQT_v4[[#This Row],[%CPDP]],0)</f>
        <v>0</v>
      </c>
      <c r="DY121" s="132">
        <f>IFERROR(KH_26_OPT4_KTQT_v4[[#This Row],[DT-EXW-08]]*KH_26_OPT4_KTQT_v4[[#This Row],[%CPDP]],0)</f>
        <v>0</v>
      </c>
      <c r="DZ121" s="132">
        <f>IFERROR(KH_26_OPT4_KTQT_v4[[#This Row],[DT-EXW-09]]*KH_26_OPT4_KTQT_v4[[#This Row],[%CPDP]],0)</f>
        <v>0</v>
      </c>
      <c r="EA121" s="132">
        <f>IFERROR(KH_26_OPT4_KTQT_v4[[#This Row],[DT-EXW-10]]*KH_26_OPT4_KTQT_v4[[#This Row],[%CPDP]],0)</f>
        <v>0</v>
      </c>
      <c r="EB121" s="132">
        <f>IFERROR(KH_26_OPT4_KTQT_v4[[#This Row],[DT-EXW-11]]*KH_26_OPT4_KTQT_v4[[#This Row],[%CPDP]],0)</f>
        <v>0</v>
      </c>
      <c r="EC121" s="132">
        <f>IFERROR(KH_26_OPT4_KTQT_v4[[#This Row],[DT-EXW-12]]*KH_26_OPT4_KTQT_v4[[#This Row],[%CPDP]],0)</f>
        <v>0</v>
      </c>
      <c r="ED121" s="131">
        <f ca="1">SUM(KH_26_OPT4_KTQT_v4[[#This Row],[CPDP-01]:[CPDP-12]])</f>
        <v>0</v>
      </c>
    </row>
    <row r="122" spans="1:134" ht="14.65" hidden="1" customHeight="1" x14ac:dyDescent="0.35">
      <c r="A122" s="18">
        <v>117</v>
      </c>
      <c r="B122" s="71" t="s">
        <v>115</v>
      </c>
      <c r="C122" s="18" t="str">
        <f>IFERROR(_xlfn.XLOOKUP(KH_26_OPT4_KTQT_v4[[#This Row],[Salesman]],MD_Salesman[Salesman],MD_Salesman[SalesManager]),"")</f>
        <v>Quốc Anh</v>
      </c>
      <c r="D122" s="72" t="str">
        <f>IFERROR(INDEX(MD_Customer[Mã khách],MATCH(KH_26_OPT4_KTQT_v4[[#This Row],[Tên khách]],MD_Customer[Tên khách-rút gọn],0)),"")</f>
        <v>105339</v>
      </c>
      <c r="E122" s="7" t="str">
        <f>IFERROR(INDEX(MD_Customer[Parent Account],MATCH(KH_26_OPT4_KTQT_v4[[#This Row],[Tên khách]],MD_Customer[Tên khách-rút gọn],0)),"")</f>
        <v>HUY THÀNH</v>
      </c>
      <c r="F122" s="35" t="s">
        <v>57</v>
      </c>
      <c r="G122" s="7" t="str">
        <f>IFERROR(INDEX(MD_Customer[Phân loại],MATCH(KH_26_OPT4_KTQT_v4[[#This Row],[Tên khách]],MD_Customer[Tên khách-rút gọn],0)),"")</f>
        <v>Hiện hữu</v>
      </c>
      <c r="H122" s="7" t="str">
        <f>IFERROR(INDEX(MD_Customer[Kênh bán hàng],MATCH(KH_26_OPT4_KTQT_v4[[#This Row],[Tên khách]],MD_Customer[Tên khách-rút gọn],0)),"")</f>
        <v>Nội địa</v>
      </c>
      <c r="I122" s="35" t="s">
        <v>258</v>
      </c>
      <c r="J122" s="7" t="str">
        <f>IFERROR(INDEX(MD_Destination[Nước],MATCH(KH_26_OPT4_KTQT_v4[[#This Row],[Địa điểm đến]],MD_Destination[Địa điểm đến],0)),"")</f>
        <v>Việt Nam</v>
      </c>
      <c r="K122" s="7" t="str">
        <f>IFERROR(INDEX(MD_Destination[Khu vực],MATCH(KH_26_OPT4_KTQT_v4[[#This Row],[Địa điểm đến]],MD_Destination[Địa điểm đến],0)),"")</f>
        <v>Châu Á</v>
      </c>
      <c r="L122" s="35" t="s">
        <v>262</v>
      </c>
      <c r="M122" s="7" t="str">
        <f>IFERROR(INDEX(MD_SKU[Mã SKU],MATCH(KH_26_OPT4_KTQT_v4[[#This Row],[Tên sản phẩm]],MD_SKU[Tên SKU-rút gọn],0)),"")</f>
        <v>110000409</v>
      </c>
      <c r="N122" s="35" t="s">
        <v>473</v>
      </c>
      <c r="O122" s="7" t="str">
        <f>IFERROR(INDEX(MD_SKU[Ngành hàng],MATCH(KH_26_OPT4_KTQT_v4[[#This Row],[Tên sản phẩm]],MD_SKU[Tên SKU-rút gọn],0)),"")</f>
        <v>rHDPE ép</v>
      </c>
      <c r="P122" s="7" t="str">
        <f>IFERROR(INDEX(MD_SKU[Nhóm ngành],MATCH(KH_26_OPT4_KTQT_v4[[#This Row],[Tên sản phẩm]],MD_SKU[Tên SKU-rút gọn],0)),"")</f>
        <v>Vảy HD ép</v>
      </c>
      <c r="Q122" s="7" t="str">
        <f>IFERROR(
   IF(INDEX(MD_SKU[IV/IM],MATCH(KH_26_OPT4_KTQT_v4[[#This Row],[Tên sản phẩm]],MD_SKU[Tên SKU-rút gọn],0))=0,
      "",
      INDEX(MD_SKU[IV/IM],MATCH(KH_26_OPT4_KTQT_v4[[#This Row],[Tên sản phẩm]],MD_SKU[Tên SKU-rút gọn],0))
   ),
"")</f>
        <v/>
      </c>
      <c r="R122" s="44">
        <f>IFERROR(INDEX(MD_SKU[Application],MATCH(KH_26_OPT4_KTQT_v4[[#This Row],[Tên sản phẩm]],MD_SKU[Tên SKU-rút gọn],0)),"")</f>
        <v>0</v>
      </c>
      <c r="S122" s="7" t="str">
        <f>IFERROR(INDEX(MD_SKU[Phân loại],MATCH(KH_26_OPT4_KTQT_v4[[#This Row],[Tên sản phẩm]],MD_SKU[Tên SKU-rút gọn],0)),"")</f>
        <v>Cũ</v>
      </c>
      <c r="T122" s="7" t="s">
        <v>57</v>
      </c>
      <c r="U122" s="7" t="s">
        <v>1508</v>
      </c>
      <c r="V122" s="70">
        <v>0.8</v>
      </c>
      <c r="W122" s="33"/>
      <c r="X122" s="33"/>
      <c r="Y122" s="33"/>
      <c r="Z122" s="33"/>
      <c r="AA122" s="33"/>
      <c r="AB122" s="33"/>
      <c r="AC122" s="33"/>
      <c r="AD122" s="33"/>
      <c r="AE122" s="33"/>
      <c r="AF122" s="33"/>
      <c r="AG122" s="33"/>
      <c r="AH122" s="33"/>
      <c r="AI122" s="47">
        <f ca="1">SUM(KH_26_OPT4_KTQT_v4[[#This Row],[SL-01]:[SL-12]])</f>
        <v>0</v>
      </c>
      <c r="AJ122" s="47">
        <f ca="1">SUMIFS(DB_25[SL-DB25],DB_25[Mã khách],KH_26_OPT4_KTQT_v4[[#This Row],[Mã khách]],DB_25[Mã sản phẩm],KH_26_OPT4_KTQT_v4[[#This Row],[Mã sản phẩm]])</f>
        <v>63.8</v>
      </c>
      <c r="AK122" s="20">
        <f ca="1">KH_26_OPT4_KTQT_v4[[#This Row],[SL-KH26]]-KH_26_OPT4_KTQT_v4[[#This Row],[SL-DB25]]</f>
        <v>-63.8</v>
      </c>
      <c r="AL122" s="21">
        <f ca="1">IFERROR(KH_26_OPT4_KTQT_v4[[#This Row],[SL-+/-]]/KH_26_OPT4_KTQT_v4[[#This Row],[SL-DB25]],0)</f>
        <v>-1</v>
      </c>
      <c r="AM122" s="51">
        <v>560</v>
      </c>
      <c r="AN122" s="51">
        <v>560</v>
      </c>
      <c r="AO122" s="51">
        <v>560</v>
      </c>
      <c r="AP122" s="51">
        <v>560</v>
      </c>
      <c r="AQ122" s="51">
        <v>560</v>
      </c>
      <c r="AR122" s="51">
        <v>560</v>
      </c>
      <c r="AS122" s="51">
        <v>560</v>
      </c>
      <c r="AT122" s="51">
        <v>560</v>
      </c>
      <c r="AU122" s="51">
        <v>560</v>
      </c>
      <c r="AV122" s="51">
        <v>560</v>
      </c>
      <c r="AW122" s="51">
        <v>560</v>
      </c>
      <c r="AX122" s="51">
        <v>560</v>
      </c>
      <c r="AY122" s="23">
        <v>560</v>
      </c>
      <c r="AZ122" s="7"/>
      <c r="BA122" s="24">
        <f>KH_26_OPT4_KTQT_v4[[#This Row],[GB-DB25]]-KH_26_OPT4_KTQT_v4[[#This Row],[GB-KH25]]</f>
        <v>560</v>
      </c>
      <c r="BB122" s="21">
        <f>IFERROR(KH_26_OPT4_KTQT_v4[[#This Row],[GB-+/-]]/KH_26_OPT4_KTQT_v4[[#This Row],[GB-KH25]],0)</f>
        <v>0</v>
      </c>
      <c r="BC122" s="21"/>
      <c r="BD122" s="47">
        <f>KH_26_OPT4_KTQT_v4[[#This Row],[SL-01]]*KH_26_OPT4_KTQT_v4[[#This Row],[GB-01]]*EXR</f>
        <v>0</v>
      </c>
      <c r="BE122" s="47">
        <f>KH_26_OPT4_KTQT_v4[[#This Row],[SL-02]]*KH_26_OPT4_KTQT_v4[[#This Row],[GB-02]]*EXR</f>
        <v>0</v>
      </c>
      <c r="BF122" s="47">
        <f>KH_26_OPT4_KTQT_v4[[#This Row],[SL-03]]*KH_26_OPT4_KTQT_v4[[#This Row],[GB-03]]*EXR</f>
        <v>0</v>
      </c>
      <c r="BG122" s="47">
        <f>KH_26_OPT4_KTQT_v4[[#This Row],[SL-04]]*KH_26_OPT4_KTQT_v4[[#This Row],[GB-04]]*EXR</f>
        <v>0</v>
      </c>
      <c r="BH122" s="47">
        <f>KH_26_OPT4_KTQT_v4[[#This Row],[SL-05]]*KH_26_OPT4_KTQT_v4[[#This Row],[GB-05]]*EXR</f>
        <v>0</v>
      </c>
      <c r="BI122" s="47">
        <f>KH_26_OPT4_KTQT_v4[[#This Row],[SL-06]]*KH_26_OPT4_KTQT_v4[[#This Row],[GB-06]]*EXR</f>
        <v>0</v>
      </c>
      <c r="BJ122" s="47">
        <f>KH_26_OPT4_KTQT_v4[[#This Row],[SL-07]]*KH_26_OPT4_KTQT_v4[[#This Row],[GB-07]]*EXR</f>
        <v>0</v>
      </c>
      <c r="BK122" s="47">
        <f>KH_26_OPT4_KTQT_v4[[#This Row],[SL-08]]*KH_26_OPT4_KTQT_v4[[#This Row],[GB-08]]*EXR</f>
        <v>0</v>
      </c>
      <c r="BL122" s="47">
        <f>KH_26_OPT4_KTQT_v4[[#This Row],[SL-09]]*KH_26_OPT4_KTQT_v4[[#This Row],[GB-09]]*EXR</f>
        <v>0</v>
      </c>
      <c r="BM122" s="47">
        <f>KH_26_OPT4_KTQT_v4[[#This Row],[SL-10]]*KH_26_OPT4_KTQT_v4[[#This Row],[GB-10]]*EXR</f>
        <v>0</v>
      </c>
      <c r="BN122" s="47">
        <f>KH_26_OPT4_KTQT_v4[[#This Row],[SL-11]]*KH_26_OPT4_KTQT_v4[[#This Row],[GB-11]]*EXR</f>
        <v>0</v>
      </c>
      <c r="BO122" s="47">
        <f>KH_26_OPT4_KTQT_v4[[#This Row],[SL-12]]*KH_26_OPT4_KTQT_v4[[#This Row],[GB-12]]*EXR</f>
        <v>0</v>
      </c>
      <c r="BP122" s="47">
        <f ca="1">SUM(KH_26_OPT4_KTQT_v4[[#This Row],[DT-EXW-01]:[DT-EXW-12]])</f>
        <v>0</v>
      </c>
      <c r="BQ122" s="47">
        <f ca="1">SUMIFS(DB_25[DT-DB25],DB_25[Mã khách],KH_26_OPT4_KTQT_v4[[#This Row],[Mã khách]],DB_25[Mã sản phẩm],KH_26_OPT4_KTQT_v4[[#This Row],[Mã sản phẩm]])</f>
        <v>491264293.82901192</v>
      </c>
      <c r="BR122" s="47">
        <f ca="1">KH_26_OPT4_KTQT_v4[[#This Row],[DT-EXW-KH26]]-KH_26_OPT4_KTQT_v4[[#This Row],[DT-EXW-DB25]]</f>
        <v>-491264293.82901192</v>
      </c>
      <c r="BS122" s="21">
        <f ca="1">IFERROR(KH_26_OPT4_KTQT_v4[[#This Row],[DT-EXW-+/-]]/KH_26_OPT4_KTQT_v4[[#This Row],[DT-EXW-DB25]],0)</f>
        <v>-1</v>
      </c>
      <c r="BT122" s="139" t="s">
        <v>536</v>
      </c>
      <c r="BU122" s="57"/>
      <c r="BV122" s="51">
        <v>1000000</v>
      </c>
      <c r="BW122" s="47">
        <f>IF(KH_26_OPT4_KTQT_v4[[#This Row],[CPHH-%-SL]]="Dthu",KH_26_OPT4_KTQT_v4[[#This Row],[%HH]]*KH_26_OPT4_KTQT_v4[[#This Row],[DT-EXW-01]],KH_26_OPT4_KTQT_v4[[#This Row],[HH-SL]]*KH_26_OPT4_KTQT_v4[[#This Row],[SL-01]])</f>
        <v>0</v>
      </c>
      <c r="BX122" s="47">
        <f>IF(KH_26_OPT4_KTQT_v4[[#This Row],[CPHH-%-SL]]="Dthu",KH_26_OPT4_KTQT_v4[[#This Row],[%HH]]*KH_26_OPT4_KTQT_v4[[#This Row],[DT-EXW-02]],KH_26_OPT4_KTQT_v4[[#This Row],[HH-SL]]*KH_26_OPT4_KTQT_v4[[#This Row],[SL-02]])</f>
        <v>0</v>
      </c>
      <c r="BY122" s="47">
        <f>IF(KH_26_OPT4_KTQT_v4[[#This Row],[CPHH-%-SL]]="Dthu",KH_26_OPT4_KTQT_v4[[#This Row],[%HH]]*KH_26_OPT4_KTQT_v4[[#This Row],[DT-EXW-03]],KH_26_OPT4_KTQT_v4[[#This Row],[HH-SL]]*KH_26_OPT4_KTQT_v4[[#This Row],[SL-03]])</f>
        <v>0</v>
      </c>
      <c r="BZ122" s="47">
        <f>IF(KH_26_OPT4_KTQT_v4[[#This Row],[CPHH-%-SL]]="Dthu",KH_26_OPT4_KTQT_v4[[#This Row],[%HH]]*KH_26_OPT4_KTQT_v4[[#This Row],[DT-EXW-04]],KH_26_OPT4_KTQT_v4[[#This Row],[HH-SL]]*KH_26_OPT4_KTQT_v4[[#This Row],[SL-04]])</f>
        <v>0</v>
      </c>
      <c r="CA122" s="47">
        <f>IF(KH_26_OPT4_KTQT_v4[[#This Row],[CPHH-%-SL]]="Dthu",KH_26_OPT4_KTQT_v4[[#This Row],[%HH]]*KH_26_OPT4_KTQT_v4[[#This Row],[DT-EXW-05]],KH_26_OPT4_KTQT_v4[[#This Row],[HH-SL]]*KH_26_OPT4_KTQT_v4[[#This Row],[SL-05]])</f>
        <v>0</v>
      </c>
      <c r="CB122" s="47">
        <f>IF(KH_26_OPT4_KTQT_v4[[#This Row],[CPHH-%-SL]]="Dthu",KH_26_OPT4_KTQT_v4[[#This Row],[%HH]]*KH_26_OPT4_KTQT_v4[[#This Row],[DT-EXW-06]],KH_26_OPT4_KTQT_v4[[#This Row],[HH-SL]]*KH_26_OPT4_KTQT_v4[[#This Row],[SL-06]])</f>
        <v>0</v>
      </c>
      <c r="CC122" s="47">
        <f>IF(KH_26_OPT4_KTQT_v4[[#This Row],[CPHH-%-SL]]="Dthu",KH_26_OPT4_KTQT_v4[[#This Row],[%HH]]*KH_26_OPT4_KTQT_v4[[#This Row],[DT-EXW-07]],KH_26_OPT4_KTQT_v4[[#This Row],[HH-SL]]*KH_26_OPT4_KTQT_v4[[#This Row],[SL-07]])</f>
        <v>0</v>
      </c>
      <c r="CD122" s="47">
        <f>IF(KH_26_OPT4_KTQT_v4[[#This Row],[CPHH-%-SL]]="Dthu",KH_26_OPT4_KTQT_v4[[#This Row],[%HH]]*KH_26_OPT4_KTQT_v4[[#This Row],[DT-EXW-08]],KH_26_OPT4_KTQT_v4[[#This Row],[HH-SL]]*KH_26_OPT4_KTQT_v4[[#This Row],[SL-08]])</f>
        <v>0</v>
      </c>
      <c r="CE122" s="47">
        <f>IF(KH_26_OPT4_KTQT_v4[[#This Row],[CPHH-%-SL]]="Dthu",KH_26_OPT4_KTQT_v4[[#This Row],[%HH]]*KH_26_OPT4_KTQT_v4[[#This Row],[DT-EXW-09]],KH_26_OPT4_KTQT_v4[[#This Row],[HH-SL]]*KH_26_OPT4_KTQT_v4[[#This Row],[SL-09]])</f>
        <v>0</v>
      </c>
      <c r="CF122" s="47">
        <f>IF(KH_26_OPT4_KTQT_v4[[#This Row],[CPHH-%-SL]]="Dthu",KH_26_OPT4_KTQT_v4[[#This Row],[%HH]]*KH_26_OPT4_KTQT_v4[[#This Row],[DT-EXW-10]],KH_26_OPT4_KTQT_v4[[#This Row],[HH-SL]]*KH_26_OPT4_KTQT_v4[[#This Row],[SL-10]])</f>
        <v>0</v>
      </c>
      <c r="CG122" s="47">
        <f>IF(KH_26_OPT4_KTQT_v4[[#This Row],[CPHH-%-SL]]="Dthu",KH_26_OPT4_KTQT_v4[[#This Row],[%HH]]*KH_26_OPT4_KTQT_v4[[#This Row],[DT-EXW-11]],KH_26_OPT4_KTQT_v4[[#This Row],[HH-SL]]*KH_26_OPT4_KTQT_v4[[#This Row],[SL-11]])</f>
        <v>0</v>
      </c>
      <c r="CH122" s="47">
        <f>IF(KH_26_OPT4_KTQT_v4[[#This Row],[CPHH-%-SL]]="Dthu",KH_26_OPT4_KTQT_v4[[#This Row],[%HH]]*KH_26_OPT4_KTQT_v4[[#This Row],[DT-EXW-12]],KH_26_OPT4_KTQT_v4[[#This Row],[HH-SL]]*KH_26_OPT4_KTQT_v4[[#This Row],[SL-12]])</f>
        <v>0</v>
      </c>
      <c r="CI122" s="47">
        <f ca="1">SUM(KH_26_OPT4_KTQT_v4[[#This Row],[CPHH-01]:[CPHH-12]])</f>
        <v>0</v>
      </c>
      <c r="CJ122" s="47" cm="1">
        <f t="array" ref="CJ122">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22" s="19">
        <f ca="1">SUM(KH_26_OPT4_KTQT_v4[[#This Row],[ĐGVCNĐ-KXK]:[ĐGVCCT-KXK]])</f>
        <v>0</v>
      </c>
      <c r="CL122" s="47" cm="1">
        <f t="array" ref="CL122">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122" s="47" cm="1">
        <f t="array" ref="CM122">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22" s="47">
        <f ca="1">(KH_26_OPT4_KTQT_v4[[#This Row],[ĐGVC-KNĐ]]+KH_26_OPT4_KTQT_v4[[#This Row],[ĐGVC-KXK]])*KH_26_OPT4_KTQT_v4[[#This Row],[SL-01]]</f>
        <v>0</v>
      </c>
      <c r="CO122" s="47">
        <f ca="1">(KH_26_OPT4_KTQT_v4[[#This Row],[ĐGVC-KNĐ]]+KH_26_OPT4_KTQT_v4[[#This Row],[ĐGVC-KXK]])*KH_26_OPT4_KTQT_v4[[#This Row],[SL-02]]</f>
        <v>0</v>
      </c>
      <c r="CP122" s="47">
        <f ca="1">(KH_26_OPT4_KTQT_v4[[#This Row],[ĐGVC-KNĐ]]+KH_26_OPT4_KTQT_v4[[#This Row],[ĐGVC-KXK]])*KH_26_OPT4_KTQT_v4[[#This Row],[SL-03]]</f>
        <v>0</v>
      </c>
      <c r="CQ122" s="47">
        <f ca="1">(KH_26_OPT4_KTQT_v4[[#This Row],[ĐGVC-KNĐ]]+KH_26_OPT4_KTQT_v4[[#This Row],[ĐGVC-KXK]])*KH_26_OPT4_KTQT_v4[[#This Row],[SL-04]]</f>
        <v>0</v>
      </c>
      <c r="CR122" s="47">
        <f ca="1">(KH_26_OPT4_KTQT_v4[[#This Row],[ĐGVC-KNĐ]]+KH_26_OPT4_KTQT_v4[[#This Row],[ĐGVC-KXK]])*KH_26_OPT4_KTQT_v4[[#This Row],[SL-05]]</f>
        <v>0</v>
      </c>
      <c r="CS122" s="47">
        <f ca="1">(KH_26_OPT4_KTQT_v4[[#This Row],[ĐGVC-KNĐ]]+KH_26_OPT4_KTQT_v4[[#This Row],[ĐGVC-KXK]])*KH_26_OPT4_KTQT_v4[[#This Row],[SL-06]]</f>
        <v>0</v>
      </c>
      <c r="CT122" s="47">
        <f ca="1">(KH_26_OPT4_KTQT_v4[[#This Row],[ĐGVC-KNĐ]]+KH_26_OPT4_KTQT_v4[[#This Row],[ĐGVC-KXK]])*KH_26_OPT4_KTQT_v4[[#This Row],[SL-07]]</f>
        <v>0</v>
      </c>
      <c r="CU122" s="47">
        <f ca="1">(KH_26_OPT4_KTQT_v4[[#This Row],[ĐGVC-KNĐ]]+KH_26_OPT4_KTQT_v4[[#This Row],[ĐGVC-KXK]])*KH_26_OPT4_KTQT_v4[[#This Row],[SL-08]]</f>
        <v>0</v>
      </c>
      <c r="CV122" s="47">
        <f ca="1">(KH_26_OPT4_KTQT_v4[[#This Row],[ĐGVC-KNĐ]]+KH_26_OPT4_KTQT_v4[[#This Row],[ĐGVC-KXK]])*KH_26_OPT4_KTQT_v4[[#This Row],[SL-09]]</f>
        <v>0</v>
      </c>
      <c r="CW122" s="47">
        <f ca="1">(KH_26_OPT4_KTQT_v4[[#This Row],[ĐGVC-KNĐ]]+KH_26_OPT4_KTQT_v4[[#This Row],[ĐGVC-KXK]])*KH_26_OPT4_KTQT_v4[[#This Row],[SL-10]]</f>
        <v>0</v>
      </c>
      <c r="CX122" s="47">
        <f ca="1">(KH_26_OPT4_KTQT_v4[[#This Row],[ĐGVC-KNĐ]]+KH_26_OPT4_KTQT_v4[[#This Row],[ĐGVC-KXK]])*KH_26_OPT4_KTQT_v4[[#This Row],[SL-11]]</f>
        <v>0</v>
      </c>
      <c r="CY122" s="47">
        <f ca="1">(KH_26_OPT4_KTQT_v4[[#This Row],[ĐGVC-KNĐ]]+KH_26_OPT4_KTQT_v4[[#This Row],[ĐGVC-KXK]])*KH_26_OPT4_KTQT_v4[[#This Row],[SL-12]]</f>
        <v>0</v>
      </c>
      <c r="CZ122" s="47">
        <f ca="1">SUM(KH_26_OPT4_KTQT_v4[[#This Row],[CPVC-01]:[CPVC-12]])</f>
        <v>0</v>
      </c>
      <c r="DA122" s="124">
        <f ca="1">KH_26_OPT4_KTQT_v4[[#This Row],[DT-EXW-01]]+KH_26_OPT4_KTQT_v4[[#This Row],[CPVC-01]]+KH_26_OPT4_KTQT_v4[[#This Row],[CPHH-01]]</f>
        <v>0</v>
      </c>
      <c r="DB122" s="47">
        <f ca="1">KH_26_OPT4_KTQT_v4[[#This Row],[DT-EXW-02]]+KH_26_OPT4_KTQT_v4[[#This Row],[CPVC-02]]+KH_26_OPT4_KTQT_v4[[#This Row],[CPHH-02]]</f>
        <v>0</v>
      </c>
      <c r="DC122" s="47">
        <f ca="1">KH_26_OPT4_KTQT_v4[[#This Row],[DT-EXW-03]]+KH_26_OPT4_KTQT_v4[[#This Row],[CPVC-03]]+KH_26_OPT4_KTQT_v4[[#This Row],[CPHH-03]]</f>
        <v>0</v>
      </c>
      <c r="DD122" s="47">
        <f ca="1">KH_26_OPT4_KTQT_v4[[#This Row],[DT-EXW-04]]+KH_26_OPT4_KTQT_v4[[#This Row],[CPVC-04]]+KH_26_OPT4_KTQT_v4[[#This Row],[CPHH-04]]</f>
        <v>0</v>
      </c>
      <c r="DE122" s="47">
        <f ca="1">KH_26_OPT4_KTQT_v4[[#This Row],[DT-EXW-05]]+KH_26_OPT4_KTQT_v4[[#This Row],[CPVC-05]]+KH_26_OPT4_KTQT_v4[[#This Row],[CPHH-05]]</f>
        <v>0</v>
      </c>
      <c r="DF122" s="47">
        <f ca="1">KH_26_OPT4_KTQT_v4[[#This Row],[DT-EXW-06]]+KH_26_OPT4_KTQT_v4[[#This Row],[CPVC-06]]+KH_26_OPT4_KTQT_v4[[#This Row],[CPHH-06]]</f>
        <v>0</v>
      </c>
      <c r="DG122" s="47">
        <f ca="1">KH_26_OPT4_KTQT_v4[[#This Row],[DT-EXW-07]]+KH_26_OPT4_KTQT_v4[[#This Row],[CPVC-07]]+KH_26_OPT4_KTQT_v4[[#This Row],[CPHH-07]]</f>
        <v>0</v>
      </c>
      <c r="DH122" s="47">
        <f ca="1">KH_26_OPT4_KTQT_v4[[#This Row],[DT-EXW-08]]+KH_26_OPT4_KTQT_v4[[#This Row],[CPVC-08]]+KH_26_OPT4_KTQT_v4[[#This Row],[CPHH-08]]</f>
        <v>0</v>
      </c>
      <c r="DI122" s="47">
        <f ca="1">KH_26_OPT4_KTQT_v4[[#This Row],[DT-EXW-09]]+KH_26_OPT4_KTQT_v4[[#This Row],[CPVC-09]]+KH_26_OPT4_KTQT_v4[[#This Row],[CPHH-09]]</f>
        <v>0</v>
      </c>
      <c r="DJ122" s="47">
        <f ca="1">KH_26_OPT4_KTQT_v4[[#This Row],[DT-EXW-10]]+KH_26_OPT4_KTQT_v4[[#This Row],[CPVC-10]]+KH_26_OPT4_KTQT_v4[[#This Row],[CPHH-10]]</f>
        <v>0</v>
      </c>
      <c r="DK122" s="47">
        <f ca="1">KH_26_OPT4_KTQT_v4[[#This Row],[DT-EXW-11]]+KH_26_OPT4_KTQT_v4[[#This Row],[CPVC-11]]+KH_26_OPT4_KTQT_v4[[#This Row],[CPHH-11]]</f>
        <v>0</v>
      </c>
      <c r="DL122" s="47">
        <f ca="1">KH_26_OPT4_KTQT_v4[[#This Row],[DT-EXW-12]]+KH_26_OPT4_KTQT_v4[[#This Row],[CPVC-12]]+KH_26_OPT4_KTQT_v4[[#This Row],[CPHH-12]]</f>
        <v>0</v>
      </c>
      <c r="DM122" s="47">
        <f ca="1">SUM(KH_26_OPT4_KTQT_v4[[#This Row],[DT-01]:[DT-12]])</f>
        <v>0</v>
      </c>
      <c r="DN122" s="7"/>
      <c r="DO122" s="7"/>
      <c r="DP122" s="125"/>
      <c r="DQ122" s="136"/>
      <c r="DR122" s="132">
        <f>IFERROR(KH_26_OPT4_KTQT_v4[[#This Row],[DT-EXW-01]]*KH_26_OPT4_KTQT_v4[[#This Row],[%CPDP]],0)</f>
        <v>0</v>
      </c>
      <c r="DS122" s="132">
        <f>IFERROR(KH_26_OPT4_KTQT_v4[[#This Row],[DT-EXW-02]]*KH_26_OPT4_KTQT_v4[[#This Row],[%CPDP]],0)</f>
        <v>0</v>
      </c>
      <c r="DT122" s="132">
        <f>IFERROR(KH_26_OPT4_KTQT_v4[[#This Row],[DT-EXW-03]]*KH_26_OPT4_KTQT_v4[[#This Row],[%CPDP]],0)</f>
        <v>0</v>
      </c>
      <c r="DU122" s="132">
        <f>IFERROR(KH_26_OPT4_KTQT_v4[[#This Row],[DT-EXW-04]]*KH_26_OPT4_KTQT_v4[[#This Row],[%CPDP]],0)</f>
        <v>0</v>
      </c>
      <c r="DV122" s="132">
        <f>IFERROR(KH_26_OPT4_KTQT_v4[[#This Row],[DT-EXW-05]]*KH_26_OPT4_KTQT_v4[[#This Row],[%CPDP]],0)</f>
        <v>0</v>
      </c>
      <c r="DW122" s="132">
        <f>IFERROR(KH_26_OPT4_KTQT_v4[[#This Row],[DT-EXW-06]]*KH_26_OPT4_KTQT_v4[[#This Row],[%CPDP]],0)</f>
        <v>0</v>
      </c>
      <c r="DX122" s="132">
        <f>IFERROR(KH_26_OPT4_KTQT_v4[[#This Row],[DT-EXW-07]]*KH_26_OPT4_KTQT_v4[[#This Row],[%CPDP]],0)</f>
        <v>0</v>
      </c>
      <c r="DY122" s="132">
        <f>IFERROR(KH_26_OPT4_KTQT_v4[[#This Row],[DT-EXW-08]]*KH_26_OPT4_KTQT_v4[[#This Row],[%CPDP]],0)</f>
        <v>0</v>
      </c>
      <c r="DZ122" s="132">
        <f>IFERROR(KH_26_OPT4_KTQT_v4[[#This Row],[DT-EXW-09]]*KH_26_OPT4_KTQT_v4[[#This Row],[%CPDP]],0)</f>
        <v>0</v>
      </c>
      <c r="EA122" s="132">
        <f>IFERROR(KH_26_OPT4_KTQT_v4[[#This Row],[DT-EXW-10]]*KH_26_OPT4_KTQT_v4[[#This Row],[%CPDP]],0)</f>
        <v>0</v>
      </c>
      <c r="EB122" s="132">
        <f>IFERROR(KH_26_OPT4_KTQT_v4[[#This Row],[DT-EXW-11]]*KH_26_OPT4_KTQT_v4[[#This Row],[%CPDP]],0)</f>
        <v>0</v>
      </c>
      <c r="EC122" s="132">
        <f>IFERROR(KH_26_OPT4_KTQT_v4[[#This Row],[DT-EXW-12]]*KH_26_OPT4_KTQT_v4[[#This Row],[%CPDP]],0)</f>
        <v>0</v>
      </c>
      <c r="ED122" s="131">
        <f ca="1">SUM(KH_26_OPT4_KTQT_v4[[#This Row],[CPDP-01]:[CPDP-12]])</f>
        <v>0</v>
      </c>
    </row>
    <row r="123" spans="1:134" ht="14.65" hidden="1" customHeight="1" x14ac:dyDescent="0.35">
      <c r="A123" s="18">
        <v>118</v>
      </c>
      <c r="B123" s="71" t="s">
        <v>97</v>
      </c>
      <c r="C123" s="18" t="str">
        <f>IFERROR(_xlfn.XLOOKUP(KH_26_OPT4_KTQT_v4[[#This Row],[Salesman]],MD_Salesman[Salesman],MD_Salesman[SalesManager]),"")</f>
        <v>Cường</v>
      </c>
      <c r="D123" s="72" t="str">
        <f>IFERROR(INDEX(MD_Customer[Mã khách],MATCH(KH_26_OPT4_KTQT_v4[[#This Row],[Tên khách]],MD_Customer[Tên khách-rút gọn],0)),"")</f>
        <v>200359</v>
      </c>
      <c r="E123" s="7" t="str">
        <f>IFERROR(INDEX(MD_Customer[Parent Account],MATCH(KH_26_OPT4_KTQT_v4[[#This Row],[Tên khách]],MD_Customer[Tên khách-rút gọn],0)),"")</f>
        <v>PREMIUM WATER</v>
      </c>
      <c r="F123" s="35" t="s">
        <v>145</v>
      </c>
      <c r="G123" s="7" t="str">
        <f>IFERROR(INDEX(MD_Customer[Phân loại],MATCH(KH_26_OPT4_KTQT_v4[[#This Row],[Tên khách]],MD_Customer[Tên khách-rút gọn],0)),"")</f>
        <v>Hiện hữu</v>
      </c>
      <c r="H123" s="7" t="str">
        <f>IFERROR(INDEX(MD_Customer[Kênh bán hàng],MATCH(KH_26_OPT4_KTQT_v4[[#This Row],[Tên khách]],MD_Customer[Tên khách-rút gọn],0)),"")</f>
        <v>Xuất khẩu</v>
      </c>
      <c r="I123" s="35" t="s">
        <v>299</v>
      </c>
      <c r="J123" s="7" t="str">
        <f>IFERROR(INDEX(MD_Destination[Nước],MATCH(KH_26_OPT4_KTQT_v4[[#This Row],[Địa điểm đến]],MD_Destination[Địa điểm đến],0)),"")</f>
        <v>Mỹ</v>
      </c>
      <c r="K123" s="7" t="str">
        <f>IFERROR(INDEX(MD_Destination[Khu vực],MATCH(KH_26_OPT4_KTQT_v4[[#This Row],[Địa điểm đến]],MD_Destination[Địa điểm đến],0)),"")</f>
        <v>Châu Mỹ</v>
      </c>
      <c r="L123" s="35" t="s">
        <v>278</v>
      </c>
      <c r="M123" s="7" t="str">
        <f>IFERROR(INDEX(MD_SKU[Mã SKU],MATCH(KH_26_OPT4_KTQT_v4[[#This Row],[Tên sản phẩm]],MD_SKU[Tên SKU-rút gọn],0)),"")</f>
        <v>110000359</v>
      </c>
      <c r="N123" s="35" t="s">
        <v>468</v>
      </c>
      <c r="O123" s="7" t="str">
        <f>IFERROR(INDEX(MD_SKU[Ngành hàng],MATCH(KH_26_OPT4_KTQT_v4[[#This Row],[Tên sản phẩm]],MD_SKU[Tên SKU-rút gọn],0)),"")</f>
        <v>rPET</v>
      </c>
      <c r="P123" s="7" t="str">
        <f>IFERROR(INDEX(MD_SKU[Nhóm ngành],MATCH(KH_26_OPT4_KTQT_v4[[#This Row],[Tên sản phẩm]],MD_SKU[Tên SKU-rút gọn],0)),"")</f>
        <v>Hạt PET</v>
      </c>
      <c r="Q123" s="7" t="str">
        <f>IFERROR(
   IF(INDEX(MD_SKU[IV/IM],MATCH(KH_26_OPT4_KTQT_v4[[#This Row],[Tên sản phẩm]],MD_SKU[Tên SKU-rút gọn],0))=0,
      "",
      INDEX(MD_SKU[IV/IM],MATCH(KH_26_OPT4_KTQT_v4[[#This Row],[Tên sản phẩm]],MD_SKU[Tên SKU-rút gọn],0))
   ),
"")</f>
        <v>0.70 ± 0.02</v>
      </c>
      <c r="R123" s="44">
        <f>IFERROR(INDEX(MD_SKU[Application],MATCH(KH_26_OPT4_KTQT_v4[[#This Row],[Tên sản phẩm]],MD_SKU[Tên SKU-rút gọn],0)),"")</f>
        <v>0</v>
      </c>
      <c r="S123" s="7" t="str">
        <f>IFERROR(INDEX(MD_SKU[Phân loại],MATCH(KH_26_OPT4_KTQT_v4[[#This Row],[Tên sản phẩm]],MD_SKU[Tên SKU-rút gọn],0)),"")</f>
        <v>Cũ</v>
      </c>
      <c r="T123" s="7" t="s">
        <v>542</v>
      </c>
      <c r="U123" s="7"/>
      <c r="V123" s="70">
        <v>0.8</v>
      </c>
      <c r="W123" s="33"/>
      <c r="X123" s="33"/>
      <c r="Y123" s="33"/>
      <c r="Z123" s="33"/>
      <c r="AA123" s="33"/>
      <c r="AB123" s="33"/>
      <c r="AC123" s="33"/>
      <c r="AD123" s="33"/>
      <c r="AE123" s="33"/>
      <c r="AF123" s="33"/>
      <c r="AG123" s="33"/>
      <c r="AH123" s="33"/>
      <c r="AI123" s="47">
        <f ca="1">SUM(KH_26_OPT4_KTQT_v4[[#This Row],[SL-01]:[SL-12]])</f>
        <v>0</v>
      </c>
      <c r="AJ123" s="47">
        <f ca="1">SUMIFS(DB_25[SL-DB25],DB_25[Mã khách],KH_26_OPT4_KTQT_v4[[#This Row],[Mã khách]],DB_25[Mã sản phẩm],KH_26_OPT4_KTQT_v4[[#This Row],[Mã sản phẩm]])</f>
        <v>440</v>
      </c>
      <c r="AK123" s="20">
        <f ca="1">KH_26_OPT4_KTQT_v4[[#This Row],[SL-KH26]]-KH_26_OPT4_KTQT_v4[[#This Row],[SL-DB25]]</f>
        <v>-440</v>
      </c>
      <c r="AL123" s="21">
        <f ca="1">IFERROR(KH_26_OPT4_KTQT_v4[[#This Row],[SL-+/-]]/KH_26_OPT4_KTQT_v4[[#This Row],[SL-DB25]],0)</f>
        <v>-1</v>
      </c>
      <c r="AM123" s="51">
        <v>970</v>
      </c>
      <c r="AN123" s="51">
        <v>970</v>
      </c>
      <c r="AO123" s="51">
        <v>970</v>
      </c>
      <c r="AP123" s="51">
        <v>970</v>
      </c>
      <c r="AQ123" s="51">
        <v>970</v>
      </c>
      <c r="AR123" s="51">
        <v>970</v>
      </c>
      <c r="AS123" s="51">
        <v>970</v>
      </c>
      <c r="AT123" s="51">
        <v>970</v>
      </c>
      <c r="AU123" s="51">
        <v>970</v>
      </c>
      <c r="AV123" s="51">
        <v>970</v>
      </c>
      <c r="AW123" s="51">
        <v>970</v>
      </c>
      <c r="AX123" s="51">
        <v>970</v>
      </c>
      <c r="AY123" s="23">
        <v>970</v>
      </c>
      <c r="AZ123" s="7"/>
      <c r="BA123" s="24">
        <f>KH_26_OPT4_KTQT_v4[[#This Row],[GB-DB25]]-KH_26_OPT4_KTQT_v4[[#This Row],[GB-KH25]]</f>
        <v>970</v>
      </c>
      <c r="BB123" s="21">
        <f>IFERROR(KH_26_OPT4_KTQT_v4[[#This Row],[GB-+/-]]/KH_26_OPT4_KTQT_v4[[#This Row],[GB-KH25]],0)</f>
        <v>0</v>
      </c>
      <c r="BC123" s="21"/>
      <c r="BD123" s="47">
        <f>KH_26_OPT4_KTQT_v4[[#This Row],[SL-01]]*KH_26_OPT4_KTQT_v4[[#This Row],[GB-01]]*EXR</f>
        <v>0</v>
      </c>
      <c r="BE123" s="47">
        <f>KH_26_OPT4_KTQT_v4[[#This Row],[SL-02]]*KH_26_OPT4_KTQT_v4[[#This Row],[GB-02]]*EXR</f>
        <v>0</v>
      </c>
      <c r="BF123" s="47">
        <f>KH_26_OPT4_KTQT_v4[[#This Row],[SL-03]]*KH_26_OPT4_KTQT_v4[[#This Row],[GB-03]]*EXR</f>
        <v>0</v>
      </c>
      <c r="BG123" s="47">
        <f>KH_26_OPT4_KTQT_v4[[#This Row],[SL-04]]*KH_26_OPT4_KTQT_v4[[#This Row],[GB-04]]*EXR</f>
        <v>0</v>
      </c>
      <c r="BH123" s="47">
        <f>KH_26_OPT4_KTQT_v4[[#This Row],[SL-05]]*KH_26_OPT4_KTQT_v4[[#This Row],[GB-05]]*EXR</f>
        <v>0</v>
      </c>
      <c r="BI123" s="47">
        <f>KH_26_OPT4_KTQT_v4[[#This Row],[SL-06]]*KH_26_OPT4_KTQT_v4[[#This Row],[GB-06]]*EXR</f>
        <v>0</v>
      </c>
      <c r="BJ123" s="47">
        <f>KH_26_OPT4_KTQT_v4[[#This Row],[SL-07]]*KH_26_OPT4_KTQT_v4[[#This Row],[GB-07]]*EXR</f>
        <v>0</v>
      </c>
      <c r="BK123" s="47">
        <f>KH_26_OPT4_KTQT_v4[[#This Row],[SL-08]]*KH_26_OPT4_KTQT_v4[[#This Row],[GB-08]]*EXR</f>
        <v>0</v>
      </c>
      <c r="BL123" s="47">
        <f>KH_26_OPT4_KTQT_v4[[#This Row],[SL-09]]*KH_26_OPT4_KTQT_v4[[#This Row],[GB-09]]*EXR</f>
        <v>0</v>
      </c>
      <c r="BM123" s="47">
        <f>KH_26_OPT4_KTQT_v4[[#This Row],[SL-10]]*KH_26_OPT4_KTQT_v4[[#This Row],[GB-10]]*EXR</f>
        <v>0</v>
      </c>
      <c r="BN123" s="47">
        <f>KH_26_OPT4_KTQT_v4[[#This Row],[SL-11]]*KH_26_OPT4_KTQT_v4[[#This Row],[GB-11]]*EXR</f>
        <v>0</v>
      </c>
      <c r="BO123" s="47">
        <f>KH_26_OPT4_KTQT_v4[[#This Row],[SL-12]]*KH_26_OPT4_KTQT_v4[[#This Row],[GB-12]]*EXR</f>
        <v>0</v>
      </c>
      <c r="BP123" s="47">
        <f ca="1">SUM(KH_26_OPT4_KTQT_v4[[#This Row],[DT-EXW-01]:[DT-EXW-12]])</f>
        <v>0</v>
      </c>
      <c r="BQ123" s="47">
        <f ca="1">SUMIFS(DB_25[DT-DB25],DB_25[Mã khách],KH_26_OPT4_KTQT_v4[[#This Row],[Mã khách]],DB_25[Mã sản phẩm],KH_26_OPT4_KTQT_v4[[#This Row],[Mã sản phẩm]])</f>
        <v>11687247944.4688</v>
      </c>
      <c r="BR123" s="47">
        <f ca="1">KH_26_OPT4_KTQT_v4[[#This Row],[DT-EXW-KH26]]-KH_26_OPT4_KTQT_v4[[#This Row],[DT-EXW-DB25]]</f>
        <v>-11687247944.4688</v>
      </c>
      <c r="BS123" s="21">
        <f ca="1">IFERROR(KH_26_OPT4_KTQT_v4[[#This Row],[DT-EXW-+/-]]/KH_26_OPT4_KTQT_v4[[#This Row],[DT-EXW-DB25]],0)</f>
        <v>-1</v>
      </c>
      <c r="BT123" s="139"/>
      <c r="BU123" s="57"/>
      <c r="BV123" s="51"/>
      <c r="BW123" s="47">
        <f>IF(KH_26_OPT4_KTQT_v4[[#This Row],[CPHH-%-SL]]="Dthu",KH_26_OPT4_KTQT_v4[[#This Row],[%HH]]*KH_26_OPT4_KTQT_v4[[#This Row],[DT-EXW-01]],KH_26_OPT4_KTQT_v4[[#This Row],[HH-SL]]*KH_26_OPT4_KTQT_v4[[#This Row],[SL-01]])</f>
        <v>0</v>
      </c>
      <c r="BX123" s="47">
        <f>IF(KH_26_OPT4_KTQT_v4[[#This Row],[CPHH-%-SL]]="Dthu",KH_26_OPT4_KTQT_v4[[#This Row],[%HH]]*KH_26_OPT4_KTQT_v4[[#This Row],[DT-EXW-02]],KH_26_OPT4_KTQT_v4[[#This Row],[HH-SL]]*KH_26_OPT4_KTQT_v4[[#This Row],[SL-02]])</f>
        <v>0</v>
      </c>
      <c r="BY123" s="47">
        <f>IF(KH_26_OPT4_KTQT_v4[[#This Row],[CPHH-%-SL]]="Dthu",KH_26_OPT4_KTQT_v4[[#This Row],[%HH]]*KH_26_OPT4_KTQT_v4[[#This Row],[DT-EXW-03]],KH_26_OPT4_KTQT_v4[[#This Row],[HH-SL]]*KH_26_OPT4_KTQT_v4[[#This Row],[SL-03]])</f>
        <v>0</v>
      </c>
      <c r="BZ123" s="47">
        <f>IF(KH_26_OPT4_KTQT_v4[[#This Row],[CPHH-%-SL]]="Dthu",KH_26_OPT4_KTQT_v4[[#This Row],[%HH]]*KH_26_OPT4_KTQT_v4[[#This Row],[DT-EXW-04]],KH_26_OPT4_KTQT_v4[[#This Row],[HH-SL]]*KH_26_OPT4_KTQT_v4[[#This Row],[SL-04]])</f>
        <v>0</v>
      </c>
      <c r="CA123" s="47">
        <f>IF(KH_26_OPT4_KTQT_v4[[#This Row],[CPHH-%-SL]]="Dthu",KH_26_OPT4_KTQT_v4[[#This Row],[%HH]]*KH_26_OPT4_KTQT_v4[[#This Row],[DT-EXW-05]],KH_26_OPT4_KTQT_v4[[#This Row],[HH-SL]]*KH_26_OPT4_KTQT_v4[[#This Row],[SL-05]])</f>
        <v>0</v>
      </c>
      <c r="CB123" s="47">
        <f>IF(KH_26_OPT4_KTQT_v4[[#This Row],[CPHH-%-SL]]="Dthu",KH_26_OPT4_KTQT_v4[[#This Row],[%HH]]*KH_26_OPT4_KTQT_v4[[#This Row],[DT-EXW-06]],KH_26_OPT4_KTQT_v4[[#This Row],[HH-SL]]*KH_26_OPT4_KTQT_v4[[#This Row],[SL-06]])</f>
        <v>0</v>
      </c>
      <c r="CC123" s="47">
        <f>IF(KH_26_OPT4_KTQT_v4[[#This Row],[CPHH-%-SL]]="Dthu",KH_26_OPT4_KTQT_v4[[#This Row],[%HH]]*KH_26_OPT4_KTQT_v4[[#This Row],[DT-EXW-07]],KH_26_OPT4_KTQT_v4[[#This Row],[HH-SL]]*KH_26_OPT4_KTQT_v4[[#This Row],[SL-07]])</f>
        <v>0</v>
      </c>
      <c r="CD123" s="47">
        <f>IF(KH_26_OPT4_KTQT_v4[[#This Row],[CPHH-%-SL]]="Dthu",KH_26_OPT4_KTQT_v4[[#This Row],[%HH]]*KH_26_OPT4_KTQT_v4[[#This Row],[DT-EXW-08]],KH_26_OPT4_KTQT_v4[[#This Row],[HH-SL]]*KH_26_OPT4_KTQT_v4[[#This Row],[SL-08]])</f>
        <v>0</v>
      </c>
      <c r="CE123" s="47">
        <f>IF(KH_26_OPT4_KTQT_v4[[#This Row],[CPHH-%-SL]]="Dthu",KH_26_OPT4_KTQT_v4[[#This Row],[%HH]]*KH_26_OPT4_KTQT_v4[[#This Row],[DT-EXW-09]],KH_26_OPT4_KTQT_v4[[#This Row],[HH-SL]]*KH_26_OPT4_KTQT_v4[[#This Row],[SL-09]])</f>
        <v>0</v>
      </c>
      <c r="CF123" s="47">
        <f>IF(KH_26_OPT4_KTQT_v4[[#This Row],[CPHH-%-SL]]="Dthu",KH_26_OPT4_KTQT_v4[[#This Row],[%HH]]*KH_26_OPT4_KTQT_v4[[#This Row],[DT-EXW-10]],KH_26_OPT4_KTQT_v4[[#This Row],[HH-SL]]*KH_26_OPT4_KTQT_v4[[#This Row],[SL-10]])</f>
        <v>0</v>
      </c>
      <c r="CG123" s="47">
        <f>IF(KH_26_OPT4_KTQT_v4[[#This Row],[CPHH-%-SL]]="Dthu",KH_26_OPT4_KTQT_v4[[#This Row],[%HH]]*KH_26_OPT4_KTQT_v4[[#This Row],[DT-EXW-11]],KH_26_OPT4_KTQT_v4[[#This Row],[HH-SL]]*KH_26_OPT4_KTQT_v4[[#This Row],[SL-11]])</f>
        <v>0</v>
      </c>
      <c r="CH123" s="47">
        <f>IF(KH_26_OPT4_KTQT_v4[[#This Row],[CPHH-%-SL]]="Dthu",KH_26_OPT4_KTQT_v4[[#This Row],[%HH]]*KH_26_OPT4_KTQT_v4[[#This Row],[DT-EXW-12]],KH_26_OPT4_KTQT_v4[[#This Row],[HH-SL]]*KH_26_OPT4_KTQT_v4[[#This Row],[SL-12]])</f>
        <v>0</v>
      </c>
      <c r="CI123" s="47">
        <f ca="1">SUM(KH_26_OPT4_KTQT_v4[[#This Row],[CPHH-01]:[CPHH-12]])</f>
        <v>0</v>
      </c>
      <c r="CJ123" s="47" cm="1">
        <f t="array" ref="CJ123">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23" s="19">
        <f ca="1">SUM(KH_26_OPT4_KTQT_v4[[#This Row],[ĐGVCNĐ-KXK]:[ĐGVCCT-KXK]])</f>
        <v>530000</v>
      </c>
      <c r="CL123" s="47" cm="1">
        <f t="array" ref="CL123">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530000</v>
      </c>
      <c r="CM123" s="47" cm="1">
        <f t="array" ref="CM123">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23" s="47">
        <f ca="1">(KH_26_OPT4_KTQT_v4[[#This Row],[ĐGVC-KNĐ]]+KH_26_OPT4_KTQT_v4[[#This Row],[ĐGVC-KXK]])*KH_26_OPT4_KTQT_v4[[#This Row],[SL-01]]</f>
        <v>0</v>
      </c>
      <c r="CO123" s="47">
        <f ca="1">(KH_26_OPT4_KTQT_v4[[#This Row],[ĐGVC-KNĐ]]+KH_26_OPT4_KTQT_v4[[#This Row],[ĐGVC-KXK]])*KH_26_OPT4_KTQT_v4[[#This Row],[SL-02]]</f>
        <v>0</v>
      </c>
      <c r="CP123" s="47">
        <f ca="1">(KH_26_OPT4_KTQT_v4[[#This Row],[ĐGVC-KNĐ]]+KH_26_OPT4_KTQT_v4[[#This Row],[ĐGVC-KXK]])*KH_26_OPT4_KTQT_v4[[#This Row],[SL-03]]</f>
        <v>0</v>
      </c>
      <c r="CQ123" s="47">
        <f ca="1">(KH_26_OPT4_KTQT_v4[[#This Row],[ĐGVC-KNĐ]]+KH_26_OPT4_KTQT_v4[[#This Row],[ĐGVC-KXK]])*KH_26_OPT4_KTQT_v4[[#This Row],[SL-04]]</f>
        <v>0</v>
      </c>
      <c r="CR123" s="47">
        <f ca="1">(KH_26_OPT4_KTQT_v4[[#This Row],[ĐGVC-KNĐ]]+KH_26_OPT4_KTQT_v4[[#This Row],[ĐGVC-KXK]])*KH_26_OPT4_KTQT_v4[[#This Row],[SL-05]]</f>
        <v>0</v>
      </c>
      <c r="CS123" s="47">
        <f ca="1">(KH_26_OPT4_KTQT_v4[[#This Row],[ĐGVC-KNĐ]]+KH_26_OPT4_KTQT_v4[[#This Row],[ĐGVC-KXK]])*KH_26_OPT4_KTQT_v4[[#This Row],[SL-06]]</f>
        <v>0</v>
      </c>
      <c r="CT123" s="47">
        <f ca="1">(KH_26_OPT4_KTQT_v4[[#This Row],[ĐGVC-KNĐ]]+KH_26_OPT4_KTQT_v4[[#This Row],[ĐGVC-KXK]])*KH_26_OPT4_KTQT_v4[[#This Row],[SL-07]]</f>
        <v>0</v>
      </c>
      <c r="CU123" s="47">
        <f ca="1">(KH_26_OPT4_KTQT_v4[[#This Row],[ĐGVC-KNĐ]]+KH_26_OPT4_KTQT_v4[[#This Row],[ĐGVC-KXK]])*KH_26_OPT4_KTQT_v4[[#This Row],[SL-08]]</f>
        <v>0</v>
      </c>
      <c r="CV123" s="47">
        <f ca="1">(KH_26_OPT4_KTQT_v4[[#This Row],[ĐGVC-KNĐ]]+KH_26_OPT4_KTQT_v4[[#This Row],[ĐGVC-KXK]])*KH_26_OPT4_KTQT_v4[[#This Row],[SL-09]]</f>
        <v>0</v>
      </c>
      <c r="CW123" s="47">
        <f ca="1">(KH_26_OPT4_KTQT_v4[[#This Row],[ĐGVC-KNĐ]]+KH_26_OPT4_KTQT_v4[[#This Row],[ĐGVC-KXK]])*KH_26_OPT4_KTQT_v4[[#This Row],[SL-10]]</f>
        <v>0</v>
      </c>
      <c r="CX123" s="47">
        <f ca="1">(KH_26_OPT4_KTQT_v4[[#This Row],[ĐGVC-KNĐ]]+KH_26_OPT4_KTQT_v4[[#This Row],[ĐGVC-KXK]])*KH_26_OPT4_KTQT_v4[[#This Row],[SL-11]]</f>
        <v>0</v>
      </c>
      <c r="CY123" s="47">
        <f ca="1">(KH_26_OPT4_KTQT_v4[[#This Row],[ĐGVC-KNĐ]]+KH_26_OPT4_KTQT_v4[[#This Row],[ĐGVC-KXK]])*KH_26_OPT4_KTQT_v4[[#This Row],[SL-12]]</f>
        <v>0</v>
      </c>
      <c r="CZ123" s="47">
        <f ca="1">SUM(KH_26_OPT4_KTQT_v4[[#This Row],[CPVC-01]:[CPVC-12]])</f>
        <v>0</v>
      </c>
      <c r="DA123" s="124">
        <f ca="1">KH_26_OPT4_KTQT_v4[[#This Row],[DT-EXW-01]]+KH_26_OPT4_KTQT_v4[[#This Row],[CPVC-01]]+KH_26_OPT4_KTQT_v4[[#This Row],[CPHH-01]]</f>
        <v>0</v>
      </c>
      <c r="DB123" s="47">
        <f ca="1">KH_26_OPT4_KTQT_v4[[#This Row],[DT-EXW-02]]+KH_26_OPT4_KTQT_v4[[#This Row],[CPVC-02]]+KH_26_OPT4_KTQT_v4[[#This Row],[CPHH-02]]</f>
        <v>0</v>
      </c>
      <c r="DC123" s="47">
        <f ca="1">KH_26_OPT4_KTQT_v4[[#This Row],[DT-EXW-03]]+KH_26_OPT4_KTQT_v4[[#This Row],[CPVC-03]]+KH_26_OPT4_KTQT_v4[[#This Row],[CPHH-03]]</f>
        <v>0</v>
      </c>
      <c r="DD123" s="47">
        <f ca="1">KH_26_OPT4_KTQT_v4[[#This Row],[DT-EXW-04]]+KH_26_OPT4_KTQT_v4[[#This Row],[CPVC-04]]+KH_26_OPT4_KTQT_v4[[#This Row],[CPHH-04]]</f>
        <v>0</v>
      </c>
      <c r="DE123" s="47">
        <f ca="1">KH_26_OPT4_KTQT_v4[[#This Row],[DT-EXW-05]]+KH_26_OPT4_KTQT_v4[[#This Row],[CPVC-05]]+KH_26_OPT4_KTQT_v4[[#This Row],[CPHH-05]]</f>
        <v>0</v>
      </c>
      <c r="DF123" s="47">
        <f ca="1">KH_26_OPT4_KTQT_v4[[#This Row],[DT-EXW-06]]+KH_26_OPT4_KTQT_v4[[#This Row],[CPVC-06]]+KH_26_OPT4_KTQT_v4[[#This Row],[CPHH-06]]</f>
        <v>0</v>
      </c>
      <c r="DG123" s="47">
        <f ca="1">KH_26_OPT4_KTQT_v4[[#This Row],[DT-EXW-07]]+KH_26_OPT4_KTQT_v4[[#This Row],[CPVC-07]]+KH_26_OPT4_KTQT_v4[[#This Row],[CPHH-07]]</f>
        <v>0</v>
      </c>
      <c r="DH123" s="47">
        <f ca="1">KH_26_OPT4_KTQT_v4[[#This Row],[DT-EXW-08]]+KH_26_OPT4_KTQT_v4[[#This Row],[CPVC-08]]+KH_26_OPT4_KTQT_v4[[#This Row],[CPHH-08]]</f>
        <v>0</v>
      </c>
      <c r="DI123" s="47">
        <f ca="1">KH_26_OPT4_KTQT_v4[[#This Row],[DT-EXW-09]]+KH_26_OPT4_KTQT_v4[[#This Row],[CPVC-09]]+KH_26_OPT4_KTQT_v4[[#This Row],[CPHH-09]]</f>
        <v>0</v>
      </c>
      <c r="DJ123" s="47">
        <f ca="1">KH_26_OPT4_KTQT_v4[[#This Row],[DT-EXW-10]]+KH_26_OPT4_KTQT_v4[[#This Row],[CPVC-10]]+KH_26_OPT4_KTQT_v4[[#This Row],[CPHH-10]]</f>
        <v>0</v>
      </c>
      <c r="DK123" s="47">
        <f ca="1">KH_26_OPT4_KTQT_v4[[#This Row],[DT-EXW-11]]+KH_26_OPT4_KTQT_v4[[#This Row],[CPVC-11]]+KH_26_OPT4_KTQT_v4[[#This Row],[CPHH-11]]</f>
        <v>0</v>
      </c>
      <c r="DL123" s="47">
        <f ca="1">KH_26_OPT4_KTQT_v4[[#This Row],[DT-EXW-12]]+KH_26_OPT4_KTQT_v4[[#This Row],[CPVC-12]]+KH_26_OPT4_KTQT_v4[[#This Row],[CPHH-12]]</f>
        <v>0</v>
      </c>
      <c r="DM123" s="47">
        <f ca="1">SUM(KH_26_OPT4_KTQT_v4[[#This Row],[DT-01]:[DT-12]])</f>
        <v>0</v>
      </c>
      <c r="DN123" s="7"/>
      <c r="DO123" s="7"/>
      <c r="DP123" s="125"/>
      <c r="DQ123" s="136"/>
      <c r="DR123" s="132">
        <f>IFERROR(KH_26_OPT4_KTQT_v4[[#This Row],[DT-EXW-01]]*KH_26_OPT4_KTQT_v4[[#This Row],[%CPDP]],0)</f>
        <v>0</v>
      </c>
      <c r="DS123" s="132">
        <f>IFERROR(KH_26_OPT4_KTQT_v4[[#This Row],[DT-EXW-02]]*KH_26_OPT4_KTQT_v4[[#This Row],[%CPDP]],0)</f>
        <v>0</v>
      </c>
      <c r="DT123" s="132">
        <f>IFERROR(KH_26_OPT4_KTQT_v4[[#This Row],[DT-EXW-03]]*KH_26_OPT4_KTQT_v4[[#This Row],[%CPDP]],0)</f>
        <v>0</v>
      </c>
      <c r="DU123" s="132">
        <f>IFERROR(KH_26_OPT4_KTQT_v4[[#This Row],[DT-EXW-04]]*KH_26_OPT4_KTQT_v4[[#This Row],[%CPDP]],0)</f>
        <v>0</v>
      </c>
      <c r="DV123" s="132">
        <f>IFERROR(KH_26_OPT4_KTQT_v4[[#This Row],[DT-EXW-05]]*KH_26_OPT4_KTQT_v4[[#This Row],[%CPDP]],0)</f>
        <v>0</v>
      </c>
      <c r="DW123" s="132">
        <f>IFERROR(KH_26_OPT4_KTQT_v4[[#This Row],[DT-EXW-06]]*KH_26_OPT4_KTQT_v4[[#This Row],[%CPDP]],0)</f>
        <v>0</v>
      </c>
      <c r="DX123" s="132">
        <f>IFERROR(KH_26_OPT4_KTQT_v4[[#This Row],[DT-EXW-07]]*KH_26_OPT4_KTQT_v4[[#This Row],[%CPDP]],0)</f>
        <v>0</v>
      </c>
      <c r="DY123" s="132">
        <f>IFERROR(KH_26_OPT4_KTQT_v4[[#This Row],[DT-EXW-08]]*KH_26_OPT4_KTQT_v4[[#This Row],[%CPDP]],0)</f>
        <v>0</v>
      </c>
      <c r="DZ123" s="132">
        <f>IFERROR(KH_26_OPT4_KTQT_v4[[#This Row],[DT-EXW-09]]*KH_26_OPT4_KTQT_v4[[#This Row],[%CPDP]],0)</f>
        <v>0</v>
      </c>
      <c r="EA123" s="132">
        <f>IFERROR(KH_26_OPT4_KTQT_v4[[#This Row],[DT-EXW-10]]*KH_26_OPT4_KTQT_v4[[#This Row],[%CPDP]],0)</f>
        <v>0</v>
      </c>
      <c r="EB123" s="132">
        <f>IFERROR(KH_26_OPT4_KTQT_v4[[#This Row],[DT-EXW-11]]*KH_26_OPT4_KTQT_v4[[#This Row],[%CPDP]],0)</f>
        <v>0</v>
      </c>
      <c r="EC123" s="132">
        <f>IFERROR(KH_26_OPT4_KTQT_v4[[#This Row],[DT-EXW-12]]*KH_26_OPT4_KTQT_v4[[#This Row],[%CPDP]],0)</f>
        <v>0</v>
      </c>
      <c r="ED123" s="131">
        <f ca="1">SUM(KH_26_OPT4_KTQT_v4[[#This Row],[CPDP-01]:[CPDP-12]])</f>
        <v>0</v>
      </c>
    </row>
    <row r="124" spans="1:134" ht="14.65" hidden="1" customHeight="1" x14ac:dyDescent="0.35">
      <c r="A124" s="18">
        <v>119</v>
      </c>
      <c r="B124" s="71" t="s">
        <v>95</v>
      </c>
      <c r="C124" s="18" t="str">
        <f>IFERROR(_xlfn.XLOOKUP(KH_26_OPT4_KTQT_v4[[#This Row],[Salesman]],MD_Salesman[Salesman],MD_Salesman[SalesManager]),"")</f>
        <v>Cường</v>
      </c>
      <c r="D124" s="72" t="str">
        <f>IFERROR(INDEX(MD_Customer[Mã khách],MATCH(KH_26_OPT4_KTQT_v4[[#This Row],[Tên khách]],MD_Customer[Tên khách-rút gọn],0)),"")</f>
        <v>102865</v>
      </c>
      <c r="E124" s="7" t="str">
        <f>IFERROR(INDEX(MD_Customer[Parent Account],MATCH(KH_26_OPT4_KTQT_v4[[#This Row],[Tên khách]],MD_Customer[Tên khách-rút gọn],0)),"")</f>
        <v>Unilever</v>
      </c>
      <c r="F124" s="35" t="s">
        <v>464</v>
      </c>
      <c r="G124" s="7" t="str">
        <f>IFERROR(INDEX(MD_Customer[Phân loại],MATCH(KH_26_OPT4_KTQT_v4[[#This Row],[Tên khách]],MD_Customer[Tên khách-rút gọn],0)),"")</f>
        <v>Hiện hữu</v>
      </c>
      <c r="H124" s="7" t="str">
        <f>IFERROR(INDEX(MD_Customer[Kênh bán hàng],MATCH(KH_26_OPT4_KTQT_v4[[#This Row],[Tên khách]],MD_Customer[Tên khách-rút gọn],0)),"")</f>
        <v>Nội địa</v>
      </c>
      <c r="I124" s="35" t="s">
        <v>264</v>
      </c>
      <c r="J124" s="7" t="str">
        <f>IFERROR(INDEX(MD_Destination[Nước],MATCH(KH_26_OPT4_KTQT_v4[[#This Row],[Địa điểm đến]],MD_Destination[Địa điểm đến],0)),"")</f>
        <v>Việt Nam</v>
      </c>
      <c r="K124" s="7" t="str">
        <f>IFERROR(INDEX(MD_Destination[Khu vực],MATCH(KH_26_OPT4_KTQT_v4[[#This Row],[Địa điểm đến]],MD_Destination[Địa điểm đến],0)),"")</f>
        <v>Châu Á</v>
      </c>
      <c r="L124" s="35" t="s">
        <v>262</v>
      </c>
      <c r="M124" s="7" t="str">
        <f>IFERROR(INDEX(MD_SKU[Mã SKU],MATCH(KH_26_OPT4_KTQT_v4[[#This Row],[Tên sản phẩm]],MD_SKU[Tên SKU-rút gọn],0)),"")</f>
        <v>110000339</v>
      </c>
      <c r="N124" s="35" t="s">
        <v>465</v>
      </c>
      <c r="O124" s="7" t="str">
        <f>IFERROR(INDEX(MD_SKU[Ngành hàng],MATCH(KH_26_OPT4_KTQT_v4[[#This Row],[Tên sản phẩm]],MD_SKU[Tên SKU-rút gọn],0)),"")</f>
        <v>rHDPE thổi</v>
      </c>
      <c r="P124" s="7" t="str">
        <f>IFERROR(INDEX(MD_SKU[Nhóm ngành],MATCH(KH_26_OPT4_KTQT_v4[[#This Row],[Tên sản phẩm]],MD_SKU[Tên SKU-rút gọn],0)),"")</f>
        <v>Hạt HD thổi</v>
      </c>
      <c r="Q124" s="7" t="str">
        <f>IFERROR(
   IF(INDEX(MD_SKU[IV/IM],MATCH(KH_26_OPT4_KTQT_v4[[#This Row],[Tên sản phẩm]],MD_SKU[Tên SKU-rút gọn],0))=0,
      "",
      INDEX(MD_SKU[IV/IM],MATCH(KH_26_OPT4_KTQT_v4[[#This Row],[Tên sản phẩm]],MD_SKU[Tên SKU-rút gọn],0))
   ),
"")</f>
        <v/>
      </c>
      <c r="R124" s="44" t="str">
        <f>IFERROR(INDEX(MD_SKU[Application],MATCH(KH_26_OPT4_KTQT_v4[[#This Row],[Tên sản phẩm]],MD_SKU[Tên SKU-rút gọn],0)),"")</f>
        <v>THỔI CHAI</v>
      </c>
      <c r="S124" s="7" t="str">
        <f>IFERROR(INDEX(MD_SKU[Phân loại],MATCH(KH_26_OPT4_KTQT_v4[[#This Row],[Tên sản phẩm]],MD_SKU[Tên SKU-rút gọn],0)),"")</f>
        <v>Cũ</v>
      </c>
      <c r="T124" s="7" t="s">
        <v>5</v>
      </c>
      <c r="U124" s="7"/>
      <c r="V124" s="70">
        <v>0.8</v>
      </c>
      <c r="W124" s="33"/>
      <c r="X124" s="33"/>
      <c r="Y124" s="33"/>
      <c r="Z124" s="33"/>
      <c r="AA124" s="33"/>
      <c r="AB124" s="33"/>
      <c r="AC124" s="33"/>
      <c r="AD124" s="33"/>
      <c r="AE124" s="33"/>
      <c r="AF124" s="33"/>
      <c r="AG124" s="33"/>
      <c r="AH124" s="33"/>
      <c r="AI124" s="47">
        <f ca="1">SUM(KH_26_OPT4_KTQT_v4[[#This Row],[SL-01]:[SL-12]])</f>
        <v>0</v>
      </c>
      <c r="AJ124" s="47">
        <f ca="1">SUMIFS(DB_25[SL-DB25],DB_25[Mã khách],KH_26_OPT4_KTQT_v4[[#This Row],[Mã khách]],DB_25[Mã sản phẩm],KH_26_OPT4_KTQT_v4[[#This Row],[Mã sản phẩm]])</f>
        <v>21.975000000000001</v>
      </c>
      <c r="AK124" s="20">
        <f ca="1">KH_26_OPT4_KTQT_v4[[#This Row],[SL-KH26]]-KH_26_OPT4_KTQT_v4[[#This Row],[SL-DB25]]</f>
        <v>-21.975000000000001</v>
      </c>
      <c r="AL124" s="21">
        <f ca="1">IFERROR(KH_26_OPT4_KTQT_v4[[#This Row],[SL-+/-]]/KH_26_OPT4_KTQT_v4[[#This Row],[SL-DB25]],0)</f>
        <v>-1</v>
      </c>
      <c r="AM124" s="51">
        <v>1180</v>
      </c>
      <c r="AN124" s="51">
        <v>1180</v>
      </c>
      <c r="AO124" s="51">
        <v>1180</v>
      </c>
      <c r="AP124" s="51">
        <v>1180</v>
      </c>
      <c r="AQ124" s="51">
        <v>1180</v>
      </c>
      <c r="AR124" s="51">
        <v>1180</v>
      </c>
      <c r="AS124" s="51">
        <v>1180</v>
      </c>
      <c r="AT124" s="51">
        <v>1180</v>
      </c>
      <c r="AU124" s="51">
        <v>1180</v>
      </c>
      <c r="AV124" s="51">
        <v>1180</v>
      </c>
      <c r="AW124" s="51">
        <v>1180</v>
      </c>
      <c r="AX124" s="51">
        <v>1180</v>
      </c>
      <c r="AY124" s="23">
        <v>1180</v>
      </c>
      <c r="AZ124" s="7"/>
      <c r="BA124" s="24">
        <f>KH_26_OPT4_KTQT_v4[[#This Row],[GB-DB25]]-KH_26_OPT4_KTQT_v4[[#This Row],[GB-KH25]]</f>
        <v>1180</v>
      </c>
      <c r="BB124" s="21">
        <f>IFERROR(KH_26_OPT4_KTQT_v4[[#This Row],[GB-+/-]]/KH_26_OPT4_KTQT_v4[[#This Row],[GB-KH25]],0)</f>
        <v>0</v>
      </c>
      <c r="BC124" s="21"/>
      <c r="BD124" s="47">
        <f>KH_26_OPT4_KTQT_v4[[#This Row],[SL-01]]*KH_26_OPT4_KTQT_v4[[#This Row],[GB-01]]*EXR</f>
        <v>0</v>
      </c>
      <c r="BE124" s="47">
        <f>KH_26_OPT4_KTQT_v4[[#This Row],[SL-02]]*KH_26_OPT4_KTQT_v4[[#This Row],[GB-02]]*EXR</f>
        <v>0</v>
      </c>
      <c r="BF124" s="47">
        <f>KH_26_OPT4_KTQT_v4[[#This Row],[SL-03]]*KH_26_OPT4_KTQT_v4[[#This Row],[GB-03]]*EXR</f>
        <v>0</v>
      </c>
      <c r="BG124" s="47">
        <f>KH_26_OPT4_KTQT_v4[[#This Row],[SL-04]]*KH_26_OPT4_KTQT_v4[[#This Row],[GB-04]]*EXR</f>
        <v>0</v>
      </c>
      <c r="BH124" s="47">
        <f>KH_26_OPT4_KTQT_v4[[#This Row],[SL-05]]*KH_26_OPT4_KTQT_v4[[#This Row],[GB-05]]*EXR</f>
        <v>0</v>
      </c>
      <c r="BI124" s="47">
        <f>KH_26_OPT4_KTQT_v4[[#This Row],[SL-06]]*KH_26_OPT4_KTQT_v4[[#This Row],[GB-06]]*EXR</f>
        <v>0</v>
      </c>
      <c r="BJ124" s="47">
        <f>KH_26_OPT4_KTQT_v4[[#This Row],[SL-07]]*KH_26_OPT4_KTQT_v4[[#This Row],[GB-07]]*EXR</f>
        <v>0</v>
      </c>
      <c r="BK124" s="47">
        <f>KH_26_OPT4_KTQT_v4[[#This Row],[SL-08]]*KH_26_OPT4_KTQT_v4[[#This Row],[GB-08]]*EXR</f>
        <v>0</v>
      </c>
      <c r="BL124" s="47">
        <f>KH_26_OPT4_KTQT_v4[[#This Row],[SL-09]]*KH_26_OPT4_KTQT_v4[[#This Row],[GB-09]]*EXR</f>
        <v>0</v>
      </c>
      <c r="BM124" s="47">
        <f>KH_26_OPT4_KTQT_v4[[#This Row],[SL-10]]*KH_26_OPT4_KTQT_v4[[#This Row],[GB-10]]*EXR</f>
        <v>0</v>
      </c>
      <c r="BN124" s="47">
        <f>KH_26_OPT4_KTQT_v4[[#This Row],[SL-11]]*KH_26_OPT4_KTQT_v4[[#This Row],[GB-11]]*EXR</f>
        <v>0</v>
      </c>
      <c r="BO124" s="47">
        <f>KH_26_OPT4_KTQT_v4[[#This Row],[SL-12]]*KH_26_OPT4_KTQT_v4[[#This Row],[GB-12]]*EXR</f>
        <v>0</v>
      </c>
      <c r="BP124" s="47">
        <f ca="1">SUM(KH_26_OPT4_KTQT_v4[[#This Row],[DT-EXW-01]:[DT-EXW-12]])</f>
        <v>0</v>
      </c>
      <c r="BQ124" s="47">
        <f ca="1">SUMIFS(DB_25[DT-DB25],DB_25[Mã khách],KH_26_OPT4_KTQT_v4[[#This Row],[Mã khách]],DB_25[Mã sản phẩm],KH_26_OPT4_KTQT_v4[[#This Row],[Mã sản phẩm]])</f>
        <v>777045000</v>
      </c>
      <c r="BR124" s="47">
        <f ca="1">KH_26_OPT4_KTQT_v4[[#This Row],[DT-EXW-KH26]]-KH_26_OPT4_KTQT_v4[[#This Row],[DT-EXW-DB25]]</f>
        <v>-777045000</v>
      </c>
      <c r="BS124" s="21">
        <f ca="1">IFERROR(KH_26_OPT4_KTQT_v4[[#This Row],[DT-EXW-+/-]]/KH_26_OPT4_KTQT_v4[[#This Row],[DT-EXW-DB25]],0)</f>
        <v>-1</v>
      </c>
      <c r="BT124" s="139"/>
      <c r="BU124" s="57"/>
      <c r="BV124" s="51"/>
      <c r="BW124" s="47">
        <f>IF(KH_26_OPT4_KTQT_v4[[#This Row],[CPHH-%-SL]]="Dthu",KH_26_OPT4_KTQT_v4[[#This Row],[%HH]]*KH_26_OPT4_KTQT_v4[[#This Row],[DT-EXW-01]],KH_26_OPT4_KTQT_v4[[#This Row],[HH-SL]]*KH_26_OPT4_KTQT_v4[[#This Row],[SL-01]])</f>
        <v>0</v>
      </c>
      <c r="BX124" s="47">
        <f>IF(KH_26_OPT4_KTQT_v4[[#This Row],[CPHH-%-SL]]="Dthu",KH_26_OPT4_KTQT_v4[[#This Row],[%HH]]*KH_26_OPT4_KTQT_v4[[#This Row],[DT-EXW-02]],KH_26_OPT4_KTQT_v4[[#This Row],[HH-SL]]*KH_26_OPT4_KTQT_v4[[#This Row],[SL-02]])</f>
        <v>0</v>
      </c>
      <c r="BY124" s="47">
        <f>IF(KH_26_OPT4_KTQT_v4[[#This Row],[CPHH-%-SL]]="Dthu",KH_26_OPT4_KTQT_v4[[#This Row],[%HH]]*KH_26_OPT4_KTQT_v4[[#This Row],[DT-EXW-03]],KH_26_OPT4_KTQT_v4[[#This Row],[HH-SL]]*KH_26_OPT4_KTQT_v4[[#This Row],[SL-03]])</f>
        <v>0</v>
      </c>
      <c r="BZ124" s="47">
        <f>IF(KH_26_OPT4_KTQT_v4[[#This Row],[CPHH-%-SL]]="Dthu",KH_26_OPT4_KTQT_v4[[#This Row],[%HH]]*KH_26_OPT4_KTQT_v4[[#This Row],[DT-EXW-04]],KH_26_OPT4_KTQT_v4[[#This Row],[HH-SL]]*KH_26_OPT4_KTQT_v4[[#This Row],[SL-04]])</f>
        <v>0</v>
      </c>
      <c r="CA124" s="47">
        <f>IF(KH_26_OPT4_KTQT_v4[[#This Row],[CPHH-%-SL]]="Dthu",KH_26_OPT4_KTQT_v4[[#This Row],[%HH]]*KH_26_OPT4_KTQT_v4[[#This Row],[DT-EXW-05]],KH_26_OPT4_KTQT_v4[[#This Row],[HH-SL]]*KH_26_OPT4_KTQT_v4[[#This Row],[SL-05]])</f>
        <v>0</v>
      </c>
      <c r="CB124" s="47">
        <f>IF(KH_26_OPT4_KTQT_v4[[#This Row],[CPHH-%-SL]]="Dthu",KH_26_OPT4_KTQT_v4[[#This Row],[%HH]]*KH_26_OPT4_KTQT_v4[[#This Row],[DT-EXW-06]],KH_26_OPT4_KTQT_v4[[#This Row],[HH-SL]]*KH_26_OPT4_KTQT_v4[[#This Row],[SL-06]])</f>
        <v>0</v>
      </c>
      <c r="CC124" s="47">
        <f>IF(KH_26_OPT4_KTQT_v4[[#This Row],[CPHH-%-SL]]="Dthu",KH_26_OPT4_KTQT_v4[[#This Row],[%HH]]*KH_26_OPT4_KTQT_v4[[#This Row],[DT-EXW-07]],KH_26_OPT4_KTQT_v4[[#This Row],[HH-SL]]*KH_26_OPT4_KTQT_v4[[#This Row],[SL-07]])</f>
        <v>0</v>
      </c>
      <c r="CD124" s="47">
        <f>IF(KH_26_OPT4_KTQT_v4[[#This Row],[CPHH-%-SL]]="Dthu",KH_26_OPT4_KTQT_v4[[#This Row],[%HH]]*KH_26_OPT4_KTQT_v4[[#This Row],[DT-EXW-08]],KH_26_OPT4_KTQT_v4[[#This Row],[HH-SL]]*KH_26_OPT4_KTQT_v4[[#This Row],[SL-08]])</f>
        <v>0</v>
      </c>
      <c r="CE124" s="47">
        <f>IF(KH_26_OPT4_KTQT_v4[[#This Row],[CPHH-%-SL]]="Dthu",KH_26_OPT4_KTQT_v4[[#This Row],[%HH]]*KH_26_OPT4_KTQT_v4[[#This Row],[DT-EXW-09]],KH_26_OPT4_KTQT_v4[[#This Row],[HH-SL]]*KH_26_OPT4_KTQT_v4[[#This Row],[SL-09]])</f>
        <v>0</v>
      </c>
      <c r="CF124" s="47">
        <f>IF(KH_26_OPT4_KTQT_v4[[#This Row],[CPHH-%-SL]]="Dthu",KH_26_OPT4_KTQT_v4[[#This Row],[%HH]]*KH_26_OPT4_KTQT_v4[[#This Row],[DT-EXW-10]],KH_26_OPT4_KTQT_v4[[#This Row],[HH-SL]]*KH_26_OPT4_KTQT_v4[[#This Row],[SL-10]])</f>
        <v>0</v>
      </c>
      <c r="CG124" s="47">
        <f>IF(KH_26_OPT4_KTQT_v4[[#This Row],[CPHH-%-SL]]="Dthu",KH_26_OPT4_KTQT_v4[[#This Row],[%HH]]*KH_26_OPT4_KTQT_v4[[#This Row],[DT-EXW-11]],KH_26_OPT4_KTQT_v4[[#This Row],[HH-SL]]*KH_26_OPT4_KTQT_v4[[#This Row],[SL-11]])</f>
        <v>0</v>
      </c>
      <c r="CH124" s="47">
        <f>IF(KH_26_OPT4_KTQT_v4[[#This Row],[CPHH-%-SL]]="Dthu",KH_26_OPT4_KTQT_v4[[#This Row],[%HH]]*KH_26_OPT4_KTQT_v4[[#This Row],[DT-EXW-12]],KH_26_OPT4_KTQT_v4[[#This Row],[HH-SL]]*KH_26_OPT4_KTQT_v4[[#This Row],[SL-12]])</f>
        <v>0</v>
      </c>
      <c r="CI124" s="47">
        <f ca="1">SUM(KH_26_OPT4_KTQT_v4[[#This Row],[CPHH-01]:[CPHH-12]])</f>
        <v>0</v>
      </c>
      <c r="CJ124" s="47" cm="1">
        <f t="array" ref="CJ124">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24" s="19">
        <f ca="1">SUM(KH_26_OPT4_KTQT_v4[[#This Row],[ĐGVCNĐ-KXK]:[ĐGVCCT-KXK]])</f>
        <v>0</v>
      </c>
      <c r="CL124" s="47" cm="1">
        <f t="array" ref="CL124">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124" s="47" cm="1">
        <f t="array" ref="CM124">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24" s="47">
        <f ca="1">(KH_26_OPT4_KTQT_v4[[#This Row],[ĐGVC-KNĐ]]+KH_26_OPT4_KTQT_v4[[#This Row],[ĐGVC-KXK]])*KH_26_OPT4_KTQT_v4[[#This Row],[SL-01]]</f>
        <v>0</v>
      </c>
      <c r="CO124" s="47">
        <f ca="1">(KH_26_OPT4_KTQT_v4[[#This Row],[ĐGVC-KNĐ]]+KH_26_OPT4_KTQT_v4[[#This Row],[ĐGVC-KXK]])*KH_26_OPT4_KTQT_v4[[#This Row],[SL-02]]</f>
        <v>0</v>
      </c>
      <c r="CP124" s="47">
        <f ca="1">(KH_26_OPT4_KTQT_v4[[#This Row],[ĐGVC-KNĐ]]+KH_26_OPT4_KTQT_v4[[#This Row],[ĐGVC-KXK]])*KH_26_OPT4_KTQT_v4[[#This Row],[SL-03]]</f>
        <v>0</v>
      </c>
      <c r="CQ124" s="47">
        <f ca="1">(KH_26_OPT4_KTQT_v4[[#This Row],[ĐGVC-KNĐ]]+KH_26_OPT4_KTQT_v4[[#This Row],[ĐGVC-KXK]])*KH_26_OPT4_KTQT_v4[[#This Row],[SL-04]]</f>
        <v>0</v>
      </c>
      <c r="CR124" s="47">
        <f ca="1">(KH_26_OPT4_KTQT_v4[[#This Row],[ĐGVC-KNĐ]]+KH_26_OPT4_KTQT_v4[[#This Row],[ĐGVC-KXK]])*KH_26_OPT4_KTQT_v4[[#This Row],[SL-05]]</f>
        <v>0</v>
      </c>
      <c r="CS124" s="47">
        <f ca="1">(KH_26_OPT4_KTQT_v4[[#This Row],[ĐGVC-KNĐ]]+KH_26_OPT4_KTQT_v4[[#This Row],[ĐGVC-KXK]])*KH_26_OPT4_KTQT_v4[[#This Row],[SL-06]]</f>
        <v>0</v>
      </c>
      <c r="CT124" s="47">
        <f ca="1">(KH_26_OPT4_KTQT_v4[[#This Row],[ĐGVC-KNĐ]]+KH_26_OPT4_KTQT_v4[[#This Row],[ĐGVC-KXK]])*KH_26_OPT4_KTQT_v4[[#This Row],[SL-07]]</f>
        <v>0</v>
      </c>
      <c r="CU124" s="47">
        <f ca="1">(KH_26_OPT4_KTQT_v4[[#This Row],[ĐGVC-KNĐ]]+KH_26_OPT4_KTQT_v4[[#This Row],[ĐGVC-KXK]])*KH_26_OPT4_KTQT_v4[[#This Row],[SL-08]]</f>
        <v>0</v>
      </c>
      <c r="CV124" s="47">
        <f ca="1">(KH_26_OPT4_KTQT_v4[[#This Row],[ĐGVC-KNĐ]]+KH_26_OPT4_KTQT_v4[[#This Row],[ĐGVC-KXK]])*KH_26_OPT4_KTQT_v4[[#This Row],[SL-09]]</f>
        <v>0</v>
      </c>
      <c r="CW124" s="47">
        <f ca="1">(KH_26_OPT4_KTQT_v4[[#This Row],[ĐGVC-KNĐ]]+KH_26_OPT4_KTQT_v4[[#This Row],[ĐGVC-KXK]])*KH_26_OPT4_KTQT_v4[[#This Row],[SL-10]]</f>
        <v>0</v>
      </c>
      <c r="CX124" s="47">
        <f ca="1">(KH_26_OPT4_KTQT_v4[[#This Row],[ĐGVC-KNĐ]]+KH_26_OPT4_KTQT_v4[[#This Row],[ĐGVC-KXK]])*KH_26_OPT4_KTQT_v4[[#This Row],[SL-11]]</f>
        <v>0</v>
      </c>
      <c r="CY124" s="47">
        <f ca="1">(KH_26_OPT4_KTQT_v4[[#This Row],[ĐGVC-KNĐ]]+KH_26_OPT4_KTQT_v4[[#This Row],[ĐGVC-KXK]])*KH_26_OPT4_KTQT_v4[[#This Row],[SL-12]]</f>
        <v>0</v>
      </c>
      <c r="CZ124" s="47">
        <f ca="1">SUM(KH_26_OPT4_KTQT_v4[[#This Row],[CPVC-01]:[CPVC-12]])</f>
        <v>0</v>
      </c>
      <c r="DA124" s="124">
        <f ca="1">KH_26_OPT4_KTQT_v4[[#This Row],[DT-EXW-01]]+KH_26_OPT4_KTQT_v4[[#This Row],[CPVC-01]]+KH_26_OPT4_KTQT_v4[[#This Row],[CPHH-01]]</f>
        <v>0</v>
      </c>
      <c r="DB124" s="47">
        <f ca="1">KH_26_OPT4_KTQT_v4[[#This Row],[DT-EXW-02]]+KH_26_OPT4_KTQT_v4[[#This Row],[CPVC-02]]+KH_26_OPT4_KTQT_v4[[#This Row],[CPHH-02]]</f>
        <v>0</v>
      </c>
      <c r="DC124" s="47">
        <f ca="1">KH_26_OPT4_KTQT_v4[[#This Row],[DT-EXW-03]]+KH_26_OPT4_KTQT_v4[[#This Row],[CPVC-03]]+KH_26_OPT4_KTQT_v4[[#This Row],[CPHH-03]]</f>
        <v>0</v>
      </c>
      <c r="DD124" s="47">
        <f ca="1">KH_26_OPT4_KTQT_v4[[#This Row],[DT-EXW-04]]+KH_26_OPT4_KTQT_v4[[#This Row],[CPVC-04]]+KH_26_OPT4_KTQT_v4[[#This Row],[CPHH-04]]</f>
        <v>0</v>
      </c>
      <c r="DE124" s="47">
        <f ca="1">KH_26_OPT4_KTQT_v4[[#This Row],[DT-EXW-05]]+KH_26_OPT4_KTQT_v4[[#This Row],[CPVC-05]]+KH_26_OPT4_KTQT_v4[[#This Row],[CPHH-05]]</f>
        <v>0</v>
      </c>
      <c r="DF124" s="47">
        <f ca="1">KH_26_OPT4_KTQT_v4[[#This Row],[DT-EXW-06]]+KH_26_OPT4_KTQT_v4[[#This Row],[CPVC-06]]+KH_26_OPT4_KTQT_v4[[#This Row],[CPHH-06]]</f>
        <v>0</v>
      </c>
      <c r="DG124" s="47">
        <f ca="1">KH_26_OPT4_KTQT_v4[[#This Row],[DT-EXW-07]]+KH_26_OPT4_KTQT_v4[[#This Row],[CPVC-07]]+KH_26_OPT4_KTQT_v4[[#This Row],[CPHH-07]]</f>
        <v>0</v>
      </c>
      <c r="DH124" s="47">
        <f ca="1">KH_26_OPT4_KTQT_v4[[#This Row],[DT-EXW-08]]+KH_26_OPT4_KTQT_v4[[#This Row],[CPVC-08]]+KH_26_OPT4_KTQT_v4[[#This Row],[CPHH-08]]</f>
        <v>0</v>
      </c>
      <c r="DI124" s="47">
        <f ca="1">KH_26_OPT4_KTQT_v4[[#This Row],[DT-EXW-09]]+KH_26_OPT4_KTQT_v4[[#This Row],[CPVC-09]]+KH_26_OPT4_KTQT_v4[[#This Row],[CPHH-09]]</f>
        <v>0</v>
      </c>
      <c r="DJ124" s="47">
        <f ca="1">KH_26_OPT4_KTQT_v4[[#This Row],[DT-EXW-10]]+KH_26_OPT4_KTQT_v4[[#This Row],[CPVC-10]]+KH_26_OPT4_KTQT_v4[[#This Row],[CPHH-10]]</f>
        <v>0</v>
      </c>
      <c r="DK124" s="47">
        <f ca="1">KH_26_OPT4_KTQT_v4[[#This Row],[DT-EXW-11]]+KH_26_OPT4_KTQT_v4[[#This Row],[CPVC-11]]+KH_26_OPT4_KTQT_v4[[#This Row],[CPHH-11]]</f>
        <v>0</v>
      </c>
      <c r="DL124" s="47">
        <f ca="1">KH_26_OPT4_KTQT_v4[[#This Row],[DT-EXW-12]]+KH_26_OPT4_KTQT_v4[[#This Row],[CPVC-12]]+KH_26_OPT4_KTQT_v4[[#This Row],[CPHH-12]]</f>
        <v>0</v>
      </c>
      <c r="DM124" s="47">
        <f ca="1">SUM(KH_26_OPT4_KTQT_v4[[#This Row],[DT-01]:[DT-12]])</f>
        <v>0</v>
      </c>
      <c r="DN124" s="7"/>
      <c r="DO124" s="7"/>
      <c r="DP124" s="125"/>
      <c r="DQ124" s="136"/>
      <c r="DR124" s="132">
        <f>IFERROR(KH_26_OPT4_KTQT_v4[[#This Row],[DT-EXW-01]]*KH_26_OPT4_KTQT_v4[[#This Row],[%CPDP]],0)</f>
        <v>0</v>
      </c>
      <c r="DS124" s="132">
        <f>IFERROR(KH_26_OPT4_KTQT_v4[[#This Row],[DT-EXW-02]]*KH_26_OPT4_KTQT_v4[[#This Row],[%CPDP]],0)</f>
        <v>0</v>
      </c>
      <c r="DT124" s="132">
        <f>IFERROR(KH_26_OPT4_KTQT_v4[[#This Row],[DT-EXW-03]]*KH_26_OPT4_KTQT_v4[[#This Row],[%CPDP]],0)</f>
        <v>0</v>
      </c>
      <c r="DU124" s="132">
        <f>IFERROR(KH_26_OPT4_KTQT_v4[[#This Row],[DT-EXW-04]]*KH_26_OPT4_KTQT_v4[[#This Row],[%CPDP]],0)</f>
        <v>0</v>
      </c>
      <c r="DV124" s="132">
        <f>IFERROR(KH_26_OPT4_KTQT_v4[[#This Row],[DT-EXW-05]]*KH_26_OPT4_KTQT_v4[[#This Row],[%CPDP]],0)</f>
        <v>0</v>
      </c>
      <c r="DW124" s="132">
        <f>IFERROR(KH_26_OPT4_KTQT_v4[[#This Row],[DT-EXW-06]]*KH_26_OPT4_KTQT_v4[[#This Row],[%CPDP]],0)</f>
        <v>0</v>
      </c>
      <c r="DX124" s="132">
        <f>IFERROR(KH_26_OPT4_KTQT_v4[[#This Row],[DT-EXW-07]]*KH_26_OPT4_KTQT_v4[[#This Row],[%CPDP]],0)</f>
        <v>0</v>
      </c>
      <c r="DY124" s="132">
        <f>IFERROR(KH_26_OPT4_KTQT_v4[[#This Row],[DT-EXW-08]]*KH_26_OPT4_KTQT_v4[[#This Row],[%CPDP]],0)</f>
        <v>0</v>
      </c>
      <c r="DZ124" s="132">
        <f>IFERROR(KH_26_OPT4_KTQT_v4[[#This Row],[DT-EXW-09]]*KH_26_OPT4_KTQT_v4[[#This Row],[%CPDP]],0)</f>
        <v>0</v>
      </c>
      <c r="EA124" s="132">
        <f>IFERROR(KH_26_OPT4_KTQT_v4[[#This Row],[DT-EXW-10]]*KH_26_OPT4_KTQT_v4[[#This Row],[%CPDP]],0)</f>
        <v>0</v>
      </c>
      <c r="EB124" s="132">
        <f>IFERROR(KH_26_OPT4_KTQT_v4[[#This Row],[DT-EXW-11]]*KH_26_OPT4_KTQT_v4[[#This Row],[%CPDP]],0)</f>
        <v>0</v>
      </c>
      <c r="EC124" s="132">
        <f>IFERROR(KH_26_OPT4_KTQT_v4[[#This Row],[DT-EXW-12]]*KH_26_OPT4_KTQT_v4[[#This Row],[%CPDP]],0)</f>
        <v>0</v>
      </c>
      <c r="ED124" s="131">
        <f ca="1">SUM(KH_26_OPT4_KTQT_v4[[#This Row],[CPDP-01]:[CPDP-12]])</f>
        <v>0</v>
      </c>
    </row>
    <row r="125" spans="1:134" ht="14.65" hidden="1" customHeight="1" x14ac:dyDescent="0.35">
      <c r="A125" s="18">
        <v>120</v>
      </c>
      <c r="B125" s="71" t="s">
        <v>95</v>
      </c>
      <c r="C125" s="18" t="str">
        <f>IFERROR(_xlfn.XLOOKUP(KH_26_OPT4_KTQT_v4[[#This Row],[Salesman]],MD_Salesman[Salesman],MD_Salesman[SalesManager]),"")</f>
        <v>Cường</v>
      </c>
      <c r="D125" s="72" t="str">
        <f>IFERROR(INDEX(MD_Customer[Mã khách],MATCH(KH_26_OPT4_KTQT_v4[[#This Row],[Tên khách]],MD_Customer[Tên khách-rút gọn],0)),"")</f>
        <v>104894</v>
      </c>
      <c r="E125" s="7" t="str">
        <f>IFERROR(INDEX(MD_Customer[Parent Account],MATCH(KH_26_OPT4_KTQT_v4[[#This Row],[Tên khách]],MD_Customer[Tên khách-rút gọn],0)),"")</f>
        <v>Unilever</v>
      </c>
      <c r="F125" s="35" t="s">
        <v>322</v>
      </c>
      <c r="G125" s="7" t="str">
        <f>IFERROR(INDEX(MD_Customer[Phân loại],MATCH(KH_26_OPT4_KTQT_v4[[#This Row],[Tên khách]],MD_Customer[Tên khách-rút gọn],0)),"")</f>
        <v>Hiện hữu</v>
      </c>
      <c r="H125" s="7" t="str">
        <f>IFERROR(INDEX(MD_Customer[Kênh bán hàng],MATCH(KH_26_OPT4_KTQT_v4[[#This Row],[Tên khách]],MD_Customer[Tên khách-rút gọn],0)),"")</f>
        <v>Nội địa</v>
      </c>
      <c r="I125" s="35" t="s">
        <v>261</v>
      </c>
      <c r="J125" s="7" t="str">
        <f>IFERROR(INDEX(MD_Destination[Nước],MATCH(KH_26_OPT4_KTQT_v4[[#This Row],[Địa điểm đến]],MD_Destination[Địa điểm đến],0)),"")</f>
        <v>Việt Nam</v>
      </c>
      <c r="K125" s="7" t="str">
        <f>IFERROR(INDEX(MD_Destination[Khu vực],MATCH(KH_26_OPT4_KTQT_v4[[#This Row],[Địa điểm đến]],MD_Destination[Địa điểm đến],0)),"")</f>
        <v>Châu Á</v>
      </c>
      <c r="L125" s="35" t="s">
        <v>262</v>
      </c>
      <c r="M125" s="7" t="str">
        <f>IFERROR(INDEX(MD_SKU[Mã SKU],MATCH(KH_26_OPT4_KTQT_v4[[#This Row],[Tên sản phẩm]],MD_SKU[Tên SKU-rút gọn],0)),"")</f>
        <v>110000355</v>
      </c>
      <c r="N125" s="35" t="s">
        <v>469</v>
      </c>
      <c r="O125" s="7" t="str">
        <f>IFERROR(INDEX(MD_SKU[Ngành hàng],MATCH(KH_26_OPT4_KTQT_v4[[#This Row],[Tên sản phẩm]],MD_SKU[Tên SKU-rút gọn],0)),"")</f>
        <v>rPET</v>
      </c>
      <c r="P125" s="7" t="str">
        <f>IFERROR(INDEX(MD_SKU[Nhóm ngành],MATCH(KH_26_OPT4_KTQT_v4[[#This Row],[Tên sản phẩm]],MD_SKU[Tên SKU-rút gọn],0)),"")</f>
        <v>Hạt PET</v>
      </c>
      <c r="Q125" s="7" t="str">
        <f>IFERROR(
   IF(INDEX(MD_SKU[IV/IM],MATCH(KH_26_OPT4_KTQT_v4[[#This Row],[Tên sản phẩm]],MD_SKU[Tên SKU-rút gọn],0))=0,
      "",
      INDEX(MD_SKU[IV/IM],MATCH(KH_26_OPT4_KTQT_v4[[#This Row],[Tên sản phẩm]],MD_SKU[Tên SKU-rút gọn],0))
   ),
"")</f>
        <v>0.80 ± 0.02</v>
      </c>
      <c r="R125" s="44">
        <f>IFERROR(INDEX(MD_SKU[Application],MATCH(KH_26_OPT4_KTQT_v4[[#This Row],[Tên sản phẩm]],MD_SKU[Tên SKU-rút gọn],0)),"")</f>
        <v>0</v>
      </c>
      <c r="S125" s="7" t="str">
        <f>IFERROR(INDEX(MD_SKU[Phân loại],MATCH(KH_26_OPT4_KTQT_v4[[#This Row],[Tên sản phẩm]],MD_SKU[Tên SKU-rút gọn],0)),"")</f>
        <v>Cũ</v>
      </c>
      <c r="T125" s="7" t="s">
        <v>542</v>
      </c>
      <c r="U125" s="7"/>
      <c r="V125" s="70">
        <v>0.8</v>
      </c>
      <c r="W125" s="33"/>
      <c r="X125" s="33"/>
      <c r="Y125" s="33"/>
      <c r="Z125" s="33"/>
      <c r="AA125" s="33"/>
      <c r="AB125" s="33"/>
      <c r="AC125" s="33"/>
      <c r="AD125" s="33"/>
      <c r="AE125" s="33"/>
      <c r="AF125" s="33"/>
      <c r="AG125" s="33"/>
      <c r="AH125" s="33"/>
      <c r="AI125" s="47">
        <f ca="1">SUM(KH_26_OPT4_KTQT_v4[[#This Row],[SL-01]:[SL-12]])</f>
        <v>0</v>
      </c>
      <c r="AJ125" s="47">
        <f ca="1">SUMIFS(DB_25[SL-DB25],DB_25[Mã khách],KH_26_OPT4_KTQT_v4[[#This Row],[Mã khách]],DB_25[Mã sản phẩm],KH_26_OPT4_KTQT_v4[[#This Row],[Mã sản phẩm]])</f>
        <v>0</v>
      </c>
      <c r="AK125" s="20">
        <f ca="1">KH_26_OPT4_KTQT_v4[[#This Row],[SL-KH26]]-KH_26_OPT4_KTQT_v4[[#This Row],[SL-DB25]]</f>
        <v>0</v>
      </c>
      <c r="AL125" s="21">
        <f ca="1">IFERROR(KH_26_OPT4_KTQT_v4[[#This Row],[SL-+/-]]/KH_26_OPT4_KTQT_v4[[#This Row],[SL-DB25]],0)</f>
        <v>0</v>
      </c>
      <c r="AM125" s="51"/>
      <c r="AN125" s="51"/>
      <c r="AO125" s="51"/>
      <c r="AP125" s="51"/>
      <c r="AQ125" s="51"/>
      <c r="AR125" s="51"/>
      <c r="AS125" s="51"/>
      <c r="AT125" s="51"/>
      <c r="AU125" s="51"/>
      <c r="AV125" s="51"/>
      <c r="AW125" s="51"/>
      <c r="AX125" s="51"/>
      <c r="AY125" s="23"/>
      <c r="AZ125" s="7"/>
      <c r="BA125" s="24">
        <f>KH_26_OPT4_KTQT_v4[[#This Row],[GB-DB25]]-KH_26_OPT4_KTQT_v4[[#This Row],[GB-KH25]]</f>
        <v>0</v>
      </c>
      <c r="BB125" s="21">
        <f>IFERROR(KH_26_OPT4_KTQT_v4[[#This Row],[GB-+/-]]/KH_26_OPT4_KTQT_v4[[#This Row],[GB-KH25]],0)</f>
        <v>0</v>
      </c>
      <c r="BC125" s="21"/>
      <c r="BD125" s="47">
        <f>KH_26_OPT4_KTQT_v4[[#This Row],[SL-01]]*KH_26_OPT4_KTQT_v4[[#This Row],[GB-01]]*EXR</f>
        <v>0</v>
      </c>
      <c r="BE125" s="47">
        <f>KH_26_OPT4_KTQT_v4[[#This Row],[SL-02]]*KH_26_OPT4_KTQT_v4[[#This Row],[GB-02]]*EXR</f>
        <v>0</v>
      </c>
      <c r="BF125" s="47">
        <f>KH_26_OPT4_KTQT_v4[[#This Row],[SL-03]]*KH_26_OPT4_KTQT_v4[[#This Row],[GB-03]]*EXR</f>
        <v>0</v>
      </c>
      <c r="BG125" s="47">
        <f>KH_26_OPT4_KTQT_v4[[#This Row],[SL-04]]*KH_26_OPT4_KTQT_v4[[#This Row],[GB-04]]*EXR</f>
        <v>0</v>
      </c>
      <c r="BH125" s="47">
        <f>KH_26_OPT4_KTQT_v4[[#This Row],[SL-05]]*KH_26_OPT4_KTQT_v4[[#This Row],[GB-05]]*EXR</f>
        <v>0</v>
      </c>
      <c r="BI125" s="47">
        <f>KH_26_OPT4_KTQT_v4[[#This Row],[SL-06]]*KH_26_OPT4_KTQT_v4[[#This Row],[GB-06]]*EXR</f>
        <v>0</v>
      </c>
      <c r="BJ125" s="47">
        <f>KH_26_OPT4_KTQT_v4[[#This Row],[SL-07]]*KH_26_OPT4_KTQT_v4[[#This Row],[GB-07]]*EXR</f>
        <v>0</v>
      </c>
      <c r="BK125" s="47">
        <f>KH_26_OPT4_KTQT_v4[[#This Row],[SL-08]]*KH_26_OPT4_KTQT_v4[[#This Row],[GB-08]]*EXR</f>
        <v>0</v>
      </c>
      <c r="BL125" s="47">
        <f>KH_26_OPT4_KTQT_v4[[#This Row],[SL-09]]*KH_26_OPT4_KTQT_v4[[#This Row],[GB-09]]*EXR</f>
        <v>0</v>
      </c>
      <c r="BM125" s="47">
        <f>KH_26_OPT4_KTQT_v4[[#This Row],[SL-10]]*KH_26_OPT4_KTQT_v4[[#This Row],[GB-10]]*EXR</f>
        <v>0</v>
      </c>
      <c r="BN125" s="47">
        <f>KH_26_OPT4_KTQT_v4[[#This Row],[SL-11]]*KH_26_OPT4_KTQT_v4[[#This Row],[GB-11]]*EXR</f>
        <v>0</v>
      </c>
      <c r="BO125" s="47">
        <f>KH_26_OPT4_KTQT_v4[[#This Row],[SL-12]]*KH_26_OPT4_KTQT_v4[[#This Row],[GB-12]]*EXR</f>
        <v>0</v>
      </c>
      <c r="BP125" s="47">
        <f ca="1">SUM(KH_26_OPT4_KTQT_v4[[#This Row],[DT-EXW-01]:[DT-EXW-12]])</f>
        <v>0</v>
      </c>
      <c r="BQ125" s="47">
        <f ca="1">SUMIFS(DB_25[DT-DB25],DB_25[Mã khách],KH_26_OPT4_KTQT_v4[[#This Row],[Mã khách]],DB_25[Mã sản phẩm],KH_26_OPT4_KTQT_v4[[#This Row],[Mã sản phẩm]])</f>
        <v>0</v>
      </c>
      <c r="BR125" s="47">
        <f ca="1">KH_26_OPT4_KTQT_v4[[#This Row],[DT-EXW-KH26]]-KH_26_OPT4_KTQT_v4[[#This Row],[DT-EXW-DB25]]</f>
        <v>0</v>
      </c>
      <c r="BS125" s="21">
        <f ca="1">IFERROR(KH_26_OPT4_KTQT_v4[[#This Row],[DT-EXW-+/-]]/KH_26_OPT4_KTQT_v4[[#This Row],[DT-EXW-DB25]],0)</f>
        <v>0</v>
      </c>
      <c r="BT125" s="139"/>
      <c r="BU125" s="57"/>
      <c r="BV125" s="51"/>
      <c r="BW125" s="47">
        <f>IF(KH_26_OPT4_KTQT_v4[[#This Row],[CPHH-%-SL]]="Dthu",KH_26_OPT4_KTQT_v4[[#This Row],[%HH]]*KH_26_OPT4_KTQT_v4[[#This Row],[DT-EXW-01]],KH_26_OPT4_KTQT_v4[[#This Row],[HH-SL]]*KH_26_OPT4_KTQT_v4[[#This Row],[SL-01]])</f>
        <v>0</v>
      </c>
      <c r="BX125" s="47">
        <f>IF(KH_26_OPT4_KTQT_v4[[#This Row],[CPHH-%-SL]]="Dthu",KH_26_OPT4_KTQT_v4[[#This Row],[%HH]]*KH_26_OPT4_KTQT_v4[[#This Row],[DT-EXW-02]],KH_26_OPT4_KTQT_v4[[#This Row],[HH-SL]]*KH_26_OPT4_KTQT_v4[[#This Row],[SL-02]])</f>
        <v>0</v>
      </c>
      <c r="BY125" s="47">
        <f>IF(KH_26_OPT4_KTQT_v4[[#This Row],[CPHH-%-SL]]="Dthu",KH_26_OPT4_KTQT_v4[[#This Row],[%HH]]*KH_26_OPT4_KTQT_v4[[#This Row],[DT-EXW-03]],KH_26_OPT4_KTQT_v4[[#This Row],[HH-SL]]*KH_26_OPT4_KTQT_v4[[#This Row],[SL-03]])</f>
        <v>0</v>
      </c>
      <c r="BZ125" s="47">
        <f>IF(KH_26_OPT4_KTQT_v4[[#This Row],[CPHH-%-SL]]="Dthu",KH_26_OPT4_KTQT_v4[[#This Row],[%HH]]*KH_26_OPT4_KTQT_v4[[#This Row],[DT-EXW-04]],KH_26_OPT4_KTQT_v4[[#This Row],[HH-SL]]*KH_26_OPT4_KTQT_v4[[#This Row],[SL-04]])</f>
        <v>0</v>
      </c>
      <c r="CA125" s="47">
        <f>IF(KH_26_OPT4_KTQT_v4[[#This Row],[CPHH-%-SL]]="Dthu",KH_26_OPT4_KTQT_v4[[#This Row],[%HH]]*KH_26_OPT4_KTQT_v4[[#This Row],[DT-EXW-05]],KH_26_OPT4_KTQT_v4[[#This Row],[HH-SL]]*KH_26_OPT4_KTQT_v4[[#This Row],[SL-05]])</f>
        <v>0</v>
      </c>
      <c r="CB125" s="47">
        <f>IF(KH_26_OPT4_KTQT_v4[[#This Row],[CPHH-%-SL]]="Dthu",KH_26_OPT4_KTQT_v4[[#This Row],[%HH]]*KH_26_OPT4_KTQT_v4[[#This Row],[DT-EXW-06]],KH_26_OPT4_KTQT_v4[[#This Row],[HH-SL]]*KH_26_OPT4_KTQT_v4[[#This Row],[SL-06]])</f>
        <v>0</v>
      </c>
      <c r="CC125" s="47">
        <f>IF(KH_26_OPT4_KTQT_v4[[#This Row],[CPHH-%-SL]]="Dthu",KH_26_OPT4_KTQT_v4[[#This Row],[%HH]]*KH_26_OPT4_KTQT_v4[[#This Row],[DT-EXW-07]],KH_26_OPT4_KTQT_v4[[#This Row],[HH-SL]]*KH_26_OPT4_KTQT_v4[[#This Row],[SL-07]])</f>
        <v>0</v>
      </c>
      <c r="CD125" s="47">
        <f>IF(KH_26_OPT4_KTQT_v4[[#This Row],[CPHH-%-SL]]="Dthu",KH_26_OPT4_KTQT_v4[[#This Row],[%HH]]*KH_26_OPT4_KTQT_v4[[#This Row],[DT-EXW-08]],KH_26_OPT4_KTQT_v4[[#This Row],[HH-SL]]*KH_26_OPT4_KTQT_v4[[#This Row],[SL-08]])</f>
        <v>0</v>
      </c>
      <c r="CE125" s="47">
        <f>IF(KH_26_OPT4_KTQT_v4[[#This Row],[CPHH-%-SL]]="Dthu",KH_26_OPT4_KTQT_v4[[#This Row],[%HH]]*KH_26_OPT4_KTQT_v4[[#This Row],[DT-EXW-09]],KH_26_OPT4_KTQT_v4[[#This Row],[HH-SL]]*KH_26_OPT4_KTQT_v4[[#This Row],[SL-09]])</f>
        <v>0</v>
      </c>
      <c r="CF125" s="47">
        <f>IF(KH_26_OPT4_KTQT_v4[[#This Row],[CPHH-%-SL]]="Dthu",KH_26_OPT4_KTQT_v4[[#This Row],[%HH]]*KH_26_OPT4_KTQT_v4[[#This Row],[DT-EXW-10]],KH_26_OPT4_KTQT_v4[[#This Row],[HH-SL]]*KH_26_OPT4_KTQT_v4[[#This Row],[SL-10]])</f>
        <v>0</v>
      </c>
      <c r="CG125" s="47">
        <f>IF(KH_26_OPT4_KTQT_v4[[#This Row],[CPHH-%-SL]]="Dthu",KH_26_OPT4_KTQT_v4[[#This Row],[%HH]]*KH_26_OPT4_KTQT_v4[[#This Row],[DT-EXW-11]],KH_26_OPT4_KTQT_v4[[#This Row],[HH-SL]]*KH_26_OPT4_KTQT_v4[[#This Row],[SL-11]])</f>
        <v>0</v>
      </c>
      <c r="CH125" s="47">
        <f>IF(KH_26_OPT4_KTQT_v4[[#This Row],[CPHH-%-SL]]="Dthu",KH_26_OPT4_KTQT_v4[[#This Row],[%HH]]*KH_26_OPT4_KTQT_v4[[#This Row],[DT-EXW-12]],KH_26_OPT4_KTQT_v4[[#This Row],[HH-SL]]*KH_26_OPT4_KTQT_v4[[#This Row],[SL-12]])</f>
        <v>0</v>
      </c>
      <c r="CI125" s="47">
        <f ca="1">SUM(KH_26_OPT4_KTQT_v4[[#This Row],[CPHH-01]:[CPHH-12]])</f>
        <v>0</v>
      </c>
      <c r="CJ125" s="47" cm="1">
        <f t="array" ref="CJ125">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140000</v>
      </c>
      <c r="CK125" s="19">
        <f ca="1">SUM(KH_26_OPT4_KTQT_v4[[#This Row],[ĐGVCNĐ-KXK]:[ĐGVCCT-KXK]])</f>
        <v>0</v>
      </c>
      <c r="CL125" s="47" cm="1">
        <f t="array" ref="CL125">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125" s="47" cm="1">
        <f t="array" ref="CM125">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25" s="47">
        <f ca="1">(KH_26_OPT4_KTQT_v4[[#This Row],[ĐGVC-KNĐ]]+KH_26_OPT4_KTQT_v4[[#This Row],[ĐGVC-KXK]])*KH_26_OPT4_KTQT_v4[[#This Row],[SL-01]]</f>
        <v>0</v>
      </c>
      <c r="CO125" s="47">
        <f ca="1">(KH_26_OPT4_KTQT_v4[[#This Row],[ĐGVC-KNĐ]]+KH_26_OPT4_KTQT_v4[[#This Row],[ĐGVC-KXK]])*KH_26_OPT4_KTQT_v4[[#This Row],[SL-02]]</f>
        <v>0</v>
      </c>
      <c r="CP125" s="47">
        <f ca="1">(KH_26_OPT4_KTQT_v4[[#This Row],[ĐGVC-KNĐ]]+KH_26_OPT4_KTQT_v4[[#This Row],[ĐGVC-KXK]])*KH_26_OPT4_KTQT_v4[[#This Row],[SL-03]]</f>
        <v>0</v>
      </c>
      <c r="CQ125" s="47">
        <f ca="1">(KH_26_OPT4_KTQT_v4[[#This Row],[ĐGVC-KNĐ]]+KH_26_OPT4_KTQT_v4[[#This Row],[ĐGVC-KXK]])*KH_26_OPT4_KTQT_v4[[#This Row],[SL-04]]</f>
        <v>0</v>
      </c>
      <c r="CR125" s="47">
        <f ca="1">(KH_26_OPT4_KTQT_v4[[#This Row],[ĐGVC-KNĐ]]+KH_26_OPT4_KTQT_v4[[#This Row],[ĐGVC-KXK]])*KH_26_OPT4_KTQT_v4[[#This Row],[SL-05]]</f>
        <v>0</v>
      </c>
      <c r="CS125" s="47">
        <f ca="1">(KH_26_OPT4_KTQT_v4[[#This Row],[ĐGVC-KNĐ]]+KH_26_OPT4_KTQT_v4[[#This Row],[ĐGVC-KXK]])*KH_26_OPT4_KTQT_v4[[#This Row],[SL-06]]</f>
        <v>0</v>
      </c>
      <c r="CT125" s="47">
        <f ca="1">(KH_26_OPT4_KTQT_v4[[#This Row],[ĐGVC-KNĐ]]+KH_26_OPT4_KTQT_v4[[#This Row],[ĐGVC-KXK]])*KH_26_OPT4_KTQT_v4[[#This Row],[SL-07]]</f>
        <v>0</v>
      </c>
      <c r="CU125" s="47">
        <f ca="1">(KH_26_OPT4_KTQT_v4[[#This Row],[ĐGVC-KNĐ]]+KH_26_OPT4_KTQT_v4[[#This Row],[ĐGVC-KXK]])*KH_26_OPT4_KTQT_v4[[#This Row],[SL-08]]</f>
        <v>0</v>
      </c>
      <c r="CV125" s="47">
        <f ca="1">(KH_26_OPT4_KTQT_v4[[#This Row],[ĐGVC-KNĐ]]+KH_26_OPT4_KTQT_v4[[#This Row],[ĐGVC-KXK]])*KH_26_OPT4_KTQT_v4[[#This Row],[SL-09]]</f>
        <v>0</v>
      </c>
      <c r="CW125" s="47">
        <f ca="1">(KH_26_OPT4_KTQT_v4[[#This Row],[ĐGVC-KNĐ]]+KH_26_OPT4_KTQT_v4[[#This Row],[ĐGVC-KXK]])*KH_26_OPT4_KTQT_v4[[#This Row],[SL-10]]</f>
        <v>0</v>
      </c>
      <c r="CX125" s="47">
        <f ca="1">(KH_26_OPT4_KTQT_v4[[#This Row],[ĐGVC-KNĐ]]+KH_26_OPT4_KTQT_v4[[#This Row],[ĐGVC-KXK]])*KH_26_OPT4_KTQT_v4[[#This Row],[SL-11]]</f>
        <v>0</v>
      </c>
      <c r="CY125" s="47">
        <f ca="1">(KH_26_OPT4_KTQT_v4[[#This Row],[ĐGVC-KNĐ]]+KH_26_OPT4_KTQT_v4[[#This Row],[ĐGVC-KXK]])*KH_26_OPT4_KTQT_v4[[#This Row],[SL-12]]</f>
        <v>0</v>
      </c>
      <c r="CZ125" s="47">
        <f ca="1">SUM(KH_26_OPT4_KTQT_v4[[#This Row],[CPVC-01]:[CPVC-12]])</f>
        <v>0</v>
      </c>
      <c r="DA125" s="124">
        <f ca="1">KH_26_OPT4_KTQT_v4[[#This Row],[DT-EXW-01]]+KH_26_OPT4_KTQT_v4[[#This Row],[CPVC-01]]+KH_26_OPT4_KTQT_v4[[#This Row],[CPHH-01]]</f>
        <v>0</v>
      </c>
      <c r="DB125" s="47">
        <f ca="1">KH_26_OPT4_KTQT_v4[[#This Row],[DT-EXW-02]]+KH_26_OPT4_KTQT_v4[[#This Row],[CPVC-02]]+KH_26_OPT4_KTQT_v4[[#This Row],[CPHH-02]]</f>
        <v>0</v>
      </c>
      <c r="DC125" s="47">
        <f ca="1">KH_26_OPT4_KTQT_v4[[#This Row],[DT-EXW-03]]+KH_26_OPT4_KTQT_v4[[#This Row],[CPVC-03]]+KH_26_OPT4_KTQT_v4[[#This Row],[CPHH-03]]</f>
        <v>0</v>
      </c>
      <c r="DD125" s="47">
        <f ca="1">KH_26_OPT4_KTQT_v4[[#This Row],[DT-EXW-04]]+KH_26_OPT4_KTQT_v4[[#This Row],[CPVC-04]]+KH_26_OPT4_KTQT_v4[[#This Row],[CPHH-04]]</f>
        <v>0</v>
      </c>
      <c r="DE125" s="47">
        <f ca="1">KH_26_OPT4_KTQT_v4[[#This Row],[DT-EXW-05]]+KH_26_OPT4_KTQT_v4[[#This Row],[CPVC-05]]+KH_26_OPT4_KTQT_v4[[#This Row],[CPHH-05]]</f>
        <v>0</v>
      </c>
      <c r="DF125" s="47">
        <f ca="1">KH_26_OPT4_KTQT_v4[[#This Row],[DT-EXW-06]]+KH_26_OPT4_KTQT_v4[[#This Row],[CPVC-06]]+KH_26_OPT4_KTQT_v4[[#This Row],[CPHH-06]]</f>
        <v>0</v>
      </c>
      <c r="DG125" s="47">
        <f ca="1">KH_26_OPT4_KTQT_v4[[#This Row],[DT-EXW-07]]+KH_26_OPT4_KTQT_v4[[#This Row],[CPVC-07]]+KH_26_OPT4_KTQT_v4[[#This Row],[CPHH-07]]</f>
        <v>0</v>
      </c>
      <c r="DH125" s="47">
        <f ca="1">KH_26_OPT4_KTQT_v4[[#This Row],[DT-EXW-08]]+KH_26_OPT4_KTQT_v4[[#This Row],[CPVC-08]]+KH_26_OPT4_KTQT_v4[[#This Row],[CPHH-08]]</f>
        <v>0</v>
      </c>
      <c r="DI125" s="47">
        <f ca="1">KH_26_OPT4_KTQT_v4[[#This Row],[DT-EXW-09]]+KH_26_OPT4_KTQT_v4[[#This Row],[CPVC-09]]+KH_26_OPT4_KTQT_v4[[#This Row],[CPHH-09]]</f>
        <v>0</v>
      </c>
      <c r="DJ125" s="47">
        <f ca="1">KH_26_OPT4_KTQT_v4[[#This Row],[DT-EXW-10]]+KH_26_OPT4_KTQT_v4[[#This Row],[CPVC-10]]+KH_26_OPT4_KTQT_v4[[#This Row],[CPHH-10]]</f>
        <v>0</v>
      </c>
      <c r="DK125" s="47">
        <f ca="1">KH_26_OPT4_KTQT_v4[[#This Row],[DT-EXW-11]]+KH_26_OPT4_KTQT_v4[[#This Row],[CPVC-11]]+KH_26_OPT4_KTQT_v4[[#This Row],[CPHH-11]]</f>
        <v>0</v>
      </c>
      <c r="DL125" s="47">
        <f ca="1">KH_26_OPT4_KTQT_v4[[#This Row],[DT-EXW-12]]+KH_26_OPT4_KTQT_v4[[#This Row],[CPVC-12]]+KH_26_OPT4_KTQT_v4[[#This Row],[CPHH-12]]</f>
        <v>0</v>
      </c>
      <c r="DM125" s="47">
        <f ca="1">SUM(KH_26_OPT4_KTQT_v4[[#This Row],[DT-01]:[DT-12]])</f>
        <v>0</v>
      </c>
      <c r="DN125" s="7"/>
      <c r="DO125" s="7"/>
      <c r="DP125" s="125"/>
      <c r="DQ125" s="136"/>
      <c r="DR125" s="132">
        <f>IFERROR(KH_26_OPT4_KTQT_v4[[#This Row],[DT-EXW-01]]*KH_26_OPT4_KTQT_v4[[#This Row],[%CPDP]],0)</f>
        <v>0</v>
      </c>
      <c r="DS125" s="132">
        <f>IFERROR(KH_26_OPT4_KTQT_v4[[#This Row],[DT-EXW-02]]*KH_26_OPT4_KTQT_v4[[#This Row],[%CPDP]],0)</f>
        <v>0</v>
      </c>
      <c r="DT125" s="132">
        <f>IFERROR(KH_26_OPT4_KTQT_v4[[#This Row],[DT-EXW-03]]*KH_26_OPT4_KTQT_v4[[#This Row],[%CPDP]],0)</f>
        <v>0</v>
      </c>
      <c r="DU125" s="132">
        <f>IFERROR(KH_26_OPT4_KTQT_v4[[#This Row],[DT-EXW-04]]*KH_26_OPT4_KTQT_v4[[#This Row],[%CPDP]],0)</f>
        <v>0</v>
      </c>
      <c r="DV125" s="132">
        <f>IFERROR(KH_26_OPT4_KTQT_v4[[#This Row],[DT-EXW-05]]*KH_26_OPT4_KTQT_v4[[#This Row],[%CPDP]],0)</f>
        <v>0</v>
      </c>
      <c r="DW125" s="132">
        <f>IFERROR(KH_26_OPT4_KTQT_v4[[#This Row],[DT-EXW-06]]*KH_26_OPT4_KTQT_v4[[#This Row],[%CPDP]],0)</f>
        <v>0</v>
      </c>
      <c r="DX125" s="132">
        <f>IFERROR(KH_26_OPT4_KTQT_v4[[#This Row],[DT-EXW-07]]*KH_26_OPT4_KTQT_v4[[#This Row],[%CPDP]],0)</f>
        <v>0</v>
      </c>
      <c r="DY125" s="132">
        <f>IFERROR(KH_26_OPT4_KTQT_v4[[#This Row],[DT-EXW-08]]*KH_26_OPT4_KTQT_v4[[#This Row],[%CPDP]],0)</f>
        <v>0</v>
      </c>
      <c r="DZ125" s="132">
        <f>IFERROR(KH_26_OPT4_KTQT_v4[[#This Row],[DT-EXW-09]]*KH_26_OPT4_KTQT_v4[[#This Row],[%CPDP]],0)</f>
        <v>0</v>
      </c>
      <c r="EA125" s="132">
        <f>IFERROR(KH_26_OPT4_KTQT_v4[[#This Row],[DT-EXW-10]]*KH_26_OPT4_KTQT_v4[[#This Row],[%CPDP]],0)</f>
        <v>0</v>
      </c>
      <c r="EB125" s="132">
        <f>IFERROR(KH_26_OPT4_KTQT_v4[[#This Row],[DT-EXW-11]]*KH_26_OPT4_KTQT_v4[[#This Row],[%CPDP]],0)</f>
        <v>0</v>
      </c>
      <c r="EC125" s="132">
        <f>IFERROR(KH_26_OPT4_KTQT_v4[[#This Row],[DT-EXW-12]]*KH_26_OPT4_KTQT_v4[[#This Row],[%CPDP]],0)</f>
        <v>0</v>
      </c>
      <c r="ED125" s="131">
        <f ca="1">SUM(KH_26_OPT4_KTQT_v4[[#This Row],[CPDP-01]:[CPDP-12]])</f>
        <v>0</v>
      </c>
    </row>
    <row r="126" spans="1:134" ht="14.65" hidden="1" customHeight="1" x14ac:dyDescent="0.35">
      <c r="A126" s="18">
        <v>121</v>
      </c>
      <c r="B126" s="71" t="s">
        <v>101</v>
      </c>
      <c r="C126" s="18" t="str">
        <f>IFERROR(_xlfn.XLOOKUP(KH_26_OPT4_KTQT_v4[[#This Row],[Salesman]],MD_Salesman[Salesman],MD_Salesman[SalesManager]),"")</f>
        <v>Cường</v>
      </c>
      <c r="D126" s="72" t="str">
        <f>IFERROR(INDEX(MD_Customer[Mã khách],MATCH(KH_26_OPT4_KTQT_v4[[#This Row],[Tên khách]],MD_Customer[Tên khách-rút gọn],0)),"")</f>
        <v>104909</v>
      </c>
      <c r="E126" s="7" t="str">
        <f>IFERROR(INDEX(MD_Customer[Parent Account],MATCH(KH_26_OPT4_KTQT_v4[[#This Row],[Tên khách]],MD_Customer[Tên khách-rút gọn],0)),"")</f>
        <v>Lavie</v>
      </c>
      <c r="F126" s="35" t="s">
        <v>257</v>
      </c>
      <c r="G126" s="7" t="str">
        <f>IFERROR(INDEX(MD_Customer[Phân loại],MATCH(KH_26_OPT4_KTQT_v4[[#This Row],[Tên khách]],MD_Customer[Tên khách-rút gọn],0)),"")</f>
        <v>Hiện hữu</v>
      </c>
      <c r="H126" s="7" t="str">
        <f>IFERROR(INDEX(MD_Customer[Kênh bán hàng],MATCH(KH_26_OPT4_KTQT_v4[[#This Row],[Tên khách]],MD_Customer[Tên khách-rút gọn],0)),"")</f>
        <v>Nội địa</v>
      </c>
      <c r="I126" s="35" t="s">
        <v>258</v>
      </c>
      <c r="J126" s="7" t="str">
        <f>IFERROR(INDEX(MD_Destination[Nước],MATCH(KH_26_OPT4_KTQT_v4[[#This Row],[Địa điểm đến]],MD_Destination[Địa điểm đến],0)),"")</f>
        <v>Việt Nam</v>
      </c>
      <c r="K126" s="7" t="str">
        <f>IFERROR(INDEX(MD_Destination[Khu vực],MATCH(KH_26_OPT4_KTQT_v4[[#This Row],[Địa điểm đến]],MD_Destination[Địa điểm đến],0)),"")</f>
        <v>Châu Á</v>
      </c>
      <c r="L126" s="35" t="s">
        <v>260</v>
      </c>
      <c r="M126" s="7" t="str">
        <f>IFERROR(INDEX(MD_SKU[Mã SKU],MATCH(KH_26_OPT4_KTQT_v4[[#This Row],[Tên sản phẩm]],MD_SKU[Tên SKU-rút gọn],0)),"")</f>
        <v>110000497</v>
      </c>
      <c r="N126" s="35" t="s">
        <v>496</v>
      </c>
      <c r="O126" s="7" t="str">
        <f>IFERROR(INDEX(MD_SKU[Ngành hàng],MATCH(KH_26_OPT4_KTQT_v4[[#This Row],[Tên sản phẩm]],MD_SKU[Tên SKU-rút gọn],0)),"")</f>
        <v>rPET</v>
      </c>
      <c r="P126" s="7" t="str">
        <f>IFERROR(INDEX(MD_SKU[Nhóm ngành],MATCH(KH_26_OPT4_KTQT_v4[[#This Row],[Tên sản phẩm]],MD_SKU[Tên SKU-rút gọn],0)),"")</f>
        <v>Hạt PET</v>
      </c>
      <c r="Q126" s="7" t="str">
        <f>IFERROR(
   IF(INDEX(MD_SKU[IV/IM],MATCH(KH_26_OPT4_KTQT_v4[[#This Row],[Tên sản phẩm]],MD_SKU[Tên SKU-rút gọn],0))=0,
      "",
      INDEX(MD_SKU[IV/IM],MATCH(KH_26_OPT4_KTQT_v4[[#This Row],[Tên sản phẩm]],MD_SKU[Tên SKU-rút gọn],0))
   ),
"")</f>
        <v>0.78 ± 0.02</v>
      </c>
      <c r="R126" s="44">
        <f>IFERROR(INDEX(MD_SKU[Application],MATCH(KH_26_OPT4_KTQT_v4[[#This Row],[Tên sản phẩm]],MD_SKU[Tên SKU-rút gọn],0)),"")</f>
        <v>0</v>
      </c>
      <c r="S126" s="7" t="str">
        <f>IFERROR(INDEX(MD_SKU[Phân loại],MATCH(KH_26_OPT4_KTQT_v4[[#This Row],[Tên sản phẩm]],MD_SKU[Tên SKU-rút gọn],0)),"")</f>
        <v>Cũ</v>
      </c>
      <c r="T126" s="7"/>
      <c r="U126" s="7"/>
      <c r="V126" s="70">
        <v>0.8</v>
      </c>
      <c r="W126" s="33"/>
      <c r="X126" s="33"/>
      <c r="Y126" s="33"/>
      <c r="Z126" s="33"/>
      <c r="AA126" s="33"/>
      <c r="AB126" s="33"/>
      <c r="AC126" s="33"/>
      <c r="AD126" s="33"/>
      <c r="AE126" s="33"/>
      <c r="AF126" s="33"/>
      <c r="AG126" s="33"/>
      <c r="AH126" s="33"/>
      <c r="AI126" s="47">
        <f ca="1">SUM(KH_26_OPT4_KTQT_v4[[#This Row],[SL-01]:[SL-12]])</f>
        <v>0</v>
      </c>
      <c r="AJ126" s="47">
        <f ca="1">SUMIFS(DB_25[SL-DB25],DB_25[Mã khách],KH_26_OPT4_KTQT_v4[[#This Row],[Mã khách]],DB_25[Mã sản phẩm],KH_26_OPT4_KTQT_v4[[#This Row],[Mã sản phẩm]])</f>
        <v>6.0500000000000007</v>
      </c>
      <c r="AK126" s="20">
        <f ca="1">KH_26_OPT4_KTQT_v4[[#This Row],[SL-KH26]]-KH_26_OPT4_KTQT_v4[[#This Row],[SL-DB25]]</f>
        <v>-6.0500000000000007</v>
      </c>
      <c r="AL126" s="21">
        <f ca="1">IFERROR(KH_26_OPT4_KTQT_v4[[#This Row],[SL-+/-]]/KH_26_OPT4_KTQT_v4[[#This Row],[SL-DB25]],0)</f>
        <v>-1</v>
      </c>
      <c r="AM126" s="51">
        <v>1040</v>
      </c>
      <c r="AN126" s="51">
        <v>1040</v>
      </c>
      <c r="AO126" s="51">
        <v>1040</v>
      </c>
      <c r="AP126" s="51">
        <v>1040</v>
      </c>
      <c r="AQ126" s="51">
        <v>1040</v>
      </c>
      <c r="AR126" s="51">
        <v>1040</v>
      </c>
      <c r="AS126" s="51">
        <v>1040</v>
      </c>
      <c r="AT126" s="51">
        <v>1040</v>
      </c>
      <c r="AU126" s="51">
        <v>1040</v>
      </c>
      <c r="AV126" s="51">
        <v>1040</v>
      </c>
      <c r="AW126" s="51">
        <v>1040</v>
      </c>
      <c r="AX126" s="51">
        <v>1040</v>
      </c>
      <c r="AY126" s="23">
        <v>1040</v>
      </c>
      <c r="AZ126" s="7"/>
      <c r="BA126" s="24">
        <f>KH_26_OPT4_KTQT_v4[[#This Row],[GB-DB25]]-KH_26_OPT4_KTQT_v4[[#This Row],[GB-KH25]]</f>
        <v>1040</v>
      </c>
      <c r="BB126" s="21">
        <f>IFERROR(KH_26_OPT4_KTQT_v4[[#This Row],[GB-+/-]]/KH_26_OPT4_KTQT_v4[[#This Row],[GB-KH25]],0)</f>
        <v>0</v>
      </c>
      <c r="BC126" s="21"/>
      <c r="BD126" s="47">
        <f>KH_26_OPT4_KTQT_v4[[#This Row],[SL-01]]*KH_26_OPT4_KTQT_v4[[#This Row],[GB-01]]*EXR</f>
        <v>0</v>
      </c>
      <c r="BE126" s="47">
        <f>KH_26_OPT4_KTQT_v4[[#This Row],[SL-02]]*KH_26_OPT4_KTQT_v4[[#This Row],[GB-02]]*EXR</f>
        <v>0</v>
      </c>
      <c r="BF126" s="47">
        <f>KH_26_OPT4_KTQT_v4[[#This Row],[SL-03]]*KH_26_OPT4_KTQT_v4[[#This Row],[GB-03]]*EXR</f>
        <v>0</v>
      </c>
      <c r="BG126" s="47">
        <f>KH_26_OPT4_KTQT_v4[[#This Row],[SL-04]]*KH_26_OPT4_KTQT_v4[[#This Row],[GB-04]]*EXR</f>
        <v>0</v>
      </c>
      <c r="BH126" s="47">
        <f>KH_26_OPT4_KTQT_v4[[#This Row],[SL-05]]*KH_26_OPT4_KTQT_v4[[#This Row],[GB-05]]*EXR</f>
        <v>0</v>
      </c>
      <c r="BI126" s="47">
        <f>KH_26_OPT4_KTQT_v4[[#This Row],[SL-06]]*KH_26_OPT4_KTQT_v4[[#This Row],[GB-06]]*EXR</f>
        <v>0</v>
      </c>
      <c r="BJ126" s="47">
        <f>KH_26_OPT4_KTQT_v4[[#This Row],[SL-07]]*KH_26_OPT4_KTQT_v4[[#This Row],[GB-07]]*EXR</f>
        <v>0</v>
      </c>
      <c r="BK126" s="47">
        <f>KH_26_OPT4_KTQT_v4[[#This Row],[SL-08]]*KH_26_OPT4_KTQT_v4[[#This Row],[GB-08]]*EXR</f>
        <v>0</v>
      </c>
      <c r="BL126" s="47">
        <f>KH_26_OPT4_KTQT_v4[[#This Row],[SL-09]]*KH_26_OPT4_KTQT_v4[[#This Row],[GB-09]]*EXR</f>
        <v>0</v>
      </c>
      <c r="BM126" s="47">
        <f>KH_26_OPT4_KTQT_v4[[#This Row],[SL-10]]*KH_26_OPT4_KTQT_v4[[#This Row],[GB-10]]*EXR</f>
        <v>0</v>
      </c>
      <c r="BN126" s="47">
        <f>KH_26_OPT4_KTQT_v4[[#This Row],[SL-11]]*KH_26_OPT4_KTQT_v4[[#This Row],[GB-11]]*EXR</f>
        <v>0</v>
      </c>
      <c r="BO126" s="47">
        <f>KH_26_OPT4_KTQT_v4[[#This Row],[SL-12]]*KH_26_OPT4_KTQT_v4[[#This Row],[GB-12]]*EXR</f>
        <v>0</v>
      </c>
      <c r="BP126" s="47">
        <f ca="1">SUM(KH_26_OPT4_KTQT_v4[[#This Row],[DT-EXW-01]:[DT-EXW-12]])</f>
        <v>0</v>
      </c>
      <c r="BQ126" s="47">
        <f ca="1">SUMIFS(DB_25[DT-DB25],DB_25[Mã khách],KH_26_OPT4_KTQT_v4[[#This Row],[Mã khách]],DB_25[Mã sản phẩm],KH_26_OPT4_KTQT_v4[[#This Row],[Mã sản phẩm]])</f>
        <v>211654815.10179615</v>
      </c>
      <c r="BR126" s="47">
        <f ca="1">KH_26_OPT4_KTQT_v4[[#This Row],[DT-EXW-KH26]]-KH_26_OPT4_KTQT_v4[[#This Row],[DT-EXW-DB25]]</f>
        <v>-211654815.10179615</v>
      </c>
      <c r="BS126" s="21">
        <f ca="1">IFERROR(KH_26_OPT4_KTQT_v4[[#This Row],[DT-EXW-+/-]]/KH_26_OPT4_KTQT_v4[[#This Row],[DT-EXW-DB25]],0)</f>
        <v>-1</v>
      </c>
      <c r="BT126" s="139"/>
      <c r="BU126" s="57"/>
      <c r="BV126" s="51"/>
      <c r="BW126" s="47">
        <f>IF(KH_26_OPT4_KTQT_v4[[#This Row],[CPHH-%-SL]]="Dthu",KH_26_OPT4_KTQT_v4[[#This Row],[%HH]]*KH_26_OPT4_KTQT_v4[[#This Row],[DT-EXW-01]],KH_26_OPT4_KTQT_v4[[#This Row],[HH-SL]]*KH_26_OPT4_KTQT_v4[[#This Row],[SL-01]])</f>
        <v>0</v>
      </c>
      <c r="BX126" s="47">
        <f>IF(KH_26_OPT4_KTQT_v4[[#This Row],[CPHH-%-SL]]="Dthu",KH_26_OPT4_KTQT_v4[[#This Row],[%HH]]*KH_26_OPT4_KTQT_v4[[#This Row],[DT-EXW-02]],KH_26_OPT4_KTQT_v4[[#This Row],[HH-SL]]*KH_26_OPT4_KTQT_v4[[#This Row],[SL-02]])</f>
        <v>0</v>
      </c>
      <c r="BY126" s="47">
        <f>IF(KH_26_OPT4_KTQT_v4[[#This Row],[CPHH-%-SL]]="Dthu",KH_26_OPT4_KTQT_v4[[#This Row],[%HH]]*KH_26_OPT4_KTQT_v4[[#This Row],[DT-EXW-03]],KH_26_OPT4_KTQT_v4[[#This Row],[HH-SL]]*KH_26_OPT4_KTQT_v4[[#This Row],[SL-03]])</f>
        <v>0</v>
      </c>
      <c r="BZ126" s="47">
        <f>IF(KH_26_OPT4_KTQT_v4[[#This Row],[CPHH-%-SL]]="Dthu",KH_26_OPT4_KTQT_v4[[#This Row],[%HH]]*KH_26_OPT4_KTQT_v4[[#This Row],[DT-EXW-04]],KH_26_OPT4_KTQT_v4[[#This Row],[HH-SL]]*KH_26_OPT4_KTQT_v4[[#This Row],[SL-04]])</f>
        <v>0</v>
      </c>
      <c r="CA126" s="47">
        <f>IF(KH_26_OPT4_KTQT_v4[[#This Row],[CPHH-%-SL]]="Dthu",KH_26_OPT4_KTQT_v4[[#This Row],[%HH]]*KH_26_OPT4_KTQT_v4[[#This Row],[DT-EXW-05]],KH_26_OPT4_KTQT_v4[[#This Row],[HH-SL]]*KH_26_OPT4_KTQT_v4[[#This Row],[SL-05]])</f>
        <v>0</v>
      </c>
      <c r="CB126" s="47">
        <f>IF(KH_26_OPT4_KTQT_v4[[#This Row],[CPHH-%-SL]]="Dthu",KH_26_OPT4_KTQT_v4[[#This Row],[%HH]]*KH_26_OPT4_KTQT_v4[[#This Row],[DT-EXW-06]],KH_26_OPT4_KTQT_v4[[#This Row],[HH-SL]]*KH_26_OPT4_KTQT_v4[[#This Row],[SL-06]])</f>
        <v>0</v>
      </c>
      <c r="CC126" s="47">
        <f>IF(KH_26_OPT4_KTQT_v4[[#This Row],[CPHH-%-SL]]="Dthu",KH_26_OPT4_KTQT_v4[[#This Row],[%HH]]*KH_26_OPT4_KTQT_v4[[#This Row],[DT-EXW-07]],KH_26_OPT4_KTQT_v4[[#This Row],[HH-SL]]*KH_26_OPT4_KTQT_v4[[#This Row],[SL-07]])</f>
        <v>0</v>
      </c>
      <c r="CD126" s="47">
        <f>IF(KH_26_OPT4_KTQT_v4[[#This Row],[CPHH-%-SL]]="Dthu",KH_26_OPT4_KTQT_v4[[#This Row],[%HH]]*KH_26_OPT4_KTQT_v4[[#This Row],[DT-EXW-08]],KH_26_OPT4_KTQT_v4[[#This Row],[HH-SL]]*KH_26_OPT4_KTQT_v4[[#This Row],[SL-08]])</f>
        <v>0</v>
      </c>
      <c r="CE126" s="47">
        <f>IF(KH_26_OPT4_KTQT_v4[[#This Row],[CPHH-%-SL]]="Dthu",KH_26_OPT4_KTQT_v4[[#This Row],[%HH]]*KH_26_OPT4_KTQT_v4[[#This Row],[DT-EXW-09]],KH_26_OPT4_KTQT_v4[[#This Row],[HH-SL]]*KH_26_OPT4_KTQT_v4[[#This Row],[SL-09]])</f>
        <v>0</v>
      </c>
      <c r="CF126" s="47">
        <f>IF(KH_26_OPT4_KTQT_v4[[#This Row],[CPHH-%-SL]]="Dthu",KH_26_OPT4_KTQT_v4[[#This Row],[%HH]]*KH_26_OPT4_KTQT_v4[[#This Row],[DT-EXW-10]],KH_26_OPT4_KTQT_v4[[#This Row],[HH-SL]]*KH_26_OPT4_KTQT_v4[[#This Row],[SL-10]])</f>
        <v>0</v>
      </c>
      <c r="CG126" s="47">
        <f>IF(KH_26_OPT4_KTQT_v4[[#This Row],[CPHH-%-SL]]="Dthu",KH_26_OPT4_KTQT_v4[[#This Row],[%HH]]*KH_26_OPT4_KTQT_v4[[#This Row],[DT-EXW-11]],KH_26_OPT4_KTQT_v4[[#This Row],[HH-SL]]*KH_26_OPT4_KTQT_v4[[#This Row],[SL-11]])</f>
        <v>0</v>
      </c>
      <c r="CH126" s="47">
        <f>IF(KH_26_OPT4_KTQT_v4[[#This Row],[CPHH-%-SL]]="Dthu",KH_26_OPT4_KTQT_v4[[#This Row],[%HH]]*KH_26_OPT4_KTQT_v4[[#This Row],[DT-EXW-12]],KH_26_OPT4_KTQT_v4[[#This Row],[HH-SL]]*KH_26_OPT4_KTQT_v4[[#This Row],[SL-12]])</f>
        <v>0</v>
      </c>
      <c r="CI126" s="47">
        <f ca="1">SUM(KH_26_OPT4_KTQT_v4[[#This Row],[CPHH-01]:[CPHH-12]])</f>
        <v>0</v>
      </c>
      <c r="CJ126" s="47" cm="1">
        <f t="array" ref="CJ126">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26" s="19">
        <f ca="1">SUM(KH_26_OPT4_KTQT_v4[[#This Row],[ĐGVCNĐ-KXK]:[ĐGVCCT-KXK]])</f>
        <v>0</v>
      </c>
      <c r="CL126" s="47" cm="1">
        <f t="array" ref="CL126">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126" s="47" cm="1">
        <f t="array" ref="CM126">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26" s="47">
        <f ca="1">(KH_26_OPT4_KTQT_v4[[#This Row],[ĐGVC-KNĐ]]+KH_26_OPT4_KTQT_v4[[#This Row],[ĐGVC-KXK]])*KH_26_OPT4_KTQT_v4[[#This Row],[SL-01]]</f>
        <v>0</v>
      </c>
      <c r="CO126" s="47">
        <f ca="1">(KH_26_OPT4_KTQT_v4[[#This Row],[ĐGVC-KNĐ]]+KH_26_OPT4_KTQT_v4[[#This Row],[ĐGVC-KXK]])*KH_26_OPT4_KTQT_v4[[#This Row],[SL-02]]</f>
        <v>0</v>
      </c>
      <c r="CP126" s="47">
        <f ca="1">(KH_26_OPT4_KTQT_v4[[#This Row],[ĐGVC-KNĐ]]+KH_26_OPT4_KTQT_v4[[#This Row],[ĐGVC-KXK]])*KH_26_OPT4_KTQT_v4[[#This Row],[SL-03]]</f>
        <v>0</v>
      </c>
      <c r="CQ126" s="47">
        <f ca="1">(KH_26_OPT4_KTQT_v4[[#This Row],[ĐGVC-KNĐ]]+KH_26_OPT4_KTQT_v4[[#This Row],[ĐGVC-KXK]])*KH_26_OPT4_KTQT_v4[[#This Row],[SL-04]]</f>
        <v>0</v>
      </c>
      <c r="CR126" s="47">
        <f ca="1">(KH_26_OPT4_KTQT_v4[[#This Row],[ĐGVC-KNĐ]]+KH_26_OPT4_KTQT_v4[[#This Row],[ĐGVC-KXK]])*KH_26_OPT4_KTQT_v4[[#This Row],[SL-05]]</f>
        <v>0</v>
      </c>
      <c r="CS126" s="47">
        <f ca="1">(KH_26_OPT4_KTQT_v4[[#This Row],[ĐGVC-KNĐ]]+KH_26_OPT4_KTQT_v4[[#This Row],[ĐGVC-KXK]])*KH_26_OPT4_KTQT_v4[[#This Row],[SL-06]]</f>
        <v>0</v>
      </c>
      <c r="CT126" s="47">
        <f ca="1">(KH_26_OPT4_KTQT_v4[[#This Row],[ĐGVC-KNĐ]]+KH_26_OPT4_KTQT_v4[[#This Row],[ĐGVC-KXK]])*KH_26_OPT4_KTQT_v4[[#This Row],[SL-07]]</f>
        <v>0</v>
      </c>
      <c r="CU126" s="47">
        <f ca="1">(KH_26_OPT4_KTQT_v4[[#This Row],[ĐGVC-KNĐ]]+KH_26_OPT4_KTQT_v4[[#This Row],[ĐGVC-KXK]])*KH_26_OPT4_KTQT_v4[[#This Row],[SL-08]]</f>
        <v>0</v>
      </c>
      <c r="CV126" s="47">
        <f ca="1">(KH_26_OPT4_KTQT_v4[[#This Row],[ĐGVC-KNĐ]]+KH_26_OPT4_KTQT_v4[[#This Row],[ĐGVC-KXK]])*KH_26_OPT4_KTQT_v4[[#This Row],[SL-09]]</f>
        <v>0</v>
      </c>
      <c r="CW126" s="47">
        <f ca="1">(KH_26_OPT4_KTQT_v4[[#This Row],[ĐGVC-KNĐ]]+KH_26_OPT4_KTQT_v4[[#This Row],[ĐGVC-KXK]])*KH_26_OPT4_KTQT_v4[[#This Row],[SL-10]]</f>
        <v>0</v>
      </c>
      <c r="CX126" s="47">
        <f ca="1">(KH_26_OPT4_KTQT_v4[[#This Row],[ĐGVC-KNĐ]]+KH_26_OPT4_KTQT_v4[[#This Row],[ĐGVC-KXK]])*KH_26_OPT4_KTQT_v4[[#This Row],[SL-11]]</f>
        <v>0</v>
      </c>
      <c r="CY126" s="47">
        <f ca="1">(KH_26_OPT4_KTQT_v4[[#This Row],[ĐGVC-KNĐ]]+KH_26_OPT4_KTQT_v4[[#This Row],[ĐGVC-KXK]])*KH_26_OPT4_KTQT_v4[[#This Row],[SL-12]]</f>
        <v>0</v>
      </c>
      <c r="CZ126" s="47">
        <f ca="1">SUM(KH_26_OPT4_KTQT_v4[[#This Row],[CPVC-01]:[CPVC-12]])</f>
        <v>0</v>
      </c>
      <c r="DA126" s="124">
        <f ca="1">KH_26_OPT4_KTQT_v4[[#This Row],[DT-EXW-01]]+KH_26_OPT4_KTQT_v4[[#This Row],[CPVC-01]]+KH_26_OPT4_KTQT_v4[[#This Row],[CPHH-01]]</f>
        <v>0</v>
      </c>
      <c r="DB126" s="47">
        <f ca="1">KH_26_OPT4_KTQT_v4[[#This Row],[DT-EXW-02]]+KH_26_OPT4_KTQT_v4[[#This Row],[CPVC-02]]+KH_26_OPT4_KTQT_v4[[#This Row],[CPHH-02]]</f>
        <v>0</v>
      </c>
      <c r="DC126" s="47">
        <f ca="1">KH_26_OPT4_KTQT_v4[[#This Row],[DT-EXW-03]]+KH_26_OPT4_KTQT_v4[[#This Row],[CPVC-03]]+KH_26_OPT4_KTQT_v4[[#This Row],[CPHH-03]]</f>
        <v>0</v>
      </c>
      <c r="DD126" s="47">
        <f ca="1">KH_26_OPT4_KTQT_v4[[#This Row],[DT-EXW-04]]+KH_26_OPT4_KTQT_v4[[#This Row],[CPVC-04]]+KH_26_OPT4_KTQT_v4[[#This Row],[CPHH-04]]</f>
        <v>0</v>
      </c>
      <c r="DE126" s="47">
        <f ca="1">KH_26_OPT4_KTQT_v4[[#This Row],[DT-EXW-05]]+KH_26_OPT4_KTQT_v4[[#This Row],[CPVC-05]]+KH_26_OPT4_KTQT_v4[[#This Row],[CPHH-05]]</f>
        <v>0</v>
      </c>
      <c r="DF126" s="47">
        <f ca="1">KH_26_OPT4_KTQT_v4[[#This Row],[DT-EXW-06]]+KH_26_OPT4_KTQT_v4[[#This Row],[CPVC-06]]+KH_26_OPT4_KTQT_v4[[#This Row],[CPHH-06]]</f>
        <v>0</v>
      </c>
      <c r="DG126" s="47">
        <f ca="1">KH_26_OPT4_KTQT_v4[[#This Row],[DT-EXW-07]]+KH_26_OPT4_KTQT_v4[[#This Row],[CPVC-07]]+KH_26_OPT4_KTQT_v4[[#This Row],[CPHH-07]]</f>
        <v>0</v>
      </c>
      <c r="DH126" s="47">
        <f ca="1">KH_26_OPT4_KTQT_v4[[#This Row],[DT-EXW-08]]+KH_26_OPT4_KTQT_v4[[#This Row],[CPVC-08]]+KH_26_OPT4_KTQT_v4[[#This Row],[CPHH-08]]</f>
        <v>0</v>
      </c>
      <c r="DI126" s="47">
        <f ca="1">KH_26_OPT4_KTQT_v4[[#This Row],[DT-EXW-09]]+KH_26_OPT4_KTQT_v4[[#This Row],[CPVC-09]]+KH_26_OPT4_KTQT_v4[[#This Row],[CPHH-09]]</f>
        <v>0</v>
      </c>
      <c r="DJ126" s="47">
        <f ca="1">KH_26_OPT4_KTQT_v4[[#This Row],[DT-EXW-10]]+KH_26_OPT4_KTQT_v4[[#This Row],[CPVC-10]]+KH_26_OPT4_KTQT_v4[[#This Row],[CPHH-10]]</f>
        <v>0</v>
      </c>
      <c r="DK126" s="47">
        <f ca="1">KH_26_OPT4_KTQT_v4[[#This Row],[DT-EXW-11]]+KH_26_OPT4_KTQT_v4[[#This Row],[CPVC-11]]+KH_26_OPT4_KTQT_v4[[#This Row],[CPHH-11]]</f>
        <v>0</v>
      </c>
      <c r="DL126" s="47">
        <f ca="1">KH_26_OPT4_KTQT_v4[[#This Row],[DT-EXW-12]]+KH_26_OPT4_KTQT_v4[[#This Row],[CPVC-12]]+KH_26_OPT4_KTQT_v4[[#This Row],[CPHH-12]]</f>
        <v>0</v>
      </c>
      <c r="DM126" s="47">
        <f ca="1">SUM(KH_26_OPT4_KTQT_v4[[#This Row],[DT-01]:[DT-12]])</f>
        <v>0</v>
      </c>
      <c r="DN126" s="7"/>
      <c r="DO126" s="7"/>
      <c r="DP126" s="125"/>
      <c r="DQ126" s="136"/>
      <c r="DR126" s="132">
        <f>IFERROR(KH_26_OPT4_KTQT_v4[[#This Row],[DT-EXW-01]]*KH_26_OPT4_KTQT_v4[[#This Row],[%CPDP]],0)</f>
        <v>0</v>
      </c>
      <c r="DS126" s="132">
        <f>IFERROR(KH_26_OPT4_KTQT_v4[[#This Row],[DT-EXW-02]]*KH_26_OPT4_KTQT_v4[[#This Row],[%CPDP]],0)</f>
        <v>0</v>
      </c>
      <c r="DT126" s="132">
        <f>IFERROR(KH_26_OPT4_KTQT_v4[[#This Row],[DT-EXW-03]]*KH_26_OPT4_KTQT_v4[[#This Row],[%CPDP]],0)</f>
        <v>0</v>
      </c>
      <c r="DU126" s="132">
        <f>IFERROR(KH_26_OPT4_KTQT_v4[[#This Row],[DT-EXW-04]]*KH_26_OPT4_KTQT_v4[[#This Row],[%CPDP]],0)</f>
        <v>0</v>
      </c>
      <c r="DV126" s="132">
        <f>IFERROR(KH_26_OPT4_KTQT_v4[[#This Row],[DT-EXW-05]]*KH_26_OPT4_KTQT_v4[[#This Row],[%CPDP]],0)</f>
        <v>0</v>
      </c>
      <c r="DW126" s="132">
        <f>IFERROR(KH_26_OPT4_KTQT_v4[[#This Row],[DT-EXW-06]]*KH_26_OPT4_KTQT_v4[[#This Row],[%CPDP]],0)</f>
        <v>0</v>
      </c>
      <c r="DX126" s="132">
        <f>IFERROR(KH_26_OPT4_KTQT_v4[[#This Row],[DT-EXW-07]]*KH_26_OPT4_KTQT_v4[[#This Row],[%CPDP]],0)</f>
        <v>0</v>
      </c>
      <c r="DY126" s="132">
        <f>IFERROR(KH_26_OPT4_KTQT_v4[[#This Row],[DT-EXW-08]]*KH_26_OPT4_KTQT_v4[[#This Row],[%CPDP]],0)</f>
        <v>0</v>
      </c>
      <c r="DZ126" s="132">
        <f>IFERROR(KH_26_OPT4_KTQT_v4[[#This Row],[DT-EXW-09]]*KH_26_OPT4_KTQT_v4[[#This Row],[%CPDP]],0)</f>
        <v>0</v>
      </c>
      <c r="EA126" s="132">
        <f>IFERROR(KH_26_OPT4_KTQT_v4[[#This Row],[DT-EXW-10]]*KH_26_OPT4_KTQT_v4[[#This Row],[%CPDP]],0)</f>
        <v>0</v>
      </c>
      <c r="EB126" s="132">
        <f>IFERROR(KH_26_OPT4_KTQT_v4[[#This Row],[DT-EXW-11]]*KH_26_OPT4_KTQT_v4[[#This Row],[%CPDP]],0)</f>
        <v>0</v>
      </c>
      <c r="EC126" s="132">
        <f>IFERROR(KH_26_OPT4_KTQT_v4[[#This Row],[DT-EXW-12]]*KH_26_OPT4_KTQT_v4[[#This Row],[%CPDP]],0)</f>
        <v>0</v>
      </c>
      <c r="ED126" s="131">
        <f ca="1">SUM(KH_26_OPT4_KTQT_v4[[#This Row],[CPDP-01]:[CPDP-12]])</f>
        <v>0</v>
      </c>
    </row>
    <row r="127" spans="1:134" ht="14.65" hidden="1" customHeight="1" x14ac:dyDescent="0.35">
      <c r="A127" s="18">
        <v>122</v>
      </c>
      <c r="B127" s="71" t="s">
        <v>101</v>
      </c>
      <c r="C127" s="18" t="str">
        <f>IFERROR(_xlfn.XLOOKUP(KH_26_OPT4_KTQT_v4[[#This Row],[Salesman]],MD_Salesman[Salesman],MD_Salesman[SalesManager]),"")</f>
        <v>Cường</v>
      </c>
      <c r="D127" s="72" t="str">
        <f>IFERROR(INDEX(MD_Customer[Mã khách],MATCH(KH_26_OPT4_KTQT_v4[[#This Row],[Tên khách]],MD_Customer[Tên khách-rút gọn],0)),"")</f>
        <v>104909</v>
      </c>
      <c r="E127" s="7" t="str">
        <f>IFERROR(INDEX(MD_Customer[Parent Account],MATCH(KH_26_OPT4_KTQT_v4[[#This Row],[Tên khách]],MD_Customer[Tên khách-rút gọn],0)),"")</f>
        <v>Lavie</v>
      </c>
      <c r="F127" s="35" t="s">
        <v>257</v>
      </c>
      <c r="G127" s="7" t="str">
        <f>IFERROR(INDEX(MD_Customer[Phân loại],MATCH(KH_26_OPT4_KTQT_v4[[#This Row],[Tên khách]],MD_Customer[Tên khách-rút gọn],0)),"")</f>
        <v>Hiện hữu</v>
      </c>
      <c r="H127" s="7" t="str">
        <f>IFERROR(INDEX(MD_Customer[Kênh bán hàng],MATCH(KH_26_OPT4_KTQT_v4[[#This Row],[Tên khách]],MD_Customer[Tên khách-rút gọn],0)),"")</f>
        <v>Nội địa</v>
      </c>
      <c r="I127" s="35" t="s">
        <v>258</v>
      </c>
      <c r="J127" s="7" t="str">
        <f>IFERROR(INDEX(MD_Destination[Nước],MATCH(KH_26_OPT4_KTQT_v4[[#This Row],[Địa điểm đến]],MD_Destination[Địa điểm đến],0)),"")</f>
        <v>Việt Nam</v>
      </c>
      <c r="K127" s="7" t="str">
        <f>IFERROR(INDEX(MD_Destination[Khu vực],MATCH(KH_26_OPT4_KTQT_v4[[#This Row],[Địa điểm đến]],MD_Destination[Địa điểm đến],0)),"")</f>
        <v>Châu Á</v>
      </c>
      <c r="L127" s="35" t="s">
        <v>260</v>
      </c>
      <c r="M127" s="7" t="str">
        <f>IFERROR(INDEX(MD_SKU[Mã SKU],MATCH(KH_26_OPT4_KTQT_v4[[#This Row],[Tên sản phẩm]],MD_SKU[Tên SKU-rút gọn],0)),"")</f>
        <v>110000506</v>
      </c>
      <c r="N127" s="35" t="s">
        <v>497</v>
      </c>
      <c r="O127" s="7" t="str">
        <f>IFERROR(INDEX(MD_SKU[Ngành hàng],MATCH(KH_26_OPT4_KTQT_v4[[#This Row],[Tên sản phẩm]],MD_SKU[Tên SKU-rút gọn],0)),"")</f>
        <v>rPET</v>
      </c>
      <c r="P127" s="7" t="str">
        <f>IFERROR(INDEX(MD_SKU[Nhóm ngành],MATCH(KH_26_OPT4_KTQT_v4[[#This Row],[Tên sản phẩm]],MD_SKU[Tên SKU-rút gọn],0)),"")</f>
        <v>Hạt PET</v>
      </c>
      <c r="Q127" s="7" t="str">
        <f>IFERROR(
   IF(INDEX(MD_SKU[IV/IM],MATCH(KH_26_OPT4_KTQT_v4[[#This Row],[Tên sản phẩm]],MD_SKU[Tên SKU-rút gọn],0))=0,
      "",
      INDEX(MD_SKU[IV/IM],MATCH(KH_26_OPT4_KTQT_v4[[#This Row],[Tên sản phẩm]],MD_SKU[Tên SKU-rút gọn],0))
   ),
"")</f>
        <v>0.78 ± 0.02</v>
      </c>
      <c r="R127" s="44">
        <f>IFERROR(INDEX(MD_SKU[Application],MATCH(KH_26_OPT4_KTQT_v4[[#This Row],[Tên sản phẩm]],MD_SKU[Tên SKU-rút gọn],0)),"")</f>
        <v>0</v>
      </c>
      <c r="S127" s="7" t="str">
        <f>IFERROR(INDEX(MD_SKU[Phân loại],MATCH(KH_26_OPT4_KTQT_v4[[#This Row],[Tên sản phẩm]],MD_SKU[Tên SKU-rút gọn],0)),"")</f>
        <v>Cũ</v>
      </c>
      <c r="T127" s="7"/>
      <c r="U127" s="7"/>
      <c r="V127" s="70">
        <v>0.8</v>
      </c>
      <c r="W127" s="33"/>
      <c r="X127" s="33"/>
      <c r="Y127" s="33"/>
      <c r="Z127" s="33"/>
      <c r="AA127" s="33"/>
      <c r="AB127" s="33"/>
      <c r="AC127" s="33"/>
      <c r="AD127" s="33"/>
      <c r="AE127" s="33"/>
      <c r="AF127" s="33"/>
      <c r="AG127" s="33"/>
      <c r="AH127" s="33"/>
      <c r="AI127" s="47">
        <f ca="1">SUM(KH_26_OPT4_KTQT_v4[[#This Row],[SL-01]:[SL-12]])</f>
        <v>0</v>
      </c>
      <c r="AJ127" s="47">
        <f ca="1">SUMIFS(DB_25[SL-DB25],DB_25[Mã khách],KH_26_OPT4_KTQT_v4[[#This Row],[Mã khách]],DB_25[Mã sản phẩm],KH_26_OPT4_KTQT_v4[[#This Row],[Mã sản phẩm]])</f>
        <v>422.4</v>
      </c>
      <c r="AK127" s="20">
        <f ca="1">KH_26_OPT4_KTQT_v4[[#This Row],[SL-KH26]]-KH_26_OPT4_KTQT_v4[[#This Row],[SL-DB25]]</f>
        <v>-422.4</v>
      </c>
      <c r="AL127" s="21">
        <f ca="1">IFERROR(KH_26_OPT4_KTQT_v4[[#This Row],[SL-+/-]]/KH_26_OPT4_KTQT_v4[[#This Row],[SL-DB25]],0)</f>
        <v>-1</v>
      </c>
      <c r="AM127" s="51">
        <v>1250</v>
      </c>
      <c r="AN127" s="51">
        <v>1250</v>
      </c>
      <c r="AO127" s="51">
        <v>1250</v>
      </c>
      <c r="AP127" s="51">
        <v>1250</v>
      </c>
      <c r="AQ127" s="51">
        <v>1250</v>
      </c>
      <c r="AR127" s="51">
        <v>1250</v>
      </c>
      <c r="AS127" s="51">
        <v>1250</v>
      </c>
      <c r="AT127" s="51">
        <v>1250</v>
      </c>
      <c r="AU127" s="51">
        <v>1250</v>
      </c>
      <c r="AV127" s="51">
        <v>1250</v>
      </c>
      <c r="AW127" s="51">
        <v>1250</v>
      </c>
      <c r="AX127" s="51">
        <v>1250</v>
      </c>
      <c r="AY127" s="23">
        <v>1250</v>
      </c>
      <c r="AZ127" s="7"/>
      <c r="BA127" s="24">
        <f>KH_26_OPT4_KTQT_v4[[#This Row],[GB-DB25]]-KH_26_OPT4_KTQT_v4[[#This Row],[GB-KH25]]</f>
        <v>1250</v>
      </c>
      <c r="BB127" s="21">
        <f>IFERROR(KH_26_OPT4_KTQT_v4[[#This Row],[GB-+/-]]/KH_26_OPT4_KTQT_v4[[#This Row],[GB-KH25]],0)</f>
        <v>0</v>
      </c>
      <c r="BC127" s="21"/>
      <c r="BD127" s="47">
        <f>KH_26_OPT4_KTQT_v4[[#This Row],[SL-01]]*KH_26_OPT4_KTQT_v4[[#This Row],[GB-01]]*EXR</f>
        <v>0</v>
      </c>
      <c r="BE127" s="47">
        <f>KH_26_OPT4_KTQT_v4[[#This Row],[SL-02]]*KH_26_OPT4_KTQT_v4[[#This Row],[GB-02]]*EXR</f>
        <v>0</v>
      </c>
      <c r="BF127" s="47">
        <f>KH_26_OPT4_KTQT_v4[[#This Row],[SL-03]]*KH_26_OPT4_KTQT_v4[[#This Row],[GB-03]]*EXR</f>
        <v>0</v>
      </c>
      <c r="BG127" s="47">
        <f>KH_26_OPT4_KTQT_v4[[#This Row],[SL-04]]*KH_26_OPT4_KTQT_v4[[#This Row],[GB-04]]*EXR</f>
        <v>0</v>
      </c>
      <c r="BH127" s="47">
        <f>KH_26_OPT4_KTQT_v4[[#This Row],[SL-05]]*KH_26_OPT4_KTQT_v4[[#This Row],[GB-05]]*EXR</f>
        <v>0</v>
      </c>
      <c r="BI127" s="47">
        <f>KH_26_OPT4_KTQT_v4[[#This Row],[SL-06]]*KH_26_OPT4_KTQT_v4[[#This Row],[GB-06]]*EXR</f>
        <v>0</v>
      </c>
      <c r="BJ127" s="47">
        <f>KH_26_OPT4_KTQT_v4[[#This Row],[SL-07]]*KH_26_OPT4_KTQT_v4[[#This Row],[GB-07]]*EXR</f>
        <v>0</v>
      </c>
      <c r="BK127" s="47">
        <f>KH_26_OPT4_KTQT_v4[[#This Row],[SL-08]]*KH_26_OPT4_KTQT_v4[[#This Row],[GB-08]]*EXR</f>
        <v>0</v>
      </c>
      <c r="BL127" s="47">
        <f>KH_26_OPT4_KTQT_v4[[#This Row],[SL-09]]*KH_26_OPT4_KTQT_v4[[#This Row],[GB-09]]*EXR</f>
        <v>0</v>
      </c>
      <c r="BM127" s="47">
        <f>KH_26_OPT4_KTQT_v4[[#This Row],[SL-10]]*KH_26_OPT4_KTQT_v4[[#This Row],[GB-10]]*EXR</f>
        <v>0</v>
      </c>
      <c r="BN127" s="47">
        <f>KH_26_OPT4_KTQT_v4[[#This Row],[SL-11]]*KH_26_OPT4_KTQT_v4[[#This Row],[GB-11]]*EXR</f>
        <v>0</v>
      </c>
      <c r="BO127" s="47">
        <f>KH_26_OPT4_KTQT_v4[[#This Row],[SL-12]]*KH_26_OPT4_KTQT_v4[[#This Row],[GB-12]]*EXR</f>
        <v>0</v>
      </c>
      <c r="BP127" s="47">
        <f ca="1">SUM(KH_26_OPT4_KTQT_v4[[#This Row],[DT-EXW-01]:[DT-EXW-12]])</f>
        <v>0</v>
      </c>
      <c r="BQ127" s="47">
        <f ca="1">SUMIFS(DB_25[DT-DB25],DB_25[Mã khách],KH_26_OPT4_KTQT_v4[[#This Row],[Mã khách]],DB_25[Mã sản phẩm],KH_26_OPT4_KTQT_v4[[#This Row],[Mã sản phẩm]])</f>
        <v>15462379232.604805</v>
      </c>
      <c r="BR127" s="47">
        <f ca="1">KH_26_OPT4_KTQT_v4[[#This Row],[DT-EXW-KH26]]-KH_26_OPT4_KTQT_v4[[#This Row],[DT-EXW-DB25]]</f>
        <v>-15462379232.604805</v>
      </c>
      <c r="BS127" s="21">
        <f ca="1">IFERROR(KH_26_OPT4_KTQT_v4[[#This Row],[DT-EXW-+/-]]/KH_26_OPT4_KTQT_v4[[#This Row],[DT-EXW-DB25]],0)</f>
        <v>-1</v>
      </c>
      <c r="BT127" s="139"/>
      <c r="BU127" s="57"/>
      <c r="BV127" s="51"/>
      <c r="BW127" s="47">
        <f>IF(KH_26_OPT4_KTQT_v4[[#This Row],[CPHH-%-SL]]="Dthu",KH_26_OPT4_KTQT_v4[[#This Row],[%HH]]*KH_26_OPT4_KTQT_v4[[#This Row],[DT-EXW-01]],KH_26_OPT4_KTQT_v4[[#This Row],[HH-SL]]*KH_26_OPT4_KTQT_v4[[#This Row],[SL-01]])</f>
        <v>0</v>
      </c>
      <c r="BX127" s="47">
        <f>IF(KH_26_OPT4_KTQT_v4[[#This Row],[CPHH-%-SL]]="Dthu",KH_26_OPT4_KTQT_v4[[#This Row],[%HH]]*KH_26_OPT4_KTQT_v4[[#This Row],[DT-EXW-02]],KH_26_OPT4_KTQT_v4[[#This Row],[HH-SL]]*KH_26_OPT4_KTQT_v4[[#This Row],[SL-02]])</f>
        <v>0</v>
      </c>
      <c r="BY127" s="47">
        <f>IF(KH_26_OPT4_KTQT_v4[[#This Row],[CPHH-%-SL]]="Dthu",KH_26_OPT4_KTQT_v4[[#This Row],[%HH]]*KH_26_OPT4_KTQT_v4[[#This Row],[DT-EXW-03]],KH_26_OPT4_KTQT_v4[[#This Row],[HH-SL]]*KH_26_OPT4_KTQT_v4[[#This Row],[SL-03]])</f>
        <v>0</v>
      </c>
      <c r="BZ127" s="47">
        <f>IF(KH_26_OPT4_KTQT_v4[[#This Row],[CPHH-%-SL]]="Dthu",KH_26_OPT4_KTQT_v4[[#This Row],[%HH]]*KH_26_OPT4_KTQT_v4[[#This Row],[DT-EXW-04]],KH_26_OPT4_KTQT_v4[[#This Row],[HH-SL]]*KH_26_OPT4_KTQT_v4[[#This Row],[SL-04]])</f>
        <v>0</v>
      </c>
      <c r="CA127" s="47">
        <f>IF(KH_26_OPT4_KTQT_v4[[#This Row],[CPHH-%-SL]]="Dthu",KH_26_OPT4_KTQT_v4[[#This Row],[%HH]]*KH_26_OPT4_KTQT_v4[[#This Row],[DT-EXW-05]],KH_26_OPT4_KTQT_v4[[#This Row],[HH-SL]]*KH_26_OPT4_KTQT_v4[[#This Row],[SL-05]])</f>
        <v>0</v>
      </c>
      <c r="CB127" s="47">
        <f>IF(KH_26_OPT4_KTQT_v4[[#This Row],[CPHH-%-SL]]="Dthu",KH_26_OPT4_KTQT_v4[[#This Row],[%HH]]*KH_26_OPT4_KTQT_v4[[#This Row],[DT-EXW-06]],KH_26_OPT4_KTQT_v4[[#This Row],[HH-SL]]*KH_26_OPT4_KTQT_v4[[#This Row],[SL-06]])</f>
        <v>0</v>
      </c>
      <c r="CC127" s="47">
        <f>IF(KH_26_OPT4_KTQT_v4[[#This Row],[CPHH-%-SL]]="Dthu",KH_26_OPT4_KTQT_v4[[#This Row],[%HH]]*KH_26_OPT4_KTQT_v4[[#This Row],[DT-EXW-07]],KH_26_OPT4_KTQT_v4[[#This Row],[HH-SL]]*KH_26_OPT4_KTQT_v4[[#This Row],[SL-07]])</f>
        <v>0</v>
      </c>
      <c r="CD127" s="47">
        <f>IF(KH_26_OPT4_KTQT_v4[[#This Row],[CPHH-%-SL]]="Dthu",KH_26_OPT4_KTQT_v4[[#This Row],[%HH]]*KH_26_OPT4_KTQT_v4[[#This Row],[DT-EXW-08]],KH_26_OPT4_KTQT_v4[[#This Row],[HH-SL]]*KH_26_OPT4_KTQT_v4[[#This Row],[SL-08]])</f>
        <v>0</v>
      </c>
      <c r="CE127" s="47">
        <f>IF(KH_26_OPT4_KTQT_v4[[#This Row],[CPHH-%-SL]]="Dthu",KH_26_OPT4_KTQT_v4[[#This Row],[%HH]]*KH_26_OPT4_KTQT_v4[[#This Row],[DT-EXW-09]],KH_26_OPT4_KTQT_v4[[#This Row],[HH-SL]]*KH_26_OPT4_KTQT_v4[[#This Row],[SL-09]])</f>
        <v>0</v>
      </c>
      <c r="CF127" s="47">
        <f>IF(KH_26_OPT4_KTQT_v4[[#This Row],[CPHH-%-SL]]="Dthu",KH_26_OPT4_KTQT_v4[[#This Row],[%HH]]*KH_26_OPT4_KTQT_v4[[#This Row],[DT-EXW-10]],KH_26_OPT4_KTQT_v4[[#This Row],[HH-SL]]*KH_26_OPT4_KTQT_v4[[#This Row],[SL-10]])</f>
        <v>0</v>
      </c>
      <c r="CG127" s="47">
        <f>IF(KH_26_OPT4_KTQT_v4[[#This Row],[CPHH-%-SL]]="Dthu",KH_26_OPT4_KTQT_v4[[#This Row],[%HH]]*KH_26_OPT4_KTQT_v4[[#This Row],[DT-EXW-11]],KH_26_OPT4_KTQT_v4[[#This Row],[HH-SL]]*KH_26_OPT4_KTQT_v4[[#This Row],[SL-11]])</f>
        <v>0</v>
      </c>
      <c r="CH127" s="47">
        <f>IF(KH_26_OPT4_KTQT_v4[[#This Row],[CPHH-%-SL]]="Dthu",KH_26_OPT4_KTQT_v4[[#This Row],[%HH]]*KH_26_OPT4_KTQT_v4[[#This Row],[DT-EXW-12]],KH_26_OPT4_KTQT_v4[[#This Row],[HH-SL]]*KH_26_OPT4_KTQT_v4[[#This Row],[SL-12]])</f>
        <v>0</v>
      </c>
      <c r="CI127" s="47">
        <f ca="1">SUM(KH_26_OPT4_KTQT_v4[[#This Row],[CPHH-01]:[CPHH-12]])</f>
        <v>0</v>
      </c>
      <c r="CJ127" s="47" cm="1">
        <f t="array" ref="CJ127">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27" s="19">
        <f ca="1">SUM(KH_26_OPT4_KTQT_v4[[#This Row],[ĐGVCNĐ-KXK]:[ĐGVCCT-KXK]])</f>
        <v>0</v>
      </c>
      <c r="CL127" s="47" cm="1">
        <f t="array" ref="CL127">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127" s="47" cm="1">
        <f t="array" ref="CM127">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27" s="47">
        <f ca="1">(KH_26_OPT4_KTQT_v4[[#This Row],[ĐGVC-KNĐ]]+KH_26_OPT4_KTQT_v4[[#This Row],[ĐGVC-KXK]])*KH_26_OPT4_KTQT_v4[[#This Row],[SL-01]]</f>
        <v>0</v>
      </c>
      <c r="CO127" s="47">
        <f ca="1">(KH_26_OPT4_KTQT_v4[[#This Row],[ĐGVC-KNĐ]]+KH_26_OPT4_KTQT_v4[[#This Row],[ĐGVC-KXK]])*KH_26_OPT4_KTQT_v4[[#This Row],[SL-02]]</f>
        <v>0</v>
      </c>
      <c r="CP127" s="47">
        <f ca="1">(KH_26_OPT4_KTQT_v4[[#This Row],[ĐGVC-KNĐ]]+KH_26_OPT4_KTQT_v4[[#This Row],[ĐGVC-KXK]])*KH_26_OPT4_KTQT_v4[[#This Row],[SL-03]]</f>
        <v>0</v>
      </c>
      <c r="CQ127" s="47">
        <f ca="1">(KH_26_OPT4_KTQT_v4[[#This Row],[ĐGVC-KNĐ]]+KH_26_OPT4_KTQT_v4[[#This Row],[ĐGVC-KXK]])*KH_26_OPT4_KTQT_v4[[#This Row],[SL-04]]</f>
        <v>0</v>
      </c>
      <c r="CR127" s="47">
        <f ca="1">(KH_26_OPT4_KTQT_v4[[#This Row],[ĐGVC-KNĐ]]+KH_26_OPT4_KTQT_v4[[#This Row],[ĐGVC-KXK]])*KH_26_OPT4_KTQT_v4[[#This Row],[SL-05]]</f>
        <v>0</v>
      </c>
      <c r="CS127" s="47">
        <f ca="1">(KH_26_OPT4_KTQT_v4[[#This Row],[ĐGVC-KNĐ]]+KH_26_OPT4_KTQT_v4[[#This Row],[ĐGVC-KXK]])*KH_26_OPT4_KTQT_v4[[#This Row],[SL-06]]</f>
        <v>0</v>
      </c>
      <c r="CT127" s="47">
        <f ca="1">(KH_26_OPT4_KTQT_v4[[#This Row],[ĐGVC-KNĐ]]+KH_26_OPT4_KTQT_v4[[#This Row],[ĐGVC-KXK]])*KH_26_OPT4_KTQT_v4[[#This Row],[SL-07]]</f>
        <v>0</v>
      </c>
      <c r="CU127" s="47">
        <f ca="1">(KH_26_OPT4_KTQT_v4[[#This Row],[ĐGVC-KNĐ]]+KH_26_OPT4_KTQT_v4[[#This Row],[ĐGVC-KXK]])*KH_26_OPT4_KTQT_v4[[#This Row],[SL-08]]</f>
        <v>0</v>
      </c>
      <c r="CV127" s="47">
        <f ca="1">(KH_26_OPT4_KTQT_v4[[#This Row],[ĐGVC-KNĐ]]+KH_26_OPT4_KTQT_v4[[#This Row],[ĐGVC-KXK]])*KH_26_OPT4_KTQT_v4[[#This Row],[SL-09]]</f>
        <v>0</v>
      </c>
      <c r="CW127" s="47">
        <f ca="1">(KH_26_OPT4_KTQT_v4[[#This Row],[ĐGVC-KNĐ]]+KH_26_OPT4_KTQT_v4[[#This Row],[ĐGVC-KXK]])*KH_26_OPT4_KTQT_v4[[#This Row],[SL-10]]</f>
        <v>0</v>
      </c>
      <c r="CX127" s="47">
        <f ca="1">(KH_26_OPT4_KTQT_v4[[#This Row],[ĐGVC-KNĐ]]+KH_26_OPT4_KTQT_v4[[#This Row],[ĐGVC-KXK]])*KH_26_OPT4_KTQT_v4[[#This Row],[SL-11]]</f>
        <v>0</v>
      </c>
      <c r="CY127" s="47">
        <f ca="1">(KH_26_OPT4_KTQT_v4[[#This Row],[ĐGVC-KNĐ]]+KH_26_OPT4_KTQT_v4[[#This Row],[ĐGVC-KXK]])*KH_26_OPT4_KTQT_v4[[#This Row],[SL-12]]</f>
        <v>0</v>
      </c>
      <c r="CZ127" s="47">
        <f ca="1">SUM(KH_26_OPT4_KTQT_v4[[#This Row],[CPVC-01]:[CPVC-12]])</f>
        <v>0</v>
      </c>
      <c r="DA127" s="124">
        <f ca="1">KH_26_OPT4_KTQT_v4[[#This Row],[DT-EXW-01]]+KH_26_OPT4_KTQT_v4[[#This Row],[CPVC-01]]+KH_26_OPT4_KTQT_v4[[#This Row],[CPHH-01]]</f>
        <v>0</v>
      </c>
      <c r="DB127" s="47">
        <f ca="1">KH_26_OPT4_KTQT_v4[[#This Row],[DT-EXW-02]]+KH_26_OPT4_KTQT_v4[[#This Row],[CPVC-02]]+KH_26_OPT4_KTQT_v4[[#This Row],[CPHH-02]]</f>
        <v>0</v>
      </c>
      <c r="DC127" s="47">
        <f ca="1">KH_26_OPT4_KTQT_v4[[#This Row],[DT-EXW-03]]+KH_26_OPT4_KTQT_v4[[#This Row],[CPVC-03]]+KH_26_OPT4_KTQT_v4[[#This Row],[CPHH-03]]</f>
        <v>0</v>
      </c>
      <c r="DD127" s="47">
        <f ca="1">KH_26_OPT4_KTQT_v4[[#This Row],[DT-EXW-04]]+KH_26_OPT4_KTQT_v4[[#This Row],[CPVC-04]]+KH_26_OPT4_KTQT_v4[[#This Row],[CPHH-04]]</f>
        <v>0</v>
      </c>
      <c r="DE127" s="47">
        <f ca="1">KH_26_OPT4_KTQT_v4[[#This Row],[DT-EXW-05]]+KH_26_OPT4_KTQT_v4[[#This Row],[CPVC-05]]+KH_26_OPT4_KTQT_v4[[#This Row],[CPHH-05]]</f>
        <v>0</v>
      </c>
      <c r="DF127" s="47">
        <f ca="1">KH_26_OPT4_KTQT_v4[[#This Row],[DT-EXW-06]]+KH_26_OPT4_KTQT_v4[[#This Row],[CPVC-06]]+KH_26_OPT4_KTQT_v4[[#This Row],[CPHH-06]]</f>
        <v>0</v>
      </c>
      <c r="DG127" s="47">
        <f ca="1">KH_26_OPT4_KTQT_v4[[#This Row],[DT-EXW-07]]+KH_26_OPT4_KTQT_v4[[#This Row],[CPVC-07]]+KH_26_OPT4_KTQT_v4[[#This Row],[CPHH-07]]</f>
        <v>0</v>
      </c>
      <c r="DH127" s="47">
        <f ca="1">KH_26_OPT4_KTQT_v4[[#This Row],[DT-EXW-08]]+KH_26_OPT4_KTQT_v4[[#This Row],[CPVC-08]]+KH_26_OPT4_KTQT_v4[[#This Row],[CPHH-08]]</f>
        <v>0</v>
      </c>
      <c r="DI127" s="47">
        <f ca="1">KH_26_OPT4_KTQT_v4[[#This Row],[DT-EXW-09]]+KH_26_OPT4_KTQT_v4[[#This Row],[CPVC-09]]+KH_26_OPT4_KTQT_v4[[#This Row],[CPHH-09]]</f>
        <v>0</v>
      </c>
      <c r="DJ127" s="47">
        <f ca="1">KH_26_OPT4_KTQT_v4[[#This Row],[DT-EXW-10]]+KH_26_OPT4_KTQT_v4[[#This Row],[CPVC-10]]+KH_26_OPT4_KTQT_v4[[#This Row],[CPHH-10]]</f>
        <v>0</v>
      </c>
      <c r="DK127" s="47">
        <f ca="1">KH_26_OPT4_KTQT_v4[[#This Row],[DT-EXW-11]]+KH_26_OPT4_KTQT_v4[[#This Row],[CPVC-11]]+KH_26_OPT4_KTQT_v4[[#This Row],[CPHH-11]]</f>
        <v>0</v>
      </c>
      <c r="DL127" s="47">
        <f ca="1">KH_26_OPT4_KTQT_v4[[#This Row],[DT-EXW-12]]+KH_26_OPT4_KTQT_v4[[#This Row],[CPVC-12]]+KH_26_OPT4_KTQT_v4[[#This Row],[CPHH-12]]</f>
        <v>0</v>
      </c>
      <c r="DM127" s="47">
        <f ca="1">SUM(KH_26_OPT4_KTQT_v4[[#This Row],[DT-01]:[DT-12]])</f>
        <v>0</v>
      </c>
      <c r="DN127" s="7"/>
      <c r="DO127" s="7"/>
      <c r="DP127" s="125"/>
      <c r="DQ127" s="136"/>
      <c r="DR127" s="132">
        <f>IFERROR(KH_26_OPT4_KTQT_v4[[#This Row],[DT-EXW-01]]*KH_26_OPT4_KTQT_v4[[#This Row],[%CPDP]],0)</f>
        <v>0</v>
      </c>
      <c r="DS127" s="132">
        <f>IFERROR(KH_26_OPT4_KTQT_v4[[#This Row],[DT-EXW-02]]*KH_26_OPT4_KTQT_v4[[#This Row],[%CPDP]],0)</f>
        <v>0</v>
      </c>
      <c r="DT127" s="132">
        <f>IFERROR(KH_26_OPT4_KTQT_v4[[#This Row],[DT-EXW-03]]*KH_26_OPT4_KTQT_v4[[#This Row],[%CPDP]],0)</f>
        <v>0</v>
      </c>
      <c r="DU127" s="132">
        <f>IFERROR(KH_26_OPT4_KTQT_v4[[#This Row],[DT-EXW-04]]*KH_26_OPT4_KTQT_v4[[#This Row],[%CPDP]],0)</f>
        <v>0</v>
      </c>
      <c r="DV127" s="132">
        <f>IFERROR(KH_26_OPT4_KTQT_v4[[#This Row],[DT-EXW-05]]*KH_26_OPT4_KTQT_v4[[#This Row],[%CPDP]],0)</f>
        <v>0</v>
      </c>
      <c r="DW127" s="132">
        <f>IFERROR(KH_26_OPT4_KTQT_v4[[#This Row],[DT-EXW-06]]*KH_26_OPT4_KTQT_v4[[#This Row],[%CPDP]],0)</f>
        <v>0</v>
      </c>
      <c r="DX127" s="132">
        <f>IFERROR(KH_26_OPT4_KTQT_v4[[#This Row],[DT-EXW-07]]*KH_26_OPT4_KTQT_v4[[#This Row],[%CPDP]],0)</f>
        <v>0</v>
      </c>
      <c r="DY127" s="132">
        <f>IFERROR(KH_26_OPT4_KTQT_v4[[#This Row],[DT-EXW-08]]*KH_26_OPT4_KTQT_v4[[#This Row],[%CPDP]],0)</f>
        <v>0</v>
      </c>
      <c r="DZ127" s="132">
        <f>IFERROR(KH_26_OPT4_KTQT_v4[[#This Row],[DT-EXW-09]]*KH_26_OPT4_KTQT_v4[[#This Row],[%CPDP]],0)</f>
        <v>0</v>
      </c>
      <c r="EA127" s="132">
        <f>IFERROR(KH_26_OPT4_KTQT_v4[[#This Row],[DT-EXW-10]]*KH_26_OPT4_KTQT_v4[[#This Row],[%CPDP]],0)</f>
        <v>0</v>
      </c>
      <c r="EB127" s="132">
        <f>IFERROR(KH_26_OPT4_KTQT_v4[[#This Row],[DT-EXW-11]]*KH_26_OPT4_KTQT_v4[[#This Row],[%CPDP]],0)</f>
        <v>0</v>
      </c>
      <c r="EC127" s="132">
        <f>IFERROR(KH_26_OPT4_KTQT_v4[[#This Row],[DT-EXW-12]]*KH_26_OPT4_KTQT_v4[[#This Row],[%CPDP]],0)</f>
        <v>0</v>
      </c>
      <c r="ED127" s="131">
        <f ca="1">SUM(KH_26_OPT4_KTQT_v4[[#This Row],[CPDP-01]:[CPDP-12]])</f>
        <v>0</v>
      </c>
    </row>
    <row r="128" spans="1:134" ht="14.65" hidden="1" customHeight="1" x14ac:dyDescent="0.35">
      <c r="A128" s="18">
        <v>123</v>
      </c>
      <c r="B128" s="71" t="s">
        <v>115</v>
      </c>
      <c r="C128" s="18" t="str">
        <f>IFERROR(_xlfn.XLOOKUP(KH_26_OPT4_KTQT_v4[[#This Row],[Salesman]],MD_Salesman[Salesman],MD_Salesman[SalesManager]),"")</f>
        <v>Quốc Anh</v>
      </c>
      <c r="D128" s="72" t="str">
        <f>IFERROR(INDEX(MD_Customer[Mã khách],MATCH(KH_26_OPT4_KTQT_v4[[#This Row],[Tên khách]],MD_Customer[Tên khách-rút gọn],0)),"")</f>
        <v>105189</v>
      </c>
      <c r="E128" s="7" t="str">
        <f>IFERROR(INDEX(MD_Customer[Parent Account],MATCH(KH_26_OPT4_KTQT_v4[[#This Row],[Tên khách]],MD_Customer[Tên khách-rút gọn],0)),"")</f>
        <v>Chấn Thuận Thành</v>
      </c>
      <c r="F128" s="35" t="s">
        <v>273</v>
      </c>
      <c r="G128" s="7" t="str">
        <f>IFERROR(INDEX(MD_Customer[Phân loại],MATCH(KH_26_OPT4_KTQT_v4[[#This Row],[Tên khách]],MD_Customer[Tên khách-rút gọn],0)),"")</f>
        <v>Hiện hữu</v>
      </c>
      <c r="H128" s="7" t="str">
        <f>IFERROR(INDEX(MD_Customer[Kênh bán hàng],MATCH(KH_26_OPT4_KTQT_v4[[#This Row],[Tên khách]],MD_Customer[Tên khách-rút gọn],0)),"")</f>
        <v>Nội địa</v>
      </c>
      <c r="I128" s="35" t="s">
        <v>261</v>
      </c>
      <c r="J128" s="7" t="str">
        <f>IFERROR(INDEX(MD_Destination[Nước],MATCH(KH_26_OPT4_KTQT_v4[[#This Row],[Địa điểm đến]],MD_Destination[Địa điểm đến],0)),"")</f>
        <v>Việt Nam</v>
      </c>
      <c r="K128" s="7" t="str">
        <f>IFERROR(INDEX(MD_Destination[Khu vực],MATCH(KH_26_OPT4_KTQT_v4[[#This Row],[Địa điểm đến]],MD_Destination[Địa điểm đến],0)),"")</f>
        <v>Châu Á</v>
      </c>
      <c r="L128" s="35" t="s">
        <v>262</v>
      </c>
      <c r="M128" s="7" t="str">
        <f>IFERROR(INDEX(MD_SKU[Mã SKU],MATCH(KH_26_OPT4_KTQT_v4[[#This Row],[Tên sản phẩm]],MD_SKU[Tên SKU-rút gọn],0)),"")</f>
        <v>110000410</v>
      </c>
      <c r="N128" s="35" t="s">
        <v>472</v>
      </c>
      <c r="O128" s="7" t="str">
        <f>IFERROR(INDEX(MD_SKU[Ngành hàng],MATCH(KH_26_OPT4_KTQT_v4[[#This Row],[Tên sản phẩm]],MD_SKU[Tên SKU-rút gọn],0)),"")</f>
        <v>rHDPE ép</v>
      </c>
      <c r="P128" s="7" t="str">
        <f>IFERROR(INDEX(MD_SKU[Nhóm ngành],MATCH(KH_26_OPT4_KTQT_v4[[#This Row],[Tên sản phẩm]],MD_SKU[Tên SKU-rút gọn],0)),"")</f>
        <v>Vảy HD ép</v>
      </c>
      <c r="Q128" s="7" t="str">
        <f>IFERROR(
   IF(INDEX(MD_SKU[IV/IM],MATCH(KH_26_OPT4_KTQT_v4[[#This Row],[Tên sản phẩm]],MD_SKU[Tên SKU-rút gọn],0))=0,
      "",
      INDEX(MD_SKU[IV/IM],MATCH(KH_26_OPT4_KTQT_v4[[#This Row],[Tên sản phẩm]],MD_SKU[Tên SKU-rút gọn],0))
   ),
"")</f>
        <v/>
      </c>
      <c r="R128" s="44">
        <f>IFERROR(INDEX(MD_SKU[Application],MATCH(KH_26_OPT4_KTQT_v4[[#This Row],[Tên sản phẩm]],MD_SKU[Tên SKU-rút gọn],0)),"")</f>
        <v>0</v>
      </c>
      <c r="S128" s="7" t="str">
        <f>IFERROR(INDEX(MD_SKU[Phân loại],MATCH(KH_26_OPT4_KTQT_v4[[#This Row],[Tên sản phẩm]],MD_SKU[Tên SKU-rút gọn],0)),"")</f>
        <v>Cũ</v>
      </c>
      <c r="T128" s="7" t="s">
        <v>542</v>
      </c>
      <c r="U128" s="7"/>
      <c r="V128" s="70">
        <v>0.8</v>
      </c>
      <c r="W128" s="33"/>
      <c r="X128" s="33"/>
      <c r="Y128" s="33"/>
      <c r="Z128" s="33"/>
      <c r="AA128" s="33"/>
      <c r="AB128" s="33"/>
      <c r="AC128" s="33"/>
      <c r="AD128" s="33"/>
      <c r="AE128" s="33"/>
      <c r="AF128" s="33"/>
      <c r="AG128" s="33"/>
      <c r="AH128" s="33"/>
      <c r="AI128" s="47">
        <f ca="1">SUM(KH_26_OPT4_KTQT_v4[[#This Row],[SL-01]:[SL-12]])</f>
        <v>0</v>
      </c>
      <c r="AJ128" s="47">
        <f ca="1">SUMIFS(DB_25[SL-DB25],DB_25[Mã khách],KH_26_OPT4_KTQT_v4[[#This Row],[Mã khách]],DB_25[Mã sản phẩm],KH_26_OPT4_KTQT_v4[[#This Row],[Mã sản phẩm]])</f>
        <v>0.75</v>
      </c>
      <c r="AK128" s="20">
        <f ca="1">KH_26_OPT4_KTQT_v4[[#This Row],[SL-KH26]]-KH_26_OPT4_KTQT_v4[[#This Row],[SL-DB25]]</f>
        <v>-0.75</v>
      </c>
      <c r="AL128" s="21">
        <f ca="1">IFERROR(KH_26_OPT4_KTQT_v4[[#This Row],[SL-+/-]]/KH_26_OPT4_KTQT_v4[[#This Row],[SL-DB25]],0)</f>
        <v>-1</v>
      </c>
      <c r="AM128" s="51">
        <v>560</v>
      </c>
      <c r="AN128" s="51">
        <v>560</v>
      </c>
      <c r="AO128" s="51">
        <v>560</v>
      </c>
      <c r="AP128" s="51">
        <v>560</v>
      </c>
      <c r="AQ128" s="51">
        <v>560</v>
      </c>
      <c r="AR128" s="51">
        <v>560</v>
      </c>
      <c r="AS128" s="51">
        <v>560</v>
      </c>
      <c r="AT128" s="51">
        <v>560</v>
      </c>
      <c r="AU128" s="51">
        <v>560</v>
      </c>
      <c r="AV128" s="51">
        <v>560</v>
      </c>
      <c r="AW128" s="51">
        <v>560</v>
      </c>
      <c r="AX128" s="51">
        <v>560</v>
      </c>
      <c r="AY128" s="23">
        <v>560</v>
      </c>
      <c r="AZ128" s="7"/>
      <c r="BA128" s="24">
        <f>KH_26_OPT4_KTQT_v4[[#This Row],[GB-DB25]]-KH_26_OPT4_KTQT_v4[[#This Row],[GB-KH25]]</f>
        <v>560</v>
      </c>
      <c r="BB128" s="21">
        <f>IFERROR(KH_26_OPT4_KTQT_v4[[#This Row],[GB-+/-]]/KH_26_OPT4_KTQT_v4[[#This Row],[GB-KH25]],0)</f>
        <v>0</v>
      </c>
      <c r="BC128" s="21"/>
      <c r="BD128" s="47">
        <f>KH_26_OPT4_KTQT_v4[[#This Row],[SL-01]]*KH_26_OPT4_KTQT_v4[[#This Row],[GB-01]]*EXR</f>
        <v>0</v>
      </c>
      <c r="BE128" s="47">
        <f>KH_26_OPT4_KTQT_v4[[#This Row],[SL-02]]*KH_26_OPT4_KTQT_v4[[#This Row],[GB-02]]*EXR</f>
        <v>0</v>
      </c>
      <c r="BF128" s="47">
        <f>KH_26_OPT4_KTQT_v4[[#This Row],[SL-03]]*KH_26_OPT4_KTQT_v4[[#This Row],[GB-03]]*EXR</f>
        <v>0</v>
      </c>
      <c r="BG128" s="47">
        <f>KH_26_OPT4_KTQT_v4[[#This Row],[SL-04]]*KH_26_OPT4_KTQT_v4[[#This Row],[GB-04]]*EXR</f>
        <v>0</v>
      </c>
      <c r="BH128" s="47">
        <f>KH_26_OPT4_KTQT_v4[[#This Row],[SL-05]]*KH_26_OPT4_KTQT_v4[[#This Row],[GB-05]]*EXR</f>
        <v>0</v>
      </c>
      <c r="BI128" s="47">
        <f>KH_26_OPT4_KTQT_v4[[#This Row],[SL-06]]*KH_26_OPT4_KTQT_v4[[#This Row],[GB-06]]*EXR</f>
        <v>0</v>
      </c>
      <c r="BJ128" s="47">
        <f>KH_26_OPT4_KTQT_v4[[#This Row],[SL-07]]*KH_26_OPT4_KTQT_v4[[#This Row],[GB-07]]*EXR</f>
        <v>0</v>
      </c>
      <c r="BK128" s="47">
        <f>KH_26_OPT4_KTQT_v4[[#This Row],[SL-08]]*KH_26_OPT4_KTQT_v4[[#This Row],[GB-08]]*EXR</f>
        <v>0</v>
      </c>
      <c r="BL128" s="47">
        <f>KH_26_OPT4_KTQT_v4[[#This Row],[SL-09]]*KH_26_OPT4_KTQT_v4[[#This Row],[GB-09]]*EXR</f>
        <v>0</v>
      </c>
      <c r="BM128" s="47">
        <f>KH_26_OPT4_KTQT_v4[[#This Row],[SL-10]]*KH_26_OPT4_KTQT_v4[[#This Row],[GB-10]]*EXR</f>
        <v>0</v>
      </c>
      <c r="BN128" s="47">
        <f>KH_26_OPT4_KTQT_v4[[#This Row],[SL-11]]*KH_26_OPT4_KTQT_v4[[#This Row],[GB-11]]*EXR</f>
        <v>0</v>
      </c>
      <c r="BO128" s="47">
        <f>KH_26_OPT4_KTQT_v4[[#This Row],[SL-12]]*KH_26_OPT4_KTQT_v4[[#This Row],[GB-12]]*EXR</f>
        <v>0</v>
      </c>
      <c r="BP128" s="47">
        <f ca="1">SUM(KH_26_OPT4_KTQT_v4[[#This Row],[DT-EXW-01]:[DT-EXW-12]])</f>
        <v>0</v>
      </c>
      <c r="BQ128" s="47">
        <f ca="1">SUMIFS(DB_25[DT-DB25],DB_25[Mã khách],KH_26_OPT4_KTQT_v4[[#This Row],[Mã khách]],DB_25[Mã sản phẩm],KH_26_OPT4_KTQT_v4[[#This Row],[Mã sản phẩm]])</f>
        <v>13000250.974885846</v>
      </c>
      <c r="BR128" s="47">
        <f ca="1">KH_26_OPT4_KTQT_v4[[#This Row],[DT-EXW-KH26]]-KH_26_OPT4_KTQT_v4[[#This Row],[DT-EXW-DB25]]</f>
        <v>-13000250.974885846</v>
      </c>
      <c r="BS128" s="21">
        <f ca="1">IFERROR(KH_26_OPT4_KTQT_v4[[#This Row],[DT-EXW-+/-]]/KH_26_OPT4_KTQT_v4[[#This Row],[DT-EXW-DB25]],0)</f>
        <v>-1</v>
      </c>
      <c r="BT128" s="139"/>
      <c r="BU128" s="57"/>
      <c r="BV128" s="51"/>
      <c r="BW128" s="47">
        <f>IF(KH_26_OPT4_KTQT_v4[[#This Row],[CPHH-%-SL]]="Dthu",KH_26_OPT4_KTQT_v4[[#This Row],[%HH]]*KH_26_OPT4_KTQT_v4[[#This Row],[DT-EXW-01]],KH_26_OPT4_KTQT_v4[[#This Row],[HH-SL]]*KH_26_OPT4_KTQT_v4[[#This Row],[SL-01]])</f>
        <v>0</v>
      </c>
      <c r="BX128" s="47">
        <f>IF(KH_26_OPT4_KTQT_v4[[#This Row],[CPHH-%-SL]]="Dthu",KH_26_OPT4_KTQT_v4[[#This Row],[%HH]]*KH_26_OPT4_KTQT_v4[[#This Row],[DT-EXW-02]],KH_26_OPT4_KTQT_v4[[#This Row],[HH-SL]]*KH_26_OPT4_KTQT_v4[[#This Row],[SL-02]])</f>
        <v>0</v>
      </c>
      <c r="BY128" s="47">
        <f>IF(KH_26_OPT4_KTQT_v4[[#This Row],[CPHH-%-SL]]="Dthu",KH_26_OPT4_KTQT_v4[[#This Row],[%HH]]*KH_26_OPT4_KTQT_v4[[#This Row],[DT-EXW-03]],KH_26_OPT4_KTQT_v4[[#This Row],[HH-SL]]*KH_26_OPT4_KTQT_v4[[#This Row],[SL-03]])</f>
        <v>0</v>
      </c>
      <c r="BZ128" s="47">
        <f>IF(KH_26_OPT4_KTQT_v4[[#This Row],[CPHH-%-SL]]="Dthu",KH_26_OPT4_KTQT_v4[[#This Row],[%HH]]*KH_26_OPT4_KTQT_v4[[#This Row],[DT-EXW-04]],KH_26_OPT4_KTQT_v4[[#This Row],[HH-SL]]*KH_26_OPT4_KTQT_v4[[#This Row],[SL-04]])</f>
        <v>0</v>
      </c>
      <c r="CA128" s="47">
        <f>IF(KH_26_OPT4_KTQT_v4[[#This Row],[CPHH-%-SL]]="Dthu",KH_26_OPT4_KTQT_v4[[#This Row],[%HH]]*KH_26_OPT4_KTQT_v4[[#This Row],[DT-EXW-05]],KH_26_OPT4_KTQT_v4[[#This Row],[HH-SL]]*KH_26_OPT4_KTQT_v4[[#This Row],[SL-05]])</f>
        <v>0</v>
      </c>
      <c r="CB128" s="47">
        <f>IF(KH_26_OPT4_KTQT_v4[[#This Row],[CPHH-%-SL]]="Dthu",KH_26_OPT4_KTQT_v4[[#This Row],[%HH]]*KH_26_OPT4_KTQT_v4[[#This Row],[DT-EXW-06]],KH_26_OPT4_KTQT_v4[[#This Row],[HH-SL]]*KH_26_OPT4_KTQT_v4[[#This Row],[SL-06]])</f>
        <v>0</v>
      </c>
      <c r="CC128" s="47">
        <f>IF(KH_26_OPT4_KTQT_v4[[#This Row],[CPHH-%-SL]]="Dthu",KH_26_OPT4_KTQT_v4[[#This Row],[%HH]]*KH_26_OPT4_KTQT_v4[[#This Row],[DT-EXW-07]],KH_26_OPT4_KTQT_v4[[#This Row],[HH-SL]]*KH_26_OPT4_KTQT_v4[[#This Row],[SL-07]])</f>
        <v>0</v>
      </c>
      <c r="CD128" s="47">
        <f>IF(KH_26_OPT4_KTQT_v4[[#This Row],[CPHH-%-SL]]="Dthu",KH_26_OPT4_KTQT_v4[[#This Row],[%HH]]*KH_26_OPT4_KTQT_v4[[#This Row],[DT-EXW-08]],KH_26_OPT4_KTQT_v4[[#This Row],[HH-SL]]*KH_26_OPT4_KTQT_v4[[#This Row],[SL-08]])</f>
        <v>0</v>
      </c>
      <c r="CE128" s="47">
        <f>IF(KH_26_OPT4_KTQT_v4[[#This Row],[CPHH-%-SL]]="Dthu",KH_26_OPT4_KTQT_v4[[#This Row],[%HH]]*KH_26_OPT4_KTQT_v4[[#This Row],[DT-EXW-09]],KH_26_OPT4_KTQT_v4[[#This Row],[HH-SL]]*KH_26_OPT4_KTQT_v4[[#This Row],[SL-09]])</f>
        <v>0</v>
      </c>
      <c r="CF128" s="47">
        <f>IF(KH_26_OPT4_KTQT_v4[[#This Row],[CPHH-%-SL]]="Dthu",KH_26_OPT4_KTQT_v4[[#This Row],[%HH]]*KH_26_OPT4_KTQT_v4[[#This Row],[DT-EXW-10]],KH_26_OPT4_KTQT_v4[[#This Row],[HH-SL]]*KH_26_OPT4_KTQT_v4[[#This Row],[SL-10]])</f>
        <v>0</v>
      </c>
      <c r="CG128" s="47">
        <f>IF(KH_26_OPT4_KTQT_v4[[#This Row],[CPHH-%-SL]]="Dthu",KH_26_OPT4_KTQT_v4[[#This Row],[%HH]]*KH_26_OPT4_KTQT_v4[[#This Row],[DT-EXW-11]],KH_26_OPT4_KTQT_v4[[#This Row],[HH-SL]]*KH_26_OPT4_KTQT_v4[[#This Row],[SL-11]])</f>
        <v>0</v>
      </c>
      <c r="CH128" s="47">
        <f>IF(KH_26_OPT4_KTQT_v4[[#This Row],[CPHH-%-SL]]="Dthu",KH_26_OPT4_KTQT_v4[[#This Row],[%HH]]*KH_26_OPT4_KTQT_v4[[#This Row],[DT-EXW-12]],KH_26_OPT4_KTQT_v4[[#This Row],[HH-SL]]*KH_26_OPT4_KTQT_v4[[#This Row],[SL-12]])</f>
        <v>0</v>
      </c>
      <c r="CI128" s="47">
        <f ca="1">SUM(KH_26_OPT4_KTQT_v4[[#This Row],[CPHH-01]:[CPHH-12]])</f>
        <v>0</v>
      </c>
      <c r="CJ128" s="47" cm="1">
        <f t="array" ref="CJ128">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28" s="19">
        <f ca="1">SUM(KH_26_OPT4_KTQT_v4[[#This Row],[ĐGVCNĐ-KXK]:[ĐGVCCT-KXK]])</f>
        <v>0</v>
      </c>
      <c r="CL128" s="47" cm="1">
        <f t="array" ref="CL128">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128" s="47" cm="1">
        <f t="array" ref="CM128">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28" s="47">
        <f ca="1">(KH_26_OPT4_KTQT_v4[[#This Row],[ĐGVC-KNĐ]]+KH_26_OPT4_KTQT_v4[[#This Row],[ĐGVC-KXK]])*KH_26_OPT4_KTQT_v4[[#This Row],[SL-01]]</f>
        <v>0</v>
      </c>
      <c r="CO128" s="47">
        <f ca="1">(KH_26_OPT4_KTQT_v4[[#This Row],[ĐGVC-KNĐ]]+KH_26_OPT4_KTQT_v4[[#This Row],[ĐGVC-KXK]])*KH_26_OPT4_KTQT_v4[[#This Row],[SL-02]]</f>
        <v>0</v>
      </c>
      <c r="CP128" s="47">
        <f ca="1">(KH_26_OPT4_KTQT_v4[[#This Row],[ĐGVC-KNĐ]]+KH_26_OPT4_KTQT_v4[[#This Row],[ĐGVC-KXK]])*KH_26_OPT4_KTQT_v4[[#This Row],[SL-03]]</f>
        <v>0</v>
      </c>
      <c r="CQ128" s="47">
        <f ca="1">(KH_26_OPT4_KTQT_v4[[#This Row],[ĐGVC-KNĐ]]+KH_26_OPT4_KTQT_v4[[#This Row],[ĐGVC-KXK]])*KH_26_OPT4_KTQT_v4[[#This Row],[SL-04]]</f>
        <v>0</v>
      </c>
      <c r="CR128" s="47">
        <f ca="1">(KH_26_OPT4_KTQT_v4[[#This Row],[ĐGVC-KNĐ]]+KH_26_OPT4_KTQT_v4[[#This Row],[ĐGVC-KXK]])*KH_26_OPT4_KTQT_v4[[#This Row],[SL-05]]</f>
        <v>0</v>
      </c>
      <c r="CS128" s="47">
        <f ca="1">(KH_26_OPT4_KTQT_v4[[#This Row],[ĐGVC-KNĐ]]+KH_26_OPT4_KTQT_v4[[#This Row],[ĐGVC-KXK]])*KH_26_OPT4_KTQT_v4[[#This Row],[SL-06]]</f>
        <v>0</v>
      </c>
      <c r="CT128" s="47">
        <f ca="1">(KH_26_OPT4_KTQT_v4[[#This Row],[ĐGVC-KNĐ]]+KH_26_OPT4_KTQT_v4[[#This Row],[ĐGVC-KXK]])*KH_26_OPT4_KTQT_v4[[#This Row],[SL-07]]</f>
        <v>0</v>
      </c>
      <c r="CU128" s="47">
        <f ca="1">(KH_26_OPT4_KTQT_v4[[#This Row],[ĐGVC-KNĐ]]+KH_26_OPT4_KTQT_v4[[#This Row],[ĐGVC-KXK]])*KH_26_OPT4_KTQT_v4[[#This Row],[SL-08]]</f>
        <v>0</v>
      </c>
      <c r="CV128" s="47">
        <f ca="1">(KH_26_OPT4_KTQT_v4[[#This Row],[ĐGVC-KNĐ]]+KH_26_OPT4_KTQT_v4[[#This Row],[ĐGVC-KXK]])*KH_26_OPT4_KTQT_v4[[#This Row],[SL-09]]</f>
        <v>0</v>
      </c>
      <c r="CW128" s="47">
        <f ca="1">(KH_26_OPT4_KTQT_v4[[#This Row],[ĐGVC-KNĐ]]+KH_26_OPT4_KTQT_v4[[#This Row],[ĐGVC-KXK]])*KH_26_OPT4_KTQT_v4[[#This Row],[SL-10]]</f>
        <v>0</v>
      </c>
      <c r="CX128" s="47">
        <f ca="1">(KH_26_OPT4_KTQT_v4[[#This Row],[ĐGVC-KNĐ]]+KH_26_OPT4_KTQT_v4[[#This Row],[ĐGVC-KXK]])*KH_26_OPT4_KTQT_v4[[#This Row],[SL-11]]</f>
        <v>0</v>
      </c>
      <c r="CY128" s="47">
        <f ca="1">(KH_26_OPT4_KTQT_v4[[#This Row],[ĐGVC-KNĐ]]+KH_26_OPT4_KTQT_v4[[#This Row],[ĐGVC-KXK]])*KH_26_OPT4_KTQT_v4[[#This Row],[SL-12]]</f>
        <v>0</v>
      </c>
      <c r="CZ128" s="47">
        <f ca="1">SUM(KH_26_OPT4_KTQT_v4[[#This Row],[CPVC-01]:[CPVC-12]])</f>
        <v>0</v>
      </c>
      <c r="DA128" s="124">
        <f ca="1">KH_26_OPT4_KTQT_v4[[#This Row],[DT-EXW-01]]+KH_26_OPT4_KTQT_v4[[#This Row],[CPVC-01]]+KH_26_OPT4_KTQT_v4[[#This Row],[CPHH-01]]</f>
        <v>0</v>
      </c>
      <c r="DB128" s="47">
        <f ca="1">KH_26_OPT4_KTQT_v4[[#This Row],[DT-EXW-02]]+KH_26_OPT4_KTQT_v4[[#This Row],[CPVC-02]]+KH_26_OPT4_KTQT_v4[[#This Row],[CPHH-02]]</f>
        <v>0</v>
      </c>
      <c r="DC128" s="47">
        <f ca="1">KH_26_OPT4_KTQT_v4[[#This Row],[DT-EXW-03]]+KH_26_OPT4_KTQT_v4[[#This Row],[CPVC-03]]+KH_26_OPT4_KTQT_v4[[#This Row],[CPHH-03]]</f>
        <v>0</v>
      </c>
      <c r="DD128" s="47">
        <f ca="1">KH_26_OPT4_KTQT_v4[[#This Row],[DT-EXW-04]]+KH_26_OPT4_KTQT_v4[[#This Row],[CPVC-04]]+KH_26_OPT4_KTQT_v4[[#This Row],[CPHH-04]]</f>
        <v>0</v>
      </c>
      <c r="DE128" s="47">
        <f ca="1">KH_26_OPT4_KTQT_v4[[#This Row],[DT-EXW-05]]+KH_26_OPT4_KTQT_v4[[#This Row],[CPVC-05]]+KH_26_OPT4_KTQT_v4[[#This Row],[CPHH-05]]</f>
        <v>0</v>
      </c>
      <c r="DF128" s="47">
        <f ca="1">KH_26_OPT4_KTQT_v4[[#This Row],[DT-EXW-06]]+KH_26_OPT4_KTQT_v4[[#This Row],[CPVC-06]]+KH_26_OPT4_KTQT_v4[[#This Row],[CPHH-06]]</f>
        <v>0</v>
      </c>
      <c r="DG128" s="47">
        <f ca="1">KH_26_OPT4_KTQT_v4[[#This Row],[DT-EXW-07]]+KH_26_OPT4_KTQT_v4[[#This Row],[CPVC-07]]+KH_26_OPT4_KTQT_v4[[#This Row],[CPHH-07]]</f>
        <v>0</v>
      </c>
      <c r="DH128" s="47">
        <f ca="1">KH_26_OPT4_KTQT_v4[[#This Row],[DT-EXW-08]]+KH_26_OPT4_KTQT_v4[[#This Row],[CPVC-08]]+KH_26_OPT4_KTQT_v4[[#This Row],[CPHH-08]]</f>
        <v>0</v>
      </c>
      <c r="DI128" s="47">
        <f ca="1">KH_26_OPT4_KTQT_v4[[#This Row],[DT-EXW-09]]+KH_26_OPT4_KTQT_v4[[#This Row],[CPVC-09]]+KH_26_OPT4_KTQT_v4[[#This Row],[CPHH-09]]</f>
        <v>0</v>
      </c>
      <c r="DJ128" s="47">
        <f ca="1">KH_26_OPT4_KTQT_v4[[#This Row],[DT-EXW-10]]+KH_26_OPT4_KTQT_v4[[#This Row],[CPVC-10]]+KH_26_OPT4_KTQT_v4[[#This Row],[CPHH-10]]</f>
        <v>0</v>
      </c>
      <c r="DK128" s="47">
        <f ca="1">KH_26_OPT4_KTQT_v4[[#This Row],[DT-EXW-11]]+KH_26_OPT4_KTQT_v4[[#This Row],[CPVC-11]]+KH_26_OPT4_KTQT_v4[[#This Row],[CPHH-11]]</f>
        <v>0</v>
      </c>
      <c r="DL128" s="47">
        <f ca="1">KH_26_OPT4_KTQT_v4[[#This Row],[DT-EXW-12]]+KH_26_OPT4_KTQT_v4[[#This Row],[CPVC-12]]+KH_26_OPT4_KTQT_v4[[#This Row],[CPHH-12]]</f>
        <v>0</v>
      </c>
      <c r="DM128" s="47">
        <f ca="1">SUM(KH_26_OPT4_KTQT_v4[[#This Row],[DT-01]:[DT-12]])</f>
        <v>0</v>
      </c>
      <c r="DN128" s="7"/>
      <c r="DO128" s="7"/>
      <c r="DP128" s="125"/>
      <c r="DQ128" s="136"/>
      <c r="DR128" s="132">
        <f>IFERROR(KH_26_OPT4_KTQT_v4[[#This Row],[DT-EXW-01]]*KH_26_OPT4_KTQT_v4[[#This Row],[%CPDP]],0)</f>
        <v>0</v>
      </c>
      <c r="DS128" s="132">
        <f>IFERROR(KH_26_OPT4_KTQT_v4[[#This Row],[DT-EXW-02]]*KH_26_OPT4_KTQT_v4[[#This Row],[%CPDP]],0)</f>
        <v>0</v>
      </c>
      <c r="DT128" s="132">
        <f>IFERROR(KH_26_OPT4_KTQT_v4[[#This Row],[DT-EXW-03]]*KH_26_OPT4_KTQT_v4[[#This Row],[%CPDP]],0)</f>
        <v>0</v>
      </c>
      <c r="DU128" s="132">
        <f>IFERROR(KH_26_OPT4_KTQT_v4[[#This Row],[DT-EXW-04]]*KH_26_OPT4_KTQT_v4[[#This Row],[%CPDP]],0)</f>
        <v>0</v>
      </c>
      <c r="DV128" s="132">
        <f>IFERROR(KH_26_OPT4_KTQT_v4[[#This Row],[DT-EXW-05]]*KH_26_OPT4_KTQT_v4[[#This Row],[%CPDP]],0)</f>
        <v>0</v>
      </c>
      <c r="DW128" s="132">
        <f>IFERROR(KH_26_OPT4_KTQT_v4[[#This Row],[DT-EXW-06]]*KH_26_OPT4_KTQT_v4[[#This Row],[%CPDP]],0)</f>
        <v>0</v>
      </c>
      <c r="DX128" s="132">
        <f>IFERROR(KH_26_OPT4_KTQT_v4[[#This Row],[DT-EXW-07]]*KH_26_OPT4_KTQT_v4[[#This Row],[%CPDP]],0)</f>
        <v>0</v>
      </c>
      <c r="DY128" s="132">
        <f>IFERROR(KH_26_OPT4_KTQT_v4[[#This Row],[DT-EXW-08]]*KH_26_OPT4_KTQT_v4[[#This Row],[%CPDP]],0)</f>
        <v>0</v>
      </c>
      <c r="DZ128" s="132">
        <f>IFERROR(KH_26_OPT4_KTQT_v4[[#This Row],[DT-EXW-09]]*KH_26_OPT4_KTQT_v4[[#This Row],[%CPDP]],0)</f>
        <v>0</v>
      </c>
      <c r="EA128" s="132">
        <f>IFERROR(KH_26_OPT4_KTQT_v4[[#This Row],[DT-EXW-10]]*KH_26_OPT4_KTQT_v4[[#This Row],[%CPDP]],0)</f>
        <v>0</v>
      </c>
      <c r="EB128" s="132">
        <f>IFERROR(KH_26_OPT4_KTQT_v4[[#This Row],[DT-EXW-11]]*KH_26_OPT4_KTQT_v4[[#This Row],[%CPDP]],0)</f>
        <v>0</v>
      </c>
      <c r="EC128" s="132">
        <f>IFERROR(KH_26_OPT4_KTQT_v4[[#This Row],[DT-EXW-12]]*KH_26_OPT4_KTQT_v4[[#This Row],[%CPDP]],0)</f>
        <v>0</v>
      </c>
      <c r="ED128" s="131">
        <f ca="1">SUM(KH_26_OPT4_KTQT_v4[[#This Row],[CPDP-01]:[CPDP-12]])</f>
        <v>0</v>
      </c>
    </row>
    <row r="129" spans="1:134" ht="14.65" hidden="1" customHeight="1" x14ac:dyDescent="0.35">
      <c r="A129" s="18">
        <v>124</v>
      </c>
      <c r="B129" s="71" t="s">
        <v>115</v>
      </c>
      <c r="C129" s="18" t="str">
        <f>IFERROR(_xlfn.XLOOKUP(KH_26_OPT4_KTQT_v4[[#This Row],[Salesman]],MD_Salesman[Salesman],MD_Salesman[SalesManager]),"")</f>
        <v>Quốc Anh</v>
      </c>
      <c r="D129" s="72" t="str">
        <f>IFERROR(INDEX(MD_Customer[Mã khách],MATCH(KH_26_OPT4_KTQT_v4[[#This Row],[Tên khách]],MD_Customer[Tên khách-rút gọn],0)),"")</f>
        <v>105214</v>
      </c>
      <c r="E129" s="7" t="str">
        <f>IFERROR(INDEX(MD_Customer[Parent Account],MATCH(KH_26_OPT4_KTQT_v4[[#This Row],[Tên khách]],MD_Customer[Tên khách-rút gọn],0)),"")</f>
        <v>Người mua hàng không lấy hóa đơn</v>
      </c>
      <c r="F129" s="35" t="s">
        <v>156</v>
      </c>
      <c r="G129" s="7" t="str">
        <f>IFERROR(INDEX(MD_Customer[Phân loại],MATCH(KH_26_OPT4_KTQT_v4[[#This Row],[Tên khách]],MD_Customer[Tên khách-rút gọn],0)),"")</f>
        <v>Hiện hữu</v>
      </c>
      <c r="H129" s="7" t="str">
        <f>IFERROR(INDEX(MD_Customer[Kênh bán hàng],MATCH(KH_26_OPT4_KTQT_v4[[#This Row],[Tên khách]],MD_Customer[Tên khách-rút gọn],0)),"")</f>
        <v>Nội địa</v>
      </c>
      <c r="I129" s="35" t="s">
        <v>258</v>
      </c>
      <c r="J129" s="7" t="str">
        <f>IFERROR(INDEX(MD_Destination[Nước],MATCH(KH_26_OPT4_KTQT_v4[[#This Row],[Địa điểm đến]],MD_Destination[Địa điểm đến],0)),"")</f>
        <v>Việt Nam</v>
      </c>
      <c r="K129" s="7" t="str">
        <f>IFERROR(INDEX(MD_Destination[Khu vực],MATCH(KH_26_OPT4_KTQT_v4[[#This Row],[Địa điểm đến]],MD_Destination[Địa điểm đến],0)),"")</f>
        <v>Châu Á</v>
      </c>
      <c r="L129" s="35" t="s">
        <v>260</v>
      </c>
      <c r="M129" s="7" t="str">
        <f>IFERROR(INDEX(MD_SKU[Mã SKU],MATCH(KH_26_OPT4_KTQT_v4[[#This Row],[Tên sản phẩm]],MD_SKU[Tên SKU-rút gọn],0)),"")</f>
        <v>110000407</v>
      </c>
      <c r="N129" s="35" t="s">
        <v>470</v>
      </c>
      <c r="O129" s="7" t="str">
        <f>IFERROR(INDEX(MD_SKU[Ngành hàng],MATCH(KH_26_OPT4_KTQT_v4[[#This Row],[Tên sản phẩm]],MD_SKU[Tên SKU-rút gọn],0)),"")</f>
        <v>rHDPE ép</v>
      </c>
      <c r="P129" s="7" t="str">
        <f>IFERROR(INDEX(MD_SKU[Nhóm ngành],MATCH(KH_26_OPT4_KTQT_v4[[#This Row],[Tên sản phẩm]],MD_SKU[Tên SKU-rút gọn],0)),"")</f>
        <v>Vảy HD ép</v>
      </c>
      <c r="Q129" s="7" t="str">
        <f>IFERROR(
   IF(INDEX(MD_SKU[IV/IM],MATCH(KH_26_OPT4_KTQT_v4[[#This Row],[Tên sản phẩm]],MD_SKU[Tên SKU-rút gọn],0))=0,
      "",
      INDEX(MD_SKU[IV/IM],MATCH(KH_26_OPT4_KTQT_v4[[#This Row],[Tên sản phẩm]],MD_SKU[Tên SKU-rút gọn],0))
   ),
"")</f>
        <v/>
      </c>
      <c r="R129" s="44">
        <f>IFERROR(INDEX(MD_SKU[Application],MATCH(KH_26_OPT4_KTQT_v4[[#This Row],[Tên sản phẩm]],MD_SKU[Tên SKU-rút gọn],0)),"")</f>
        <v>0</v>
      </c>
      <c r="S129" s="7" t="str">
        <f>IFERROR(INDEX(MD_SKU[Phân loại],MATCH(KH_26_OPT4_KTQT_v4[[#This Row],[Tên sản phẩm]],MD_SKU[Tên SKU-rút gọn],0)),"")</f>
        <v>Cũ</v>
      </c>
      <c r="T129" s="7" t="s">
        <v>542</v>
      </c>
      <c r="U129" s="7"/>
      <c r="V129" s="70">
        <v>0.8</v>
      </c>
      <c r="W129" s="33"/>
      <c r="X129" s="33"/>
      <c r="Y129" s="33"/>
      <c r="Z129" s="33"/>
      <c r="AA129" s="33"/>
      <c r="AB129" s="33"/>
      <c r="AC129" s="33"/>
      <c r="AD129" s="33"/>
      <c r="AE129" s="33"/>
      <c r="AF129" s="33"/>
      <c r="AG129" s="33"/>
      <c r="AH129" s="33"/>
      <c r="AI129" s="47">
        <f ca="1">SUM(KH_26_OPT4_KTQT_v4[[#This Row],[SL-01]:[SL-12]])</f>
        <v>0</v>
      </c>
      <c r="AJ129" s="47">
        <f ca="1">SUMIFS(DB_25[SL-DB25],DB_25[Mã khách],KH_26_OPT4_KTQT_v4[[#This Row],[Mã khách]],DB_25[Mã sản phẩm],KH_26_OPT4_KTQT_v4[[#This Row],[Mã sản phẩm]])</f>
        <v>2.5000000000000001E-2</v>
      </c>
      <c r="AK129" s="20">
        <f ca="1">KH_26_OPT4_KTQT_v4[[#This Row],[SL-KH26]]-KH_26_OPT4_KTQT_v4[[#This Row],[SL-DB25]]</f>
        <v>-2.5000000000000001E-2</v>
      </c>
      <c r="AL129" s="21">
        <f ca="1">IFERROR(KH_26_OPT4_KTQT_v4[[#This Row],[SL-+/-]]/KH_26_OPT4_KTQT_v4[[#This Row],[SL-DB25]],0)</f>
        <v>-1</v>
      </c>
      <c r="AM129" s="51">
        <v>560</v>
      </c>
      <c r="AN129" s="51">
        <v>560</v>
      </c>
      <c r="AO129" s="51">
        <v>560</v>
      </c>
      <c r="AP129" s="51">
        <v>560</v>
      </c>
      <c r="AQ129" s="51">
        <v>560</v>
      </c>
      <c r="AR129" s="51">
        <v>560</v>
      </c>
      <c r="AS129" s="51">
        <v>560</v>
      </c>
      <c r="AT129" s="51">
        <v>560</v>
      </c>
      <c r="AU129" s="51">
        <v>560</v>
      </c>
      <c r="AV129" s="51">
        <v>560</v>
      </c>
      <c r="AW129" s="51">
        <v>560</v>
      </c>
      <c r="AX129" s="51">
        <v>560</v>
      </c>
      <c r="AY129" s="23">
        <v>560</v>
      </c>
      <c r="AZ129" s="7"/>
      <c r="BA129" s="24">
        <f>KH_26_OPT4_KTQT_v4[[#This Row],[GB-DB25]]-KH_26_OPT4_KTQT_v4[[#This Row],[GB-KH25]]</f>
        <v>560</v>
      </c>
      <c r="BB129" s="21">
        <f>IFERROR(KH_26_OPT4_KTQT_v4[[#This Row],[GB-+/-]]/KH_26_OPT4_KTQT_v4[[#This Row],[GB-KH25]],0)</f>
        <v>0</v>
      </c>
      <c r="BC129" s="21"/>
      <c r="BD129" s="47">
        <f>KH_26_OPT4_KTQT_v4[[#This Row],[SL-01]]*KH_26_OPT4_KTQT_v4[[#This Row],[GB-01]]*EXR</f>
        <v>0</v>
      </c>
      <c r="BE129" s="47">
        <f>KH_26_OPT4_KTQT_v4[[#This Row],[SL-02]]*KH_26_OPT4_KTQT_v4[[#This Row],[GB-02]]*EXR</f>
        <v>0</v>
      </c>
      <c r="BF129" s="47">
        <f>KH_26_OPT4_KTQT_v4[[#This Row],[SL-03]]*KH_26_OPT4_KTQT_v4[[#This Row],[GB-03]]*EXR</f>
        <v>0</v>
      </c>
      <c r="BG129" s="47">
        <f>KH_26_OPT4_KTQT_v4[[#This Row],[SL-04]]*KH_26_OPT4_KTQT_v4[[#This Row],[GB-04]]*EXR</f>
        <v>0</v>
      </c>
      <c r="BH129" s="47">
        <f>KH_26_OPT4_KTQT_v4[[#This Row],[SL-05]]*KH_26_OPT4_KTQT_v4[[#This Row],[GB-05]]*EXR</f>
        <v>0</v>
      </c>
      <c r="BI129" s="47">
        <f>KH_26_OPT4_KTQT_v4[[#This Row],[SL-06]]*KH_26_OPT4_KTQT_v4[[#This Row],[GB-06]]*EXR</f>
        <v>0</v>
      </c>
      <c r="BJ129" s="47">
        <f>KH_26_OPT4_KTQT_v4[[#This Row],[SL-07]]*KH_26_OPT4_KTQT_v4[[#This Row],[GB-07]]*EXR</f>
        <v>0</v>
      </c>
      <c r="BK129" s="47">
        <f>KH_26_OPT4_KTQT_v4[[#This Row],[SL-08]]*KH_26_OPT4_KTQT_v4[[#This Row],[GB-08]]*EXR</f>
        <v>0</v>
      </c>
      <c r="BL129" s="47">
        <f>KH_26_OPT4_KTQT_v4[[#This Row],[SL-09]]*KH_26_OPT4_KTQT_v4[[#This Row],[GB-09]]*EXR</f>
        <v>0</v>
      </c>
      <c r="BM129" s="47">
        <f>KH_26_OPT4_KTQT_v4[[#This Row],[SL-10]]*KH_26_OPT4_KTQT_v4[[#This Row],[GB-10]]*EXR</f>
        <v>0</v>
      </c>
      <c r="BN129" s="47">
        <f>KH_26_OPT4_KTQT_v4[[#This Row],[SL-11]]*KH_26_OPT4_KTQT_v4[[#This Row],[GB-11]]*EXR</f>
        <v>0</v>
      </c>
      <c r="BO129" s="47">
        <f>KH_26_OPT4_KTQT_v4[[#This Row],[SL-12]]*KH_26_OPT4_KTQT_v4[[#This Row],[GB-12]]*EXR</f>
        <v>0</v>
      </c>
      <c r="BP129" s="47">
        <f ca="1">SUM(KH_26_OPT4_KTQT_v4[[#This Row],[DT-EXW-01]:[DT-EXW-12]])</f>
        <v>0</v>
      </c>
      <c r="BQ129" s="47">
        <f ca="1">SUMIFS(DB_25[DT-DB25],DB_25[Mã khách],KH_26_OPT4_KTQT_v4[[#This Row],[Mã khách]],DB_25[Mã sản phẩm],KH_26_OPT4_KTQT_v4[[#This Row],[Mã sản phẩm]])</f>
        <v>375000</v>
      </c>
      <c r="BR129" s="47">
        <f ca="1">KH_26_OPT4_KTQT_v4[[#This Row],[DT-EXW-KH26]]-KH_26_OPT4_KTQT_v4[[#This Row],[DT-EXW-DB25]]</f>
        <v>-375000</v>
      </c>
      <c r="BS129" s="21">
        <f ca="1">IFERROR(KH_26_OPT4_KTQT_v4[[#This Row],[DT-EXW-+/-]]/KH_26_OPT4_KTQT_v4[[#This Row],[DT-EXW-DB25]],0)</f>
        <v>-1</v>
      </c>
      <c r="BT129" s="139"/>
      <c r="BU129" s="57"/>
      <c r="BV129" s="51"/>
      <c r="BW129" s="47">
        <f>IF(KH_26_OPT4_KTQT_v4[[#This Row],[CPHH-%-SL]]="Dthu",KH_26_OPT4_KTQT_v4[[#This Row],[%HH]]*KH_26_OPT4_KTQT_v4[[#This Row],[DT-EXW-01]],KH_26_OPT4_KTQT_v4[[#This Row],[HH-SL]]*KH_26_OPT4_KTQT_v4[[#This Row],[SL-01]])</f>
        <v>0</v>
      </c>
      <c r="BX129" s="47">
        <f>IF(KH_26_OPT4_KTQT_v4[[#This Row],[CPHH-%-SL]]="Dthu",KH_26_OPT4_KTQT_v4[[#This Row],[%HH]]*KH_26_OPT4_KTQT_v4[[#This Row],[DT-EXW-02]],KH_26_OPT4_KTQT_v4[[#This Row],[HH-SL]]*KH_26_OPT4_KTQT_v4[[#This Row],[SL-02]])</f>
        <v>0</v>
      </c>
      <c r="BY129" s="47">
        <f>IF(KH_26_OPT4_KTQT_v4[[#This Row],[CPHH-%-SL]]="Dthu",KH_26_OPT4_KTQT_v4[[#This Row],[%HH]]*KH_26_OPT4_KTQT_v4[[#This Row],[DT-EXW-03]],KH_26_OPT4_KTQT_v4[[#This Row],[HH-SL]]*KH_26_OPT4_KTQT_v4[[#This Row],[SL-03]])</f>
        <v>0</v>
      </c>
      <c r="BZ129" s="47">
        <f>IF(KH_26_OPT4_KTQT_v4[[#This Row],[CPHH-%-SL]]="Dthu",KH_26_OPT4_KTQT_v4[[#This Row],[%HH]]*KH_26_OPT4_KTQT_v4[[#This Row],[DT-EXW-04]],KH_26_OPT4_KTQT_v4[[#This Row],[HH-SL]]*KH_26_OPT4_KTQT_v4[[#This Row],[SL-04]])</f>
        <v>0</v>
      </c>
      <c r="CA129" s="47">
        <f>IF(KH_26_OPT4_KTQT_v4[[#This Row],[CPHH-%-SL]]="Dthu",KH_26_OPT4_KTQT_v4[[#This Row],[%HH]]*KH_26_OPT4_KTQT_v4[[#This Row],[DT-EXW-05]],KH_26_OPT4_KTQT_v4[[#This Row],[HH-SL]]*KH_26_OPT4_KTQT_v4[[#This Row],[SL-05]])</f>
        <v>0</v>
      </c>
      <c r="CB129" s="47">
        <f>IF(KH_26_OPT4_KTQT_v4[[#This Row],[CPHH-%-SL]]="Dthu",KH_26_OPT4_KTQT_v4[[#This Row],[%HH]]*KH_26_OPT4_KTQT_v4[[#This Row],[DT-EXW-06]],KH_26_OPT4_KTQT_v4[[#This Row],[HH-SL]]*KH_26_OPT4_KTQT_v4[[#This Row],[SL-06]])</f>
        <v>0</v>
      </c>
      <c r="CC129" s="47">
        <f>IF(KH_26_OPT4_KTQT_v4[[#This Row],[CPHH-%-SL]]="Dthu",KH_26_OPT4_KTQT_v4[[#This Row],[%HH]]*KH_26_OPT4_KTQT_v4[[#This Row],[DT-EXW-07]],KH_26_OPT4_KTQT_v4[[#This Row],[HH-SL]]*KH_26_OPT4_KTQT_v4[[#This Row],[SL-07]])</f>
        <v>0</v>
      </c>
      <c r="CD129" s="47">
        <f>IF(KH_26_OPT4_KTQT_v4[[#This Row],[CPHH-%-SL]]="Dthu",KH_26_OPT4_KTQT_v4[[#This Row],[%HH]]*KH_26_OPT4_KTQT_v4[[#This Row],[DT-EXW-08]],KH_26_OPT4_KTQT_v4[[#This Row],[HH-SL]]*KH_26_OPT4_KTQT_v4[[#This Row],[SL-08]])</f>
        <v>0</v>
      </c>
      <c r="CE129" s="47">
        <f>IF(KH_26_OPT4_KTQT_v4[[#This Row],[CPHH-%-SL]]="Dthu",KH_26_OPT4_KTQT_v4[[#This Row],[%HH]]*KH_26_OPT4_KTQT_v4[[#This Row],[DT-EXW-09]],KH_26_OPT4_KTQT_v4[[#This Row],[HH-SL]]*KH_26_OPT4_KTQT_v4[[#This Row],[SL-09]])</f>
        <v>0</v>
      </c>
      <c r="CF129" s="47">
        <f>IF(KH_26_OPT4_KTQT_v4[[#This Row],[CPHH-%-SL]]="Dthu",KH_26_OPT4_KTQT_v4[[#This Row],[%HH]]*KH_26_OPT4_KTQT_v4[[#This Row],[DT-EXW-10]],KH_26_OPT4_KTQT_v4[[#This Row],[HH-SL]]*KH_26_OPT4_KTQT_v4[[#This Row],[SL-10]])</f>
        <v>0</v>
      </c>
      <c r="CG129" s="47">
        <f>IF(KH_26_OPT4_KTQT_v4[[#This Row],[CPHH-%-SL]]="Dthu",KH_26_OPT4_KTQT_v4[[#This Row],[%HH]]*KH_26_OPT4_KTQT_v4[[#This Row],[DT-EXW-11]],KH_26_OPT4_KTQT_v4[[#This Row],[HH-SL]]*KH_26_OPT4_KTQT_v4[[#This Row],[SL-11]])</f>
        <v>0</v>
      </c>
      <c r="CH129" s="47">
        <f>IF(KH_26_OPT4_KTQT_v4[[#This Row],[CPHH-%-SL]]="Dthu",KH_26_OPT4_KTQT_v4[[#This Row],[%HH]]*KH_26_OPT4_KTQT_v4[[#This Row],[DT-EXW-12]],KH_26_OPT4_KTQT_v4[[#This Row],[HH-SL]]*KH_26_OPT4_KTQT_v4[[#This Row],[SL-12]])</f>
        <v>0</v>
      </c>
      <c r="CI129" s="47">
        <f ca="1">SUM(KH_26_OPT4_KTQT_v4[[#This Row],[CPHH-01]:[CPHH-12]])</f>
        <v>0</v>
      </c>
      <c r="CJ129" s="47" cm="1">
        <f t="array" ref="CJ129">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29" s="19">
        <f ca="1">SUM(KH_26_OPT4_KTQT_v4[[#This Row],[ĐGVCNĐ-KXK]:[ĐGVCCT-KXK]])</f>
        <v>0</v>
      </c>
      <c r="CL129" s="47" cm="1">
        <f t="array" ref="CL129">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129" s="47" cm="1">
        <f t="array" ref="CM129">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29" s="47">
        <f ca="1">(KH_26_OPT4_KTQT_v4[[#This Row],[ĐGVC-KNĐ]]+KH_26_OPT4_KTQT_v4[[#This Row],[ĐGVC-KXK]])*KH_26_OPT4_KTQT_v4[[#This Row],[SL-01]]</f>
        <v>0</v>
      </c>
      <c r="CO129" s="47">
        <f ca="1">(KH_26_OPT4_KTQT_v4[[#This Row],[ĐGVC-KNĐ]]+KH_26_OPT4_KTQT_v4[[#This Row],[ĐGVC-KXK]])*KH_26_OPT4_KTQT_v4[[#This Row],[SL-02]]</f>
        <v>0</v>
      </c>
      <c r="CP129" s="47">
        <f ca="1">(KH_26_OPT4_KTQT_v4[[#This Row],[ĐGVC-KNĐ]]+KH_26_OPT4_KTQT_v4[[#This Row],[ĐGVC-KXK]])*KH_26_OPT4_KTQT_v4[[#This Row],[SL-03]]</f>
        <v>0</v>
      </c>
      <c r="CQ129" s="47">
        <f ca="1">(KH_26_OPT4_KTQT_v4[[#This Row],[ĐGVC-KNĐ]]+KH_26_OPT4_KTQT_v4[[#This Row],[ĐGVC-KXK]])*KH_26_OPT4_KTQT_v4[[#This Row],[SL-04]]</f>
        <v>0</v>
      </c>
      <c r="CR129" s="47">
        <f ca="1">(KH_26_OPT4_KTQT_v4[[#This Row],[ĐGVC-KNĐ]]+KH_26_OPT4_KTQT_v4[[#This Row],[ĐGVC-KXK]])*KH_26_OPT4_KTQT_v4[[#This Row],[SL-05]]</f>
        <v>0</v>
      </c>
      <c r="CS129" s="47">
        <f ca="1">(KH_26_OPT4_KTQT_v4[[#This Row],[ĐGVC-KNĐ]]+KH_26_OPT4_KTQT_v4[[#This Row],[ĐGVC-KXK]])*KH_26_OPT4_KTQT_v4[[#This Row],[SL-06]]</f>
        <v>0</v>
      </c>
      <c r="CT129" s="47">
        <f ca="1">(KH_26_OPT4_KTQT_v4[[#This Row],[ĐGVC-KNĐ]]+KH_26_OPT4_KTQT_v4[[#This Row],[ĐGVC-KXK]])*KH_26_OPT4_KTQT_v4[[#This Row],[SL-07]]</f>
        <v>0</v>
      </c>
      <c r="CU129" s="47">
        <f ca="1">(KH_26_OPT4_KTQT_v4[[#This Row],[ĐGVC-KNĐ]]+KH_26_OPT4_KTQT_v4[[#This Row],[ĐGVC-KXK]])*KH_26_OPT4_KTQT_v4[[#This Row],[SL-08]]</f>
        <v>0</v>
      </c>
      <c r="CV129" s="47">
        <f ca="1">(KH_26_OPT4_KTQT_v4[[#This Row],[ĐGVC-KNĐ]]+KH_26_OPT4_KTQT_v4[[#This Row],[ĐGVC-KXK]])*KH_26_OPT4_KTQT_v4[[#This Row],[SL-09]]</f>
        <v>0</v>
      </c>
      <c r="CW129" s="47">
        <f ca="1">(KH_26_OPT4_KTQT_v4[[#This Row],[ĐGVC-KNĐ]]+KH_26_OPT4_KTQT_v4[[#This Row],[ĐGVC-KXK]])*KH_26_OPT4_KTQT_v4[[#This Row],[SL-10]]</f>
        <v>0</v>
      </c>
      <c r="CX129" s="47">
        <f ca="1">(KH_26_OPT4_KTQT_v4[[#This Row],[ĐGVC-KNĐ]]+KH_26_OPT4_KTQT_v4[[#This Row],[ĐGVC-KXK]])*KH_26_OPT4_KTQT_v4[[#This Row],[SL-11]]</f>
        <v>0</v>
      </c>
      <c r="CY129" s="47">
        <f ca="1">(KH_26_OPT4_KTQT_v4[[#This Row],[ĐGVC-KNĐ]]+KH_26_OPT4_KTQT_v4[[#This Row],[ĐGVC-KXK]])*KH_26_OPT4_KTQT_v4[[#This Row],[SL-12]]</f>
        <v>0</v>
      </c>
      <c r="CZ129" s="47">
        <f ca="1">SUM(KH_26_OPT4_KTQT_v4[[#This Row],[CPVC-01]:[CPVC-12]])</f>
        <v>0</v>
      </c>
      <c r="DA129" s="124">
        <f ca="1">KH_26_OPT4_KTQT_v4[[#This Row],[DT-EXW-01]]+KH_26_OPT4_KTQT_v4[[#This Row],[CPVC-01]]+KH_26_OPT4_KTQT_v4[[#This Row],[CPHH-01]]</f>
        <v>0</v>
      </c>
      <c r="DB129" s="47">
        <f ca="1">KH_26_OPT4_KTQT_v4[[#This Row],[DT-EXW-02]]+KH_26_OPT4_KTQT_v4[[#This Row],[CPVC-02]]+KH_26_OPT4_KTQT_v4[[#This Row],[CPHH-02]]</f>
        <v>0</v>
      </c>
      <c r="DC129" s="47">
        <f ca="1">KH_26_OPT4_KTQT_v4[[#This Row],[DT-EXW-03]]+KH_26_OPT4_KTQT_v4[[#This Row],[CPVC-03]]+KH_26_OPT4_KTQT_v4[[#This Row],[CPHH-03]]</f>
        <v>0</v>
      </c>
      <c r="DD129" s="47">
        <f ca="1">KH_26_OPT4_KTQT_v4[[#This Row],[DT-EXW-04]]+KH_26_OPT4_KTQT_v4[[#This Row],[CPVC-04]]+KH_26_OPT4_KTQT_v4[[#This Row],[CPHH-04]]</f>
        <v>0</v>
      </c>
      <c r="DE129" s="47">
        <f ca="1">KH_26_OPT4_KTQT_v4[[#This Row],[DT-EXW-05]]+KH_26_OPT4_KTQT_v4[[#This Row],[CPVC-05]]+KH_26_OPT4_KTQT_v4[[#This Row],[CPHH-05]]</f>
        <v>0</v>
      </c>
      <c r="DF129" s="47">
        <f ca="1">KH_26_OPT4_KTQT_v4[[#This Row],[DT-EXW-06]]+KH_26_OPT4_KTQT_v4[[#This Row],[CPVC-06]]+KH_26_OPT4_KTQT_v4[[#This Row],[CPHH-06]]</f>
        <v>0</v>
      </c>
      <c r="DG129" s="47">
        <f ca="1">KH_26_OPT4_KTQT_v4[[#This Row],[DT-EXW-07]]+KH_26_OPT4_KTQT_v4[[#This Row],[CPVC-07]]+KH_26_OPT4_KTQT_v4[[#This Row],[CPHH-07]]</f>
        <v>0</v>
      </c>
      <c r="DH129" s="47">
        <f ca="1">KH_26_OPT4_KTQT_v4[[#This Row],[DT-EXW-08]]+KH_26_OPT4_KTQT_v4[[#This Row],[CPVC-08]]+KH_26_OPT4_KTQT_v4[[#This Row],[CPHH-08]]</f>
        <v>0</v>
      </c>
      <c r="DI129" s="47">
        <f ca="1">KH_26_OPT4_KTQT_v4[[#This Row],[DT-EXW-09]]+KH_26_OPT4_KTQT_v4[[#This Row],[CPVC-09]]+KH_26_OPT4_KTQT_v4[[#This Row],[CPHH-09]]</f>
        <v>0</v>
      </c>
      <c r="DJ129" s="47">
        <f ca="1">KH_26_OPT4_KTQT_v4[[#This Row],[DT-EXW-10]]+KH_26_OPT4_KTQT_v4[[#This Row],[CPVC-10]]+KH_26_OPT4_KTQT_v4[[#This Row],[CPHH-10]]</f>
        <v>0</v>
      </c>
      <c r="DK129" s="47">
        <f ca="1">KH_26_OPT4_KTQT_v4[[#This Row],[DT-EXW-11]]+KH_26_OPT4_KTQT_v4[[#This Row],[CPVC-11]]+KH_26_OPT4_KTQT_v4[[#This Row],[CPHH-11]]</f>
        <v>0</v>
      </c>
      <c r="DL129" s="47">
        <f ca="1">KH_26_OPT4_KTQT_v4[[#This Row],[DT-EXW-12]]+KH_26_OPT4_KTQT_v4[[#This Row],[CPVC-12]]+KH_26_OPT4_KTQT_v4[[#This Row],[CPHH-12]]</f>
        <v>0</v>
      </c>
      <c r="DM129" s="47">
        <f ca="1">SUM(KH_26_OPT4_KTQT_v4[[#This Row],[DT-01]:[DT-12]])</f>
        <v>0</v>
      </c>
      <c r="DN129" s="7"/>
      <c r="DO129" s="7"/>
      <c r="DP129" s="125"/>
      <c r="DQ129" s="136"/>
      <c r="DR129" s="132">
        <f>IFERROR(KH_26_OPT4_KTQT_v4[[#This Row],[DT-EXW-01]]*KH_26_OPT4_KTQT_v4[[#This Row],[%CPDP]],0)</f>
        <v>0</v>
      </c>
      <c r="DS129" s="132">
        <f>IFERROR(KH_26_OPT4_KTQT_v4[[#This Row],[DT-EXW-02]]*KH_26_OPT4_KTQT_v4[[#This Row],[%CPDP]],0)</f>
        <v>0</v>
      </c>
      <c r="DT129" s="132">
        <f>IFERROR(KH_26_OPT4_KTQT_v4[[#This Row],[DT-EXW-03]]*KH_26_OPT4_KTQT_v4[[#This Row],[%CPDP]],0)</f>
        <v>0</v>
      </c>
      <c r="DU129" s="132">
        <f>IFERROR(KH_26_OPT4_KTQT_v4[[#This Row],[DT-EXW-04]]*KH_26_OPT4_KTQT_v4[[#This Row],[%CPDP]],0)</f>
        <v>0</v>
      </c>
      <c r="DV129" s="132">
        <f>IFERROR(KH_26_OPT4_KTQT_v4[[#This Row],[DT-EXW-05]]*KH_26_OPT4_KTQT_v4[[#This Row],[%CPDP]],0)</f>
        <v>0</v>
      </c>
      <c r="DW129" s="132">
        <f>IFERROR(KH_26_OPT4_KTQT_v4[[#This Row],[DT-EXW-06]]*KH_26_OPT4_KTQT_v4[[#This Row],[%CPDP]],0)</f>
        <v>0</v>
      </c>
      <c r="DX129" s="132">
        <f>IFERROR(KH_26_OPT4_KTQT_v4[[#This Row],[DT-EXW-07]]*KH_26_OPT4_KTQT_v4[[#This Row],[%CPDP]],0)</f>
        <v>0</v>
      </c>
      <c r="DY129" s="132">
        <f>IFERROR(KH_26_OPT4_KTQT_v4[[#This Row],[DT-EXW-08]]*KH_26_OPT4_KTQT_v4[[#This Row],[%CPDP]],0)</f>
        <v>0</v>
      </c>
      <c r="DZ129" s="132">
        <f>IFERROR(KH_26_OPT4_KTQT_v4[[#This Row],[DT-EXW-09]]*KH_26_OPT4_KTQT_v4[[#This Row],[%CPDP]],0)</f>
        <v>0</v>
      </c>
      <c r="EA129" s="132">
        <f>IFERROR(KH_26_OPT4_KTQT_v4[[#This Row],[DT-EXW-10]]*KH_26_OPT4_KTQT_v4[[#This Row],[%CPDP]],0)</f>
        <v>0</v>
      </c>
      <c r="EB129" s="132">
        <f>IFERROR(KH_26_OPT4_KTQT_v4[[#This Row],[DT-EXW-11]]*KH_26_OPT4_KTQT_v4[[#This Row],[%CPDP]],0)</f>
        <v>0</v>
      </c>
      <c r="EC129" s="132">
        <f>IFERROR(KH_26_OPT4_KTQT_v4[[#This Row],[DT-EXW-12]]*KH_26_OPT4_KTQT_v4[[#This Row],[%CPDP]],0)</f>
        <v>0</v>
      </c>
      <c r="ED129" s="131">
        <f ca="1">SUM(KH_26_OPT4_KTQT_v4[[#This Row],[CPDP-01]:[CPDP-12]])</f>
        <v>0</v>
      </c>
    </row>
    <row r="130" spans="1:134" ht="14.65" hidden="1" customHeight="1" x14ac:dyDescent="0.35">
      <c r="A130" s="18">
        <v>125</v>
      </c>
      <c r="B130" s="71" t="s">
        <v>115</v>
      </c>
      <c r="C130" s="18" t="str">
        <f>IFERROR(_xlfn.XLOOKUP(KH_26_OPT4_KTQT_v4[[#This Row],[Salesman]],MD_Salesman[Salesman],MD_Salesman[SalesManager]),"")</f>
        <v>Quốc Anh</v>
      </c>
      <c r="D130" s="72" t="str">
        <f>IFERROR(INDEX(MD_Customer[Mã khách],MATCH(KH_26_OPT4_KTQT_v4[[#This Row],[Tên khách]],MD_Customer[Tên khách-rút gọn],0)),"")</f>
        <v>105214</v>
      </c>
      <c r="E130" s="7" t="str">
        <f>IFERROR(INDEX(MD_Customer[Parent Account],MATCH(KH_26_OPT4_KTQT_v4[[#This Row],[Tên khách]],MD_Customer[Tên khách-rút gọn],0)),"")</f>
        <v>Người mua hàng không lấy hóa đơn</v>
      </c>
      <c r="F130" s="35" t="s">
        <v>156</v>
      </c>
      <c r="G130" s="7" t="str">
        <f>IFERROR(INDEX(MD_Customer[Phân loại],MATCH(KH_26_OPT4_KTQT_v4[[#This Row],[Tên khách]],MD_Customer[Tên khách-rút gọn],0)),"")</f>
        <v>Hiện hữu</v>
      </c>
      <c r="H130" s="7" t="str">
        <f>IFERROR(INDEX(MD_Customer[Kênh bán hàng],MATCH(KH_26_OPT4_KTQT_v4[[#This Row],[Tên khách]],MD_Customer[Tên khách-rút gọn],0)),"")</f>
        <v>Nội địa</v>
      </c>
      <c r="I130" s="35" t="s">
        <v>258</v>
      </c>
      <c r="J130" s="7" t="str">
        <f>IFERROR(INDEX(MD_Destination[Nước],MATCH(KH_26_OPT4_KTQT_v4[[#This Row],[Địa điểm đến]],MD_Destination[Địa điểm đến],0)),"")</f>
        <v>Việt Nam</v>
      </c>
      <c r="K130" s="7" t="str">
        <f>IFERROR(INDEX(MD_Destination[Khu vực],MATCH(KH_26_OPT4_KTQT_v4[[#This Row],[Địa điểm đến]],MD_Destination[Địa điểm đến],0)),"")</f>
        <v>Châu Á</v>
      </c>
      <c r="L130" s="35" t="s">
        <v>260</v>
      </c>
      <c r="M130" s="7" t="str">
        <f>IFERROR(INDEX(MD_SKU[Mã SKU],MATCH(KH_26_OPT4_KTQT_v4[[#This Row],[Tên sản phẩm]],MD_SKU[Tên SKU-rút gọn],0)),"")</f>
        <v>110000408</v>
      </c>
      <c r="N130" s="35" t="s">
        <v>471</v>
      </c>
      <c r="O130" s="7" t="str">
        <f>IFERROR(INDEX(MD_SKU[Ngành hàng],MATCH(KH_26_OPT4_KTQT_v4[[#This Row],[Tên sản phẩm]],MD_SKU[Tên SKU-rút gọn],0)),"")</f>
        <v>rHDPE ép</v>
      </c>
      <c r="P130" s="7" t="str">
        <f>IFERROR(INDEX(MD_SKU[Nhóm ngành],MATCH(KH_26_OPT4_KTQT_v4[[#This Row],[Tên sản phẩm]],MD_SKU[Tên SKU-rút gọn],0)),"")</f>
        <v>Vảy HD ép</v>
      </c>
      <c r="Q130" s="7" t="str">
        <f>IFERROR(
   IF(INDEX(MD_SKU[IV/IM],MATCH(KH_26_OPT4_KTQT_v4[[#This Row],[Tên sản phẩm]],MD_SKU[Tên SKU-rút gọn],0))=0,
      "",
      INDEX(MD_SKU[IV/IM],MATCH(KH_26_OPT4_KTQT_v4[[#This Row],[Tên sản phẩm]],MD_SKU[Tên SKU-rút gọn],0))
   ),
"")</f>
        <v/>
      </c>
      <c r="R130" s="44">
        <f>IFERROR(INDEX(MD_SKU[Application],MATCH(KH_26_OPT4_KTQT_v4[[#This Row],[Tên sản phẩm]],MD_SKU[Tên SKU-rút gọn],0)),"")</f>
        <v>0</v>
      </c>
      <c r="S130" s="7" t="str">
        <f>IFERROR(INDEX(MD_SKU[Phân loại],MATCH(KH_26_OPT4_KTQT_v4[[#This Row],[Tên sản phẩm]],MD_SKU[Tên SKU-rút gọn],0)),"")</f>
        <v>Cũ</v>
      </c>
      <c r="T130" s="7" t="s">
        <v>542</v>
      </c>
      <c r="U130" s="7"/>
      <c r="V130" s="70">
        <v>0.8</v>
      </c>
      <c r="W130" s="33"/>
      <c r="X130" s="33"/>
      <c r="Y130" s="33"/>
      <c r="Z130" s="33"/>
      <c r="AA130" s="33"/>
      <c r="AB130" s="33"/>
      <c r="AC130" s="33"/>
      <c r="AD130" s="33"/>
      <c r="AE130" s="33"/>
      <c r="AF130" s="33"/>
      <c r="AG130" s="33"/>
      <c r="AH130" s="33"/>
      <c r="AI130" s="47">
        <f ca="1">SUM(KH_26_OPT4_KTQT_v4[[#This Row],[SL-01]:[SL-12]])</f>
        <v>0</v>
      </c>
      <c r="AJ130" s="47">
        <f ca="1">SUMIFS(DB_25[SL-DB25],DB_25[Mã khách],KH_26_OPT4_KTQT_v4[[#This Row],[Mã khách]],DB_25[Mã sản phẩm],KH_26_OPT4_KTQT_v4[[#This Row],[Mã sản phẩm]])</f>
        <v>2.5000000000000001E-2</v>
      </c>
      <c r="AK130" s="20">
        <f ca="1">KH_26_OPT4_KTQT_v4[[#This Row],[SL-KH26]]-KH_26_OPT4_KTQT_v4[[#This Row],[SL-DB25]]</f>
        <v>-2.5000000000000001E-2</v>
      </c>
      <c r="AL130" s="21">
        <f ca="1">IFERROR(KH_26_OPT4_KTQT_v4[[#This Row],[SL-+/-]]/KH_26_OPT4_KTQT_v4[[#This Row],[SL-DB25]],0)</f>
        <v>-1</v>
      </c>
      <c r="AM130" s="51">
        <v>560</v>
      </c>
      <c r="AN130" s="51">
        <v>560</v>
      </c>
      <c r="AO130" s="51">
        <v>560</v>
      </c>
      <c r="AP130" s="51">
        <v>560</v>
      </c>
      <c r="AQ130" s="51">
        <v>560</v>
      </c>
      <c r="AR130" s="51">
        <v>560</v>
      </c>
      <c r="AS130" s="51">
        <v>560</v>
      </c>
      <c r="AT130" s="51">
        <v>560</v>
      </c>
      <c r="AU130" s="51">
        <v>560</v>
      </c>
      <c r="AV130" s="51">
        <v>560</v>
      </c>
      <c r="AW130" s="51">
        <v>560</v>
      </c>
      <c r="AX130" s="51">
        <v>560</v>
      </c>
      <c r="AY130" s="23">
        <v>560</v>
      </c>
      <c r="AZ130" s="7"/>
      <c r="BA130" s="24">
        <f>KH_26_OPT4_KTQT_v4[[#This Row],[GB-DB25]]-KH_26_OPT4_KTQT_v4[[#This Row],[GB-KH25]]</f>
        <v>560</v>
      </c>
      <c r="BB130" s="21">
        <f>IFERROR(KH_26_OPT4_KTQT_v4[[#This Row],[GB-+/-]]/KH_26_OPT4_KTQT_v4[[#This Row],[GB-KH25]],0)</f>
        <v>0</v>
      </c>
      <c r="BC130" s="21"/>
      <c r="BD130" s="47">
        <f>KH_26_OPT4_KTQT_v4[[#This Row],[SL-01]]*KH_26_OPT4_KTQT_v4[[#This Row],[GB-01]]*EXR</f>
        <v>0</v>
      </c>
      <c r="BE130" s="47">
        <f>KH_26_OPT4_KTQT_v4[[#This Row],[SL-02]]*KH_26_OPT4_KTQT_v4[[#This Row],[GB-02]]*EXR</f>
        <v>0</v>
      </c>
      <c r="BF130" s="47">
        <f>KH_26_OPT4_KTQT_v4[[#This Row],[SL-03]]*KH_26_OPT4_KTQT_v4[[#This Row],[GB-03]]*EXR</f>
        <v>0</v>
      </c>
      <c r="BG130" s="47">
        <f>KH_26_OPT4_KTQT_v4[[#This Row],[SL-04]]*KH_26_OPT4_KTQT_v4[[#This Row],[GB-04]]*EXR</f>
        <v>0</v>
      </c>
      <c r="BH130" s="47">
        <f>KH_26_OPT4_KTQT_v4[[#This Row],[SL-05]]*KH_26_OPT4_KTQT_v4[[#This Row],[GB-05]]*EXR</f>
        <v>0</v>
      </c>
      <c r="BI130" s="47">
        <f>KH_26_OPT4_KTQT_v4[[#This Row],[SL-06]]*KH_26_OPT4_KTQT_v4[[#This Row],[GB-06]]*EXR</f>
        <v>0</v>
      </c>
      <c r="BJ130" s="47">
        <f>KH_26_OPT4_KTQT_v4[[#This Row],[SL-07]]*KH_26_OPT4_KTQT_v4[[#This Row],[GB-07]]*EXR</f>
        <v>0</v>
      </c>
      <c r="BK130" s="47">
        <f>KH_26_OPT4_KTQT_v4[[#This Row],[SL-08]]*KH_26_OPT4_KTQT_v4[[#This Row],[GB-08]]*EXR</f>
        <v>0</v>
      </c>
      <c r="BL130" s="47">
        <f>KH_26_OPT4_KTQT_v4[[#This Row],[SL-09]]*KH_26_OPT4_KTQT_v4[[#This Row],[GB-09]]*EXR</f>
        <v>0</v>
      </c>
      <c r="BM130" s="47">
        <f>KH_26_OPT4_KTQT_v4[[#This Row],[SL-10]]*KH_26_OPT4_KTQT_v4[[#This Row],[GB-10]]*EXR</f>
        <v>0</v>
      </c>
      <c r="BN130" s="47">
        <f>KH_26_OPT4_KTQT_v4[[#This Row],[SL-11]]*KH_26_OPT4_KTQT_v4[[#This Row],[GB-11]]*EXR</f>
        <v>0</v>
      </c>
      <c r="BO130" s="47">
        <f>KH_26_OPT4_KTQT_v4[[#This Row],[SL-12]]*KH_26_OPT4_KTQT_v4[[#This Row],[GB-12]]*EXR</f>
        <v>0</v>
      </c>
      <c r="BP130" s="47">
        <f ca="1">SUM(KH_26_OPT4_KTQT_v4[[#This Row],[DT-EXW-01]:[DT-EXW-12]])</f>
        <v>0</v>
      </c>
      <c r="BQ130" s="47">
        <f ca="1">SUMIFS(DB_25[DT-DB25],DB_25[Mã khách],KH_26_OPT4_KTQT_v4[[#This Row],[Mã khách]],DB_25[Mã sản phẩm],KH_26_OPT4_KTQT_v4[[#This Row],[Mã sản phẩm]])</f>
        <v>375000</v>
      </c>
      <c r="BR130" s="47">
        <f ca="1">KH_26_OPT4_KTQT_v4[[#This Row],[DT-EXW-KH26]]-KH_26_OPT4_KTQT_v4[[#This Row],[DT-EXW-DB25]]</f>
        <v>-375000</v>
      </c>
      <c r="BS130" s="21">
        <f ca="1">IFERROR(KH_26_OPT4_KTQT_v4[[#This Row],[DT-EXW-+/-]]/KH_26_OPT4_KTQT_v4[[#This Row],[DT-EXW-DB25]],0)</f>
        <v>-1</v>
      </c>
      <c r="BT130" s="139"/>
      <c r="BU130" s="57"/>
      <c r="BV130" s="51"/>
      <c r="BW130" s="47">
        <f>IF(KH_26_OPT4_KTQT_v4[[#This Row],[CPHH-%-SL]]="Dthu",KH_26_OPT4_KTQT_v4[[#This Row],[%HH]]*KH_26_OPT4_KTQT_v4[[#This Row],[DT-EXW-01]],KH_26_OPT4_KTQT_v4[[#This Row],[HH-SL]]*KH_26_OPT4_KTQT_v4[[#This Row],[SL-01]])</f>
        <v>0</v>
      </c>
      <c r="BX130" s="47">
        <f>IF(KH_26_OPT4_KTQT_v4[[#This Row],[CPHH-%-SL]]="Dthu",KH_26_OPT4_KTQT_v4[[#This Row],[%HH]]*KH_26_OPT4_KTQT_v4[[#This Row],[DT-EXW-02]],KH_26_OPT4_KTQT_v4[[#This Row],[HH-SL]]*KH_26_OPT4_KTQT_v4[[#This Row],[SL-02]])</f>
        <v>0</v>
      </c>
      <c r="BY130" s="47">
        <f>IF(KH_26_OPT4_KTQT_v4[[#This Row],[CPHH-%-SL]]="Dthu",KH_26_OPT4_KTQT_v4[[#This Row],[%HH]]*KH_26_OPT4_KTQT_v4[[#This Row],[DT-EXW-03]],KH_26_OPT4_KTQT_v4[[#This Row],[HH-SL]]*KH_26_OPT4_KTQT_v4[[#This Row],[SL-03]])</f>
        <v>0</v>
      </c>
      <c r="BZ130" s="47">
        <f>IF(KH_26_OPT4_KTQT_v4[[#This Row],[CPHH-%-SL]]="Dthu",KH_26_OPT4_KTQT_v4[[#This Row],[%HH]]*KH_26_OPT4_KTQT_v4[[#This Row],[DT-EXW-04]],KH_26_OPT4_KTQT_v4[[#This Row],[HH-SL]]*KH_26_OPT4_KTQT_v4[[#This Row],[SL-04]])</f>
        <v>0</v>
      </c>
      <c r="CA130" s="47">
        <f>IF(KH_26_OPT4_KTQT_v4[[#This Row],[CPHH-%-SL]]="Dthu",KH_26_OPT4_KTQT_v4[[#This Row],[%HH]]*KH_26_OPT4_KTQT_v4[[#This Row],[DT-EXW-05]],KH_26_OPT4_KTQT_v4[[#This Row],[HH-SL]]*KH_26_OPT4_KTQT_v4[[#This Row],[SL-05]])</f>
        <v>0</v>
      </c>
      <c r="CB130" s="47">
        <f>IF(KH_26_OPT4_KTQT_v4[[#This Row],[CPHH-%-SL]]="Dthu",KH_26_OPT4_KTQT_v4[[#This Row],[%HH]]*KH_26_OPT4_KTQT_v4[[#This Row],[DT-EXW-06]],KH_26_OPT4_KTQT_v4[[#This Row],[HH-SL]]*KH_26_OPT4_KTQT_v4[[#This Row],[SL-06]])</f>
        <v>0</v>
      </c>
      <c r="CC130" s="47">
        <f>IF(KH_26_OPT4_KTQT_v4[[#This Row],[CPHH-%-SL]]="Dthu",KH_26_OPT4_KTQT_v4[[#This Row],[%HH]]*KH_26_OPT4_KTQT_v4[[#This Row],[DT-EXW-07]],KH_26_OPT4_KTQT_v4[[#This Row],[HH-SL]]*KH_26_OPT4_KTQT_v4[[#This Row],[SL-07]])</f>
        <v>0</v>
      </c>
      <c r="CD130" s="47">
        <f>IF(KH_26_OPT4_KTQT_v4[[#This Row],[CPHH-%-SL]]="Dthu",KH_26_OPT4_KTQT_v4[[#This Row],[%HH]]*KH_26_OPT4_KTQT_v4[[#This Row],[DT-EXW-08]],KH_26_OPT4_KTQT_v4[[#This Row],[HH-SL]]*KH_26_OPT4_KTQT_v4[[#This Row],[SL-08]])</f>
        <v>0</v>
      </c>
      <c r="CE130" s="47">
        <f>IF(KH_26_OPT4_KTQT_v4[[#This Row],[CPHH-%-SL]]="Dthu",KH_26_OPT4_KTQT_v4[[#This Row],[%HH]]*KH_26_OPT4_KTQT_v4[[#This Row],[DT-EXW-09]],KH_26_OPT4_KTQT_v4[[#This Row],[HH-SL]]*KH_26_OPT4_KTQT_v4[[#This Row],[SL-09]])</f>
        <v>0</v>
      </c>
      <c r="CF130" s="47">
        <f>IF(KH_26_OPT4_KTQT_v4[[#This Row],[CPHH-%-SL]]="Dthu",KH_26_OPT4_KTQT_v4[[#This Row],[%HH]]*KH_26_OPT4_KTQT_v4[[#This Row],[DT-EXW-10]],KH_26_OPT4_KTQT_v4[[#This Row],[HH-SL]]*KH_26_OPT4_KTQT_v4[[#This Row],[SL-10]])</f>
        <v>0</v>
      </c>
      <c r="CG130" s="47">
        <f>IF(KH_26_OPT4_KTQT_v4[[#This Row],[CPHH-%-SL]]="Dthu",KH_26_OPT4_KTQT_v4[[#This Row],[%HH]]*KH_26_OPT4_KTQT_v4[[#This Row],[DT-EXW-11]],KH_26_OPT4_KTQT_v4[[#This Row],[HH-SL]]*KH_26_OPT4_KTQT_v4[[#This Row],[SL-11]])</f>
        <v>0</v>
      </c>
      <c r="CH130" s="47">
        <f>IF(KH_26_OPT4_KTQT_v4[[#This Row],[CPHH-%-SL]]="Dthu",KH_26_OPT4_KTQT_v4[[#This Row],[%HH]]*KH_26_OPT4_KTQT_v4[[#This Row],[DT-EXW-12]],KH_26_OPT4_KTQT_v4[[#This Row],[HH-SL]]*KH_26_OPT4_KTQT_v4[[#This Row],[SL-12]])</f>
        <v>0</v>
      </c>
      <c r="CI130" s="47">
        <f ca="1">SUM(KH_26_OPT4_KTQT_v4[[#This Row],[CPHH-01]:[CPHH-12]])</f>
        <v>0</v>
      </c>
      <c r="CJ130" s="47" cm="1">
        <f t="array" ref="CJ130">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30" s="19">
        <f ca="1">SUM(KH_26_OPT4_KTQT_v4[[#This Row],[ĐGVCNĐ-KXK]:[ĐGVCCT-KXK]])</f>
        <v>0</v>
      </c>
      <c r="CL130" s="47" cm="1">
        <f t="array" ref="CL130">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130" s="47" cm="1">
        <f t="array" ref="CM130">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30" s="47">
        <f ca="1">(KH_26_OPT4_KTQT_v4[[#This Row],[ĐGVC-KNĐ]]+KH_26_OPT4_KTQT_v4[[#This Row],[ĐGVC-KXK]])*KH_26_OPT4_KTQT_v4[[#This Row],[SL-01]]</f>
        <v>0</v>
      </c>
      <c r="CO130" s="47">
        <f ca="1">(KH_26_OPT4_KTQT_v4[[#This Row],[ĐGVC-KNĐ]]+KH_26_OPT4_KTQT_v4[[#This Row],[ĐGVC-KXK]])*KH_26_OPT4_KTQT_v4[[#This Row],[SL-02]]</f>
        <v>0</v>
      </c>
      <c r="CP130" s="47">
        <f ca="1">(KH_26_OPT4_KTQT_v4[[#This Row],[ĐGVC-KNĐ]]+KH_26_OPT4_KTQT_v4[[#This Row],[ĐGVC-KXK]])*KH_26_OPT4_KTQT_v4[[#This Row],[SL-03]]</f>
        <v>0</v>
      </c>
      <c r="CQ130" s="47">
        <f ca="1">(KH_26_OPT4_KTQT_v4[[#This Row],[ĐGVC-KNĐ]]+KH_26_OPT4_KTQT_v4[[#This Row],[ĐGVC-KXK]])*KH_26_OPT4_KTQT_v4[[#This Row],[SL-04]]</f>
        <v>0</v>
      </c>
      <c r="CR130" s="47">
        <f ca="1">(KH_26_OPT4_KTQT_v4[[#This Row],[ĐGVC-KNĐ]]+KH_26_OPT4_KTQT_v4[[#This Row],[ĐGVC-KXK]])*KH_26_OPT4_KTQT_v4[[#This Row],[SL-05]]</f>
        <v>0</v>
      </c>
      <c r="CS130" s="47">
        <f ca="1">(KH_26_OPT4_KTQT_v4[[#This Row],[ĐGVC-KNĐ]]+KH_26_OPT4_KTQT_v4[[#This Row],[ĐGVC-KXK]])*KH_26_OPT4_KTQT_v4[[#This Row],[SL-06]]</f>
        <v>0</v>
      </c>
      <c r="CT130" s="47">
        <f ca="1">(KH_26_OPT4_KTQT_v4[[#This Row],[ĐGVC-KNĐ]]+KH_26_OPT4_KTQT_v4[[#This Row],[ĐGVC-KXK]])*KH_26_OPT4_KTQT_v4[[#This Row],[SL-07]]</f>
        <v>0</v>
      </c>
      <c r="CU130" s="47">
        <f ca="1">(KH_26_OPT4_KTQT_v4[[#This Row],[ĐGVC-KNĐ]]+KH_26_OPT4_KTQT_v4[[#This Row],[ĐGVC-KXK]])*KH_26_OPT4_KTQT_v4[[#This Row],[SL-08]]</f>
        <v>0</v>
      </c>
      <c r="CV130" s="47">
        <f ca="1">(KH_26_OPT4_KTQT_v4[[#This Row],[ĐGVC-KNĐ]]+KH_26_OPT4_KTQT_v4[[#This Row],[ĐGVC-KXK]])*KH_26_OPT4_KTQT_v4[[#This Row],[SL-09]]</f>
        <v>0</v>
      </c>
      <c r="CW130" s="47">
        <f ca="1">(KH_26_OPT4_KTQT_v4[[#This Row],[ĐGVC-KNĐ]]+KH_26_OPT4_KTQT_v4[[#This Row],[ĐGVC-KXK]])*KH_26_OPT4_KTQT_v4[[#This Row],[SL-10]]</f>
        <v>0</v>
      </c>
      <c r="CX130" s="47">
        <f ca="1">(KH_26_OPT4_KTQT_v4[[#This Row],[ĐGVC-KNĐ]]+KH_26_OPT4_KTQT_v4[[#This Row],[ĐGVC-KXK]])*KH_26_OPT4_KTQT_v4[[#This Row],[SL-11]]</f>
        <v>0</v>
      </c>
      <c r="CY130" s="47">
        <f ca="1">(KH_26_OPT4_KTQT_v4[[#This Row],[ĐGVC-KNĐ]]+KH_26_OPT4_KTQT_v4[[#This Row],[ĐGVC-KXK]])*KH_26_OPT4_KTQT_v4[[#This Row],[SL-12]]</f>
        <v>0</v>
      </c>
      <c r="CZ130" s="47">
        <f ca="1">SUM(KH_26_OPT4_KTQT_v4[[#This Row],[CPVC-01]:[CPVC-12]])</f>
        <v>0</v>
      </c>
      <c r="DA130" s="124">
        <f ca="1">KH_26_OPT4_KTQT_v4[[#This Row],[DT-EXW-01]]+KH_26_OPT4_KTQT_v4[[#This Row],[CPVC-01]]+KH_26_OPT4_KTQT_v4[[#This Row],[CPHH-01]]</f>
        <v>0</v>
      </c>
      <c r="DB130" s="47">
        <f ca="1">KH_26_OPT4_KTQT_v4[[#This Row],[DT-EXW-02]]+KH_26_OPT4_KTQT_v4[[#This Row],[CPVC-02]]+KH_26_OPT4_KTQT_v4[[#This Row],[CPHH-02]]</f>
        <v>0</v>
      </c>
      <c r="DC130" s="47">
        <f ca="1">KH_26_OPT4_KTQT_v4[[#This Row],[DT-EXW-03]]+KH_26_OPT4_KTQT_v4[[#This Row],[CPVC-03]]+KH_26_OPT4_KTQT_v4[[#This Row],[CPHH-03]]</f>
        <v>0</v>
      </c>
      <c r="DD130" s="47">
        <f ca="1">KH_26_OPT4_KTQT_v4[[#This Row],[DT-EXW-04]]+KH_26_OPT4_KTQT_v4[[#This Row],[CPVC-04]]+KH_26_OPT4_KTQT_v4[[#This Row],[CPHH-04]]</f>
        <v>0</v>
      </c>
      <c r="DE130" s="47">
        <f ca="1">KH_26_OPT4_KTQT_v4[[#This Row],[DT-EXW-05]]+KH_26_OPT4_KTQT_v4[[#This Row],[CPVC-05]]+KH_26_OPT4_KTQT_v4[[#This Row],[CPHH-05]]</f>
        <v>0</v>
      </c>
      <c r="DF130" s="47">
        <f ca="1">KH_26_OPT4_KTQT_v4[[#This Row],[DT-EXW-06]]+KH_26_OPT4_KTQT_v4[[#This Row],[CPVC-06]]+KH_26_OPT4_KTQT_v4[[#This Row],[CPHH-06]]</f>
        <v>0</v>
      </c>
      <c r="DG130" s="47">
        <f ca="1">KH_26_OPT4_KTQT_v4[[#This Row],[DT-EXW-07]]+KH_26_OPT4_KTQT_v4[[#This Row],[CPVC-07]]+KH_26_OPT4_KTQT_v4[[#This Row],[CPHH-07]]</f>
        <v>0</v>
      </c>
      <c r="DH130" s="47">
        <f ca="1">KH_26_OPT4_KTQT_v4[[#This Row],[DT-EXW-08]]+KH_26_OPT4_KTQT_v4[[#This Row],[CPVC-08]]+KH_26_OPT4_KTQT_v4[[#This Row],[CPHH-08]]</f>
        <v>0</v>
      </c>
      <c r="DI130" s="47">
        <f ca="1">KH_26_OPT4_KTQT_v4[[#This Row],[DT-EXW-09]]+KH_26_OPT4_KTQT_v4[[#This Row],[CPVC-09]]+KH_26_OPT4_KTQT_v4[[#This Row],[CPHH-09]]</f>
        <v>0</v>
      </c>
      <c r="DJ130" s="47">
        <f ca="1">KH_26_OPT4_KTQT_v4[[#This Row],[DT-EXW-10]]+KH_26_OPT4_KTQT_v4[[#This Row],[CPVC-10]]+KH_26_OPT4_KTQT_v4[[#This Row],[CPHH-10]]</f>
        <v>0</v>
      </c>
      <c r="DK130" s="47">
        <f ca="1">KH_26_OPT4_KTQT_v4[[#This Row],[DT-EXW-11]]+KH_26_OPT4_KTQT_v4[[#This Row],[CPVC-11]]+KH_26_OPT4_KTQT_v4[[#This Row],[CPHH-11]]</f>
        <v>0</v>
      </c>
      <c r="DL130" s="47">
        <f ca="1">KH_26_OPT4_KTQT_v4[[#This Row],[DT-EXW-12]]+KH_26_OPT4_KTQT_v4[[#This Row],[CPVC-12]]+KH_26_OPT4_KTQT_v4[[#This Row],[CPHH-12]]</f>
        <v>0</v>
      </c>
      <c r="DM130" s="47">
        <f ca="1">SUM(KH_26_OPT4_KTQT_v4[[#This Row],[DT-01]:[DT-12]])</f>
        <v>0</v>
      </c>
      <c r="DN130" s="7"/>
      <c r="DO130" s="7"/>
      <c r="DP130" s="125"/>
      <c r="DQ130" s="136"/>
      <c r="DR130" s="132">
        <f>IFERROR(KH_26_OPT4_KTQT_v4[[#This Row],[DT-EXW-01]]*KH_26_OPT4_KTQT_v4[[#This Row],[%CPDP]],0)</f>
        <v>0</v>
      </c>
      <c r="DS130" s="132">
        <f>IFERROR(KH_26_OPT4_KTQT_v4[[#This Row],[DT-EXW-02]]*KH_26_OPT4_KTQT_v4[[#This Row],[%CPDP]],0)</f>
        <v>0</v>
      </c>
      <c r="DT130" s="132">
        <f>IFERROR(KH_26_OPT4_KTQT_v4[[#This Row],[DT-EXW-03]]*KH_26_OPT4_KTQT_v4[[#This Row],[%CPDP]],0)</f>
        <v>0</v>
      </c>
      <c r="DU130" s="132">
        <f>IFERROR(KH_26_OPT4_KTQT_v4[[#This Row],[DT-EXW-04]]*KH_26_OPT4_KTQT_v4[[#This Row],[%CPDP]],0)</f>
        <v>0</v>
      </c>
      <c r="DV130" s="132">
        <f>IFERROR(KH_26_OPT4_KTQT_v4[[#This Row],[DT-EXW-05]]*KH_26_OPT4_KTQT_v4[[#This Row],[%CPDP]],0)</f>
        <v>0</v>
      </c>
      <c r="DW130" s="132">
        <f>IFERROR(KH_26_OPT4_KTQT_v4[[#This Row],[DT-EXW-06]]*KH_26_OPT4_KTQT_v4[[#This Row],[%CPDP]],0)</f>
        <v>0</v>
      </c>
      <c r="DX130" s="132">
        <f>IFERROR(KH_26_OPT4_KTQT_v4[[#This Row],[DT-EXW-07]]*KH_26_OPT4_KTQT_v4[[#This Row],[%CPDP]],0)</f>
        <v>0</v>
      </c>
      <c r="DY130" s="132">
        <f>IFERROR(KH_26_OPT4_KTQT_v4[[#This Row],[DT-EXW-08]]*KH_26_OPT4_KTQT_v4[[#This Row],[%CPDP]],0)</f>
        <v>0</v>
      </c>
      <c r="DZ130" s="132">
        <f>IFERROR(KH_26_OPT4_KTQT_v4[[#This Row],[DT-EXW-09]]*KH_26_OPT4_KTQT_v4[[#This Row],[%CPDP]],0)</f>
        <v>0</v>
      </c>
      <c r="EA130" s="132">
        <f>IFERROR(KH_26_OPT4_KTQT_v4[[#This Row],[DT-EXW-10]]*KH_26_OPT4_KTQT_v4[[#This Row],[%CPDP]],0)</f>
        <v>0</v>
      </c>
      <c r="EB130" s="132">
        <f>IFERROR(KH_26_OPT4_KTQT_v4[[#This Row],[DT-EXW-11]]*KH_26_OPT4_KTQT_v4[[#This Row],[%CPDP]],0)</f>
        <v>0</v>
      </c>
      <c r="EC130" s="132">
        <f>IFERROR(KH_26_OPT4_KTQT_v4[[#This Row],[DT-EXW-12]]*KH_26_OPT4_KTQT_v4[[#This Row],[%CPDP]],0)</f>
        <v>0</v>
      </c>
      <c r="ED130" s="131">
        <f ca="1">SUM(KH_26_OPT4_KTQT_v4[[#This Row],[CPDP-01]:[CPDP-12]])</f>
        <v>0</v>
      </c>
    </row>
    <row r="131" spans="1:134" ht="14.65" hidden="1" customHeight="1" x14ac:dyDescent="0.35">
      <c r="A131" s="18">
        <v>126</v>
      </c>
      <c r="B131" s="71" t="s">
        <v>115</v>
      </c>
      <c r="C131" s="18" t="str">
        <f>IFERROR(_xlfn.XLOOKUP(KH_26_OPT4_KTQT_v4[[#This Row],[Salesman]],MD_Salesman[Salesman],MD_Salesman[SalesManager]),"")</f>
        <v>Quốc Anh</v>
      </c>
      <c r="D131" s="72" t="str">
        <f>IFERROR(INDEX(MD_Customer[Mã khách],MATCH(KH_26_OPT4_KTQT_v4[[#This Row],[Tên khách]],MD_Customer[Tên khách-rút gọn],0)),"")</f>
        <v>105214</v>
      </c>
      <c r="E131" s="7" t="str">
        <f>IFERROR(INDEX(MD_Customer[Parent Account],MATCH(KH_26_OPT4_KTQT_v4[[#This Row],[Tên khách]],MD_Customer[Tên khách-rút gọn],0)),"")</f>
        <v>Người mua hàng không lấy hóa đơn</v>
      </c>
      <c r="F131" s="35" t="s">
        <v>156</v>
      </c>
      <c r="G131" s="7" t="str">
        <f>IFERROR(INDEX(MD_Customer[Phân loại],MATCH(KH_26_OPT4_KTQT_v4[[#This Row],[Tên khách]],MD_Customer[Tên khách-rút gọn],0)),"")</f>
        <v>Hiện hữu</v>
      </c>
      <c r="H131" s="7" t="str">
        <f>IFERROR(INDEX(MD_Customer[Kênh bán hàng],MATCH(KH_26_OPT4_KTQT_v4[[#This Row],[Tên khách]],MD_Customer[Tên khách-rút gọn],0)),"")</f>
        <v>Nội địa</v>
      </c>
      <c r="I131" s="35" t="s">
        <v>258</v>
      </c>
      <c r="J131" s="7" t="str">
        <f>IFERROR(INDEX(MD_Destination[Nước],MATCH(KH_26_OPT4_KTQT_v4[[#This Row],[Địa điểm đến]],MD_Destination[Địa điểm đến],0)),"")</f>
        <v>Việt Nam</v>
      </c>
      <c r="K131" s="7" t="str">
        <f>IFERROR(INDEX(MD_Destination[Khu vực],MATCH(KH_26_OPT4_KTQT_v4[[#This Row],[Địa điểm đến]],MD_Destination[Địa điểm đến],0)),"")</f>
        <v>Châu Á</v>
      </c>
      <c r="L131" s="35" t="s">
        <v>260</v>
      </c>
      <c r="M131" s="7" t="str">
        <f>IFERROR(INDEX(MD_SKU[Mã SKU],MATCH(KH_26_OPT4_KTQT_v4[[#This Row],[Tên sản phẩm]],MD_SKU[Tên SKU-rút gọn],0)),"")</f>
        <v>110000409</v>
      </c>
      <c r="N131" s="35" t="s">
        <v>473</v>
      </c>
      <c r="O131" s="7" t="str">
        <f>IFERROR(INDEX(MD_SKU[Ngành hàng],MATCH(KH_26_OPT4_KTQT_v4[[#This Row],[Tên sản phẩm]],MD_SKU[Tên SKU-rút gọn],0)),"")</f>
        <v>rHDPE ép</v>
      </c>
      <c r="P131" s="7" t="str">
        <f>IFERROR(INDEX(MD_SKU[Nhóm ngành],MATCH(KH_26_OPT4_KTQT_v4[[#This Row],[Tên sản phẩm]],MD_SKU[Tên SKU-rút gọn],0)),"")</f>
        <v>Vảy HD ép</v>
      </c>
      <c r="Q131" s="7" t="str">
        <f>IFERROR(
   IF(INDEX(MD_SKU[IV/IM],MATCH(KH_26_OPT4_KTQT_v4[[#This Row],[Tên sản phẩm]],MD_SKU[Tên SKU-rút gọn],0))=0,
      "",
      INDEX(MD_SKU[IV/IM],MATCH(KH_26_OPT4_KTQT_v4[[#This Row],[Tên sản phẩm]],MD_SKU[Tên SKU-rút gọn],0))
   ),
"")</f>
        <v/>
      </c>
      <c r="R131" s="44">
        <f>IFERROR(INDEX(MD_SKU[Application],MATCH(KH_26_OPT4_KTQT_v4[[#This Row],[Tên sản phẩm]],MD_SKU[Tên SKU-rút gọn],0)),"")</f>
        <v>0</v>
      </c>
      <c r="S131" s="7" t="str">
        <f>IFERROR(INDEX(MD_SKU[Phân loại],MATCH(KH_26_OPT4_KTQT_v4[[#This Row],[Tên sản phẩm]],MD_SKU[Tên SKU-rút gọn],0)),"")</f>
        <v>Cũ</v>
      </c>
      <c r="T131" s="7" t="s">
        <v>542</v>
      </c>
      <c r="U131" s="7"/>
      <c r="V131" s="70">
        <v>0.8</v>
      </c>
      <c r="W131" s="93"/>
      <c r="X131" s="93"/>
      <c r="Y131" s="93"/>
      <c r="Z131" s="93"/>
      <c r="AA131" s="93"/>
      <c r="AB131" s="93"/>
      <c r="AC131" s="93"/>
      <c r="AD131" s="93"/>
      <c r="AE131" s="93"/>
      <c r="AF131" s="93"/>
      <c r="AG131" s="93"/>
      <c r="AH131" s="93"/>
      <c r="AI131" s="47">
        <f ca="1">SUM(KH_26_OPT4_KTQT_v4[[#This Row],[SL-01]:[SL-12]])</f>
        <v>0</v>
      </c>
      <c r="AJ131" s="47">
        <f ca="1">SUMIFS(DB_25[SL-DB25],DB_25[Mã khách],KH_26_OPT4_KTQT_v4[[#This Row],[Mã khách]],DB_25[Mã sản phẩm],KH_26_OPT4_KTQT_v4[[#This Row],[Mã sản phẩm]])</f>
        <v>2.5000000000000001E-2</v>
      </c>
      <c r="AK131" s="20">
        <f ca="1">KH_26_OPT4_KTQT_v4[[#This Row],[SL-KH26]]-KH_26_OPT4_KTQT_v4[[#This Row],[SL-DB25]]</f>
        <v>-2.5000000000000001E-2</v>
      </c>
      <c r="AL131" s="21">
        <f ca="1">IFERROR(KH_26_OPT4_KTQT_v4[[#This Row],[SL-+/-]]/KH_26_OPT4_KTQT_v4[[#This Row],[SL-DB25]],0)</f>
        <v>-1</v>
      </c>
      <c r="AM131" s="51">
        <v>560</v>
      </c>
      <c r="AN131" s="51">
        <v>560</v>
      </c>
      <c r="AO131" s="51">
        <v>560</v>
      </c>
      <c r="AP131" s="51">
        <v>560</v>
      </c>
      <c r="AQ131" s="51">
        <v>560</v>
      </c>
      <c r="AR131" s="51">
        <v>560</v>
      </c>
      <c r="AS131" s="51">
        <v>560</v>
      </c>
      <c r="AT131" s="51">
        <v>560</v>
      </c>
      <c r="AU131" s="51">
        <v>560</v>
      </c>
      <c r="AV131" s="51">
        <v>560</v>
      </c>
      <c r="AW131" s="51">
        <v>560</v>
      </c>
      <c r="AX131" s="51">
        <v>560</v>
      </c>
      <c r="AY131" s="23">
        <v>560</v>
      </c>
      <c r="AZ131" s="7"/>
      <c r="BA131" s="24">
        <f>KH_26_OPT4_KTQT_v4[[#This Row],[GB-DB25]]-KH_26_OPT4_KTQT_v4[[#This Row],[GB-KH25]]</f>
        <v>560</v>
      </c>
      <c r="BB131" s="21">
        <f>IFERROR(KH_26_OPT4_KTQT_v4[[#This Row],[GB-+/-]]/KH_26_OPT4_KTQT_v4[[#This Row],[GB-KH25]],0)</f>
        <v>0</v>
      </c>
      <c r="BC131" s="21"/>
      <c r="BD131" s="47">
        <f>KH_26_OPT4_KTQT_v4[[#This Row],[SL-01]]*KH_26_OPT4_KTQT_v4[[#This Row],[GB-01]]*EXR</f>
        <v>0</v>
      </c>
      <c r="BE131" s="47">
        <f>KH_26_OPT4_KTQT_v4[[#This Row],[SL-02]]*KH_26_OPT4_KTQT_v4[[#This Row],[GB-02]]*EXR</f>
        <v>0</v>
      </c>
      <c r="BF131" s="47">
        <f>KH_26_OPT4_KTQT_v4[[#This Row],[SL-03]]*KH_26_OPT4_KTQT_v4[[#This Row],[GB-03]]*EXR</f>
        <v>0</v>
      </c>
      <c r="BG131" s="47">
        <f>KH_26_OPT4_KTQT_v4[[#This Row],[SL-04]]*KH_26_OPT4_KTQT_v4[[#This Row],[GB-04]]*EXR</f>
        <v>0</v>
      </c>
      <c r="BH131" s="47">
        <f>KH_26_OPT4_KTQT_v4[[#This Row],[SL-05]]*KH_26_OPT4_KTQT_v4[[#This Row],[GB-05]]*EXR</f>
        <v>0</v>
      </c>
      <c r="BI131" s="47">
        <f>KH_26_OPT4_KTQT_v4[[#This Row],[SL-06]]*KH_26_OPT4_KTQT_v4[[#This Row],[GB-06]]*EXR</f>
        <v>0</v>
      </c>
      <c r="BJ131" s="47">
        <f>KH_26_OPT4_KTQT_v4[[#This Row],[SL-07]]*KH_26_OPT4_KTQT_v4[[#This Row],[GB-07]]*EXR</f>
        <v>0</v>
      </c>
      <c r="BK131" s="47">
        <f>KH_26_OPT4_KTQT_v4[[#This Row],[SL-08]]*KH_26_OPT4_KTQT_v4[[#This Row],[GB-08]]*EXR</f>
        <v>0</v>
      </c>
      <c r="BL131" s="47">
        <f>KH_26_OPT4_KTQT_v4[[#This Row],[SL-09]]*KH_26_OPT4_KTQT_v4[[#This Row],[GB-09]]*EXR</f>
        <v>0</v>
      </c>
      <c r="BM131" s="47">
        <f>KH_26_OPT4_KTQT_v4[[#This Row],[SL-10]]*KH_26_OPT4_KTQT_v4[[#This Row],[GB-10]]*EXR</f>
        <v>0</v>
      </c>
      <c r="BN131" s="47">
        <f>KH_26_OPT4_KTQT_v4[[#This Row],[SL-11]]*KH_26_OPT4_KTQT_v4[[#This Row],[GB-11]]*EXR</f>
        <v>0</v>
      </c>
      <c r="BO131" s="47">
        <f>KH_26_OPT4_KTQT_v4[[#This Row],[SL-12]]*KH_26_OPT4_KTQT_v4[[#This Row],[GB-12]]*EXR</f>
        <v>0</v>
      </c>
      <c r="BP131" s="47">
        <f ca="1">SUM(KH_26_OPT4_KTQT_v4[[#This Row],[DT-EXW-01]:[DT-EXW-12]])</f>
        <v>0</v>
      </c>
      <c r="BQ131" s="47">
        <f ca="1">SUMIFS(DB_25[DT-DB25],DB_25[Mã khách],KH_26_OPT4_KTQT_v4[[#This Row],[Mã khách]],DB_25[Mã sản phẩm],KH_26_OPT4_KTQT_v4[[#This Row],[Mã sản phẩm]])</f>
        <v>375000</v>
      </c>
      <c r="BR131" s="47">
        <f ca="1">KH_26_OPT4_KTQT_v4[[#This Row],[DT-EXW-KH26]]-KH_26_OPT4_KTQT_v4[[#This Row],[DT-EXW-DB25]]</f>
        <v>-375000</v>
      </c>
      <c r="BS131" s="21">
        <f ca="1">IFERROR(KH_26_OPT4_KTQT_v4[[#This Row],[DT-EXW-+/-]]/KH_26_OPT4_KTQT_v4[[#This Row],[DT-EXW-DB25]],0)</f>
        <v>-1</v>
      </c>
      <c r="BT131" s="139"/>
      <c r="BU131" s="57"/>
      <c r="BV131" s="51"/>
      <c r="BW131" s="47">
        <f>IF(KH_26_OPT4_KTQT_v4[[#This Row],[CPHH-%-SL]]="Dthu",KH_26_OPT4_KTQT_v4[[#This Row],[%HH]]*KH_26_OPT4_KTQT_v4[[#This Row],[DT-EXW-01]],KH_26_OPT4_KTQT_v4[[#This Row],[HH-SL]]*KH_26_OPT4_KTQT_v4[[#This Row],[SL-01]])</f>
        <v>0</v>
      </c>
      <c r="BX131" s="47">
        <f>IF(KH_26_OPT4_KTQT_v4[[#This Row],[CPHH-%-SL]]="Dthu",KH_26_OPT4_KTQT_v4[[#This Row],[%HH]]*KH_26_OPT4_KTQT_v4[[#This Row],[DT-EXW-02]],KH_26_OPT4_KTQT_v4[[#This Row],[HH-SL]]*KH_26_OPT4_KTQT_v4[[#This Row],[SL-02]])</f>
        <v>0</v>
      </c>
      <c r="BY131" s="47">
        <f>IF(KH_26_OPT4_KTQT_v4[[#This Row],[CPHH-%-SL]]="Dthu",KH_26_OPT4_KTQT_v4[[#This Row],[%HH]]*KH_26_OPT4_KTQT_v4[[#This Row],[DT-EXW-03]],KH_26_OPT4_KTQT_v4[[#This Row],[HH-SL]]*KH_26_OPT4_KTQT_v4[[#This Row],[SL-03]])</f>
        <v>0</v>
      </c>
      <c r="BZ131" s="47">
        <f>IF(KH_26_OPT4_KTQT_v4[[#This Row],[CPHH-%-SL]]="Dthu",KH_26_OPT4_KTQT_v4[[#This Row],[%HH]]*KH_26_OPT4_KTQT_v4[[#This Row],[DT-EXW-04]],KH_26_OPT4_KTQT_v4[[#This Row],[HH-SL]]*KH_26_OPT4_KTQT_v4[[#This Row],[SL-04]])</f>
        <v>0</v>
      </c>
      <c r="CA131" s="47">
        <f>IF(KH_26_OPT4_KTQT_v4[[#This Row],[CPHH-%-SL]]="Dthu",KH_26_OPT4_KTQT_v4[[#This Row],[%HH]]*KH_26_OPT4_KTQT_v4[[#This Row],[DT-EXW-05]],KH_26_OPT4_KTQT_v4[[#This Row],[HH-SL]]*KH_26_OPT4_KTQT_v4[[#This Row],[SL-05]])</f>
        <v>0</v>
      </c>
      <c r="CB131" s="47">
        <f>IF(KH_26_OPT4_KTQT_v4[[#This Row],[CPHH-%-SL]]="Dthu",KH_26_OPT4_KTQT_v4[[#This Row],[%HH]]*KH_26_OPT4_KTQT_v4[[#This Row],[DT-EXW-06]],KH_26_OPT4_KTQT_v4[[#This Row],[HH-SL]]*KH_26_OPT4_KTQT_v4[[#This Row],[SL-06]])</f>
        <v>0</v>
      </c>
      <c r="CC131" s="47">
        <f>IF(KH_26_OPT4_KTQT_v4[[#This Row],[CPHH-%-SL]]="Dthu",KH_26_OPT4_KTQT_v4[[#This Row],[%HH]]*KH_26_OPT4_KTQT_v4[[#This Row],[DT-EXW-07]],KH_26_OPT4_KTQT_v4[[#This Row],[HH-SL]]*KH_26_OPT4_KTQT_v4[[#This Row],[SL-07]])</f>
        <v>0</v>
      </c>
      <c r="CD131" s="47">
        <f>IF(KH_26_OPT4_KTQT_v4[[#This Row],[CPHH-%-SL]]="Dthu",KH_26_OPT4_KTQT_v4[[#This Row],[%HH]]*KH_26_OPT4_KTQT_v4[[#This Row],[DT-EXW-08]],KH_26_OPT4_KTQT_v4[[#This Row],[HH-SL]]*KH_26_OPT4_KTQT_v4[[#This Row],[SL-08]])</f>
        <v>0</v>
      </c>
      <c r="CE131" s="47">
        <f>IF(KH_26_OPT4_KTQT_v4[[#This Row],[CPHH-%-SL]]="Dthu",KH_26_OPT4_KTQT_v4[[#This Row],[%HH]]*KH_26_OPT4_KTQT_v4[[#This Row],[DT-EXW-09]],KH_26_OPT4_KTQT_v4[[#This Row],[HH-SL]]*KH_26_OPT4_KTQT_v4[[#This Row],[SL-09]])</f>
        <v>0</v>
      </c>
      <c r="CF131" s="47">
        <f>IF(KH_26_OPT4_KTQT_v4[[#This Row],[CPHH-%-SL]]="Dthu",KH_26_OPT4_KTQT_v4[[#This Row],[%HH]]*KH_26_OPT4_KTQT_v4[[#This Row],[DT-EXW-10]],KH_26_OPT4_KTQT_v4[[#This Row],[HH-SL]]*KH_26_OPT4_KTQT_v4[[#This Row],[SL-10]])</f>
        <v>0</v>
      </c>
      <c r="CG131" s="47">
        <f>IF(KH_26_OPT4_KTQT_v4[[#This Row],[CPHH-%-SL]]="Dthu",KH_26_OPT4_KTQT_v4[[#This Row],[%HH]]*KH_26_OPT4_KTQT_v4[[#This Row],[DT-EXW-11]],KH_26_OPT4_KTQT_v4[[#This Row],[HH-SL]]*KH_26_OPT4_KTQT_v4[[#This Row],[SL-11]])</f>
        <v>0</v>
      </c>
      <c r="CH131" s="47">
        <f>IF(KH_26_OPT4_KTQT_v4[[#This Row],[CPHH-%-SL]]="Dthu",KH_26_OPT4_KTQT_v4[[#This Row],[%HH]]*KH_26_OPT4_KTQT_v4[[#This Row],[DT-EXW-12]],KH_26_OPT4_KTQT_v4[[#This Row],[HH-SL]]*KH_26_OPT4_KTQT_v4[[#This Row],[SL-12]])</f>
        <v>0</v>
      </c>
      <c r="CI131" s="47">
        <f ca="1">SUM(KH_26_OPT4_KTQT_v4[[#This Row],[CPHH-01]:[CPHH-12]])</f>
        <v>0</v>
      </c>
      <c r="CJ131" s="47" cm="1">
        <f t="array" ref="CJ131">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31" s="19">
        <f ca="1">SUM(KH_26_OPT4_KTQT_v4[[#This Row],[ĐGVCNĐ-KXK]:[ĐGVCCT-KXK]])</f>
        <v>0</v>
      </c>
      <c r="CL131" s="47" cm="1">
        <f t="array" ref="CL131">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131" s="47" cm="1">
        <f t="array" ref="CM131">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31" s="47">
        <f ca="1">(KH_26_OPT4_KTQT_v4[[#This Row],[ĐGVC-KNĐ]]+KH_26_OPT4_KTQT_v4[[#This Row],[ĐGVC-KXK]])*KH_26_OPT4_KTQT_v4[[#This Row],[SL-01]]</f>
        <v>0</v>
      </c>
      <c r="CO131" s="47">
        <f ca="1">(KH_26_OPT4_KTQT_v4[[#This Row],[ĐGVC-KNĐ]]+KH_26_OPT4_KTQT_v4[[#This Row],[ĐGVC-KXK]])*KH_26_OPT4_KTQT_v4[[#This Row],[SL-02]]</f>
        <v>0</v>
      </c>
      <c r="CP131" s="47">
        <f ca="1">(KH_26_OPT4_KTQT_v4[[#This Row],[ĐGVC-KNĐ]]+KH_26_OPT4_KTQT_v4[[#This Row],[ĐGVC-KXK]])*KH_26_OPT4_KTQT_v4[[#This Row],[SL-03]]</f>
        <v>0</v>
      </c>
      <c r="CQ131" s="47">
        <f ca="1">(KH_26_OPT4_KTQT_v4[[#This Row],[ĐGVC-KNĐ]]+KH_26_OPT4_KTQT_v4[[#This Row],[ĐGVC-KXK]])*KH_26_OPT4_KTQT_v4[[#This Row],[SL-04]]</f>
        <v>0</v>
      </c>
      <c r="CR131" s="47">
        <f ca="1">(KH_26_OPT4_KTQT_v4[[#This Row],[ĐGVC-KNĐ]]+KH_26_OPT4_KTQT_v4[[#This Row],[ĐGVC-KXK]])*KH_26_OPT4_KTQT_v4[[#This Row],[SL-05]]</f>
        <v>0</v>
      </c>
      <c r="CS131" s="47">
        <f ca="1">(KH_26_OPT4_KTQT_v4[[#This Row],[ĐGVC-KNĐ]]+KH_26_OPT4_KTQT_v4[[#This Row],[ĐGVC-KXK]])*KH_26_OPT4_KTQT_v4[[#This Row],[SL-06]]</f>
        <v>0</v>
      </c>
      <c r="CT131" s="47">
        <f ca="1">(KH_26_OPT4_KTQT_v4[[#This Row],[ĐGVC-KNĐ]]+KH_26_OPT4_KTQT_v4[[#This Row],[ĐGVC-KXK]])*KH_26_OPT4_KTQT_v4[[#This Row],[SL-07]]</f>
        <v>0</v>
      </c>
      <c r="CU131" s="47">
        <f ca="1">(KH_26_OPT4_KTQT_v4[[#This Row],[ĐGVC-KNĐ]]+KH_26_OPT4_KTQT_v4[[#This Row],[ĐGVC-KXK]])*KH_26_OPT4_KTQT_v4[[#This Row],[SL-08]]</f>
        <v>0</v>
      </c>
      <c r="CV131" s="47">
        <f ca="1">(KH_26_OPT4_KTQT_v4[[#This Row],[ĐGVC-KNĐ]]+KH_26_OPT4_KTQT_v4[[#This Row],[ĐGVC-KXK]])*KH_26_OPT4_KTQT_v4[[#This Row],[SL-09]]</f>
        <v>0</v>
      </c>
      <c r="CW131" s="47">
        <f ca="1">(KH_26_OPT4_KTQT_v4[[#This Row],[ĐGVC-KNĐ]]+KH_26_OPT4_KTQT_v4[[#This Row],[ĐGVC-KXK]])*KH_26_OPT4_KTQT_v4[[#This Row],[SL-10]]</f>
        <v>0</v>
      </c>
      <c r="CX131" s="47">
        <f ca="1">(KH_26_OPT4_KTQT_v4[[#This Row],[ĐGVC-KNĐ]]+KH_26_OPT4_KTQT_v4[[#This Row],[ĐGVC-KXK]])*KH_26_OPT4_KTQT_v4[[#This Row],[SL-11]]</f>
        <v>0</v>
      </c>
      <c r="CY131" s="47">
        <f ca="1">(KH_26_OPT4_KTQT_v4[[#This Row],[ĐGVC-KNĐ]]+KH_26_OPT4_KTQT_v4[[#This Row],[ĐGVC-KXK]])*KH_26_OPT4_KTQT_v4[[#This Row],[SL-12]]</f>
        <v>0</v>
      </c>
      <c r="CZ131" s="47">
        <f ca="1">SUM(KH_26_OPT4_KTQT_v4[[#This Row],[CPVC-01]:[CPVC-12]])</f>
        <v>0</v>
      </c>
      <c r="DA131" s="124">
        <f ca="1">KH_26_OPT4_KTQT_v4[[#This Row],[DT-EXW-01]]+KH_26_OPT4_KTQT_v4[[#This Row],[CPVC-01]]+KH_26_OPT4_KTQT_v4[[#This Row],[CPHH-01]]</f>
        <v>0</v>
      </c>
      <c r="DB131" s="47">
        <f ca="1">KH_26_OPT4_KTQT_v4[[#This Row],[DT-EXW-02]]+KH_26_OPT4_KTQT_v4[[#This Row],[CPVC-02]]+KH_26_OPT4_KTQT_v4[[#This Row],[CPHH-02]]</f>
        <v>0</v>
      </c>
      <c r="DC131" s="47">
        <f ca="1">KH_26_OPT4_KTQT_v4[[#This Row],[DT-EXW-03]]+KH_26_OPT4_KTQT_v4[[#This Row],[CPVC-03]]+KH_26_OPT4_KTQT_v4[[#This Row],[CPHH-03]]</f>
        <v>0</v>
      </c>
      <c r="DD131" s="47">
        <f ca="1">KH_26_OPT4_KTQT_v4[[#This Row],[DT-EXW-04]]+KH_26_OPT4_KTQT_v4[[#This Row],[CPVC-04]]+KH_26_OPT4_KTQT_v4[[#This Row],[CPHH-04]]</f>
        <v>0</v>
      </c>
      <c r="DE131" s="47">
        <f ca="1">KH_26_OPT4_KTQT_v4[[#This Row],[DT-EXW-05]]+KH_26_OPT4_KTQT_v4[[#This Row],[CPVC-05]]+KH_26_OPT4_KTQT_v4[[#This Row],[CPHH-05]]</f>
        <v>0</v>
      </c>
      <c r="DF131" s="47">
        <f ca="1">KH_26_OPT4_KTQT_v4[[#This Row],[DT-EXW-06]]+KH_26_OPT4_KTQT_v4[[#This Row],[CPVC-06]]+KH_26_OPT4_KTQT_v4[[#This Row],[CPHH-06]]</f>
        <v>0</v>
      </c>
      <c r="DG131" s="47">
        <f ca="1">KH_26_OPT4_KTQT_v4[[#This Row],[DT-EXW-07]]+KH_26_OPT4_KTQT_v4[[#This Row],[CPVC-07]]+KH_26_OPT4_KTQT_v4[[#This Row],[CPHH-07]]</f>
        <v>0</v>
      </c>
      <c r="DH131" s="47">
        <f ca="1">KH_26_OPT4_KTQT_v4[[#This Row],[DT-EXW-08]]+KH_26_OPT4_KTQT_v4[[#This Row],[CPVC-08]]+KH_26_OPT4_KTQT_v4[[#This Row],[CPHH-08]]</f>
        <v>0</v>
      </c>
      <c r="DI131" s="47">
        <f ca="1">KH_26_OPT4_KTQT_v4[[#This Row],[DT-EXW-09]]+KH_26_OPT4_KTQT_v4[[#This Row],[CPVC-09]]+KH_26_OPT4_KTQT_v4[[#This Row],[CPHH-09]]</f>
        <v>0</v>
      </c>
      <c r="DJ131" s="47">
        <f ca="1">KH_26_OPT4_KTQT_v4[[#This Row],[DT-EXW-10]]+KH_26_OPT4_KTQT_v4[[#This Row],[CPVC-10]]+KH_26_OPT4_KTQT_v4[[#This Row],[CPHH-10]]</f>
        <v>0</v>
      </c>
      <c r="DK131" s="47">
        <f ca="1">KH_26_OPT4_KTQT_v4[[#This Row],[DT-EXW-11]]+KH_26_OPT4_KTQT_v4[[#This Row],[CPVC-11]]+KH_26_OPT4_KTQT_v4[[#This Row],[CPHH-11]]</f>
        <v>0</v>
      </c>
      <c r="DL131" s="47">
        <f ca="1">KH_26_OPT4_KTQT_v4[[#This Row],[DT-EXW-12]]+KH_26_OPT4_KTQT_v4[[#This Row],[CPVC-12]]+KH_26_OPT4_KTQT_v4[[#This Row],[CPHH-12]]</f>
        <v>0</v>
      </c>
      <c r="DM131" s="47">
        <f ca="1">SUM(KH_26_OPT4_KTQT_v4[[#This Row],[DT-01]:[DT-12]])</f>
        <v>0</v>
      </c>
      <c r="DN131" s="7"/>
      <c r="DO131" s="7"/>
      <c r="DP131" s="125"/>
      <c r="DQ131" s="136"/>
      <c r="DR131" s="132">
        <f>IFERROR(KH_26_OPT4_KTQT_v4[[#This Row],[DT-EXW-01]]*KH_26_OPT4_KTQT_v4[[#This Row],[%CPDP]],0)</f>
        <v>0</v>
      </c>
      <c r="DS131" s="132">
        <f>IFERROR(KH_26_OPT4_KTQT_v4[[#This Row],[DT-EXW-02]]*KH_26_OPT4_KTQT_v4[[#This Row],[%CPDP]],0)</f>
        <v>0</v>
      </c>
      <c r="DT131" s="132">
        <f>IFERROR(KH_26_OPT4_KTQT_v4[[#This Row],[DT-EXW-03]]*KH_26_OPT4_KTQT_v4[[#This Row],[%CPDP]],0)</f>
        <v>0</v>
      </c>
      <c r="DU131" s="132">
        <f>IFERROR(KH_26_OPT4_KTQT_v4[[#This Row],[DT-EXW-04]]*KH_26_OPT4_KTQT_v4[[#This Row],[%CPDP]],0)</f>
        <v>0</v>
      </c>
      <c r="DV131" s="132">
        <f>IFERROR(KH_26_OPT4_KTQT_v4[[#This Row],[DT-EXW-05]]*KH_26_OPT4_KTQT_v4[[#This Row],[%CPDP]],0)</f>
        <v>0</v>
      </c>
      <c r="DW131" s="132">
        <f>IFERROR(KH_26_OPT4_KTQT_v4[[#This Row],[DT-EXW-06]]*KH_26_OPT4_KTQT_v4[[#This Row],[%CPDP]],0)</f>
        <v>0</v>
      </c>
      <c r="DX131" s="132">
        <f>IFERROR(KH_26_OPT4_KTQT_v4[[#This Row],[DT-EXW-07]]*KH_26_OPT4_KTQT_v4[[#This Row],[%CPDP]],0)</f>
        <v>0</v>
      </c>
      <c r="DY131" s="132">
        <f>IFERROR(KH_26_OPT4_KTQT_v4[[#This Row],[DT-EXW-08]]*KH_26_OPT4_KTQT_v4[[#This Row],[%CPDP]],0)</f>
        <v>0</v>
      </c>
      <c r="DZ131" s="132">
        <f>IFERROR(KH_26_OPT4_KTQT_v4[[#This Row],[DT-EXW-09]]*KH_26_OPT4_KTQT_v4[[#This Row],[%CPDP]],0)</f>
        <v>0</v>
      </c>
      <c r="EA131" s="132">
        <f>IFERROR(KH_26_OPT4_KTQT_v4[[#This Row],[DT-EXW-10]]*KH_26_OPT4_KTQT_v4[[#This Row],[%CPDP]],0)</f>
        <v>0</v>
      </c>
      <c r="EB131" s="132">
        <f>IFERROR(KH_26_OPT4_KTQT_v4[[#This Row],[DT-EXW-11]]*KH_26_OPT4_KTQT_v4[[#This Row],[%CPDP]],0)</f>
        <v>0</v>
      </c>
      <c r="EC131" s="132">
        <f>IFERROR(KH_26_OPT4_KTQT_v4[[#This Row],[DT-EXW-12]]*KH_26_OPT4_KTQT_v4[[#This Row],[%CPDP]],0)</f>
        <v>0</v>
      </c>
      <c r="ED131" s="131">
        <f ca="1">SUM(KH_26_OPT4_KTQT_v4[[#This Row],[CPDP-01]:[CPDP-12]])</f>
        <v>0</v>
      </c>
    </row>
    <row r="132" spans="1:134" ht="14.65" hidden="1" customHeight="1" x14ac:dyDescent="0.35">
      <c r="A132" s="18">
        <v>127</v>
      </c>
      <c r="B132" s="71" t="s">
        <v>115</v>
      </c>
      <c r="C132" s="18" t="str">
        <f>IFERROR(_xlfn.XLOOKUP(KH_26_OPT4_KTQT_v4[[#This Row],[Salesman]],MD_Salesman[Salesman],MD_Salesman[SalesManager]),"")</f>
        <v>Quốc Anh</v>
      </c>
      <c r="D132" s="72" t="str">
        <f>IFERROR(INDEX(MD_Customer[Mã khách],MATCH(KH_26_OPT4_KTQT_v4[[#This Row],[Tên khách]],MD_Customer[Tên khách-rút gọn],0)),"")</f>
        <v>105214</v>
      </c>
      <c r="E132" s="7" t="str">
        <f>IFERROR(INDEX(MD_Customer[Parent Account],MATCH(KH_26_OPT4_KTQT_v4[[#This Row],[Tên khách]],MD_Customer[Tên khách-rút gọn],0)),"")</f>
        <v>Người mua hàng không lấy hóa đơn</v>
      </c>
      <c r="F132" s="35" t="s">
        <v>156</v>
      </c>
      <c r="G132" s="7" t="str">
        <f>IFERROR(INDEX(MD_Customer[Phân loại],MATCH(KH_26_OPT4_KTQT_v4[[#This Row],[Tên khách]],MD_Customer[Tên khách-rút gọn],0)),"")</f>
        <v>Hiện hữu</v>
      </c>
      <c r="H132" s="7" t="str">
        <f>IFERROR(INDEX(MD_Customer[Kênh bán hàng],MATCH(KH_26_OPT4_KTQT_v4[[#This Row],[Tên khách]],MD_Customer[Tên khách-rút gọn],0)),"")</f>
        <v>Nội địa</v>
      </c>
      <c r="I132" s="35" t="s">
        <v>258</v>
      </c>
      <c r="J132" s="7" t="str">
        <f>IFERROR(INDEX(MD_Destination[Nước],MATCH(KH_26_OPT4_KTQT_v4[[#This Row],[Địa điểm đến]],MD_Destination[Địa điểm đến],0)),"")</f>
        <v>Việt Nam</v>
      </c>
      <c r="K132" s="7" t="str">
        <f>IFERROR(INDEX(MD_Destination[Khu vực],MATCH(KH_26_OPT4_KTQT_v4[[#This Row],[Địa điểm đến]],MD_Destination[Địa điểm đến],0)),"")</f>
        <v>Châu Á</v>
      </c>
      <c r="L132" s="35" t="s">
        <v>260</v>
      </c>
      <c r="M132" s="7" t="str">
        <f>IFERROR(INDEX(MD_SKU[Mã SKU],MATCH(KH_26_OPT4_KTQT_v4[[#This Row],[Tên sản phẩm]],MD_SKU[Tên SKU-rút gọn],0)),"")</f>
        <v>110000410</v>
      </c>
      <c r="N132" s="35" t="s">
        <v>472</v>
      </c>
      <c r="O132" s="7" t="str">
        <f>IFERROR(INDEX(MD_SKU[Ngành hàng],MATCH(KH_26_OPT4_KTQT_v4[[#This Row],[Tên sản phẩm]],MD_SKU[Tên SKU-rút gọn],0)),"")</f>
        <v>rHDPE ép</v>
      </c>
      <c r="P132" s="7" t="str">
        <f>IFERROR(INDEX(MD_SKU[Nhóm ngành],MATCH(KH_26_OPT4_KTQT_v4[[#This Row],[Tên sản phẩm]],MD_SKU[Tên SKU-rút gọn],0)),"")</f>
        <v>Vảy HD ép</v>
      </c>
      <c r="Q132" s="7" t="str">
        <f>IFERROR(
   IF(INDEX(MD_SKU[IV/IM],MATCH(KH_26_OPT4_KTQT_v4[[#This Row],[Tên sản phẩm]],MD_SKU[Tên SKU-rút gọn],0))=0,
      "",
      INDEX(MD_SKU[IV/IM],MATCH(KH_26_OPT4_KTQT_v4[[#This Row],[Tên sản phẩm]],MD_SKU[Tên SKU-rút gọn],0))
   ),
"")</f>
        <v/>
      </c>
      <c r="R132" s="44">
        <f>IFERROR(INDEX(MD_SKU[Application],MATCH(KH_26_OPT4_KTQT_v4[[#This Row],[Tên sản phẩm]],MD_SKU[Tên SKU-rút gọn],0)),"")</f>
        <v>0</v>
      </c>
      <c r="S132" s="7" t="str">
        <f>IFERROR(INDEX(MD_SKU[Phân loại],MATCH(KH_26_OPT4_KTQT_v4[[#This Row],[Tên sản phẩm]],MD_SKU[Tên SKU-rút gọn],0)),"")</f>
        <v>Cũ</v>
      </c>
      <c r="T132" s="7" t="s">
        <v>542</v>
      </c>
      <c r="U132" s="7"/>
      <c r="V132" s="70">
        <v>0.8</v>
      </c>
      <c r="W132" s="93"/>
      <c r="X132" s="33"/>
      <c r="Y132" s="33"/>
      <c r="Z132" s="33"/>
      <c r="AA132" s="33"/>
      <c r="AB132" s="33"/>
      <c r="AC132" s="33"/>
      <c r="AD132" s="33"/>
      <c r="AE132" s="33"/>
      <c r="AF132" s="33"/>
      <c r="AG132" s="33"/>
      <c r="AH132" s="33"/>
      <c r="AI132" s="47">
        <f ca="1">SUM(KH_26_OPT4_KTQT_v4[[#This Row],[SL-01]:[SL-12]])</f>
        <v>0</v>
      </c>
      <c r="AJ132" s="47">
        <f ca="1">SUMIFS(DB_25[SL-DB25],DB_25[Mã khách],KH_26_OPT4_KTQT_v4[[#This Row],[Mã khách]],DB_25[Mã sản phẩm],KH_26_OPT4_KTQT_v4[[#This Row],[Mã sản phẩm]])</f>
        <v>2.5000000000000001E-2</v>
      </c>
      <c r="AK132" s="20">
        <f ca="1">KH_26_OPT4_KTQT_v4[[#This Row],[SL-KH26]]-KH_26_OPT4_KTQT_v4[[#This Row],[SL-DB25]]</f>
        <v>-2.5000000000000001E-2</v>
      </c>
      <c r="AL132" s="21">
        <f ca="1">IFERROR(KH_26_OPT4_KTQT_v4[[#This Row],[SL-+/-]]/KH_26_OPT4_KTQT_v4[[#This Row],[SL-DB25]],0)</f>
        <v>-1</v>
      </c>
      <c r="AM132" s="51">
        <v>560</v>
      </c>
      <c r="AN132" s="51">
        <v>560</v>
      </c>
      <c r="AO132" s="51">
        <v>560</v>
      </c>
      <c r="AP132" s="51">
        <v>560</v>
      </c>
      <c r="AQ132" s="51">
        <v>560</v>
      </c>
      <c r="AR132" s="51">
        <v>560</v>
      </c>
      <c r="AS132" s="51">
        <v>560</v>
      </c>
      <c r="AT132" s="51">
        <v>560</v>
      </c>
      <c r="AU132" s="51">
        <v>560</v>
      </c>
      <c r="AV132" s="51">
        <v>560</v>
      </c>
      <c r="AW132" s="51">
        <v>560</v>
      </c>
      <c r="AX132" s="51">
        <v>560</v>
      </c>
      <c r="AY132" s="23">
        <v>560</v>
      </c>
      <c r="AZ132" s="7"/>
      <c r="BA132" s="24">
        <f>KH_26_OPT4_KTQT_v4[[#This Row],[GB-DB25]]-KH_26_OPT4_KTQT_v4[[#This Row],[GB-KH25]]</f>
        <v>560</v>
      </c>
      <c r="BB132" s="21">
        <f>IFERROR(KH_26_OPT4_KTQT_v4[[#This Row],[GB-+/-]]/KH_26_OPT4_KTQT_v4[[#This Row],[GB-KH25]],0)</f>
        <v>0</v>
      </c>
      <c r="BC132" s="21"/>
      <c r="BD132" s="47">
        <f>KH_26_OPT4_KTQT_v4[[#This Row],[SL-01]]*KH_26_OPT4_KTQT_v4[[#This Row],[GB-01]]*EXR</f>
        <v>0</v>
      </c>
      <c r="BE132" s="47">
        <f>KH_26_OPT4_KTQT_v4[[#This Row],[SL-02]]*KH_26_OPT4_KTQT_v4[[#This Row],[GB-02]]*EXR</f>
        <v>0</v>
      </c>
      <c r="BF132" s="47">
        <f>KH_26_OPT4_KTQT_v4[[#This Row],[SL-03]]*KH_26_OPT4_KTQT_v4[[#This Row],[GB-03]]*EXR</f>
        <v>0</v>
      </c>
      <c r="BG132" s="47">
        <f>KH_26_OPT4_KTQT_v4[[#This Row],[SL-04]]*KH_26_OPT4_KTQT_v4[[#This Row],[GB-04]]*EXR</f>
        <v>0</v>
      </c>
      <c r="BH132" s="47">
        <f>KH_26_OPT4_KTQT_v4[[#This Row],[SL-05]]*KH_26_OPT4_KTQT_v4[[#This Row],[GB-05]]*EXR</f>
        <v>0</v>
      </c>
      <c r="BI132" s="47">
        <f>KH_26_OPT4_KTQT_v4[[#This Row],[SL-06]]*KH_26_OPT4_KTQT_v4[[#This Row],[GB-06]]*EXR</f>
        <v>0</v>
      </c>
      <c r="BJ132" s="47">
        <f>KH_26_OPT4_KTQT_v4[[#This Row],[SL-07]]*KH_26_OPT4_KTQT_v4[[#This Row],[GB-07]]*EXR</f>
        <v>0</v>
      </c>
      <c r="BK132" s="47">
        <f>KH_26_OPT4_KTQT_v4[[#This Row],[SL-08]]*KH_26_OPT4_KTQT_v4[[#This Row],[GB-08]]*EXR</f>
        <v>0</v>
      </c>
      <c r="BL132" s="47">
        <f>KH_26_OPT4_KTQT_v4[[#This Row],[SL-09]]*KH_26_OPT4_KTQT_v4[[#This Row],[GB-09]]*EXR</f>
        <v>0</v>
      </c>
      <c r="BM132" s="47">
        <f>KH_26_OPT4_KTQT_v4[[#This Row],[SL-10]]*KH_26_OPT4_KTQT_v4[[#This Row],[GB-10]]*EXR</f>
        <v>0</v>
      </c>
      <c r="BN132" s="47">
        <f>KH_26_OPT4_KTQT_v4[[#This Row],[SL-11]]*KH_26_OPT4_KTQT_v4[[#This Row],[GB-11]]*EXR</f>
        <v>0</v>
      </c>
      <c r="BO132" s="47">
        <f>KH_26_OPT4_KTQT_v4[[#This Row],[SL-12]]*KH_26_OPT4_KTQT_v4[[#This Row],[GB-12]]*EXR</f>
        <v>0</v>
      </c>
      <c r="BP132" s="47">
        <f ca="1">SUM(KH_26_OPT4_KTQT_v4[[#This Row],[DT-EXW-01]:[DT-EXW-12]])</f>
        <v>0</v>
      </c>
      <c r="BQ132" s="47">
        <f ca="1">SUMIFS(DB_25[DT-DB25],DB_25[Mã khách],KH_26_OPT4_KTQT_v4[[#This Row],[Mã khách]],DB_25[Mã sản phẩm],KH_26_OPT4_KTQT_v4[[#This Row],[Mã sản phẩm]])</f>
        <v>375000</v>
      </c>
      <c r="BR132" s="47">
        <f ca="1">KH_26_OPT4_KTQT_v4[[#This Row],[DT-EXW-KH26]]-KH_26_OPT4_KTQT_v4[[#This Row],[DT-EXW-DB25]]</f>
        <v>-375000</v>
      </c>
      <c r="BS132" s="21">
        <f ca="1">IFERROR(KH_26_OPT4_KTQT_v4[[#This Row],[DT-EXW-+/-]]/KH_26_OPT4_KTQT_v4[[#This Row],[DT-EXW-DB25]],0)</f>
        <v>-1</v>
      </c>
      <c r="BT132" s="139"/>
      <c r="BU132" s="57"/>
      <c r="BV132" s="51"/>
      <c r="BW132" s="47">
        <f>IF(KH_26_OPT4_KTQT_v4[[#This Row],[CPHH-%-SL]]="Dthu",KH_26_OPT4_KTQT_v4[[#This Row],[%HH]]*KH_26_OPT4_KTQT_v4[[#This Row],[DT-EXW-01]],KH_26_OPT4_KTQT_v4[[#This Row],[HH-SL]]*KH_26_OPT4_KTQT_v4[[#This Row],[SL-01]])</f>
        <v>0</v>
      </c>
      <c r="BX132" s="47">
        <f>IF(KH_26_OPT4_KTQT_v4[[#This Row],[CPHH-%-SL]]="Dthu",KH_26_OPT4_KTQT_v4[[#This Row],[%HH]]*KH_26_OPT4_KTQT_v4[[#This Row],[DT-EXW-02]],KH_26_OPT4_KTQT_v4[[#This Row],[HH-SL]]*KH_26_OPT4_KTQT_v4[[#This Row],[SL-02]])</f>
        <v>0</v>
      </c>
      <c r="BY132" s="47">
        <f>IF(KH_26_OPT4_KTQT_v4[[#This Row],[CPHH-%-SL]]="Dthu",KH_26_OPT4_KTQT_v4[[#This Row],[%HH]]*KH_26_OPT4_KTQT_v4[[#This Row],[DT-EXW-03]],KH_26_OPT4_KTQT_v4[[#This Row],[HH-SL]]*KH_26_OPT4_KTQT_v4[[#This Row],[SL-03]])</f>
        <v>0</v>
      </c>
      <c r="BZ132" s="47">
        <f>IF(KH_26_OPT4_KTQT_v4[[#This Row],[CPHH-%-SL]]="Dthu",KH_26_OPT4_KTQT_v4[[#This Row],[%HH]]*KH_26_OPT4_KTQT_v4[[#This Row],[DT-EXW-04]],KH_26_OPT4_KTQT_v4[[#This Row],[HH-SL]]*KH_26_OPT4_KTQT_v4[[#This Row],[SL-04]])</f>
        <v>0</v>
      </c>
      <c r="CA132" s="47">
        <f>IF(KH_26_OPT4_KTQT_v4[[#This Row],[CPHH-%-SL]]="Dthu",KH_26_OPT4_KTQT_v4[[#This Row],[%HH]]*KH_26_OPT4_KTQT_v4[[#This Row],[DT-EXW-05]],KH_26_OPT4_KTQT_v4[[#This Row],[HH-SL]]*KH_26_OPT4_KTQT_v4[[#This Row],[SL-05]])</f>
        <v>0</v>
      </c>
      <c r="CB132" s="47">
        <f>IF(KH_26_OPT4_KTQT_v4[[#This Row],[CPHH-%-SL]]="Dthu",KH_26_OPT4_KTQT_v4[[#This Row],[%HH]]*KH_26_OPT4_KTQT_v4[[#This Row],[DT-EXW-06]],KH_26_OPT4_KTQT_v4[[#This Row],[HH-SL]]*KH_26_OPT4_KTQT_v4[[#This Row],[SL-06]])</f>
        <v>0</v>
      </c>
      <c r="CC132" s="47">
        <f>IF(KH_26_OPT4_KTQT_v4[[#This Row],[CPHH-%-SL]]="Dthu",KH_26_OPT4_KTQT_v4[[#This Row],[%HH]]*KH_26_OPT4_KTQT_v4[[#This Row],[DT-EXW-07]],KH_26_OPT4_KTQT_v4[[#This Row],[HH-SL]]*KH_26_OPT4_KTQT_v4[[#This Row],[SL-07]])</f>
        <v>0</v>
      </c>
      <c r="CD132" s="47">
        <f>IF(KH_26_OPT4_KTQT_v4[[#This Row],[CPHH-%-SL]]="Dthu",KH_26_OPT4_KTQT_v4[[#This Row],[%HH]]*KH_26_OPT4_KTQT_v4[[#This Row],[DT-EXW-08]],KH_26_OPT4_KTQT_v4[[#This Row],[HH-SL]]*KH_26_OPT4_KTQT_v4[[#This Row],[SL-08]])</f>
        <v>0</v>
      </c>
      <c r="CE132" s="47">
        <f>IF(KH_26_OPT4_KTQT_v4[[#This Row],[CPHH-%-SL]]="Dthu",KH_26_OPT4_KTQT_v4[[#This Row],[%HH]]*KH_26_OPT4_KTQT_v4[[#This Row],[DT-EXW-09]],KH_26_OPT4_KTQT_v4[[#This Row],[HH-SL]]*KH_26_OPT4_KTQT_v4[[#This Row],[SL-09]])</f>
        <v>0</v>
      </c>
      <c r="CF132" s="47">
        <f>IF(KH_26_OPT4_KTQT_v4[[#This Row],[CPHH-%-SL]]="Dthu",KH_26_OPT4_KTQT_v4[[#This Row],[%HH]]*KH_26_OPT4_KTQT_v4[[#This Row],[DT-EXW-10]],KH_26_OPT4_KTQT_v4[[#This Row],[HH-SL]]*KH_26_OPT4_KTQT_v4[[#This Row],[SL-10]])</f>
        <v>0</v>
      </c>
      <c r="CG132" s="47">
        <f>IF(KH_26_OPT4_KTQT_v4[[#This Row],[CPHH-%-SL]]="Dthu",KH_26_OPT4_KTQT_v4[[#This Row],[%HH]]*KH_26_OPT4_KTQT_v4[[#This Row],[DT-EXW-11]],KH_26_OPT4_KTQT_v4[[#This Row],[HH-SL]]*KH_26_OPT4_KTQT_v4[[#This Row],[SL-11]])</f>
        <v>0</v>
      </c>
      <c r="CH132" s="47">
        <f>IF(KH_26_OPT4_KTQT_v4[[#This Row],[CPHH-%-SL]]="Dthu",KH_26_OPT4_KTQT_v4[[#This Row],[%HH]]*KH_26_OPT4_KTQT_v4[[#This Row],[DT-EXW-12]],KH_26_OPT4_KTQT_v4[[#This Row],[HH-SL]]*KH_26_OPT4_KTQT_v4[[#This Row],[SL-12]])</f>
        <v>0</v>
      </c>
      <c r="CI132" s="47">
        <f ca="1">SUM(KH_26_OPT4_KTQT_v4[[#This Row],[CPHH-01]:[CPHH-12]])</f>
        <v>0</v>
      </c>
      <c r="CJ132" s="47" cm="1">
        <f t="array" ref="CJ132">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32" s="19">
        <f ca="1">SUM(KH_26_OPT4_KTQT_v4[[#This Row],[ĐGVCNĐ-KXK]:[ĐGVCCT-KXK]])</f>
        <v>0</v>
      </c>
      <c r="CL132" s="47" cm="1">
        <f t="array" ref="CL132">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132" s="47" cm="1">
        <f t="array" ref="CM132">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32" s="47">
        <f ca="1">(KH_26_OPT4_KTQT_v4[[#This Row],[ĐGVC-KNĐ]]+KH_26_OPT4_KTQT_v4[[#This Row],[ĐGVC-KXK]])*KH_26_OPT4_KTQT_v4[[#This Row],[SL-01]]</f>
        <v>0</v>
      </c>
      <c r="CO132" s="47">
        <f ca="1">(KH_26_OPT4_KTQT_v4[[#This Row],[ĐGVC-KNĐ]]+KH_26_OPT4_KTQT_v4[[#This Row],[ĐGVC-KXK]])*KH_26_OPT4_KTQT_v4[[#This Row],[SL-02]]</f>
        <v>0</v>
      </c>
      <c r="CP132" s="47">
        <f ca="1">(KH_26_OPT4_KTQT_v4[[#This Row],[ĐGVC-KNĐ]]+KH_26_OPT4_KTQT_v4[[#This Row],[ĐGVC-KXK]])*KH_26_OPT4_KTQT_v4[[#This Row],[SL-03]]</f>
        <v>0</v>
      </c>
      <c r="CQ132" s="47">
        <f ca="1">(KH_26_OPT4_KTQT_v4[[#This Row],[ĐGVC-KNĐ]]+KH_26_OPT4_KTQT_v4[[#This Row],[ĐGVC-KXK]])*KH_26_OPT4_KTQT_v4[[#This Row],[SL-04]]</f>
        <v>0</v>
      </c>
      <c r="CR132" s="47">
        <f ca="1">(KH_26_OPT4_KTQT_v4[[#This Row],[ĐGVC-KNĐ]]+KH_26_OPT4_KTQT_v4[[#This Row],[ĐGVC-KXK]])*KH_26_OPT4_KTQT_v4[[#This Row],[SL-05]]</f>
        <v>0</v>
      </c>
      <c r="CS132" s="47">
        <f ca="1">(KH_26_OPT4_KTQT_v4[[#This Row],[ĐGVC-KNĐ]]+KH_26_OPT4_KTQT_v4[[#This Row],[ĐGVC-KXK]])*KH_26_OPT4_KTQT_v4[[#This Row],[SL-06]]</f>
        <v>0</v>
      </c>
      <c r="CT132" s="47">
        <f ca="1">(KH_26_OPT4_KTQT_v4[[#This Row],[ĐGVC-KNĐ]]+KH_26_OPT4_KTQT_v4[[#This Row],[ĐGVC-KXK]])*KH_26_OPT4_KTQT_v4[[#This Row],[SL-07]]</f>
        <v>0</v>
      </c>
      <c r="CU132" s="47">
        <f ca="1">(KH_26_OPT4_KTQT_v4[[#This Row],[ĐGVC-KNĐ]]+KH_26_OPT4_KTQT_v4[[#This Row],[ĐGVC-KXK]])*KH_26_OPT4_KTQT_v4[[#This Row],[SL-08]]</f>
        <v>0</v>
      </c>
      <c r="CV132" s="47">
        <f ca="1">(KH_26_OPT4_KTQT_v4[[#This Row],[ĐGVC-KNĐ]]+KH_26_OPT4_KTQT_v4[[#This Row],[ĐGVC-KXK]])*KH_26_OPT4_KTQT_v4[[#This Row],[SL-09]]</f>
        <v>0</v>
      </c>
      <c r="CW132" s="47">
        <f ca="1">(KH_26_OPT4_KTQT_v4[[#This Row],[ĐGVC-KNĐ]]+KH_26_OPT4_KTQT_v4[[#This Row],[ĐGVC-KXK]])*KH_26_OPT4_KTQT_v4[[#This Row],[SL-10]]</f>
        <v>0</v>
      </c>
      <c r="CX132" s="47">
        <f ca="1">(KH_26_OPT4_KTQT_v4[[#This Row],[ĐGVC-KNĐ]]+KH_26_OPT4_KTQT_v4[[#This Row],[ĐGVC-KXK]])*KH_26_OPT4_KTQT_v4[[#This Row],[SL-11]]</f>
        <v>0</v>
      </c>
      <c r="CY132" s="47">
        <f ca="1">(KH_26_OPT4_KTQT_v4[[#This Row],[ĐGVC-KNĐ]]+KH_26_OPT4_KTQT_v4[[#This Row],[ĐGVC-KXK]])*KH_26_OPT4_KTQT_v4[[#This Row],[SL-12]]</f>
        <v>0</v>
      </c>
      <c r="CZ132" s="47">
        <f ca="1">SUM(KH_26_OPT4_KTQT_v4[[#This Row],[CPVC-01]:[CPVC-12]])</f>
        <v>0</v>
      </c>
      <c r="DA132" s="124">
        <f ca="1">KH_26_OPT4_KTQT_v4[[#This Row],[DT-EXW-01]]+KH_26_OPT4_KTQT_v4[[#This Row],[CPVC-01]]+KH_26_OPT4_KTQT_v4[[#This Row],[CPHH-01]]</f>
        <v>0</v>
      </c>
      <c r="DB132" s="47">
        <f ca="1">KH_26_OPT4_KTQT_v4[[#This Row],[DT-EXW-02]]+KH_26_OPT4_KTQT_v4[[#This Row],[CPVC-02]]+KH_26_OPT4_KTQT_v4[[#This Row],[CPHH-02]]</f>
        <v>0</v>
      </c>
      <c r="DC132" s="47">
        <f ca="1">KH_26_OPT4_KTQT_v4[[#This Row],[DT-EXW-03]]+KH_26_OPT4_KTQT_v4[[#This Row],[CPVC-03]]+KH_26_OPT4_KTQT_v4[[#This Row],[CPHH-03]]</f>
        <v>0</v>
      </c>
      <c r="DD132" s="47">
        <f ca="1">KH_26_OPT4_KTQT_v4[[#This Row],[DT-EXW-04]]+KH_26_OPT4_KTQT_v4[[#This Row],[CPVC-04]]+KH_26_OPT4_KTQT_v4[[#This Row],[CPHH-04]]</f>
        <v>0</v>
      </c>
      <c r="DE132" s="47">
        <f ca="1">KH_26_OPT4_KTQT_v4[[#This Row],[DT-EXW-05]]+KH_26_OPT4_KTQT_v4[[#This Row],[CPVC-05]]+KH_26_OPT4_KTQT_v4[[#This Row],[CPHH-05]]</f>
        <v>0</v>
      </c>
      <c r="DF132" s="47">
        <f ca="1">KH_26_OPT4_KTQT_v4[[#This Row],[DT-EXW-06]]+KH_26_OPT4_KTQT_v4[[#This Row],[CPVC-06]]+KH_26_OPT4_KTQT_v4[[#This Row],[CPHH-06]]</f>
        <v>0</v>
      </c>
      <c r="DG132" s="47">
        <f ca="1">KH_26_OPT4_KTQT_v4[[#This Row],[DT-EXW-07]]+KH_26_OPT4_KTQT_v4[[#This Row],[CPVC-07]]+KH_26_OPT4_KTQT_v4[[#This Row],[CPHH-07]]</f>
        <v>0</v>
      </c>
      <c r="DH132" s="47">
        <f ca="1">KH_26_OPT4_KTQT_v4[[#This Row],[DT-EXW-08]]+KH_26_OPT4_KTQT_v4[[#This Row],[CPVC-08]]+KH_26_OPT4_KTQT_v4[[#This Row],[CPHH-08]]</f>
        <v>0</v>
      </c>
      <c r="DI132" s="47">
        <f ca="1">KH_26_OPT4_KTQT_v4[[#This Row],[DT-EXW-09]]+KH_26_OPT4_KTQT_v4[[#This Row],[CPVC-09]]+KH_26_OPT4_KTQT_v4[[#This Row],[CPHH-09]]</f>
        <v>0</v>
      </c>
      <c r="DJ132" s="47">
        <f ca="1">KH_26_OPT4_KTQT_v4[[#This Row],[DT-EXW-10]]+KH_26_OPT4_KTQT_v4[[#This Row],[CPVC-10]]+KH_26_OPT4_KTQT_v4[[#This Row],[CPHH-10]]</f>
        <v>0</v>
      </c>
      <c r="DK132" s="47">
        <f ca="1">KH_26_OPT4_KTQT_v4[[#This Row],[DT-EXW-11]]+KH_26_OPT4_KTQT_v4[[#This Row],[CPVC-11]]+KH_26_OPT4_KTQT_v4[[#This Row],[CPHH-11]]</f>
        <v>0</v>
      </c>
      <c r="DL132" s="47">
        <f ca="1">KH_26_OPT4_KTQT_v4[[#This Row],[DT-EXW-12]]+KH_26_OPT4_KTQT_v4[[#This Row],[CPVC-12]]+KH_26_OPT4_KTQT_v4[[#This Row],[CPHH-12]]</f>
        <v>0</v>
      </c>
      <c r="DM132" s="47">
        <f ca="1">SUM(KH_26_OPT4_KTQT_v4[[#This Row],[DT-01]:[DT-12]])</f>
        <v>0</v>
      </c>
      <c r="DN132" s="7"/>
      <c r="DO132" s="7"/>
      <c r="DP132" s="125"/>
      <c r="DQ132" s="136"/>
      <c r="DR132" s="132">
        <f>IFERROR(KH_26_OPT4_KTQT_v4[[#This Row],[DT-EXW-01]]*KH_26_OPT4_KTQT_v4[[#This Row],[%CPDP]],0)</f>
        <v>0</v>
      </c>
      <c r="DS132" s="132">
        <f>IFERROR(KH_26_OPT4_KTQT_v4[[#This Row],[DT-EXW-02]]*KH_26_OPT4_KTQT_v4[[#This Row],[%CPDP]],0)</f>
        <v>0</v>
      </c>
      <c r="DT132" s="132">
        <f>IFERROR(KH_26_OPT4_KTQT_v4[[#This Row],[DT-EXW-03]]*KH_26_OPT4_KTQT_v4[[#This Row],[%CPDP]],0)</f>
        <v>0</v>
      </c>
      <c r="DU132" s="132">
        <f>IFERROR(KH_26_OPT4_KTQT_v4[[#This Row],[DT-EXW-04]]*KH_26_OPT4_KTQT_v4[[#This Row],[%CPDP]],0)</f>
        <v>0</v>
      </c>
      <c r="DV132" s="132">
        <f>IFERROR(KH_26_OPT4_KTQT_v4[[#This Row],[DT-EXW-05]]*KH_26_OPT4_KTQT_v4[[#This Row],[%CPDP]],0)</f>
        <v>0</v>
      </c>
      <c r="DW132" s="132">
        <f>IFERROR(KH_26_OPT4_KTQT_v4[[#This Row],[DT-EXW-06]]*KH_26_OPT4_KTQT_v4[[#This Row],[%CPDP]],0)</f>
        <v>0</v>
      </c>
      <c r="DX132" s="132">
        <f>IFERROR(KH_26_OPT4_KTQT_v4[[#This Row],[DT-EXW-07]]*KH_26_OPT4_KTQT_v4[[#This Row],[%CPDP]],0)</f>
        <v>0</v>
      </c>
      <c r="DY132" s="132">
        <f>IFERROR(KH_26_OPT4_KTQT_v4[[#This Row],[DT-EXW-08]]*KH_26_OPT4_KTQT_v4[[#This Row],[%CPDP]],0)</f>
        <v>0</v>
      </c>
      <c r="DZ132" s="132">
        <f>IFERROR(KH_26_OPT4_KTQT_v4[[#This Row],[DT-EXW-09]]*KH_26_OPT4_KTQT_v4[[#This Row],[%CPDP]],0)</f>
        <v>0</v>
      </c>
      <c r="EA132" s="132">
        <f>IFERROR(KH_26_OPT4_KTQT_v4[[#This Row],[DT-EXW-10]]*KH_26_OPT4_KTQT_v4[[#This Row],[%CPDP]],0)</f>
        <v>0</v>
      </c>
      <c r="EB132" s="132">
        <f>IFERROR(KH_26_OPT4_KTQT_v4[[#This Row],[DT-EXW-11]]*KH_26_OPT4_KTQT_v4[[#This Row],[%CPDP]],0)</f>
        <v>0</v>
      </c>
      <c r="EC132" s="132">
        <f>IFERROR(KH_26_OPT4_KTQT_v4[[#This Row],[DT-EXW-12]]*KH_26_OPT4_KTQT_v4[[#This Row],[%CPDP]],0)</f>
        <v>0</v>
      </c>
      <c r="ED132" s="131">
        <f ca="1">SUM(KH_26_OPT4_KTQT_v4[[#This Row],[CPDP-01]:[CPDP-12]])</f>
        <v>0</v>
      </c>
    </row>
    <row r="133" spans="1:134" ht="15" hidden="1" customHeight="1" x14ac:dyDescent="0.35">
      <c r="A133" s="18">
        <v>128</v>
      </c>
      <c r="B133" s="71" t="s">
        <v>115</v>
      </c>
      <c r="C133" s="18" t="str">
        <f>IFERROR(_xlfn.XLOOKUP(KH_26_OPT4_KTQT_v4[[#This Row],[Salesman]],MD_Salesman[Salesman],MD_Salesman[SalesManager]),"")</f>
        <v>Quốc Anh</v>
      </c>
      <c r="D133" s="72" t="str">
        <f>IFERROR(INDEX(MD_Customer[Mã khách],MATCH(KH_26_OPT4_KTQT_v4[[#This Row],[Tên khách]],MD_Customer[Tên khách-rút gọn],0)),"")</f>
        <v>105214</v>
      </c>
      <c r="E133" s="7" t="str">
        <f>IFERROR(INDEX(MD_Customer[Parent Account],MATCH(KH_26_OPT4_KTQT_v4[[#This Row],[Tên khách]],MD_Customer[Tên khách-rút gọn],0)),"")</f>
        <v>Người mua hàng không lấy hóa đơn</v>
      </c>
      <c r="F133" s="35" t="s">
        <v>156</v>
      </c>
      <c r="G133" s="7" t="str">
        <f>IFERROR(INDEX(MD_Customer[Phân loại],MATCH(KH_26_OPT4_KTQT_v4[[#This Row],[Tên khách]],MD_Customer[Tên khách-rút gọn],0)),"")</f>
        <v>Hiện hữu</v>
      </c>
      <c r="H133" s="7" t="str">
        <f>IFERROR(INDEX(MD_Customer[Kênh bán hàng],MATCH(KH_26_OPT4_KTQT_v4[[#This Row],[Tên khách]],MD_Customer[Tên khách-rút gọn],0)),"")</f>
        <v>Nội địa</v>
      </c>
      <c r="I133" s="35" t="s">
        <v>258</v>
      </c>
      <c r="J133" s="7" t="str">
        <f>IFERROR(INDEX(MD_Destination[Nước],MATCH(KH_26_OPT4_KTQT_v4[[#This Row],[Địa điểm đến]],MD_Destination[Địa điểm đến],0)),"")</f>
        <v>Việt Nam</v>
      </c>
      <c r="K133" s="7" t="str">
        <f>IFERROR(INDEX(MD_Destination[Khu vực],MATCH(KH_26_OPT4_KTQT_v4[[#This Row],[Địa điểm đến]],MD_Destination[Địa điểm đến],0)),"")</f>
        <v>Châu Á</v>
      </c>
      <c r="L133" s="35" t="s">
        <v>260</v>
      </c>
      <c r="M133" s="7" t="str">
        <f>IFERROR(INDEX(MD_SKU[Mã SKU],MATCH(KH_26_OPT4_KTQT_v4[[#This Row],[Tên sản phẩm]],MD_SKU[Tên SKU-rút gọn],0)),"")</f>
        <v>110000411</v>
      </c>
      <c r="N133" s="35" t="s">
        <v>474</v>
      </c>
      <c r="O133" s="7" t="str">
        <f>IFERROR(INDEX(MD_SKU[Ngành hàng],MATCH(KH_26_OPT4_KTQT_v4[[#This Row],[Tên sản phẩm]],MD_SKU[Tên SKU-rút gọn],0)),"")</f>
        <v>rHDPE ép</v>
      </c>
      <c r="P133" s="7" t="str">
        <f>IFERROR(INDEX(MD_SKU[Nhóm ngành],MATCH(KH_26_OPT4_KTQT_v4[[#This Row],[Tên sản phẩm]],MD_SKU[Tên SKU-rút gọn],0)),"")</f>
        <v>Vảy HD ép</v>
      </c>
      <c r="Q133" s="7" t="str">
        <f>IFERROR(
   IF(INDEX(MD_SKU[IV/IM],MATCH(KH_26_OPT4_KTQT_v4[[#This Row],[Tên sản phẩm]],MD_SKU[Tên SKU-rút gọn],0))=0,
      "",
      INDEX(MD_SKU[IV/IM],MATCH(KH_26_OPT4_KTQT_v4[[#This Row],[Tên sản phẩm]],MD_SKU[Tên SKU-rút gọn],0))
   ),
"")</f>
        <v/>
      </c>
      <c r="R133" s="44">
        <f>IFERROR(INDEX(MD_SKU[Application],MATCH(KH_26_OPT4_KTQT_v4[[#This Row],[Tên sản phẩm]],MD_SKU[Tên SKU-rút gọn],0)),"")</f>
        <v>0</v>
      </c>
      <c r="S133" s="7" t="str">
        <f>IFERROR(INDEX(MD_SKU[Phân loại],MATCH(KH_26_OPT4_KTQT_v4[[#This Row],[Tên sản phẩm]],MD_SKU[Tên SKU-rút gọn],0)),"")</f>
        <v>Cũ</v>
      </c>
      <c r="T133" s="7" t="s">
        <v>542</v>
      </c>
      <c r="U133" s="7"/>
      <c r="V133" s="70">
        <v>0.8</v>
      </c>
      <c r="W133" s="33"/>
      <c r="X133" s="33"/>
      <c r="Y133" s="33"/>
      <c r="Z133" s="33"/>
      <c r="AA133" s="33"/>
      <c r="AB133" s="33"/>
      <c r="AC133" s="33"/>
      <c r="AD133" s="33"/>
      <c r="AE133" s="33"/>
      <c r="AF133" s="33"/>
      <c r="AG133" s="33"/>
      <c r="AH133" s="33"/>
      <c r="AI133" s="47">
        <f ca="1">SUM(KH_26_OPT4_KTQT_v4[[#This Row],[SL-01]:[SL-12]])</f>
        <v>0</v>
      </c>
      <c r="AJ133" s="47">
        <f ca="1">SUMIFS(DB_25[SL-DB25],DB_25[Mã khách],KH_26_OPT4_KTQT_v4[[#This Row],[Mã khách]],DB_25[Mã sản phẩm],KH_26_OPT4_KTQT_v4[[#This Row],[Mã sản phẩm]])</f>
        <v>2.5000000000000001E-2</v>
      </c>
      <c r="AK133" s="20">
        <f ca="1">KH_26_OPT4_KTQT_v4[[#This Row],[SL-KH26]]-KH_26_OPT4_KTQT_v4[[#This Row],[SL-DB25]]</f>
        <v>-2.5000000000000001E-2</v>
      </c>
      <c r="AL133" s="21">
        <f ca="1">IFERROR(KH_26_OPT4_KTQT_v4[[#This Row],[SL-+/-]]/KH_26_OPT4_KTQT_v4[[#This Row],[SL-DB25]],0)</f>
        <v>-1</v>
      </c>
      <c r="AM133" s="51">
        <v>560</v>
      </c>
      <c r="AN133" s="51">
        <v>560</v>
      </c>
      <c r="AO133" s="51">
        <v>560</v>
      </c>
      <c r="AP133" s="51">
        <v>560</v>
      </c>
      <c r="AQ133" s="51">
        <v>560</v>
      </c>
      <c r="AR133" s="51">
        <v>560</v>
      </c>
      <c r="AS133" s="51">
        <v>560</v>
      </c>
      <c r="AT133" s="51">
        <v>560</v>
      </c>
      <c r="AU133" s="51">
        <v>560</v>
      </c>
      <c r="AV133" s="51">
        <v>560</v>
      </c>
      <c r="AW133" s="51">
        <v>560</v>
      </c>
      <c r="AX133" s="51">
        <v>560</v>
      </c>
      <c r="AY133" s="23">
        <v>560</v>
      </c>
      <c r="AZ133" s="7"/>
      <c r="BA133" s="24">
        <f>KH_26_OPT4_KTQT_v4[[#This Row],[GB-DB25]]-KH_26_OPT4_KTQT_v4[[#This Row],[GB-KH25]]</f>
        <v>560</v>
      </c>
      <c r="BB133" s="21">
        <f>IFERROR(KH_26_OPT4_KTQT_v4[[#This Row],[GB-+/-]]/KH_26_OPT4_KTQT_v4[[#This Row],[GB-KH25]],0)</f>
        <v>0</v>
      </c>
      <c r="BC133" s="21"/>
      <c r="BD133" s="47">
        <f>KH_26_OPT4_KTQT_v4[[#This Row],[SL-01]]*KH_26_OPT4_KTQT_v4[[#This Row],[GB-01]]*EXR</f>
        <v>0</v>
      </c>
      <c r="BE133" s="47">
        <f>KH_26_OPT4_KTQT_v4[[#This Row],[SL-02]]*KH_26_OPT4_KTQT_v4[[#This Row],[GB-02]]*EXR</f>
        <v>0</v>
      </c>
      <c r="BF133" s="47">
        <f>KH_26_OPT4_KTQT_v4[[#This Row],[SL-03]]*KH_26_OPT4_KTQT_v4[[#This Row],[GB-03]]*EXR</f>
        <v>0</v>
      </c>
      <c r="BG133" s="47">
        <f>KH_26_OPT4_KTQT_v4[[#This Row],[SL-04]]*KH_26_OPT4_KTQT_v4[[#This Row],[GB-04]]*EXR</f>
        <v>0</v>
      </c>
      <c r="BH133" s="47">
        <f>KH_26_OPT4_KTQT_v4[[#This Row],[SL-05]]*KH_26_OPT4_KTQT_v4[[#This Row],[GB-05]]*EXR</f>
        <v>0</v>
      </c>
      <c r="BI133" s="47">
        <f>KH_26_OPT4_KTQT_v4[[#This Row],[SL-06]]*KH_26_OPT4_KTQT_v4[[#This Row],[GB-06]]*EXR</f>
        <v>0</v>
      </c>
      <c r="BJ133" s="47">
        <f>KH_26_OPT4_KTQT_v4[[#This Row],[SL-07]]*KH_26_OPT4_KTQT_v4[[#This Row],[GB-07]]*EXR</f>
        <v>0</v>
      </c>
      <c r="BK133" s="47">
        <f>KH_26_OPT4_KTQT_v4[[#This Row],[SL-08]]*KH_26_OPT4_KTQT_v4[[#This Row],[GB-08]]*EXR</f>
        <v>0</v>
      </c>
      <c r="BL133" s="47">
        <f>KH_26_OPT4_KTQT_v4[[#This Row],[SL-09]]*KH_26_OPT4_KTQT_v4[[#This Row],[GB-09]]*EXR</f>
        <v>0</v>
      </c>
      <c r="BM133" s="47">
        <f>KH_26_OPT4_KTQT_v4[[#This Row],[SL-10]]*KH_26_OPT4_KTQT_v4[[#This Row],[GB-10]]*EXR</f>
        <v>0</v>
      </c>
      <c r="BN133" s="47">
        <f>KH_26_OPT4_KTQT_v4[[#This Row],[SL-11]]*KH_26_OPT4_KTQT_v4[[#This Row],[GB-11]]*EXR</f>
        <v>0</v>
      </c>
      <c r="BO133" s="47">
        <f>KH_26_OPT4_KTQT_v4[[#This Row],[SL-12]]*KH_26_OPT4_KTQT_v4[[#This Row],[GB-12]]*EXR</f>
        <v>0</v>
      </c>
      <c r="BP133" s="47">
        <f ca="1">SUM(KH_26_OPT4_KTQT_v4[[#This Row],[DT-EXW-01]:[DT-EXW-12]])</f>
        <v>0</v>
      </c>
      <c r="BQ133" s="47">
        <f ca="1">SUMIFS(DB_25[DT-DB25],DB_25[Mã khách],KH_26_OPT4_KTQT_v4[[#This Row],[Mã khách]],DB_25[Mã sản phẩm],KH_26_OPT4_KTQT_v4[[#This Row],[Mã sản phẩm]])</f>
        <v>375000</v>
      </c>
      <c r="BR133" s="47">
        <f ca="1">KH_26_OPT4_KTQT_v4[[#This Row],[DT-EXW-KH26]]-KH_26_OPT4_KTQT_v4[[#This Row],[DT-EXW-DB25]]</f>
        <v>-375000</v>
      </c>
      <c r="BS133" s="21">
        <f ca="1">IFERROR(KH_26_OPT4_KTQT_v4[[#This Row],[DT-EXW-+/-]]/KH_26_OPT4_KTQT_v4[[#This Row],[DT-EXW-DB25]],0)</f>
        <v>-1</v>
      </c>
      <c r="BT133" s="139"/>
      <c r="BU133" s="57"/>
      <c r="BV133" s="51"/>
      <c r="BW133" s="47">
        <f>IF(KH_26_OPT4_KTQT_v4[[#This Row],[CPHH-%-SL]]="Dthu",KH_26_OPT4_KTQT_v4[[#This Row],[%HH]]*KH_26_OPT4_KTQT_v4[[#This Row],[DT-EXW-01]],KH_26_OPT4_KTQT_v4[[#This Row],[HH-SL]]*KH_26_OPT4_KTQT_v4[[#This Row],[SL-01]])</f>
        <v>0</v>
      </c>
      <c r="BX133" s="47">
        <f>IF(KH_26_OPT4_KTQT_v4[[#This Row],[CPHH-%-SL]]="Dthu",KH_26_OPT4_KTQT_v4[[#This Row],[%HH]]*KH_26_OPT4_KTQT_v4[[#This Row],[DT-EXW-02]],KH_26_OPT4_KTQT_v4[[#This Row],[HH-SL]]*KH_26_OPT4_KTQT_v4[[#This Row],[SL-02]])</f>
        <v>0</v>
      </c>
      <c r="BY133" s="47">
        <f>IF(KH_26_OPT4_KTQT_v4[[#This Row],[CPHH-%-SL]]="Dthu",KH_26_OPT4_KTQT_v4[[#This Row],[%HH]]*KH_26_OPT4_KTQT_v4[[#This Row],[DT-EXW-03]],KH_26_OPT4_KTQT_v4[[#This Row],[HH-SL]]*KH_26_OPT4_KTQT_v4[[#This Row],[SL-03]])</f>
        <v>0</v>
      </c>
      <c r="BZ133" s="47">
        <f>IF(KH_26_OPT4_KTQT_v4[[#This Row],[CPHH-%-SL]]="Dthu",KH_26_OPT4_KTQT_v4[[#This Row],[%HH]]*KH_26_OPT4_KTQT_v4[[#This Row],[DT-EXW-04]],KH_26_OPT4_KTQT_v4[[#This Row],[HH-SL]]*KH_26_OPT4_KTQT_v4[[#This Row],[SL-04]])</f>
        <v>0</v>
      </c>
      <c r="CA133" s="47">
        <f>IF(KH_26_OPT4_KTQT_v4[[#This Row],[CPHH-%-SL]]="Dthu",KH_26_OPT4_KTQT_v4[[#This Row],[%HH]]*KH_26_OPT4_KTQT_v4[[#This Row],[DT-EXW-05]],KH_26_OPT4_KTQT_v4[[#This Row],[HH-SL]]*KH_26_OPT4_KTQT_v4[[#This Row],[SL-05]])</f>
        <v>0</v>
      </c>
      <c r="CB133" s="47">
        <f>IF(KH_26_OPT4_KTQT_v4[[#This Row],[CPHH-%-SL]]="Dthu",KH_26_OPT4_KTQT_v4[[#This Row],[%HH]]*KH_26_OPT4_KTQT_v4[[#This Row],[DT-EXW-06]],KH_26_OPT4_KTQT_v4[[#This Row],[HH-SL]]*KH_26_OPT4_KTQT_v4[[#This Row],[SL-06]])</f>
        <v>0</v>
      </c>
      <c r="CC133" s="47">
        <f>IF(KH_26_OPT4_KTQT_v4[[#This Row],[CPHH-%-SL]]="Dthu",KH_26_OPT4_KTQT_v4[[#This Row],[%HH]]*KH_26_OPT4_KTQT_v4[[#This Row],[DT-EXW-07]],KH_26_OPT4_KTQT_v4[[#This Row],[HH-SL]]*KH_26_OPT4_KTQT_v4[[#This Row],[SL-07]])</f>
        <v>0</v>
      </c>
      <c r="CD133" s="47">
        <f>IF(KH_26_OPT4_KTQT_v4[[#This Row],[CPHH-%-SL]]="Dthu",KH_26_OPT4_KTQT_v4[[#This Row],[%HH]]*KH_26_OPT4_KTQT_v4[[#This Row],[DT-EXW-08]],KH_26_OPT4_KTQT_v4[[#This Row],[HH-SL]]*KH_26_OPT4_KTQT_v4[[#This Row],[SL-08]])</f>
        <v>0</v>
      </c>
      <c r="CE133" s="47">
        <f>IF(KH_26_OPT4_KTQT_v4[[#This Row],[CPHH-%-SL]]="Dthu",KH_26_OPT4_KTQT_v4[[#This Row],[%HH]]*KH_26_OPT4_KTQT_v4[[#This Row],[DT-EXW-09]],KH_26_OPT4_KTQT_v4[[#This Row],[HH-SL]]*KH_26_OPT4_KTQT_v4[[#This Row],[SL-09]])</f>
        <v>0</v>
      </c>
      <c r="CF133" s="47">
        <f>IF(KH_26_OPT4_KTQT_v4[[#This Row],[CPHH-%-SL]]="Dthu",KH_26_OPT4_KTQT_v4[[#This Row],[%HH]]*KH_26_OPT4_KTQT_v4[[#This Row],[DT-EXW-10]],KH_26_OPT4_KTQT_v4[[#This Row],[HH-SL]]*KH_26_OPT4_KTQT_v4[[#This Row],[SL-10]])</f>
        <v>0</v>
      </c>
      <c r="CG133" s="47">
        <f>IF(KH_26_OPT4_KTQT_v4[[#This Row],[CPHH-%-SL]]="Dthu",KH_26_OPT4_KTQT_v4[[#This Row],[%HH]]*KH_26_OPT4_KTQT_v4[[#This Row],[DT-EXW-11]],KH_26_OPT4_KTQT_v4[[#This Row],[HH-SL]]*KH_26_OPT4_KTQT_v4[[#This Row],[SL-11]])</f>
        <v>0</v>
      </c>
      <c r="CH133" s="47">
        <f>IF(KH_26_OPT4_KTQT_v4[[#This Row],[CPHH-%-SL]]="Dthu",KH_26_OPT4_KTQT_v4[[#This Row],[%HH]]*KH_26_OPT4_KTQT_v4[[#This Row],[DT-EXW-12]],KH_26_OPT4_KTQT_v4[[#This Row],[HH-SL]]*KH_26_OPT4_KTQT_v4[[#This Row],[SL-12]])</f>
        <v>0</v>
      </c>
      <c r="CI133" s="47">
        <f ca="1">SUM(KH_26_OPT4_KTQT_v4[[#This Row],[CPHH-01]:[CPHH-12]])</f>
        <v>0</v>
      </c>
      <c r="CJ133" s="47" cm="1">
        <f t="array" ref="CJ133">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33" s="19">
        <f ca="1">SUM(KH_26_OPT4_KTQT_v4[[#This Row],[ĐGVCNĐ-KXK]:[ĐGVCCT-KXK]])</f>
        <v>0</v>
      </c>
      <c r="CL133" s="47" cm="1">
        <f t="array" ref="CL133">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133" s="47" cm="1">
        <f t="array" ref="CM133">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33" s="47">
        <f ca="1">(KH_26_OPT4_KTQT_v4[[#This Row],[ĐGVC-KNĐ]]+KH_26_OPT4_KTQT_v4[[#This Row],[ĐGVC-KXK]])*KH_26_OPT4_KTQT_v4[[#This Row],[SL-01]]</f>
        <v>0</v>
      </c>
      <c r="CO133" s="47">
        <f ca="1">(KH_26_OPT4_KTQT_v4[[#This Row],[ĐGVC-KNĐ]]+KH_26_OPT4_KTQT_v4[[#This Row],[ĐGVC-KXK]])*KH_26_OPT4_KTQT_v4[[#This Row],[SL-02]]</f>
        <v>0</v>
      </c>
      <c r="CP133" s="47">
        <f ca="1">(KH_26_OPT4_KTQT_v4[[#This Row],[ĐGVC-KNĐ]]+KH_26_OPT4_KTQT_v4[[#This Row],[ĐGVC-KXK]])*KH_26_OPT4_KTQT_v4[[#This Row],[SL-03]]</f>
        <v>0</v>
      </c>
      <c r="CQ133" s="47">
        <f ca="1">(KH_26_OPT4_KTQT_v4[[#This Row],[ĐGVC-KNĐ]]+KH_26_OPT4_KTQT_v4[[#This Row],[ĐGVC-KXK]])*KH_26_OPT4_KTQT_v4[[#This Row],[SL-04]]</f>
        <v>0</v>
      </c>
      <c r="CR133" s="47">
        <f ca="1">(KH_26_OPT4_KTQT_v4[[#This Row],[ĐGVC-KNĐ]]+KH_26_OPT4_KTQT_v4[[#This Row],[ĐGVC-KXK]])*KH_26_OPT4_KTQT_v4[[#This Row],[SL-05]]</f>
        <v>0</v>
      </c>
      <c r="CS133" s="47">
        <f ca="1">(KH_26_OPT4_KTQT_v4[[#This Row],[ĐGVC-KNĐ]]+KH_26_OPT4_KTQT_v4[[#This Row],[ĐGVC-KXK]])*KH_26_OPT4_KTQT_v4[[#This Row],[SL-06]]</f>
        <v>0</v>
      </c>
      <c r="CT133" s="47">
        <f ca="1">(KH_26_OPT4_KTQT_v4[[#This Row],[ĐGVC-KNĐ]]+KH_26_OPT4_KTQT_v4[[#This Row],[ĐGVC-KXK]])*KH_26_OPT4_KTQT_v4[[#This Row],[SL-07]]</f>
        <v>0</v>
      </c>
      <c r="CU133" s="47">
        <f ca="1">(KH_26_OPT4_KTQT_v4[[#This Row],[ĐGVC-KNĐ]]+KH_26_OPT4_KTQT_v4[[#This Row],[ĐGVC-KXK]])*KH_26_OPT4_KTQT_v4[[#This Row],[SL-08]]</f>
        <v>0</v>
      </c>
      <c r="CV133" s="47">
        <f ca="1">(KH_26_OPT4_KTQT_v4[[#This Row],[ĐGVC-KNĐ]]+KH_26_OPT4_KTQT_v4[[#This Row],[ĐGVC-KXK]])*KH_26_OPT4_KTQT_v4[[#This Row],[SL-09]]</f>
        <v>0</v>
      </c>
      <c r="CW133" s="47">
        <f ca="1">(KH_26_OPT4_KTQT_v4[[#This Row],[ĐGVC-KNĐ]]+KH_26_OPT4_KTQT_v4[[#This Row],[ĐGVC-KXK]])*KH_26_OPT4_KTQT_v4[[#This Row],[SL-10]]</f>
        <v>0</v>
      </c>
      <c r="CX133" s="47">
        <f ca="1">(KH_26_OPT4_KTQT_v4[[#This Row],[ĐGVC-KNĐ]]+KH_26_OPT4_KTQT_v4[[#This Row],[ĐGVC-KXK]])*KH_26_OPT4_KTQT_v4[[#This Row],[SL-11]]</f>
        <v>0</v>
      </c>
      <c r="CY133" s="47">
        <f ca="1">(KH_26_OPT4_KTQT_v4[[#This Row],[ĐGVC-KNĐ]]+KH_26_OPT4_KTQT_v4[[#This Row],[ĐGVC-KXK]])*KH_26_OPT4_KTQT_v4[[#This Row],[SL-12]]</f>
        <v>0</v>
      </c>
      <c r="CZ133" s="47">
        <f ca="1">SUM(KH_26_OPT4_KTQT_v4[[#This Row],[CPVC-01]:[CPVC-12]])</f>
        <v>0</v>
      </c>
      <c r="DA133" s="124">
        <f ca="1">KH_26_OPT4_KTQT_v4[[#This Row],[DT-EXW-01]]+KH_26_OPT4_KTQT_v4[[#This Row],[CPVC-01]]+KH_26_OPT4_KTQT_v4[[#This Row],[CPHH-01]]</f>
        <v>0</v>
      </c>
      <c r="DB133" s="47">
        <f ca="1">KH_26_OPT4_KTQT_v4[[#This Row],[DT-EXW-02]]+KH_26_OPT4_KTQT_v4[[#This Row],[CPVC-02]]+KH_26_OPT4_KTQT_v4[[#This Row],[CPHH-02]]</f>
        <v>0</v>
      </c>
      <c r="DC133" s="47">
        <f ca="1">KH_26_OPT4_KTQT_v4[[#This Row],[DT-EXW-03]]+KH_26_OPT4_KTQT_v4[[#This Row],[CPVC-03]]+KH_26_OPT4_KTQT_v4[[#This Row],[CPHH-03]]</f>
        <v>0</v>
      </c>
      <c r="DD133" s="47">
        <f ca="1">KH_26_OPT4_KTQT_v4[[#This Row],[DT-EXW-04]]+KH_26_OPT4_KTQT_v4[[#This Row],[CPVC-04]]+KH_26_OPT4_KTQT_v4[[#This Row],[CPHH-04]]</f>
        <v>0</v>
      </c>
      <c r="DE133" s="47">
        <f ca="1">KH_26_OPT4_KTQT_v4[[#This Row],[DT-EXW-05]]+KH_26_OPT4_KTQT_v4[[#This Row],[CPVC-05]]+KH_26_OPT4_KTQT_v4[[#This Row],[CPHH-05]]</f>
        <v>0</v>
      </c>
      <c r="DF133" s="47">
        <f ca="1">KH_26_OPT4_KTQT_v4[[#This Row],[DT-EXW-06]]+KH_26_OPT4_KTQT_v4[[#This Row],[CPVC-06]]+KH_26_OPT4_KTQT_v4[[#This Row],[CPHH-06]]</f>
        <v>0</v>
      </c>
      <c r="DG133" s="47">
        <f ca="1">KH_26_OPT4_KTQT_v4[[#This Row],[DT-EXW-07]]+KH_26_OPT4_KTQT_v4[[#This Row],[CPVC-07]]+KH_26_OPT4_KTQT_v4[[#This Row],[CPHH-07]]</f>
        <v>0</v>
      </c>
      <c r="DH133" s="47">
        <f ca="1">KH_26_OPT4_KTQT_v4[[#This Row],[DT-EXW-08]]+KH_26_OPT4_KTQT_v4[[#This Row],[CPVC-08]]+KH_26_OPT4_KTQT_v4[[#This Row],[CPHH-08]]</f>
        <v>0</v>
      </c>
      <c r="DI133" s="47">
        <f ca="1">KH_26_OPT4_KTQT_v4[[#This Row],[DT-EXW-09]]+KH_26_OPT4_KTQT_v4[[#This Row],[CPVC-09]]+KH_26_OPT4_KTQT_v4[[#This Row],[CPHH-09]]</f>
        <v>0</v>
      </c>
      <c r="DJ133" s="47">
        <f ca="1">KH_26_OPT4_KTQT_v4[[#This Row],[DT-EXW-10]]+KH_26_OPT4_KTQT_v4[[#This Row],[CPVC-10]]+KH_26_OPT4_KTQT_v4[[#This Row],[CPHH-10]]</f>
        <v>0</v>
      </c>
      <c r="DK133" s="47">
        <f ca="1">KH_26_OPT4_KTQT_v4[[#This Row],[DT-EXW-11]]+KH_26_OPT4_KTQT_v4[[#This Row],[CPVC-11]]+KH_26_OPT4_KTQT_v4[[#This Row],[CPHH-11]]</f>
        <v>0</v>
      </c>
      <c r="DL133" s="47">
        <f ca="1">KH_26_OPT4_KTQT_v4[[#This Row],[DT-EXW-12]]+KH_26_OPT4_KTQT_v4[[#This Row],[CPVC-12]]+KH_26_OPT4_KTQT_v4[[#This Row],[CPHH-12]]</f>
        <v>0</v>
      </c>
      <c r="DM133" s="47">
        <f ca="1">SUM(KH_26_OPT4_KTQT_v4[[#This Row],[DT-01]:[DT-12]])</f>
        <v>0</v>
      </c>
      <c r="DN133" s="7"/>
      <c r="DO133" s="7"/>
      <c r="DP133" s="125"/>
      <c r="DQ133" s="136"/>
      <c r="DR133" s="132">
        <f>IFERROR(KH_26_OPT4_KTQT_v4[[#This Row],[DT-EXW-01]]*KH_26_OPT4_KTQT_v4[[#This Row],[%CPDP]],0)</f>
        <v>0</v>
      </c>
      <c r="DS133" s="132">
        <f>IFERROR(KH_26_OPT4_KTQT_v4[[#This Row],[DT-EXW-02]]*KH_26_OPT4_KTQT_v4[[#This Row],[%CPDP]],0)</f>
        <v>0</v>
      </c>
      <c r="DT133" s="132">
        <f>IFERROR(KH_26_OPT4_KTQT_v4[[#This Row],[DT-EXW-03]]*KH_26_OPT4_KTQT_v4[[#This Row],[%CPDP]],0)</f>
        <v>0</v>
      </c>
      <c r="DU133" s="132">
        <f>IFERROR(KH_26_OPT4_KTQT_v4[[#This Row],[DT-EXW-04]]*KH_26_OPT4_KTQT_v4[[#This Row],[%CPDP]],0)</f>
        <v>0</v>
      </c>
      <c r="DV133" s="132">
        <f>IFERROR(KH_26_OPT4_KTQT_v4[[#This Row],[DT-EXW-05]]*KH_26_OPT4_KTQT_v4[[#This Row],[%CPDP]],0)</f>
        <v>0</v>
      </c>
      <c r="DW133" s="132">
        <f>IFERROR(KH_26_OPT4_KTQT_v4[[#This Row],[DT-EXW-06]]*KH_26_OPT4_KTQT_v4[[#This Row],[%CPDP]],0)</f>
        <v>0</v>
      </c>
      <c r="DX133" s="132">
        <f>IFERROR(KH_26_OPT4_KTQT_v4[[#This Row],[DT-EXW-07]]*KH_26_OPT4_KTQT_v4[[#This Row],[%CPDP]],0)</f>
        <v>0</v>
      </c>
      <c r="DY133" s="132">
        <f>IFERROR(KH_26_OPT4_KTQT_v4[[#This Row],[DT-EXW-08]]*KH_26_OPT4_KTQT_v4[[#This Row],[%CPDP]],0)</f>
        <v>0</v>
      </c>
      <c r="DZ133" s="132">
        <f>IFERROR(KH_26_OPT4_KTQT_v4[[#This Row],[DT-EXW-09]]*KH_26_OPT4_KTQT_v4[[#This Row],[%CPDP]],0)</f>
        <v>0</v>
      </c>
      <c r="EA133" s="132">
        <f>IFERROR(KH_26_OPT4_KTQT_v4[[#This Row],[DT-EXW-10]]*KH_26_OPT4_KTQT_v4[[#This Row],[%CPDP]],0)</f>
        <v>0</v>
      </c>
      <c r="EB133" s="132">
        <f>IFERROR(KH_26_OPT4_KTQT_v4[[#This Row],[DT-EXW-11]]*KH_26_OPT4_KTQT_v4[[#This Row],[%CPDP]],0)</f>
        <v>0</v>
      </c>
      <c r="EC133" s="132">
        <f>IFERROR(KH_26_OPT4_KTQT_v4[[#This Row],[DT-EXW-12]]*KH_26_OPT4_KTQT_v4[[#This Row],[%CPDP]],0)</f>
        <v>0</v>
      </c>
      <c r="ED133" s="131">
        <f ca="1">SUM(KH_26_OPT4_KTQT_v4[[#This Row],[CPDP-01]:[CPDP-12]])</f>
        <v>0</v>
      </c>
    </row>
    <row r="134" spans="1:134" ht="14.65" hidden="1" customHeight="1" x14ac:dyDescent="0.35">
      <c r="A134" s="18">
        <v>129</v>
      </c>
      <c r="B134" s="71" t="s">
        <v>115</v>
      </c>
      <c r="C134" s="18" t="str">
        <f>IFERROR(_xlfn.XLOOKUP(KH_26_OPT4_KTQT_v4[[#This Row],[Salesman]],MD_Salesman[Salesman],MD_Salesman[SalesManager]),"")</f>
        <v>Quốc Anh</v>
      </c>
      <c r="D134" s="72" t="str">
        <f>IFERROR(INDEX(MD_Customer[Mã khách],MATCH(KH_26_OPT4_KTQT_v4[[#This Row],[Tên khách]],MD_Customer[Tên khách-rút gọn],0)),"")</f>
        <v>105214</v>
      </c>
      <c r="E134" s="7" t="str">
        <f>IFERROR(INDEX(MD_Customer[Parent Account],MATCH(KH_26_OPT4_KTQT_v4[[#This Row],[Tên khách]],MD_Customer[Tên khách-rút gọn],0)),"")</f>
        <v>Người mua hàng không lấy hóa đơn</v>
      </c>
      <c r="F134" s="35" t="s">
        <v>156</v>
      </c>
      <c r="G134" s="7" t="str">
        <f>IFERROR(INDEX(MD_Customer[Phân loại],MATCH(KH_26_OPT4_KTQT_v4[[#This Row],[Tên khách]],MD_Customer[Tên khách-rút gọn],0)),"")</f>
        <v>Hiện hữu</v>
      </c>
      <c r="H134" s="7" t="str">
        <f>IFERROR(INDEX(MD_Customer[Kênh bán hàng],MATCH(KH_26_OPT4_KTQT_v4[[#This Row],[Tên khách]],MD_Customer[Tên khách-rút gọn],0)),"")</f>
        <v>Nội địa</v>
      </c>
      <c r="I134" s="35" t="s">
        <v>258</v>
      </c>
      <c r="J134" s="7" t="str">
        <f>IFERROR(INDEX(MD_Destination[Nước],MATCH(KH_26_OPT4_KTQT_v4[[#This Row],[Địa điểm đến]],MD_Destination[Địa điểm đến],0)),"")</f>
        <v>Việt Nam</v>
      </c>
      <c r="K134" s="7" t="str">
        <f>IFERROR(INDEX(MD_Destination[Khu vực],MATCH(KH_26_OPT4_KTQT_v4[[#This Row],[Địa điểm đến]],MD_Destination[Địa điểm đến],0)),"")</f>
        <v>Châu Á</v>
      </c>
      <c r="L134" s="35" t="s">
        <v>260</v>
      </c>
      <c r="M134" s="7" t="str">
        <f>IFERROR(INDEX(MD_SKU[Mã SKU],MATCH(KH_26_OPT4_KTQT_v4[[#This Row],[Tên sản phẩm]],MD_SKU[Tên SKU-rút gọn],0)),"")</f>
        <v>110000412</v>
      </c>
      <c r="N134" s="35" t="s">
        <v>475</v>
      </c>
      <c r="O134" s="7" t="str">
        <f>IFERROR(INDEX(MD_SKU[Ngành hàng],MATCH(KH_26_OPT4_KTQT_v4[[#This Row],[Tên sản phẩm]],MD_SKU[Tên SKU-rút gọn],0)),"")</f>
        <v>rHDPE ép</v>
      </c>
      <c r="P134" s="7" t="str">
        <f>IFERROR(INDEX(MD_SKU[Nhóm ngành],MATCH(KH_26_OPT4_KTQT_v4[[#This Row],[Tên sản phẩm]],MD_SKU[Tên SKU-rút gọn],0)),"")</f>
        <v>Vảy HD ép</v>
      </c>
      <c r="Q134" s="7" t="str">
        <f>IFERROR(
   IF(INDEX(MD_SKU[IV/IM],MATCH(KH_26_OPT4_KTQT_v4[[#This Row],[Tên sản phẩm]],MD_SKU[Tên SKU-rút gọn],0))=0,
      "",
      INDEX(MD_SKU[IV/IM],MATCH(KH_26_OPT4_KTQT_v4[[#This Row],[Tên sản phẩm]],MD_SKU[Tên SKU-rút gọn],0))
   ),
"")</f>
        <v/>
      </c>
      <c r="R134" s="44">
        <f>IFERROR(INDEX(MD_SKU[Application],MATCH(KH_26_OPT4_KTQT_v4[[#This Row],[Tên sản phẩm]],MD_SKU[Tên SKU-rút gọn],0)),"")</f>
        <v>0</v>
      </c>
      <c r="S134" s="7" t="str">
        <f>IFERROR(INDEX(MD_SKU[Phân loại],MATCH(KH_26_OPT4_KTQT_v4[[#This Row],[Tên sản phẩm]],MD_SKU[Tên SKU-rút gọn],0)),"")</f>
        <v>Cũ</v>
      </c>
      <c r="T134" s="7"/>
      <c r="U134" s="7"/>
      <c r="V134" s="70">
        <v>0.8</v>
      </c>
      <c r="W134" s="33"/>
      <c r="X134" s="33"/>
      <c r="Y134" s="33"/>
      <c r="Z134" s="33"/>
      <c r="AA134" s="33"/>
      <c r="AB134" s="33"/>
      <c r="AC134" s="33"/>
      <c r="AD134" s="33"/>
      <c r="AE134" s="33"/>
      <c r="AF134" s="33"/>
      <c r="AG134" s="33"/>
      <c r="AH134" s="33"/>
      <c r="AI134" s="47">
        <f ca="1">SUM(KH_26_OPT4_KTQT_v4[[#This Row],[SL-01]:[SL-12]])</f>
        <v>0</v>
      </c>
      <c r="AJ134" s="47">
        <f ca="1">SUMIFS(DB_25[SL-DB25],DB_25[Mã khách],KH_26_OPT4_KTQT_v4[[#This Row],[Mã khách]],DB_25[Mã sản phẩm],KH_26_OPT4_KTQT_v4[[#This Row],[Mã sản phẩm]])</f>
        <v>2.5000000000000001E-2</v>
      </c>
      <c r="AK134" s="20">
        <f ca="1">KH_26_OPT4_KTQT_v4[[#This Row],[SL-KH26]]-KH_26_OPT4_KTQT_v4[[#This Row],[SL-DB25]]</f>
        <v>-2.5000000000000001E-2</v>
      </c>
      <c r="AL134" s="21">
        <f ca="1">IFERROR(KH_26_OPT4_KTQT_v4[[#This Row],[SL-+/-]]/KH_26_OPT4_KTQT_v4[[#This Row],[SL-DB25]],0)</f>
        <v>-1</v>
      </c>
      <c r="AM134" s="51">
        <v>560</v>
      </c>
      <c r="AN134" s="51">
        <v>560</v>
      </c>
      <c r="AO134" s="51">
        <v>560</v>
      </c>
      <c r="AP134" s="51">
        <v>560</v>
      </c>
      <c r="AQ134" s="51">
        <v>560</v>
      </c>
      <c r="AR134" s="51">
        <v>560</v>
      </c>
      <c r="AS134" s="51">
        <v>560</v>
      </c>
      <c r="AT134" s="51">
        <v>560</v>
      </c>
      <c r="AU134" s="51">
        <v>560</v>
      </c>
      <c r="AV134" s="51">
        <v>560</v>
      </c>
      <c r="AW134" s="51">
        <v>560</v>
      </c>
      <c r="AX134" s="51">
        <v>560</v>
      </c>
      <c r="AY134" s="23">
        <v>560</v>
      </c>
      <c r="AZ134" s="7"/>
      <c r="BA134" s="24">
        <f>KH_26_OPT4_KTQT_v4[[#This Row],[GB-DB25]]-KH_26_OPT4_KTQT_v4[[#This Row],[GB-KH25]]</f>
        <v>560</v>
      </c>
      <c r="BB134" s="21">
        <f>IFERROR(KH_26_OPT4_KTQT_v4[[#This Row],[GB-+/-]]/KH_26_OPT4_KTQT_v4[[#This Row],[GB-KH25]],0)</f>
        <v>0</v>
      </c>
      <c r="BC134" s="21"/>
      <c r="BD134" s="47">
        <f>KH_26_OPT4_KTQT_v4[[#This Row],[SL-01]]*KH_26_OPT4_KTQT_v4[[#This Row],[GB-01]]*EXR</f>
        <v>0</v>
      </c>
      <c r="BE134" s="47">
        <f>KH_26_OPT4_KTQT_v4[[#This Row],[SL-02]]*KH_26_OPT4_KTQT_v4[[#This Row],[GB-02]]*EXR</f>
        <v>0</v>
      </c>
      <c r="BF134" s="47">
        <f>KH_26_OPT4_KTQT_v4[[#This Row],[SL-03]]*KH_26_OPT4_KTQT_v4[[#This Row],[GB-03]]*EXR</f>
        <v>0</v>
      </c>
      <c r="BG134" s="47">
        <f>KH_26_OPT4_KTQT_v4[[#This Row],[SL-04]]*KH_26_OPT4_KTQT_v4[[#This Row],[GB-04]]*EXR</f>
        <v>0</v>
      </c>
      <c r="BH134" s="47">
        <f>KH_26_OPT4_KTQT_v4[[#This Row],[SL-05]]*KH_26_OPT4_KTQT_v4[[#This Row],[GB-05]]*EXR</f>
        <v>0</v>
      </c>
      <c r="BI134" s="47">
        <f>KH_26_OPT4_KTQT_v4[[#This Row],[SL-06]]*KH_26_OPT4_KTQT_v4[[#This Row],[GB-06]]*EXR</f>
        <v>0</v>
      </c>
      <c r="BJ134" s="47">
        <f>KH_26_OPT4_KTQT_v4[[#This Row],[SL-07]]*KH_26_OPT4_KTQT_v4[[#This Row],[GB-07]]*EXR</f>
        <v>0</v>
      </c>
      <c r="BK134" s="47">
        <f>KH_26_OPT4_KTQT_v4[[#This Row],[SL-08]]*KH_26_OPT4_KTQT_v4[[#This Row],[GB-08]]*EXR</f>
        <v>0</v>
      </c>
      <c r="BL134" s="47">
        <f>KH_26_OPT4_KTQT_v4[[#This Row],[SL-09]]*KH_26_OPT4_KTQT_v4[[#This Row],[GB-09]]*EXR</f>
        <v>0</v>
      </c>
      <c r="BM134" s="47">
        <f>KH_26_OPT4_KTQT_v4[[#This Row],[SL-10]]*KH_26_OPT4_KTQT_v4[[#This Row],[GB-10]]*EXR</f>
        <v>0</v>
      </c>
      <c r="BN134" s="47">
        <f>KH_26_OPT4_KTQT_v4[[#This Row],[SL-11]]*KH_26_OPT4_KTQT_v4[[#This Row],[GB-11]]*EXR</f>
        <v>0</v>
      </c>
      <c r="BO134" s="47">
        <f>KH_26_OPT4_KTQT_v4[[#This Row],[SL-12]]*KH_26_OPT4_KTQT_v4[[#This Row],[GB-12]]*EXR</f>
        <v>0</v>
      </c>
      <c r="BP134" s="47">
        <f ca="1">SUM(KH_26_OPT4_KTQT_v4[[#This Row],[DT-EXW-01]:[DT-EXW-12]])</f>
        <v>0</v>
      </c>
      <c r="BQ134" s="47">
        <f ca="1">SUMIFS(DB_25[DT-DB25],DB_25[Mã khách],KH_26_OPT4_KTQT_v4[[#This Row],[Mã khách]],DB_25[Mã sản phẩm],KH_26_OPT4_KTQT_v4[[#This Row],[Mã sản phẩm]])</f>
        <v>375000</v>
      </c>
      <c r="BR134" s="47">
        <f ca="1">KH_26_OPT4_KTQT_v4[[#This Row],[DT-EXW-KH26]]-KH_26_OPT4_KTQT_v4[[#This Row],[DT-EXW-DB25]]</f>
        <v>-375000</v>
      </c>
      <c r="BS134" s="21">
        <f ca="1">IFERROR(KH_26_OPT4_KTQT_v4[[#This Row],[DT-EXW-+/-]]/KH_26_OPT4_KTQT_v4[[#This Row],[DT-EXW-DB25]],0)</f>
        <v>-1</v>
      </c>
      <c r="BT134" s="139"/>
      <c r="BU134" s="57"/>
      <c r="BV134" s="51"/>
      <c r="BW134" s="47">
        <f>IF(KH_26_OPT4_KTQT_v4[[#This Row],[CPHH-%-SL]]="Dthu",KH_26_OPT4_KTQT_v4[[#This Row],[%HH]]*KH_26_OPT4_KTQT_v4[[#This Row],[DT-EXW-01]],KH_26_OPT4_KTQT_v4[[#This Row],[HH-SL]]*KH_26_OPT4_KTQT_v4[[#This Row],[SL-01]])</f>
        <v>0</v>
      </c>
      <c r="BX134" s="47">
        <f>IF(KH_26_OPT4_KTQT_v4[[#This Row],[CPHH-%-SL]]="Dthu",KH_26_OPT4_KTQT_v4[[#This Row],[%HH]]*KH_26_OPT4_KTQT_v4[[#This Row],[DT-EXW-02]],KH_26_OPT4_KTQT_v4[[#This Row],[HH-SL]]*KH_26_OPT4_KTQT_v4[[#This Row],[SL-02]])</f>
        <v>0</v>
      </c>
      <c r="BY134" s="47">
        <f>IF(KH_26_OPT4_KTQT_v4[[#This Row],[CPHH-%-SL]]="Dthu",KH_26_OPT4_KTQT_v4[[#This Row],[%HH]]*KH_26_OPT4_KTQT_v4[[#This Row],[DT-EXW-03]],KH_26_OPT4_KTQT_v4[[#This Row],[HH-SL]]*KH_26_OPT4_KTQT_v4[[#This Row],[SL-03]])</f>
        <v>0</v>
      </c>
      <c r="BZ134" s="47">
        <f>IF(KH_26_OPT4_KTQT_v4[[#This Row],[CPHH-%-SL]]="Dthu",KH_26_OPT4_KTQT_v4[[#This Row],[%HH]]*KH_26_OPT4_KTQT_v4[[#This Row],[DT-EXW-04]],KH_26_OPT4_KTQT_v4[[#This Row],[HH-SL]]*KH_26_OPT4_KTQT_v4[[#This Row],[SL-04]])</f>
        <v>0</v>
      </c>
      <c r="CA134" s="47">
        <f>IF(KH_26_OPT4_KTQT_v4[[#This Row],[CPHH-%-SL]]="Dthu",KH_26_OPT4_KTQT_v4[[#This Row],[%HH]]*KH_26_OPT4_KTQT_v4[[#This Row],[DT-EXW-05]],KH_26_OPT4_KTQT_v4[[#This Row],[HH-SL]]*KH_26_OPT4_KTQT_v4[[#This Row],[SL-05]])</f>
        <v>0</v>
      </c>
      <c r="CB134" s="47">
        <f>IF(KH_26_OPT4_KTQT_v4[[#This Row],[CPHH-%-SL]]="Dthu",KH_26_OPT4_KTQT_v4[[#This Row],[%HH]]*KH_26_OPT4_KTQT_v4[[#This Row],[DT-EXW-06]],KH_26_OPT4_KTQT_v4[[#This Row],[HH-SL]]*KH_26_OPT4_KTQT_v4[[#This Row],[SL-06]])</f>
        <v>0</v>
      </c>
      <c r="CC134" s="47">
        <f>IF(KH_26_OPT4_KTQT_v4[[#This Row],[CPHH-%-SL]]="Dthu",KH_26_OPT4_KTQT_v4[[#This Row],[%HH]]*KH_26_OPT4_KTQT_v4[[#This Row],[DT-EXW-07]],KH_26_OPT4_KTQT_v4[[#This Row],[HH-SL]]*KH_26_OPT4_KTQT_v4[[#This Row],[SL-07]])</f>
        <v>0</v>
      </c>
      <c r="CD134" s="47">
        <f>IF(KH_26_OPT4_KTQT_v4[[#This Row],[CPHH-%-SL]]="Dthu",KH_26_OPT4_KTQT_v4[[#This Row],[%HH]]*KH_26_OPT4_KTQT_v4[[#This Row],[DT-EXW-08]],KH_26_OPT4_KTQT_v4[[#This Row],[HH-SL]]*KH_26_OPT4_KTQT_v4[[#This Row],[SL-08]])</f>
        <v>0</v>
      </c>
      <c r="CE134" s="47">
        <f>IF(KH_26_OPT4_KTQT_v4[[#This Row],[CPHH-%-SL]]="Dthu",KH_26_OPT4_KTQT_v4[[#This Row],[%HH]]*KH_26_OPT4_KTQT_v4[[#This Row],[DT-EXW-09]],KH_26_OPT4_KTQT_v4[[#This Row],[HH-SL]]*KH_26_OPT4_KTQT_v4[[#This Row],[SL-09]])</f>
        <v>0</v>
      </c>
      <c r="CF134" s="47">
        <f>IF(KH_26_OPT4_KTQT_v4[[#This Row],[CPHH-%-SL]]="Dthu",KH_26_OPT4_KTQT_v4[[#This Row],[%HH]]*KH_26_OPT4_KTQT_v4[[#This Row],[DT-EXW-10]],KH_26_OPT4_KTQT_v4[[#This Row],[HH-SL]]*KH_26_OPT4_KTQT_v4[[#This Row],[SL-10]])</f>
        <v>0</v>
      </c>
      <c r="CG134" s="47">
        <f>IF(KH_26_OPT4_KTQT_v4[[#This Row],[CPHH-%-SL]]="Dthu",KH_26_OPT4_KTQT_v4[[#This Row],[%HH]]*KH_26_OPT4_KTQT_v4[[#This Row],[DT-EXW-11]],KH_26_OPT4_KTQT_v4[[#This Row],[HH-SL]]*KH_26_OPT4_KTQT_v4[[#This Row],[SL-11]])</f>
        <v>0</v>
      </c>
      <c r="CH134" s="47">
        <f>IF(KH_26_OPT4_KTQT_v4[[#This Row],[CPHH-%-SL]]="Dthu",KH_26_OPT4_KTQT_v4[[#This Row],[%HH]]*KH_26_OPT4_KTQT_v4[[#This Row],[DT-EXW-12]],KH_26_OPT4_KTQT_v4[[#This Row],[HH-SL]]*KH_26_OPT4_KTQT_v4[[#This Row],[SL-12]])</f>
        <v>0</v>
      </c>
      <c r="CI134" s="47">
        <f ca="1">SUM(KH_26_OPT4_KTQT_v4[[#This Row],[CPHH-01]:[CPHH-12]])</f>
        <v>0</v>
      </c>
      <c r="CJ134" s="47" cm="1">
        <f t="array" ref="CJ134">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34" s="19">
        <f ca="1">SUM(KH_26_OPT4_KTQT_v4[[#This Row],[ĐGVCNĐ-KXK]:[ĐGVCCT-KXK]])</f>
        <v>0</v>
      </c>
      <c r="CL134" s="47" cm="1">
        <f t="array" ref="CL134">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134" s="47" cm="1">
        <f t="array" ref="CM134">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34" s="47">
        <f ca="1">(KH_26_OPT4_KTQT_v4[[#This Row],[ĐGVC-KNĐ]]+KH_26_OPT4_KTQT_v4[[#This Row],[ĐGVC-KXK]])*KH_26_OPT4_KTQT_v4[[#This Row],[SL-01]]</f>
        <v>0</v>
      </c>
      <c r="CO134" s="47">
        <f ca="1">(KH_26_OPT4_KTQT_v4[[#This Row],[ĐGVC-KNĐ]]+KH_26_OPT4_KTQT_v4[[#This Row],[ĐGVC-KXK]])*KH_26_OPT4_KTQT_v4[[#This Row],[SL-02]]</f>
        <v>0</v>
      </c>
      <c r="CP134" s="47">
        <f ca="1">(KH_26_OPT4_KTQT_v4[[#This Row],[ĐGVC-KNĐ]]+KH_26_OPT4_KTQT_v4[[#This Row],[ĐGVC-KXK]])*KH_26_OPT4_KTQT_v4[[#This Row],[SL-03]]</f>
        <v>0</v>
      </c>
      <c r="CQ134" s="47">
        <f ca="1">(KH_26_OPT4_KTQT_v4[[#This Row],[ĐGVC-KNĐ]]+KH_26_OPT4_KTQT_v4[[#This Row],[ĐGVC-KXK]])*KH_26_OPT4_KTQT_v4[[#This Row],[SL-04]]</f>
        <v>0</v>
      </c>
      <c r="CR134" s="47">
        <f ca="1">(KH_26_OPT4_KTQT_v4[[#This Row],[ĐGVC-KNĐ]]+KH_26_OPT4_KTQT_v4[[#This Row],[ĐGVC-KXK]])*KH_26_OPT4_KTQT_v4[[#This Row],[SL-05]]</f>
        <v>0</v>
      </c>
      <c r="CS134" s="47">
        <f ca="1">(KH_26_OPT4_KTQT_v4[[#This Row],[ĐGVC-KNĐ]]+KH_26_OPT4_KTQT_v4[[#This Row],[ĐGVC-KXK]])*KH_26_OPT4_KTQT_v4[[#This Row],[SL-06]]</f>
        <v>0</v>
      </c>
      <c r="CT134" s="47">
        <f ca="1">(KH_26_OPT4_KTQT_v4[[#This Row],[ĐGVC-KNĐ]]+KH_26_OPT4_KTQT_v4[[#This Row],[ĐGVC-KXK]])*KH_26_OPT4_KTQT_v4[[#This Row],[SL-07]]</f>
        <v>0</v>
      </c>
      <c r="CU134" s="47">
        <f ca="1">(KH_26_OPT4_KTQT_v4[[#This Row],[ĐGVC-KNĐ]]+KH_26_OPT4_KTQT_v4[[#This Row],[ĐGVC-KXK]])*KH_26_OPT4_KTQT_v4[[#This Row],[SL-08]]</f>
        <v>0</v>
      </c>
      <c r="CV134" s="47">
        <f ca="1">(KH_26_OPT4_KTQT_v4[[#This Row],[ĐGVC-KNĐ]]+KH_26_OPT4_KTQT_v4[[#This Row],[ĐGVC-KXK]])*KH_26_OPT4_KTQT_v4[[#This Row],[SL-09]]</f>
        <v>0</v>
      </c>
      <c r="CW134" s="47">
        <f ca="1">(KH_26_OPT4_KTQT_v4[[#This Row],[ĐGVC-KNĐ]]+KH_26_OPT4_KTQT_v4[[#This Row],[ĐGVC-KXK]])*KH_26_OPT4_KTQT_v4[[#This Row],[SL-10]]</f>
        <v>0</v>
      </c>
      <c r="CX134" s="47">
        <f ca="1">(KH_26_OPT4_KTQT_v4[[#This Row],[ĐGVC-KNĐ]]+KH_26_OPT4_KTQT_v4[[#This Row],[ĐGVC-KXK]])*KH_26_OPT4_KTQT_v4[[#This Row],[SL-11]]</f>
        <v>0</v>
      </c>
      <c r="CY134" s="47">
        <f ca="1">(KH_26_OPT4_KTQT_v4[[#This Row],[ĐGVC-KNĐ]]+KH_26_OPT4_KTQT_v4[[#This Row],[ĐGVC-KXK]])*KH_26_OPT4_KTQT_v4[[#This Row],[SL-12]]</f>
        <v>0</v>
      </c>
      <c r="CZ134" s="47">
        <f ca="1">SUM(KH_26_OPT4_KTQT_v4[[#This Row],[CPVC-01]:[CPVC-12]])</f>
        <v>0</v>
      </c>
      <c r="DA134" s="124">
        <f ca="1">KH_26_OPT4_KTQT_v4[[#This Row],[DT-EXW-01]]+KH_26_OPT4_KTQT_v4[[#This Row],[CPVC-01]]+KH_26_OPT4_KTQT_v4[[#This Row],[CPHH-01]]</f>
        <v>0</v>
      </c>
      <c r="DB134" s="47">
        <f ca="1">KH_26_OPT4_KTQT_v4[[#This Row],[DT-EXW-02]]+KH_26_OPT4_KTQT_v4[[#This Row],[CPVC-02]]+KH_26_OPT4_KTQT_v4[[#This Row],[CPHH-02]]</f>
        <v>0</v>
      </c>
      <c r="DC134" s="47">
        <f ca="1">KH_26_OPT4_KTQT_v4[[#This Row],[DT-EXW-03]]+KH_26_OPT4_KTQT_v4[[#This Row],[CPVC-03]]+KH_26_OPT4_KTQT_v4[[#This Row],[CPHH-03]]</f>
        <v>0</v>
      </c>
      <c r="DD134" s="47">
        <f ca="1">KH_26_OPT4_KTQT_v4[[#This Row],[DT-EXW-04]]+KH_26_OPT4_KTQT_v4[[#This Row],[CPVC-04]]+KH_26_OPT4_KTQT_v4[[#This Row],[CPHH-04]]</f>
        <v>0</v>
      </c>
      <c r="DE134" s="47">
        <f ca="1">KH_26_OPT4_KTQT_v4[[#This Row],[DT-EXW-05]]+KH_26_OPT4_KTQT_v4[[#This Row],[CPVC-05]]+KH_26_OPT4_KTQT_v4[[#This Row],[CPHH-05]]</f>
        <v>0</v>
      </c>
      <c r="DF134" s="47">
        <f ca="1">KH_26_OPT4_KTQT_v4[[#This Row],[DT-EXW-06]]+KH_26_OPT4_KTQT_v4[[#This Row],[CPVC-06]]+KH_26_OPT4_KTQT_v4[[#This Row],[CPHH-06]]</f>
        <v>0</v>
      </c>
      <c r="DG134" s="47">
        <f ca="1">KH_26_OPT4_KTQT_v4[[#This Row],[DT-EXW-07]]+KH_26_OPT4_KTQT_v4[[#This Row],[CPVC-07]]+KH_26_OPT4_KTQT_v4[[#This Row],[CPHH-07]]</f>
        <v>0</v>
      </c>
      <c r="DH134" s="47">
        <f ca="1">KH_26_OPT4_KTQT_v4[[#This Row],[DT-EXW-08]]+KH_26_OPT4_KTQT_v4[[#This Row],[CPVC-08]]+KH_26_OPT4_KTQT_v4[[#This Row],[CPHH-08]]</f>
        <v>0</v>
      </c>
      <c r="DI134" s="47">
        <f ca="1">KH_26_OPT4_KTQT_v4[[#This Row],[DT-EXW-09]]+KH_26_OPT4_KTQT_v4[[#This Row],[CPVC-09]]+KH_26_OPT4_KTQT_v4[[#This Row],[CPHH-09]]</f>
        <v>0</v>
      </c>
      <c r="DJ134" s="47">
        <f ca="1">KH_26_OPT4_KTQT_v4[[#This Row],[DT-EXW-10]]+KH_26_OPT4_KTQT_v4[[#This Row],[CPVC-10]]+KH_26_OPT4_KTQT_v4[[#This Row],[CPHH-10]]</f>
        <v>0</v>
      </c>
      <c r="DK134" s="47">
        <f ca="1">KH_26_OPT4_KTQT_v4[[#This Row],[DT-EXW-11]]+KH_26_OPT4_KTQT_v4[[#This Row],[CPVC-11]]+KH_26_OPT4_KTQT_v4[[#This Row],[CPHH-11]]</f>
        <v>0</v>
      </c>
      <c r="DL134" s="47">
        <f ca="1">KH_26_OPT4_KTQT_v4[[#This Row],[DT-EXW-12]]+KH_26_OPT4_KTQT_v4[[#This Row],[CPVC-12]]+KH_26_OPT4_KTQT_v4[[#This Row],[CPHH-12]]</f>
        <v>0</v>
      </c>
      <c r="DM134" s="47">
        <f ca="1">SUM(KH_26_OPT4_KTQT_v4[[#This Row],[DT-01]:[DT-12]])</f>
        <v>0</v>
      </c>
      <c r="DN134" s="7"/>
      <c r="DO134" s="7"/>
      <c r="DP134" s="125"/>
      <c r="DQ134" s="136"/>
      <c r="DR134" s="132">
        <f>IFERROR(KH_26_OPT4_KTQT_v4[[#This Row],[DT-EXW-01]]*KH_26_OPT4_KTQT_v4[[#This Row],[%CPDP]],0)</f>
        <v>0</v>
      </c>
      <c r="DS134" s="132">
        <f>IFERROR(KH_26_OPT4_KTQT_v4[[#This Row],[DT-EXW-02]]*KH_26_OPT4_KTQT_v4[[#This Row],[%CPDP]],0)</f>
        <v>0</v>
      </c>
      <c r="DT134" s="132">
        <f>IFERROR(KH_26_OPT4_KTQT_v4[[#This Row],[DT-EXW-03]]*KH_26_OPT4_KTQT_v4[[#This Row],[%CPDP]],0)</f>
        <v>0</v>
      </c>
      <c r="DU134" s="132">
        <f>IFERROR(KH_26_OPT4_KTQT_v4[[#This Row],[DT-EXW-04]]*KH_26_OPT4_KTQT_v4[[#This Row],[%CPDP]],0)</f>
        <v>0</v>
      </c>
      <c r="DV134" s="132">
        <f>IFERROR(KH_26_OPT4_KTQT_v4[[#This Row],[DT-EXW-05]]*KH_26_OPT4_KTQT_v4[[#This Row],[%CPDP]],0)</f>
        <v>0</v>
      </c>
      <c r="DW134" s="132">
        <f>IFERROR(KH_26_OPT4_KTQT_v4[[#This Row],[DT-EXW-06]]*KH_26_OPT4_KTQT_v4[[#This Row],[%CPDP]],0)</f>
        <v>0</v>
      </c>
      <c r="DX134" s="132">
        <f>IFERROR(KH_26_OPT4_KTQT_v4[[#This Row],[DT-EXW-07]]*KH_26_OPT4_KTQT_v4[[#This Row],[%CPDP]],0)</f>
        <v>0</v>
      </c>
      <c r="DY134" s="132">
        <f>IFERROR(KH_26_OPT4_KTQT_v4[[#This Row],[DT-EXW-08]]*KH_26_OPT4_KTQT_v4[[#This Row],[%CPDP]],0)</f>
        <v>0</v>
      </c>
      <c r="DZ134" s="132">
        <f>IFERROR(KH_26_OPT4_KTQT_v4[[#This Row],[DT-EXW-09]]*KH_26_OPT4_KTQT_v4[[#This Row],[%CPDP]],0)</f>
        <v>0</v>
      </c>
      <c r="EA134" s="132">
        <f>IFERROR(KH_26_OPT4_KTQT_v4[[#This Row],[DT-EXW-10]]*KH_26_OPT4_KTQT_v4[[#This Row],[%CPDP]],0)</f>
        <v>0</v>
      </c>
      <c r="EB134" s="132">
        <f>IFERROR(KH_26_OPT4_KTQT_v4[[#This Row],[DT-EXW-11]]*KH_26_OPT4_KTQT_v4[[#This Row],[%CPDP]],0)</f>
        <v>0</v>
      </c>
      <c r="EC134" s="132">
        <f>IFERROR(KH_26_OPT4_KTQT_v4[[#This Row],[DT-EXW-12]]*KH_26_OPT4_KTQT_v4[[#This Row],[%CPDP]],0)</f>
        <v>0</v>
      </c>
      <c r="ED134" s="131">
        <f ca="1">SUM(KH_26_OPT4_KTQT_v4[[#This Row],[CPDP-01]:[CPDP-12]])</f>
        <v>0</v>
      </c>
    </row>
    <row r="135" spans="1:134" ht="14.65" hidden="1" customHeight="1" x14ac:dyDescent="0.35">
      <c r="A135" s="18">
        <v>130</v>
      </c>
      <c r="B135" s="71" t="s">
        <v>115</v>
      </c>
      <c r="C135" s="18" t="str">
        <f>IFERROR(_xlfn.XLOOKUP(KH_26_OPT4_KTQT_v4[[#This Row],[Salesman]],MD_Salesman[Salesman],MD_Salesman[SalesManager]),"")</f>
        <v>Quốc Anh</v>
      </c>
      <c r="D135" s="72" t="str">
        <f>IFERROR(INDEX(MD_Customer[Mã khách],MATCH(KH_26_OPT4_KTQT_v4[[#This Row],[Tên khách]],MD_Customer[Tên khách-rút gọn],0)),"")</f>
        <v>105214</v>
      </c>
      <c r="E135" s="7" t="str">
        <f>IFERROR(INDEX(MD_Customer[Parent Account],MATCH(KH_26_OPT4_KTQT_v4[[#This Row],[Tên khách]],MD_Customer[Tên khách-rút gọn],0)),"")</f>
        <v>Người mua hàng không lấy hóa đơn</v>
      </c>
      <c r="F135" s="35" t="s">
        <v>156</v>
      </c>
      <c r="G135" s="7" t="str">
        <f>IFERROR(INDEX(MD_Customer[Phân loại],MATCH(KH_26_OPT4_KTQT_v4[[#This Row],[Tên khách]],MD_Customer[Tên khách-rút gọn],0)),"")</f>
        <v>Hiện hữu</v>
      </c>
      <c r="H135" s="7" t="str">
        <f>IFERROR(INDEX(MD_Customer[Kênh bán hàng],MATCH(KH_26_OPT4_KTQT_v4[[#This Row],[Tên khách]],MD_Customer[Tên khách-rút gọn],0)),"")</f>
        <v>Nội địa</v>
      </c>
      <c r="I135" s="35" t="s">
        <v>258</v>
      </c>
      <c r="J135" s="7" t="str">
        <f>IFERROR(INDEX(MD_Destination[Nước],MATCH(KH_26_OPT4_KTQT_v4[[#This Row],[Địa điểm đến]],MD_Destination[Địa điểm đến],0)),"")</f>
        <v>Việt Nam</v>
      </c>
      <c r="K135" s="7" t="str">
        <f>IFERROR(INDEX(MD_Destination[Khu vực],MATCH(KH_26_OPT4_KTQT_v4[[#This Row],[Địa điểm đến]],MD_Destination[Địa điểm đến],0)),"")</f>
        <v>Châu Á</v>
      </c>
      <c r="L135" s="35" t="s">
        <v>260</v>
      </c>
      <c r="M135" s="7" t="str">
        <f>IFERROR(INDEX(MD_SKU[Mã SKU],MATCH(KH_26_OPT4_KTQT_v4[[#This Row],[Tên sản phẩm]],MD_SKU[Tên SKU-rút gọn],0)),"")</f>
        <v>110000413</v>
      </c>
      <c r="N135" s="35" t="s">
        <v>476</v>
      </c>
      <c r="O135" s="7" t="str">
        <f>IFERROR(INDEX(MD_SKU[Ngành hàng],MATCH(KH_26_OPT4_KTQT_v4[[#This Row],[Tên sản phẩm]],MD_SKU[Tên SKU-rút gọn],0)),"")</f>
        <v>rHDPE ép</v>
      </c>
      <c r="P135" s="7" t="str">
        <f>IFERROR(INDEX(MD_SKU[Nhóm ngành],MATCH(KH_26_OPT4_KTQT_v4[[#This Row],[Tên sản phẩm]],MD_SKU[Tên SKU-rút gọn],0)),"")</f>
        <v>Vảy HD ép</v>
      </c>
      <c r="Q135" s="7" t="str">
        <f>IFERROR(
   IF(INDEX(MD_SKU[IV/IM],MATCH(KH_26_OPT4_KTQT_v4[[#This Row],[Tên sản phẩm]],MD_SKU[Tên SKU-rút gọn],0))=0,
      "",
      INDEX(MD_SKU[IV/IM],MATCH(KH_26_OPT4_KTQT_v4[[#This Row],[Tên sản phẩm]],MD_SKU[Tên SKU-rút gọn],0))
   ),
"")</f>
        <v/>
      </c>
      <c r="R135" s="44">
        <f>IFERROR(INDEX(MD_SKU[Application],MATCH(KH_26_OPT4_KTQT_v4[[#This Row],[Tên sản phẩm]],MD_SKU[Tên SKU-rút gọn],0)),"")</f>
        <v>0</v>
      </c>
      <c r="S135" s="7" t="str">
        <f>IFERROR(INDEX(MD_SKU[Phân loại],MATCH(KH_26_OPT4_KTQT_v4[[#This Row],[Tên sản phẩm]],MD_SKU[Tên SKU-rút gọn],0)),"")</f>
        <v>Cũ</v>
      </c>
      <c r="T135" s="7"/>
      <c r="U135" s="7"/>
      <c r="V135" s="70">
        <v>0.8</v>
      </c>
      <c r="W135" s="33"/>
      <c r="X135" s="33"/>
      <c r="Y135" s="33"/>
      <c r="Z135" s="33"/>
      <c r="AA135" s="33"/>
      <c r="AB135" s="33"/>
      <c r="AC135" s="33"/>
      <c r="AD135" s="33"/>
      <c r="AE135" s="33"/>
      <c r="AF135" s="33"/>
      <c r="AG135" s="33"/>
      <c r="AH135" s="33"/>
      <c r="AI135" s="47">
        <f ca="1">SUM(KH_26_OPT4_KTQT_v4[[#This Row],[SL-01]:[SL-12]])</f>
        <v>0</v>
      </c>
      <c r="AJ135" s="47">
        <f ca="1">SUMIFS(DB_25[SL-DB25],DB_25[Mã khách],KH_26_OPT4_KTQT_v4[[#This Row],[Mã khách]],DB_25[Mã sản phẩm],KH_26_OPT4_KTQT_v4[[#This Row],[Mã sản phẩm]])</f>
        <v>2.5000000000000001E-2</v>
      </c>
      <c r="AK135" s="20">
        <f ca="1">KH_26_OPT4_KTQT_v4[[#This Row],[SL-KH26]]-KH_26_OPT4_KTQT_v4[[#This Row],[SL-DB25]]</f>
        <v>-2.5000000000000001E-2</v>
      </c>
      <c r="AL135" s="21">
        <f ca="1">IFERROR(KH_26_OPT4_KTQT_v4[[#This Row],[SL-+/-]]/KH_26_OPT4_KTQT_v4[[#This Row],[SL-DB25]],0)</f>
        <v>-1</v>
      </c>
      <c r="AM135" s="51">
        <v>560</v>
      </c>
      <c r="AN135" s="51">
        <v>560</v>
      </c>
      <c r="AO135" s="51">
        <v>560</v>
      </c>
      <c r="AP135" s="51">
        <v>560</v>
      </c>
      <c r="AQ135" s="51">
        <v>560</v>
      </c>
      <c r="AR135" s="51">
        <v>560</v>
      </c>
      <c r="AS135" s="51">
        <v>560</v>
      </c>
      <c r="AT135" s="51">
        <v>560</v>
      </c>
      <c r="AU135" s="51">
        <v>560</v>
      </c>
      <c r="AV135" s="51">
        <v>560</v>
      </c>
      <c r="AW135" s="51">
        <v>560</v>
      </c>
      <c r="AX135" s="51">
        <v>560</v>
      </c>
      <c r="AY135" s="23">
        <v>560</v>
      </c>
      <c r="AZ135" s="7"/>
      <c r="BA135" s="24">
        <f>KH_26_OPT4_KTQT_v4[[#This Row],[GB-DB25]]-KH_26_OPT4_KTQT_v4[[#This Row],[GB-KH25]]</f>
        <v>560</v>
      </c>
      <c r="BB135" s="21">
        <f>IFERROR(KH_26_OPT4_KTQT_v4[[#This Row],[GB-+/-]]/KH_26_OPT4_KTQT_v4[[#This Row],[GB-KH25]],0)</f>
        <v>0</v>
      </c>
      <c r="BC135" s="21"/>
      <c r="BD135" s="47">
        <f>KH_26_OPT4_KTQT_v4[[#This Row],[SL-01]]*KH_26_OPT4_KTQT_v4[[#This Row],[GB-01]]*EXR</f>
        <v>0</v>
      </c>
      <c r="BE135" s="47">
        <f>KH_26_OPT4_KTQT_v4[[#This Row],[SL-02]]*KH_26_OPT4_KTQT_v4[[#This Row],[GB-02]]*EXR</f>
        <v>0</v>
      </c>
      <c r="BF135" s="47">
        <f>KH_26_OPT4_KTQT_v4[[#This Row],[SL-03]]*KH_26_OPT4_KTQT_v4[[#This Row],[GB-03]]*EXR</f>
        <v>0</v>
      </c>
      <c r="BG135" s="47">
        <f>KH_26_OPT4_KTQT_v4[[#This Row],[SL-04]]*KH_26_OPT4_KTQT_v4[[#This Row],[GB-04]]*EXR</f>
        <v>0</v>
      </c>
      <c r="BH135" s="47">
        <f>KH_26_OPT4_KTQT_v4[[#This Row],[SL-05]]*KH_26_OPT4_KTQT_v4[[#This Row],[GB-05]]*EXR</f>
        <v>0</v>
      </c>
      <c r="BI135" s="47">
        <f>KH_26_OPT4_KTQT_v4[[#This Row],[SL-06]]*KH_26_OPT4_KTQT_v4[[#This Row],[GB-06]]*EXR</f>
        <v>0</v>
      </c>
      <c r="BJ135" s="47">
        <f>KH_26_OPT4_KTQT_v4[[#This Row],[SL-07]]*KH_26_OPT4_KTQT_v4[[#This Row],[GB-07]]*EXR</f>
        <v>0</v>
      </c>
      <c r="BK135" s="47">
        <f>KH_26_OPT4_KTQT_v4[[#This Row],[SL-08]]*KH_26_OPT4_KTQT_v4[[#This Row],[GB-08]]*EXR</f>
        <v>0</v>
      </c>
      <c r="BL135" s="47">
        <f>KH_26_OPT4_KTQT_v4[[#This Row],[SL-09]]*KH_26_OPT4_KTQT_v4[[#This Row],[GB-09]]*EXR</f>
        <v>0</v>
      </c>
      <c r="BM135" s="47">
        <f>KH_26_OPT4_KTQT_v4[[#This Row],[SL-10]]*KH_26_OPT4_KTQT_v4[[#This Row],[GB-10]]*EXR</f>
        <v>0</v>
      </c>
      <c r="BN135" s="47">
        <f>KH_26_OPT4_KTQT_v4[[#This Row],[SL-11]]*KH_26_OPT4_KTQT_v4[[#This Row],[GB-11]]*EXR</f>
        <v>0</v>
      </c>
      <c r="BO135" s="47">
        <f>KH_26_OPT4_KTQT_v4[[#This Row],[SL-12]]*KH_26_OPT4_KTQT_v4[[#This Row],[GB-12]]*EXR</f>
        <v>0</v>
      </c>
      <c r="BP135" s="47">
        <f ca="1">SUM(KH_26_OPT4_KTQT_v4[[#This Row],[DT-EXW-01]:[DT-EXW-12]])</f>
        <v>0</v>
      </c>
      <c r="BQ135" s="47">
        <f ca="1">SUMIFS(DB_25[DT-DB25],DB_25[Mã khách],KH_26_OPT4_KTQT_v4[[#This Row],[Mã khách]],DB_25[Mã sản phẩm],KH_26_OPT4_KTQT_v4[[#This Row],[Mã sản phẩm]])</f>
        <v>375000</v>
      </c>
      <c r="BR135" s="47">
        <f ca="1">KH_26_OPT4_KTQT_v4[[#This Row],[DT-EXW-KH26]]-KH_26_OPT4_KTQT_v4[[#This Row],[DT-EXW-DB25]]</f>
        <v>-375000</v>
      </c>
      <c r="BS135" s="21">
        <f ca="1">IFERROR(KH_26_OPT4_KTQT_v4[[#This Row],[DT-EXW-+/-]]/KH_26_OPT4_KTQT_v4[[#This Row],[DT-EXW-DB25]],0)</f>
        <v>-1</v>
      </c>
      <c r="BT135" s="139"/>
      <c r="BU135" s="57"/>
      <c r="BV135" s="51"/>
      <c r="BW135" s="47">
        <f>IF(KH_26_OPT4_KTQT_v4[[#This Row],[CPHH-%-SL]]="Dthu",KH_26_OPT4_KTQT_v4[[#This Row],[%HH]]*KH_26_OPT4_KTQT_v4[[#This Row],[DT-EXW-01]],KH_26_OPT4_KTQT_v4[[#This Row],[HH-SL]]*KH_26_OPT4_KTQT_v4[[#This Row],[SL-01]])</f>
        <v>0</v>
      </c>
      <c r="BX135" s="47">
        <f>IF(KH_26_OPT4_KTQT_v4[[#This Row],[CPHH-%-SL]]="Dthu",KH_26_OPT4_KTQT_v4[[#This Row],[%HH]]*KH_26_OPT4_KTQT_v4[[#This Row],[DT-EXW-02]],KH_26_OPT4_KTQT_v4[[#This Row],[HH-SL]]*KH_26_OPT4_KTQT_v4[[#This Row],[SL-02]])</f>
        <v>0</v>
      </c>
      <c r="BY135" s="47">
        <f>IF(KH_26_OPT4_KTQT_v4[[#This Row],[CPHH-%-SL]]="Dthu",KH_26_OPT4_KTQT_v4[[#This Row],[%HH]]*KH_26_OPT4_KTQT_v4[[#This Row],[DT-EXW-03]],KH_26_OPT4_KTQT_v4[[#This Row],[HH-SL]]*KH_26_OPT4_KTQT_v4[[#This Row],[SL-03]])</f>
        <v>0</v>
      </c>
      <c r="BZ135" s="47">
        <f>IF(KH_26_OPT4_KTQT_v4[[#This Row],[CPHH-%-SL]]="Dthu",KH_26_OPT4_KTQT_v4[[#This Row],[%HH]]*KH_26_OPT4_KTQT_v4[[#This Row],[DT-EXW-04]],KH_26_OPT4_KTQT_v4[[#This Row],[HH-SL]]*KH_26_OPT4_KTQT_v4[[#This Row],[SL-04]])</f>
        <v>0</v>
      </c>
      <c r="CA135" s="47">
        <f>IF(KH_26_OPT4_KTQT_v4[[#This Row],[CPHH-%-SL]]="Dthu",KH_26_OPT4_KTQT_v4[[#This Row],[%HH]]*KH_26_OPT4_KTQT_v4[[#This Row],[DT-EXW-05]],KH_26_OPT4_KTQT_v4[[#This Row],[HH-SL]]*KH_26_OPT4_KTQT_v4[[#This Row],[SL-05]])</f>
        <v>0</v>
      </c>
      <c r="CB135" s="47">
        <f>IF(KH_26_OPT4_KTQT_v4[[#This Row],[CPHH-%-SL]]="Dthu",KH_26_OPT4_KTQT_v4[[#This Row],[%HH]]*KH_26_OPT4_KTQT_v4[[#This Row],[DT-EXW-06]],KH_26_OPT4_KTQT_v4[[#This Row],[HH-SL]]*KH_26_OPT4_KTQT_v4[[#This Row],[SL-06]])</f>
        <v>0</v>
      </c>
      <c r="CC135" s="47">
        <f>IF(KH_26_OPT4_KTQT_v4[[#This Row],[CPHH-%-SL]]="Dthu",KH_26_OPT4_KTQT_v4[[#This Row],[%HH]]*KH_26_OPT4_KTQT_v4[[#This Row],[DT-EXW-07]],KH_26_OPT4_KTQT_v4[[#This Row],[HH-SL]]*KH_26_OPT4_KTQT_v4[[#This Row],[SL-07]])</f>
        <v>0</v>
      </c>
      <c r="CD135" s="47">
        <f>IF(KH_26_OPT4_KTQT_v4[[#This Row],[CPHH-%-SL]]="Dthu",KH_26_OPT4_KTQT_v4[[#This Row],[%HH]]*KH_26_OPT4_KTQT_v4[[#This Row],[DT-EXW-08]],KH_26_OPT4_KTQT_v4[[#This Row],[HH-SL]]*KH_26_OPT4_KTQT_v4[[#This Row],[SL-08]])</f>
        <v>0</v>
      </c>
      <c r="CE135" s="47">
        <f>IF(KH_26_OPT4_KTQT_v4[[#This Row],[CPHH-%-SL]]="Dthu",KH_26_OPT4_KTQT_v4[[#This Row],[%HH]]*KH_26_OPT4_KTQT_v4[[#This Row],[DT-EXW-09]],KH_26_OPT4_KTQT_v4[[#This Row],[HH-SL]]*KH_26_OPT4_KTQT_v4[[#This Row],[SL-09]])</f>
        <v>0</v>
      </c>
      <c r="CF135" s="47">
        <f>IF(KH_26_OPT4_KTQT_v4[[#This Row],[CPHH-%-SL]]="Dthu",KH_26_OPT4_KTQT_v4[[#This Row],[%HH]]*KH_26_OPT4_KTQT_v4[[#This Row],[DT-EXW-10]],KH_26_OPT4_KTQT_v4[[#This Row],[HH-SL]]*KH_26_OPT4_KTQT_v4[[#This Row],[SL-10]])</f>
        <v>0</v>
      </c>
      <c r="CG135" s="47">
        <f>IF(KH_26_OPT4_KTQT_v4[[#This Row],[CPHH-%-SL]]="Dthu",KH_26_OPT4_KTQT_v4[[#This Row],[%HH]]*KH_26_OPT4_KTQT_v4[[#This Row],[DT-EXW-11]],KH_26_OPT4_KTQT_v4[[#This Row],[HH-SL]]*KH_26_OPT4_KTQT_v4[[#This Row],[SL-11]])</f>
        <v>0</v>
      </c>
      <c r="CH135" s="47">
        <f>IF(KH_26_OPT4_KTQT_v4[[#This Row],[CPHH-%-SL]]="Dthu",KH_26_OPT4_KTQT_v4[[#This Row],[%HH]]*KH_26_OPT4_KTQT_v4[[#This Row],[DT-EXW-12]],KH_26_OPT4_KTQT_v4[[#This Row],[HH-SL]]*KH_26_OPT4_KTQT_v4[[#This Row],[SL-12]])</f>
        <v>0</v>
      </c>
      <c r="CI135" s="47">
        <f ca="1">SUM(KH_26_OPT4_KTQT_v4[[#This Row],[CPHH-01]:[CPHH-12]])</f>
        <v>0</v>
      </c>
      <c r="CJ135" s="47" cm="1">
        <f t="array" ref="CJ135">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35" s="19">
        <f ca="1">SUM(KH_26_OPT4_KTQT_v4[[#This Row],[ĐGVCNĐ-KXK]:[ĐGVCCT-KXK]])</f>
        <v>0</v>
      </c>
      <c r="CL135" s="47" cm="1">
        <f t="array" ref="CL135">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135" s="47" cm="1">
        <f t="array" ref="CM135">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35" s="47">
        <f ca="1">(KH_26_OPT4_KTQT_v4[[#This Row],[ĐGVC-KNĐ]]+KH_26_OPT4_KTQT_v4[[#This Row],[ĐGVC-KXK]])*KH_26_OPT4_KTQT_v4[[#This Row],[SL-01]]</f>
        <v>0</v>
      </c>
      <c r="CO135" s="47">
        <f ca="1">(KH_26_OPT4_KTQT_v4[[#This Row],[ĐGVC-KNĐ]]+KH_26_OPT4_KTQT_v4[[#This Row],[ĐGVC-KXK]])*KH_26_OPT4_KTQT_v4[[#This Row],[SL-02]]</f>
        <v>0</v>
      </c>
      <c r="CP135" s="47">
        <f ca="1">(KH_26_OPT4_KTQT_v4[[#This Row],[ĐGVC-KNĐ]]+KH_26_OPT4_KTQT_v4[[#This Row],[ĐGVC-KXK]])*KH_26_OPT4_KTQT_v4[[#This Row],[SL-03]]</f>
        <v>0</v>
      </c>
      <c r="CQ135" s="47">
        <f ca="1">(KH_26_OPT4_KTQT_v4[[#This Row],[ĐGVC-KNĐ]]+KH_26_OPT4_KTQT_v4[[#This Row],[ĐGVC-KXK]])*KH_26_OPT4_KTQT_v4[[#This Row],[SL-04]]</f>
        <v>0</v>
      </c>
      <c r="CR135" s="47">
        <f ca="1">(KH_26_OPT4_KTQT_v4[[#This Row],[ĐGVC-KNĐ]]+KH_26_OPT4_KTQT_v4[[#This Row],[ĐGVC-KXK]])*KH_26_OPT4_KTQT_v4[[#This Row],[SL-05]]</f>
        <v>0</v>
      </c>
      <c r="CS135" s="47">
        <f ca="1">(KH_26_OPT4_KTQT_v4[[#This Row],[ĐGVC-KNĐ]]+KH_26_OPT4_KTQT_v4[[#This Row],[ĐGVC-KXK]])*KH_26_OPT4_KTQT_v4[[#This Row],[SL-06]]</f>
        <v>0</v>
      </c>
      <c r="CT135" s="47">
        <f ca="1">(KH_26_OPT4_KTQT_v4[[#This Row],[ĐGVC-KNĐ]]+KH_26_OPT4_KTQT_v4[[#This Row],[ĐGVC-KXK]])*KH_26_OPT4_KTQT_v4[[#This Row],[SL-07]]</f>
        <v>0</v>
      </c>
      <c r="CU135" s="47">
        <f ca="1">(KH_26_OPT4_KTQT_v4[[#This Row],[ĐGVC-KNĐ]]+KH_26_OPT4_KTQT_v4[[#This Row],[ĐGVC-KXK]])*KH_26_OPT4_KTQT_v4[[#This Row],[SL-08]]</f>
        <v>0</v>
      </c>
      <c r="CV135" s="47">
        <f ca="1">(KH_26_OPT4_KTQT_v4[[#This Row],[ĐGVC-KNĐ]]+KH_26_OPT4_KTQT_v4[[#This Row],[ĐGVC-KXK]])*KH_26_OPT4_KTQT_v4[[#This Row],[SL-09]]</f>
        <v>0</v>
      </c>
      <c r="CW135" s="47">
        <f ca="1">(KH_26_OPT4_KTQT_v4[[#This Row],[ĐGVC-KNĐ]]+KH_26_OPT4_KTQT_v4[[#This Row],[ĐGVC-KXK]])*KH_26_OPT4_KTQT_v4[[#This Row],[SL-10]]</f>
        <v>0</v>
      </c>
      <c r="CX135" s="47">
        <f ca="1">(KH_26_OPT4_KTQT_v4[[#This Row],[ĐGVC-KNĐ]]+KH_26_OPT4_KTQT_v4[[#This Row],[ĐGVC-KXK]])*KH_26_OPT4_KTQT_v4[[#This Row],[SL-11]]</f>
        <v>0</v>
      </c>
      <c r="CY135" s="47">
        <f ca="1">(KH_26_OPT4_KTQT_v4[[#This Row],[ĐGVC-KNĐ]]+KH_26_OPT4_KTQT_v4[[#This Row],[ĐGVC-KXK]])*KH_26_OPT4_KTQT_v4[[#This Row],[SL-12]]</f>
        <v>0</v>
      </c>
      <c r="CZ135" s="47">
        <f ca="1">SUM(KH_26_OPT4_KTQT_v4[[#This Row],[CPVC-01]:[CPVC-12]])</f>
        <v>0</v>
      </c>
      <c r="DA135" s="124">
        <f ca="1">KH_26_OPT4_KTQT_v4[[#This Row],[DT-EXW-01]]+KH_26_OPT4_KTQT_v4[[#This Row],[CPVC-01]]+KH_26_OPT4_KTQT_v4[[#This Row],[CPHH-01]]</f>
        <v>0</v>
      </c>
      <c r="DB135" s="47">
        <f ca="1">KH_26_OPT4_KTQT_v4[[#This Row],[DT-EXW-02]]+KH_26_OPT4_KTQT_v4[[#This Row],[CPVC-02]]+KH_26_OPT4_KTQT_v4[[#This Row],[CPHH-02]]</f>
        <v>0</v>
      </c>
      <c r="DC135" s="47">
        <f ca="1">KH_26_OPT4_KTQT_v4[[#This Row],[DT-EXW-03]]+KH_26_OPT4_KTQT_v4[[#This Row],[CPVC-03]]+KH_26_OPT4_KTQT_v4[[#This Row],[CPHH-03]]</f>
        <v>0</v>
      </c>
      <c r="DD135" s="47">
        <f ca="1">KH_26_OPT4_KTQT_v4[[#This Row],[DT-EXW-04]]+KH_26_OPT4_KTQT_v4[[#This Row],[CPVC-04]]+KH_26_OPT4_KTQT_v4[[#This Row],[CPHH-04]]</f>
        <v>0</v>
      </c>
      <c r="DE135" s="47">
        <f ca="1">KH_26_OPT4_KTQT_v4[[#This Row],[DT-EXW-05]]+KH_26_OPT4_KTQT_v4[[#This Row],[CPVC-05]]+KH_26_OPT4_KTQT_v4[[#This Row],[CPHH-05]]</f>
        <v>0</v>
      </c>
      <c r="DF135" s="47">
        <f ca="1">KH_26_OPT4_KTQT_v4[[#This Row],[DT-EXW-06]]+KH_26_OPT4_KTQT_v4[[#This Row],[CPVC-06]]+KH_26_OPT4_KTQT_v4[[#This Row],[CPHH-06]]</f>
        <v>0</v>
      </c>
      <c r="DG135" s="47">
        <f ca="1">KH_26_OPT4_KTQT_v4[[#This Row],[DT-EXW-07]]+KH_26_OPT4_KTQT_v4[[#This Row],[CPVC-07]]+KH_26_OPT4_KTQT_v4[[#This Row],[CPHH-07]]</f>
        <v>0</v>
      </c>
      <c r="DH135" s="47">
        <f ca="1">KH_26_OPT4_KTQT_v4[[#This Row],[DT-EXW-08]]+KH_26_OPT4_KTQT_v4[[#This Row],[CPVC-08]]+KH_26_OPT4_KTQT_v4[[#This Row],[CPHH-08]]</f>
        <v>0</v>
      </c>
      <c r="DI135" s="47">
        <f ca="1">KH_26_OPT4_KTQT_v4[[#This Row],[DT-EXW-09]]+KH_26_OPT4_KTQT_v4[[#This Row],[CPVC-09]]+KH_26_OPT4_KTQT_v4[[#This Row],[CPHH-09]]</f>
        <v>0</v>
      </c>
      <c r="DJ135" s="47">
        <f ca="1">KH_26_OPT4_KTQT_v4[[#This Row],[DT-EXW-10]]+KH_26_OPT4_KTQT_v4[[#This Row],[CPVC-10]]+KH_26_OPT4_KTQT_v4[[#This Row],[CPHH-10]]</f>
        <v>0</v>
      </c>
      <c r="DK135" s="47">
        <f ca="1">KH_26_OPT4_KTQT_v4[[#This Row],[DT-EXW-11]]+KH_26_OPT4_KTQT_v4[[#This Row],[CPVC-11]]+KH_26_OPT4_KTQT_v4[[#This Row],[CPHH-11]]</f>
        <v>0</v>
      </c>
      <c r="DL135" s="47">
        <f ca="1">KH_26_OPT4_KTQT_v4[[#This Row],[DT-EXW-12]]+KH_26_OPT4_KTQT_v4[[#This Row],[CPVC-12]]+KH_26_OPT4_KTQT_v4[[#This Row],[CPHH-12]]</f>
        <v>0</v>
      </c>
      <c r="DM135" s="47">
        <f ca="1">SUM(KH_26_OPT4_KTQT_v4[[#This Row],[DT-01]:[DT-12]])</f>
        <v>0</v>
      </c>
      <c r="DN135" s="7"/>
      <c r="DO135" s="7"/>
      <c r="DP135" s="125"/>
      <c r="DQ135" s="136"/>
      <c r="DR135" s="132">
        <f>IFERROR(KH_26_OPT4_KTQT_v4[[#This Row],[DT-EXW-01]]*KH_26_OPT4_KTQT_v4[[#This Row],[%CPDP]],0)</f>
        <v>0</v>
      </c>
      <c r="DS135" s="132">
        <f>IFERROR(KH_26_OPT4_KTQT_v4[[#This Row],[DT-EXW-02]]*KH_26_OPT4_KTQT_v4[[#This Row],[%CPDP]],0)</f>
        <v>0</v>
      </c>
      <c r="DT135" s="132">
        <f>IFERROR(KH_26_OPT4_KTQT_v4[[#This Row],[DT-EXW-03]]*KH_26_OPT4_KTQT_v4[[#This Row],[%CPDP]],0)</f>
        <v>0</v>
      </c>
      <c r="DU135" s="132">
        <f>IFERROR(KH_26_OPT4_KTQT_v4[[#This Row],[DT-EXW-04]]*KH_26_OPT4_KTQT_v4[[#This Row],[%CPDP]],0)</f>
        <v>0</v>
      </c>
      <c r="DV135" s="132">
        <f>IFERROR(KH_26_OPT4_KTQT_v4[[#This Row],[DT-EXW-05]]*KH_26_OPT4_KTQT_v4[[#This Row],[%CPDP]],0)</f>
        <v>0</v>
      </c>
      <c r="DW135" s="132">
        <f>IFERROR(KH_26_OPT4_KTQT_v4[[#This Row],[DT-EXW-06]]*KH_26_OPT4_KTQT_v4[[#This Row],[%CPDP]],0)</f>
        <v>0</v>
      </c>
      <c r="DX135" s="132">
        <f>IFERROR(KH_26_OPT4_KTQT_v4[[#This Row],[DT-EXW-07]]*KH_26_OPT4_KTQT_v4[[#This Row],[%CPDP]],0)</f>
        <v>0</v>
      </c>
      <c r="DY135" s="132">
        <f>IFERROR(KH_26_OPT4_KTQT_v4[[#This Row],[DT-EXW-08]]*KH_26_OPT4_KTQT_v4[[#This Row],[%CPDP]],0)</f>
        <v>0</v>
      </c>
      <c r="DZ135" s="132">
        <f>IFERROR(KH_26_OPT4_KTQT_v4[[#This Row],[DT-EXW-09]]*KH_26_OPT4_KTQT_v4[[#This Row],[%CPDP]],0)</f>
        <v>0</v>
      </c>
      <c r="EA135" s="132">
        <f>IFERROR(KH_26_OPT4_KTQT_v4[[#This Row],[DT-EXW-10]]*KH_26_OPT4_KTQT_v4[[#This Row],[%CPDP]],0)</f>
        <v>0</v>
      </c>
      <c r="EB135" s="132">
        <f>IFERROR(KH_26_OPT4_KTQT_v4[[#This Row],[DT-EXW-11]]*KH_26_OPT4_KTQT_v4[[#This Row],[%CPDP]],0)</f>
        <v>0</v>
      </c>
      <c r="EC135" s="132">
        <f>IFERROR(KH_26_OPT4_KTQT_v4[[#This Row],[DT-EXW-12]]*KH_26_OPT4_KTQT_v4[[#This Row],[%CPDP]],0)</f>
        <v>0</v>
      </c>
      <c r="ED135" s="131">
        <f ca="1">SUM(KH_26_OPT4_KTQT_v4[[#This Row],[CPDP-01]:[CPDP-12]])</f>
        <v>0</v>
      </c>
    </row>
    <row r="136" spans="1:134" ht="14.65" hidden="1" customHeight="1" x14ac:dyDescent="0.35">
      <c r="A136" s="18">
        <v>131</v>
      </c>
      <c r="B136" s="71" t="s">
        <v>115</v>
      </c>
      <c r="C136" s="18" t="str">
        <f>IFERROR(_xlfn.XLOOKUP(KH_26_OPT4_KTQT_v4[[#This Row],[Salesman]],MD_Salesman[Salesman],MD_Salesman[SalesManager]),"")</f>
        <v>Quốc Anh</v>
      </c>
      <c r="D136" s="72" t="str">
        <f>IFERROR(INDEX(MD_Customer[Mã khách],MATCH(KH_26_OPT4_KTQT_v4[[#This Row],[Tên khách]],MD_Customer[Tên khách-rút gọn],0)),"")</f>
        <v>105219</v>
      </c>
      <c r="E136" s="7" t="str">
        <f>IFERROR(INDEX(MD_Customer[Parent Account],MATCH(KH_26_OPT4_KTQT_v4[[#This Row],[Tên khách]],MD_Customer[Tên khách-rút gọn],0)),"")</f>
        <v>CTY VÂN LONG</v>
      </c>
      <c r="F136" s="35" t="s">
        <v>48</v>
      </c>
      <c r="G136" s="7" t="str">
        <f>IFERROR(INDEX(MD_Customer[Phân loại],MATCH(KH_26_OPT4_KTQT_v4[[#This Row],[Tên khách]],MD_Customer[Tên khách-rút gọn],0)),"")</f>
        <v>Mới</v>
      </c>
      <c r="H136" s="7" t="str">
        <f>IFERROR(INDEX(MD_Customer[Kênh bán hàng],MATCH(KH_26_OPT4_KTQT_v4[[#This Row],[Tên khách]],MD_Customer[Tên khách-rút gọn],0)),"")</f>
        <v>Nội địa</v>
      </c>
      <c r="I136" s="35" t="s">
        <v>275</v>
      </c>
      <c r="J136" s="7" t="str">
        <f>IFERROR(INDEX(MD_Destination[Nước],MATCH(KH_26_OPT4_KTQT_v4[[#This Row],[Địa điểm đến]],MD_Destination[Địa điểm đến],0)),"")</f>
        <v>Việt Nam</v>
      </c>
      <c r="K136" s="7" t="str">
        <f>IFERROR(INDEX(MD_Destination[Khu vực],MATCH(KH_26_OPT4_KTQT_v4[[#This Row],[Địa điểm đến]],MD_Destination[Địa điểm đến],0)),"")</f>
        <v>Châu Á</v>
      </c>
      <c r="L136" s="35" t="s">
        <v>260</v>
      </c>
      <c r="M136" s="7" t="str">
        <f>IFERROR(INDEX(MD_SKU[Mã SKU],MATCH(KH_26_OPT4_KTQT_v4[[#This Row],[Tên sản phẩm]],MD_SKU[Tên SKU-rút gọn],0)),"")</f>
        <v>110000374</v>
      </c>
      <c r="N136" s="35" t="s">
        <v>477</v>
      </c>
      <c r="O136" s="7" t="str">
        <f>IFERROR(INDEX(MD_SKU[Ngành hàng],MATCH(KH_26_OPT4_KTQT_v4[[#This Row],[Tên sản phẩm]],MD_SKU[Tên SKU-rút gọn],0)),"")</f>
        <v>rHDPE thổi</v>
      </c>
      <c r="P136" s="7" t="str">
        <f>IFERROR(INDEX(MD_SKU[Nhóm ngành],MATCH(KH_26_OPT4_KTQT_v4[[#This Row],[Tên sản phẩm]],MD_SKU[Tên SKU-rút gọn],0)),"")</f>
        <v>Hạt HD thổi</v>
      </c>
      <c r="Q136" s="7" t="str">
        <f>IFERROR(
   IF(INDEX(MD_SKU[IV/IM],MATCH(KH_26_OPT4_KTQT_v4[[#This Row],[Tên sản phẩm]],MD_SKU[Tên SKU-rút gọn],0))=0,
      "",
      INDEX(MD_SKU[IV/IM],MATCH(KH_26_OPT4_KTQT_v4[[#This Row],[Tên sản phẩm]],MD_SKU[Tên SKU-rút gọn],0))
   ),
"")</f>
        <v/>
      </c>
      <c r="R136" s="44" t="str">
        <f>IFERROR(INDEX(MD_SKU[Application],MATCH(KH_26_OPT4_KTQT_v4[[#This Row],[Tên sản phẩm]],MD_SKU[Tên SKU-rút gọn],0)),"")</f>
        <v>THỔI CHAI</v>
      </c>
      <c r="S136" s="7" t="str">
        <f>IFERROR(INDEX(MD_SKU[Phân loại],MATCH(KH_26_OPT4_KTQT_v4[[#This Row],[Tên sản phẩm]],MD_SKU[Tên SKU-rút gọn],0)),"")</f>
        <v>Cũ</v>
      </c>
      <c r="T136" s="7" t="s">
        <v>48</v>
      </c>
      <c r="U136" s="7"/>
      <c r="V136" s="70">
        <v>0.8</v>
      </c>
      <c r="W136" s="33"/>
      <c r="X136" s="33"/>
      <c r="Y136" s="33"/>
      <c r="Z136" s="33"/>
      <c r="AA136" s="33"/>
      <c r="AB136" s="33"/>
      <c r="AC136" s="33"/>
      <c r="AD136" s="33"/>
      <c r="AE136" s="33"/>
      <c r="AF136" s="33"/>
      <c r="AG136" s="33"/>
      <c r="AH136" s="33"/>
      <c r="AI136" s="47">
        <f ca="1">SUM(KH_26_OPT4_KTQT_v4[[#This Row],[SL-01]:[SL-12]])</f>
        <v>0</v>
      </c>
      <c r="AJ136" s="47">
        <f ca="1">SUMIFS(DB_25[SL-DB25],DB_25[Mã khách],KH_26_OPT4_KTQT_v4[[#This Row],[Mã khách]],DB_25[Mã sản phẩm],KH_26_OPT4_KTQT_v4[[#This Row],[Mã sản phẩm]])</f>
        <v>0.3</v>
      </c>
      <c r="AK136" s="20">
        <f ca="1">KH_26_OPT4_KTQT_v4[[#This Row],[SL-KH26]]-KH_26_OPT4_KTQT_v4[[#This Row],[SL-DB25]]</f>
        <v>-0.3</v>
      </c>
      <c r="AL136" s="21">
        <f ca="1">IFERROR(KH_26_OPT4_KTQT_v4[[#This Row],[SL-+/-]]/KH_26_OPT4_KTQT_v4[[#This Row],[SL-DB25]],0)</f>
        <v>-1</v>
      </c>
      <c r="AM136" s="51">
        <v>1150</v>
      </c>
      <c r="AN136" s="51">
        <v>1150</v>
      </c>
      <c r="AO136" s="51">
        <v>1150</v>
      </c>
      <c r="AP136" s="51">
        <v>1150</v>
      </c>
      <c r="AQ136" s="51">
        <v>1150</v>
      </c>
      <c r="AR136" s="51">
        <v>1150</v>
      </c>
      <c r="AS136" s="51">
        <v>1150</v>
      </c>
      <c r="AT136" s="51">
        <v>1150</v>
      </c>
      <c r="AU136" s="51">
        <v>1150</v>
      </c>
      <c r="AV136" s="51">
        <v>1150</v>
      </c>
      <c r="AW136" s="51">
        <v>1150</v>
      </c>
      <c r="AX136" s="51">
        <v>1150</v>
      </c>
      <c r="AY136" s="23">
        <v>1150</v>
      </c>
      <c r="AZ136" s="7"/>
      <c r="BA136" s="24">
        <f>KH_26_OPT4_KTQT_v4[[#This Row],[GB-DB25]]-KH_26_OPT4_KTQT_v4[[#This Row],[GB-KH25]]</f>
        <v>1150</v>
      </c>
      <c r="BB136" s="21">
        <f>IFERROR(KH_26_OPT4_KTQT_v4[[#This Row],[GB-+/-]]/KH_26_OPT4_KTQT_v4[[#This Row],[GB-KH25]],0)</f>
        <v>0</v>
      </c>
      <c r="BC136" s="21"/>
      <c r="BD136" s="47">
        <f>KH_26_OPT4_KTQT_v4[[#This Row],[SL-01]]*KH_26_OPT4_KTQT_v4[[#This Row],[GB-01]]*EXR</f>
        <v>0</v>
      </c>
      <c r="BE136" s="47">
        <f>KH_26_OPT4_KTQT_v4[[#This Row],[SL-02]]*KH_26_OPT4_KTQT_v4[[#This Row],[GB-02]]*EXR</f>
        <v>0</v>
      </c>
      <c r="BF136" s="47">
        <f>KH_26_OPT4_KTQT_v4[[#This Row],[SL-03]]*KH_26_OPT4_KTQT_v4[[#This Row],[GB-03]]*EXR</f>
        <v>0</v>
      </c>
      <c r="BG136" s="47">
        <f>KH_26_OPT4_KTQT_v4[[#This Row],[SL-04]]*KH_26_OPT4_KTQT_v4[[#This Row],[GB-04]]*EXR</f>
        <v>0</v>
      </c>
      <c r="BH136" s="47">
        <f>KH_26_OPT4_KTQT_v4[[#This Row],[SL-05]]*KH_26_OPT4_KTQT_v4[[#This Row],[GB-05]]*EXR</f>
        <v>0</v>
      </c>
      <c r="BI136" s="47">
        <f>KH_26_OPT4_KTQT_v4[[#This Row],[SL-06]]*KH_26_OPT4_KTQT_v4[[#This Row],[GB-06]]*EXR</f>
        <v>0</v>
      </c>
      <c r="BJ136" s="47">
        <f>KH_26_OPT4_KTQT_v4[[#This Row],[SL-07]]*KH_26_OPT4_KTQT_v4[[#This Row],[GB-07]]*EXR</f>
        <v>0</v>
      </c>
      <c r="BK136" s="47">
        <f>KH_26_OPT4_KTQT_v4[[#This Row],[SL-08]]*KH_26_OPT4_KTQT_v4[[#This Row],[GB-08]]*EXR</f>
        <v>0</v>
      </c>
      <c r="BL136" s="47">
        <f>KH_26_OPT4_KTQT_v4[[#This Row],[SL-09]]*KH_26_OPT4_KTQT_v4[[#This Row],[GB-09]]*EXR</f>
        <v>0</v>
      </c>
      <c r="BM136" s="47">
        <f>KH_26_OPT4_KTQT_v4[[#This Row],[SL-10]]*KH_26_OPT4_KTQT_v4[[#This Row],[GB-10]]*EXR</f>
        <v>0</v>
      </c>
      <c r="BN136" s="47">
        <f>KH_26_OPT4_KTQT_v4[[#This Row],[SL-11]]*KH_26_OPT4_KTQT_v4[[#This Row],[GB-11]]*EXR</f>
        <v>0</v>
      </c>
      <c r="BO136" s="47">
        <f>KH_26_OPT4_KTQT_v4[[#This Row],[SL-12]]*KH_26_OPT4_KTQT_v4[[#This Row],[GB-12]]*EXR</f>
        <v>0</v>
      </c>
      <c r="BP136" s="47">
        <f ca="1">SUM(KH_26_OPT4_KTQT_v4[[#This Row],[DT-EXW-01]:[DT-EXW-12]])</f>
        <v>0</v>
      </c>
      <c r="BQ136" s="47">
        <f ca="1">SUMIFS(DB_25[DT-DB25],DB_25[Mã khách],KH_26_OPT4_KTQT_v4[[#This Row],[Mã khách]],DB_25[Mã sản phẩm],KH_26_OPT4_KTQT_v4[[#This Row],[Mã sản phẩm]])</f>
        <v>10019100</v>
      </c>
      <c r="BR136" s="47">
        <f ca="1">KH_26_OPT4_KTQT_v4[[#This Row],[DT-EXW-KH26]]-KH_26_OPT4_KTQT_v4[[#This Row],[DT-EXW-DB25]]</f>
        <v>-10019100</v>
      </c>
      <c r="BS136" s="21">
        <f ca="1">IFERROR(KH_26_OPT4_KTQT_v4[[#This Row],[DT-EXW-+/-]]/KH_26_OPT4_KTQT_v4[[#This Row],[DT-EXW-DB25]],0)</f>
        <v>-1</v>
      </c>
      <c r="BT136" s="139"/>
      <c r="BU136" s="57"/>
      <c r="BV136" s="51"/>
      <c r="BW136" s="47">
        <f>IF(KH_26_OPT4_KTQT_v4[[#This Row],[CPHH-%-SL]]="Dthu",KH_26_OPT4_KTQT_v4[[#This Row],[%HH]]*KH_26_OPT4_KTQT_v4[[#This Row],[DT-EXW-01]],KH_26_OPT4_KTQT_v4[[#This Row],[HH-SL]]*KH_26_OPT4_KTQT_v4[[#This Row],[SL-01]])</f>
        <v>0</v>
      </c>
      <c r="BX136" s="47">
        <f>IF(KH_26_OPT4_KTQT_v4[[#This Row],[CPHH-%-SL]]="Dthu",KH_26_OPT4_KTQT_v4[[#This Row],[%HH]]*KH_26_OPT4_KTQT_v4[[#This Row],[DT-EXW-02]],KH_26_OPT4_KTQT_v4[[#This Row],[HH-SL]]*KH_26_OPT4_KTQT_v4[[#This Row],[SL-02]])</f>
        <v>0</v>
      </c>
      <c r="BY136" s="47">
        <f>IF(KH_26_OPT4_KTQT_v4[[#This Row],[CPHH-%-SL]]="Dthu",KH_26_OPT4_KTQT_v4[[#This Row],[%HH]]*KH_26_OPT4_KTQT_v4[[#This Row],[DT-EXW-03]],KH_26_OPT4_KTQT_v4[[#This Row],[HH-SL]]*KH_26_OPT4_KTQT_v4[[#This Row],[SL-03]])</f>
        <v>0</v>
      </c>
      <c r="BZ136" s="47">
        <f>IF(KH_26_OPT4_KTQT_v4[[#This Row],[CPHH-%-SL]]="Dthu",KH_26_OPT4_KTQT_v4[[#This Row],[%HH]]*KH_26_OPT4_KTQT_v4[[#This Row],[DT-EXW-04]],KH_26_OPT4_KTQT_v4[[#This Row],[HH-SL]]*KH_26_OPT4_KTQT_v4[[#This Row],[SL-04]])</f>
        <v>0</v>
      </c>
      <c r="CA136" s="47">
        <f>IF(KH_26_OPT4_KTQT_v4[[#This Row],[CPHH-%-SL]]="Dthu",KH_26_OPT4_KTQT_v4[[#This Row],[%HH]]*KH_26_OPT4_KTQT_v4[[#This Row],[DT-EXW-05]],KH_26_OPT4_KTQT_v4[[#This Row],[HH-SL]]*KH_26_OPT4_KTQT_v4[[#This Row],[SL-05]])</f>
        <v>0</v>
      </c>
      <c r="CB136" s="47">
        <f>IF(KH_26_OPT4_KTQT_v4[[#This Row],[CPHH-%-SL]]="Dthu",KH_26_OPT4_KTQT_v4[[#This Row],[%HH]]*KH_26_OPT4_KTQT_v4[[#This Row],[DT-EXW-06]],KH_26_OPT4_KTQT_v4[[#This Row],[HH-SL]]*KH_26_OPT4_KTQT_v4[[#This Row],[SL-06]])</f>
        <v>0</v>
      </c>
      <c r="CC136" s="47">
        <f>IF(KH_26_OPT4_KTQT_v4[[#This Row],[CPHH-%-SL]]="Dthu",KH_26_OPT4_KTQT_v4[[#This Row],[%HH]]*KH_26_OPT4_KTQT_v4[[#This Row],[DT-EXW-07]],KH_26_OPT4_KTQT_v4[[#This Row],[HH-SL]]*KH_26_OPT4_KTQT_v4[[#This Row],[SL-07]])</f>
        <v>0</v>
      </c>
      <c r="CD136" s="47">
        <f>IF(KH_26_OPT4_KTQT_v4[[#This Row],[CPHH-%-SL]]="Dthu",KH_26_OPT4_KTQT_v4[[#This Row],[%HH]]*KH_26_OPT4_KTQT_v4[[#This Row],[DT-EXW-08]],KH_26_OPT4_KTQT_v4[[#This Row],[HH-SL]]*KH_26_OPT4_KTQT_v4[[#This Row],[SL-08]])</f>
        <v>0</v>
      </c>
      <c r="CE136" s="47">
        <f>IF(KH_26_OPT4_KTQT_v4[[#This Row],[CPHH-%-SL]]="Dthu",KH_26_OPT4_KTQT_v4[[#This Row],[%HH]]*KH_26_OPT4_KTQT_v4[[#This Row],[DT-EXW-09]],KH_26_OPT4_KTQT_v4[[#This Row],[HH-SL]]*KH_26_OPT4_KTQT_v4[[#This Row],[SL-09]])</f>
        <v>0</v>
      </c>
      <c r="CF136" s="47">
        <f>IF(KH_26_OPT4_KTQT_v4[[#This Row],[CPHH-%-SL]]="Dthu",KH_26_OPT4_KTQT_v4[[#This Row],[%HH]]*KH_26_OPT4_KTQT_v4[[#This Row],[DT-EXW-10]],KH_26_OPT4_KTQT_v4[[#This Row],[HH-SL]]*KH_26_OPT4_KTQT_v4[[#This Row],[SL-10]])</f>
        <v>0</v>
      </c>
      <c r="CG136" s="47">
        <f>IF(KH_26_OPT4_KTQT_v4[[#This Row],[CPHH-%-SL]]="Dthu",KH_26_OPT4_KTQT_v4[[#This Row],[%HH]]*KH_26_OPT4_KTQT_v4[[#This Row],[DT-EXW-11]],KH_26_OPT4_KTQT_v4[[#This Row],[HH-SL]]*KH_26_OPT4_KTQT_v4[[#This Row],[SL-11]])</f>
        <v>0</v>
      </c>
      <c r="CH136" s="47">
        <f>IF(KH_26_OPT4_KTQT_v4[[#This Row],[CPHH-%-SL]]="Dthu",KH_26_OPT4_KTQT_v4[[#This Row],[%HH]]*KH_26_OPT4_KTQT_v4[[#This Row],[DT-EXW-12]],KH_26_OPT4_KTQT_v4[[#This Row],[HH-SL]]*KH_26_OPT4_KTQT_v4[[#This Row],[SL-12]])</f>
        <v>0</v>
      </c>
      <c r="CI136" s="47">
        <f ca="1">SUM(KH_26_OPT4_KTQT_v4[[#This Row],[CPHH-01]:[CPHH-12]])</f>
        <v>0</v>
      </c>
      <c r="CJ136" s="47" cm="1">
        <f t="array" ref="CJ136">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36" s="19">
        <f ca="1">SUM(KH_26_OPT4_KTQT_v4[[#This Row],[ĐGVCNĐ-KXK]:[ĐGVCCT-KXK]])</f>
        <v>0</v>
      </c>
      <c r="CL136" s="47" cm="1">
        <f t="array" ref="CL136">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136" s="47" cm="1">
        <f t="array" ref="CM136">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36" s="47">
        <f ca="1">(KH_26_OPT4_KTQT_v4[[#This Row],[ĐGVC-KNĐ]]+KH_26_OPT4_KTQT_v4[[#This Row],[ĐGVC-KXK]])*KH_26_OPT4_KTQT_v4[[#This Row],[SL-01]]</f>
        <v>0</v>
      </c>
      <c r="CO136" s="47">
        <f ca="1">(KH_26_OPT4_KTQT_v4[[#This Row],[ĐGVC-KNĐ]]+KH_26_OPT4_KTQT_v4[[#This Row],[ĐGVC-KXK]])*KH_26_OPT4_KTQT_v4[[#This Row],[SL-02]]</f>
        <v>0</v>
      </c>
      <c r="CP136" s="47">
        <f ca="1">(KH_26_OPT4_KTQT_v4[[#This Row],[ĐGVC-KNĐ]]+KH_26_OPT4_KTQT_v4[[#This Row],[ĐGVC-KXK]])*KH_26_OPT4_KTQT_v4[[#This Row],[SL-03]]</f>
        <v>0</v>
      </c>
      <c r="CQ136" s="47">
        <f ca="1">(KH_26_OPT4_KTQT_v4[[#This Row],[ĐGVC-KNĐ]]+KH_26_OPT4_KTQT_v4[[#This Row],[ĐGVC-KXK]])*KH_26_OPT4_KTQT_v4[[#This Row],[SL-04]]</f>
        <v>0</v>
      </c>
      <c r="CR136" s="47">
        <f ca="1">(KH_26_OPT4_KTQT_v4[[#This Row],[ĐGVC-KNĐ]]+KH_26_OPT4_KTQT_v4[[#This Row],[ĐGVC-KXK]])*KH_26_OPT4_KTQT_v4[[#This Row],[SL-05]]</f>
        <v>0</v>
      </c>
      <c r="CS136" s="47">
        <f ca="1">(KH_26_OPT4_KTQT_v4[[#This Row],[ĐGVC-KNĐ]]+KH_26_OPT4_KTQT_v4[[#This Row],[ĐGVC-KXK]])*KH_26_OPT4_KTQT_v4[[#This Row],[SL-06]]</f>
        <v>0</v>
      </c>
      <c r="CT136" s="47">
        <f ca="1">(KH_26_OPT4_KTQT_v4[[#This Row],[ĐGVC-KNĐ]]+KH_26_OPT4_KTQT_v4[[#This Row],[ĐGVC-KXK]])*KH_26_OPT4_KTQT_v4[[#This Row],[SL-07]]</f>
        <v>0</v>
      </c>
      <c r="CU136" s="47">
        <f ca="1">(KH_26_OPT4_KTQT_v4[[#This Row],[ĐGVC-KNĐ]]+KH_26_OPT4_KTQT_v4[[#This Row],[ĐGVC-KXK]])*KH_26_OPT4_KTQT_v4[[#This Row],[SL-08]]</f>
        <v>0</v>
      </c>
      <c r="CV136" s="47">
        <f ca="1">(KH_26_OPT4_KTQT_v4[[#This Row],[ĐGVC-KNĐ]]+KH_26_OPT4_KTQT_v4[[#This Row],[ĐGVC-KXK]])*KH_26_OPT4_KTQT_v4[[#This Row],[SL-09]]</f>
        <v>0</v>
      </c>
      <c r="CW136" s="47">
        <f ca="1">(KH_26_OPT4_KTQT_v4[[#This Row],[ĐGVC-KNĐ]]+KH_26_OPT4_KTQT_v4[[#This Row],[ĐGVC-KXK]])*KH_26_OPT4_KTQT_v4[[#This Row],[SL-10]]</f>
        <v>0</v>
      </c>
      <c r="CX136" s="47">
        <f ca="1">(KH_26_OPT4_KTQT_v4[[#This Row],[ĐGVC-KNĐ]]+KH_26_OPT4_KTQT_v4[[#This Row],[ĐGVC-KXK]])*KH_26_OPT4_KTQT_v4[[#This Row],[SL-11]]</f>
        <v>0</v>
      </c>
      <c r="CY136" s="47">
        <f ca="1">(KH_26_OPT4_KTQT_v4[[#This Row],[ĐGVC-KNĐ]]+KH_26_OPT4_KTQT_v4[[#This Row],[ĐGVC-KXK]])*KH_26_OPT4_KTQT_v4[[#This Row],[SL-12]]</f>
        <v>0</v>
      </c>
      <c r="CZ136" s="47">
        <f ca="1">SUM(KH_26_OPT4_KTQT_v4[[#This Row],[CPVC-01]:[CPVC-12]])</f>
        <v>0</v>
      </c>
      <c r="DA136" s="124">
        <f ca="1">KH_26_OPT4_KTQT_v4[[#This Row],[DT-EXW-01]]+KH_26_OPT4_KTQT_v4[[#This Row],[CPVC-01]]+KH_26_OPT4_KTQT_v4[[#This Row],[CPHH-01]]</f>
        <v>0</v>
      </c>
      <c r="DB136" s="47">
        <f ca="1">KH_26_OPT4_KTQT_v4[[#This Row],[DT-EXW-02]]+KH_26_OPT4_KTQT_v4[[#This Row],[CPVC-02]]+KH_26_OPT4_KTQT_v4[[#This Row],[CPHH-02]]</f>
        <v>0</v>
      </c>
      <c r="DC136" s="47">
        <f ca="1">KH_26_OPT4_KTQT_v4[[#This Row],[DT-EXW-03]]+KH_26_OPT4_KTQT_v4[[#This Row],[CPVC-03]]+KH_26_OPT4_KTQT_v4[[#This Row],[CPHH-03]]</f>
        <v>0</v>
      </c>
      <c r="DD136" s="47">
        <f ca="1">KH_26_OPT4_KTQT_v4[[#This Row],[DT-EXW-04]]+KH_26_OPT4_KTQT_v4[[#This Row],[CPVC-04]]+KH_26_OPT4_KTQT_v4[[#This Row],[CPHH-04]]</f>
        <v>0</v>
      </c>
      <c r="DE136" s="47">
        <f ca="1">KH_26_OPT4_KTQT_v4[[#This Row],[DT-EXW-05]]+KH_26_OPT4_KTQT_v4[[#This Row],[CPVC-05]]+KH_26_OPT4_KTQT_v4[[#This Row],[CPHH-05]]</f>
        <v>0</v>
      </c>
      <c r="DF136" s="47">
        <f ca="1">KH_26_OPT4_KTQT_v4[[#This Row],[DT-EXW-06]]+KH_26_OPT4_KTQT_v4[[#This Row],[CPVC-06]]+KH_26_OPT4_KTQT_v4[[#This Row],[CPHH-06]]</f>
        <v>0</v>
      </c>
      <c r="DG136" s="47">
        <f ca="1">KH_26_OPT4_KTQT_v4[[#This Row],[DT-EXW-07]]+KH_26_OPT4_KTQT_v4[[#This Row],[CPVC-07]]+KH_26_OPT4_KTQT_v4[[#This Row],[CPHH-07]]</f>
        <v>0</v>
      </c>
      <c r="DH136" s="47">
        <f ca="1">KH_26_OPT4_KTQT_v4[[#This Row],[DT-EXW-08]]+KH_26_OPT4_KTQT_v4[[#This Row],[CPVC-08]]+KH_26_OPT4_KTQT_v4[[#This Row],[CPHH-08]]</f>
        <v>0</v>
      </c>
      <c r="DI136" s="47">
        <f ca="1">KH_26_OPT4_KTQT_v4[[#This Row],[DT-EXW-09]]+KH_26_OPT4_KTQT_v4[[#This Row],[CPVC-09]]+KH_26_OPT4_KTQT_v4[[#This Row],[CPHH-09]]</f>
        <v>0</v>
      </c>
      <c r="DJ136" s="47">
        <f ca="1">KH_26_OPT4_KTQT_v4[[#This Row],[DT-EXW-10]]+KH_26_OPT4_KTQT_v4[[#This Row],[CPVC-10]]+KH_26_OPT4_KTQT_v4[[#This Row],[CPHH-10]]</f>
        <v>0</v>
      </c>
      <c r="DK136" s="47">
        <f ca="1">KH_26_OPT4_KTQT_v4[[#This Row],[DT-EXW-11]]+KH_26_OPT4_KTQT_v4[[#This Row],[CPVC-11]]+KH_26_OPT4_KTQT_v4[[#This Row],[CPHH-11]]</f>
        <v>0</v>
      </c>
      <c r="DL136" s="47">
        <f ca="1">KH_26_OPT4_KTQT_v4[[#This Row],[DT-EXW-12]]+KH_26_OPT4_KTQT_v4[[#This Row],[CPVC-12]]+KH_26_OPT4_KTQT_v4[[#This Row],[CPHH-12]]</f>
        <v>0</v>
      </c>
      <c r="DM136" s="47">
        <f ca="1">SUM(KH_26_OPT4_KTQT_v4[[#This Row],[DT-01]:[DT-12]])</f>
        <v>0</v>
      </c>
      <c r="DN136" s="7"/>
      <c r="DO136" s="7"/>
      <c r="DP136" s="125"/>
      <c r="DQ136" s="136"/>
      <c r="DR136" s="132">
        <f>IFERROR(KH_26_OPT4_KTQT_v4[[#This Row],[DT-EXW-01]]*KH_26_OPT4_KTQT_v4[[#This Row],[%CPDP]],0)</f>
        <v>0</v>
      </c>
      <c r="DS136" s="132">
        <f>IFERROR(KH_26_OPT4_KTQT_v4[[#This Row],[DT-EXW-02]]*KH_26_OPT4_KTQT_v4[[#This Row],[%CPDP]],0)</f>
        <v>0</v>
      </c>
      <c r="DT136" s="132">
        <f>IFERROR(KH_26_OPT4_KTQT_v4[[#This Row],[DT-EXW-03]]*KH_26_OPT4_KTQT_v4[[#This Row],[%CPDP]],0)</f>
        <v>0</v>
      </c>
      <c r="DU136" s="132">
        <f>IFERROR(KH_26_OPT4_KTQT_v4[[#This Row],[DT-EXW-04]]*KH_26_OPT4_KTQT_v4[[#This Row],[%CPDP]],0)</f>
        <v>0</v>
      </c>
      <c r="DV136" s="132">
        <f>IFERROR(KH_26_OPT4_KTQT_v4[[#This Row],[DT-EXW-05]]*KH_26_OPT4_KTQT_v4[[#This Row],[%CPDP]],0)</f>
        <v>0</v>
      </c>
      <c r="DW136" s="132">
        <f>IFERROR(KH_26_OPT4_KTQT_v4[[#This Row],[DT-EXW-06]]*KH_26_OPT4_KTQT_v4[[#This Row],[%CPDP]],0)</f>
        <v>0</v>
      </c>
      <c r="DX136" s="132">
        <f>IFERROR(KH_26_OPT4_KTQT_v4[[#This Row],[DT-EXW-07]]*KH_26_OPT4_KTQT_v4[[#This Row],[%CPDP]],0)</f>
        <v>0</v>
      </c>
      <c r="DY136" s="132">
        <f>IFERROR(KH_26_OPT4_KTQT_v4[[#This Row],[DT-EXW-08]]*KH_26_OPT4_KTQT_v4[[#This Row],[%CPDP]],0)</f>
        <v>0</v>
      </c>
      <c r="DZ136" s="132">
        <f>IFERROR(KH_26_OPT4_KTQT_v4[[#This Row],[DT-EXW-09]]*KH_26_OPT4_KTQT_v4[[#This Row],[%CPDP]],0)</f>
        <v>0</v>
      </c>
      <c r="EA136" s="132">
        <f>IFERROR(KH_26_OPT4_KTQT_v4[[#This Row],[DT-EXW-10]]*KH_26_OPT4_KTQT_v4[[#This Row],[%CPDP]],0)</f>
        <v>0</v>
      </c>
      <c r="EB136" s="132">
        <f>IFERROR(KH_26_OPT4_KTQT_v4[[#This Row],[DT-EXW-11]]*KH_26_OPT4_KTQT_v4[[#This Row],[%CPDP]],0)</f>
        <v>0</v>
      </c>
      <c r="EC136" s="132">
        <f>IFERROR(KH_26_OPT4_KTQT_v4[[#This Row],[DT-EXW-12]]*KH_26_OPT4_KTQT_v4[[#This Row],[%CPDP]],0)</f>
        <v>0</v>
      </c>
      <c r="ED136" s="131">
        <f ca="1">SUM(KH_26_OPT4_KTQT_v4[[#This Row],[CPDP-01]:[CPDP-12]])</f>
        <v>0</v>
      </c>
    </row>
    <row r="137" spans="1:134" ht="14.65" hidden="1" customHeight="1" x14ac:dyDescent="0.35">
      <c r="A137" s="18">
        <v>132</v>
      </c>
      <c r="B137" s="71" t="s">
        <v>115</v>
      </c>
      <c r="C137" s="18" t="str">
        <f>IFERROR(_xlfn.XLOOKUP(KH_26_OPT4_KTQT_v4[[#This Row],[Salesman]],MD_Salesman[Salesman],MD_Salesman[SalesManager]),"")</f>
        <v>Quốc Anh</v>
      </c>
      <c r="D137" s="72" t="str">
        <f>IFERROR(INDEX(MD_Customer[Mã khách],MATCH(KH_26_OPT4_KTQT_v4[[#This Row],[Tên khách]],MD_Customer[Tên khách-rút gọn],0)),"")</f>
        <v>105248</v>
      </c>
      <c r="E137" s="7" t="str">
        <f>IFERROR(INDEX(MD_Customer[Parent Account],MATCH(KH_26_OPT4_KTQT_v4[[#This Row],[Tên khách]],MD_Customer[Tên khách-rút gọn],0)),"")</f>
        <v>ĐẠI NHẤT LONG</v>
      </c>
      <c r="F137" s="35" t="s">
        <v>62</v>
      </c>
      <c r="G137" s="7" t="str">
        <f>IFERROR(INDEX(MD_Customer[Phân loại],MATCH(KH_26_OPT4_KTQT_v4[[#This Row],[Tên khách]],MD_Customer[Tên khách-rút gọn],0)),"")</f>
        <v>Hiện hữu</v>
      </c>
      <c r="H137" s="7" t="str">
        <f>IFERROR(INDEX(MD_Customer[Kênh bán hàng],MATCH(KH_26_OPT4_KTQT_v4[[#This Row],[Tên khách]],MD_Customer[Tên khách-rút gọn],0)),"")</f>
        <v>Nội địa</v>
      </c>
      <c r="I137" s="35" t="s">
        <v>258</v>
      </c>
      <c r="J137" s="7" t="str">
        <f>IFERROR(INDEX(MD_Destination[Nước],MATCH(KH_26_OPT4_KTQT_v4[[#This Row],[Địa điểm đến]],MD_Destination[Địa điểm đến],0)),"")</f>
        <v>Việt Nam</v>
      </c>
      <c r="K137" s="7" t="str">
        <f>IFERROR(INDEX(MD_Destination[Khu vực],MATCH(KH_26_OPT4_KTQT_v4[[#This Row],[Địa điểm đến]],MD_Destination[Địa điểm đến],0)),"")</f>
        <v>Châu Á</v>
      </c>
      <c r="L137" s="35" t="s">
        <v>262</v>
      </c>
      <c r="M137" s="7" t="str">
        <f>IFERROR(INDEX(MD_SKU[Mã SKU],MATCH(KH_26_OPT4_KTQT_v4[[#This Row],[Tên sản phẩm]],MD_SKU[Tên SKU-rút gọn],0)),"")</f>
        <v>110000364</v>
      </c>
      <c r="N137" s="35" t="s">
        <v>460</v>
      </c>
      <c r="O137" s="7" t="str">
        <f>IFERROR(INDEX(MD_SKU[Ngành hàng],MATCH(KH_26_OPT4_KTQT_v4[[#This Row],[Tên sản phẩm]],MD_SKU[Tên SKU-rút gọn],0)),"")</f>
        <v>rHDPE ép</v>
      </c>
      <c r="P137" s="7" t="str">
        <f>IFERROR(INDEX(MD_SKU[Nhóm ngành],MATCH(KH_26_OPT4_KTQT_v4[[#This Row],[Tên sản phẩm]],MD_SKU[Tên SKU-rút gọn],0)),"")</f>
        <v>Hạt HD ép</v>
      </c>
      <c r="Q137" s="7" t="str">
        <f>IFERROR(
   IF(INDEX(MD_SKU[IV/IM],MATCH(KH_26_OPT4_KTQT_v4[[#This Row],[Tên sản phẩm]],MD_SKU[Tên SKU-rút gọn],0))=0,
      "",
      INDEX(MD_SKU[IV/IM],MATCH(KH_26_OPT4_KTQT_v4[[#This Row],[Tên sản phẩm]],MD_SKU[Tên SKU-rút gọn],0))
   ),
"")</f>
        <v/>
      </c>
      <c r="R137" s="44">
        <f>IFERROR(INDEX(MD_SKU[Application],MATCH(KH_26_OPT4_KTQT_v4[[#This Row],[Tên sản phẩm]],MD_SKU[Tên SKU-rút gọn],0)),"")</f>
        <v>0</v>
      </c>
      <c r="S137" s="7" t="str">
        <f>IFERROR(INDEX(MD_SKU[Phân loại],MATCH(KH_26_OPT4_KTQT_v4[[#This Row],[Tên sản phẩm]],MD_SKU[Tên SKU-rút gọn],0)),"")</f>
        <v>Cũ</v>
      </c>
      <c r="T137" s="7" t="s">
        <v>542</v>
      </c>
      <c r="U137" s="7"/>
      <c r="V137" s="70">
        <v>0.8</v>
      </c>
      <c r="W137" s="33"/>
      <c r="X137" s="33"/>
      <c r="Y137" s="33"/>
      <c r="Z137" s="33"/>
      <c r="AA137" s="33"/>
      <c r="AB137" s="33"/>
      <c r="AC137" s="33"/>
      <c r="AD137" s="33"/>
      <c r="AE137" s="33"/>
      <c r="AF137" s="33"/>
      <c r="AG137" s="33"/>
      <c r="AH137" s="33"/>
      <c r="AI137" s="47">
        <f ca="1">SUM(KH_26_OPT4_KTQT_v4[[#This Row],[SL-01]:[SL-12]])</f>
        <v>0</v>
      </c>
      <c r="AJ137" s="47">
        <f ca="1">SUMIFS(DB_25[SL-DB25],DB_25[Mã khách],KH_26_OPT4_KTQT_v4[[#This Row],[Mã khách]],DB_25[Mã sản phẩm],KH_26_OPT4_KTQT_v4[[#This Row],[Mã sản phẩm]])</f>
        <v>5.5</v>
      </c>
      <c r="AK137" s="20">
        <f ca="1">KH_26_OPT4_KTQT_v4[[#This Row],[SL-KH26]]-KH_26_OPT4_KTQT_v4[[#This Row],[SL-DB25]]</f>
        <v>-5.5</v>
      </c>
      <c r="AL137" s="21">
        <f ca="1">IFERROR(KH_26_OPT4_KTQT_v4[[#This Row],[SL-+/-]]/KH_26_OPT4_KTQT_v4[[#This Row],[SL-DB25]],0)</f>
        <v>-1</v>
      </c>
      <c r="AM137" s="51">
        <v>695</v>
      </c>
      <c r="AN137" s="51">
        <v>695</v>
      </c>
      <c r="AO137" s="51">
        <v>695</v>
      </c>
      <c r="AP137" s="51">
        <v>695</v>
      </c>
      <c r="AQ137" s="51">
        <v>695</v>
      </c>
      <c r="AR137" s="51">
        <v>695</v>
      </c>
      <c r="AS137" s="51">
        <v>695</v>
      </c>
      <c r="AT137" s="51">
        <v>695</v>
      </c>
      <c r="AU137" s="51">
        <v>695</v>
      </c>
      <c r="AV137" s="51">
        <v>695</v>
      </c>
      <c r="AW137" s="51">
        <v>695</v>
      </c>
      <c r="AX137" s="51">
        <v>695</v>
      </c>
      <c r="AY137" s="23">
        <v>695</v>
      </c>
      <c r="AZ137" s="7"/>
      <c r="BA137" s="24">
        <f>KH_26_OPT4_KTQT_v4[[#This Row],[GB-DB25]]-KH_26_OPT4_KTQT_v4[[#This Row],[GB-KH25]]</f>
        <v>695</v>
      </c>
      <c r="BB137" s="21">
        <f>IFERROR(KH_26_OPT4_KTQT_v4[[#This Row],[GB-+/-]]/KH_26_OPT4_KTQT_v4[[#This Row],[GB-KH25]],0)</f>
        <v>0</v>
      </c>
      <c r="BC137" s="21"/>
      <c r="BD137" s="47">
        <f>KH_26_OPT4_KTQT_v4[[#This Row],[SL-01]]*KH_26_OPT4_KTQT_v4[[#This Row],[GB-01]]*EXR</f>
        <v>0</v>
      </c>
      <c r="BE137" s="47">
        <f>KH_26_OPT4_KTQT_v4[[#This Row],[SL-02]]*KH_26_OPT4_KTQT_v4[[#This Row],[GB-02]]*EXR</f>
        <v>0</v>
      </c>
      <c r="BF137" s="47">
        <f>KH_26_OPT4_KTQT_v4[[#This Row],[SL-03]]*KH_26_OPT4_KTQT_v4[[#This Row],[GB-03]]*EXR</f>
        <v>0</v>
      </c>
      <c r="BG137" s="47">
        <f>KH_26_OPT4_KTQT_v4[[#This Row],[SL-04]]*KH_26_OPT4_KTQT_v4[[#This Row],[GB-04]]*EXR</f>
        <v>0</v>
      </c>
      <c r="BH137" s="47">
        <f>KH_26_OPT4_KTQT_v4[[#This Row],[SL-05]]*KH_26_OPT4_KTQT_v4[[#This Row],[GB-05]]*EXR</f>
        <v>0</v>
      </c>
      <c r="BI137" s="47">
        <f>KH_26_OPT4_KTQT_v4[[#This Row],[SL-06]]*KH_26_OPT4_KTQT_v4[[#This Row],[GB-06]]*EXR</f>
        <v>0</v>
      </c>
      <c r="BJ137" s="47">
        <f>KH_26_OPT4_KTQT_v4[[#This Row],[SL-07]]*KH_26_OPT4_KTQT_v4[[#This Row],[GB-07]]*EXR</f>
        <v>0</v>
      </c>
      <c r="BK137" s="47">
        <f>KH_26_OPT4_KTQT_v4[[#This Row],[SL-08]]*KH_26_OPT4_KTQT_v4[[#This Row],[GB-08]]*EXR</f>
        <v>0</v>
      </c>
      <c r="BL137" s="47">
        <f>KH_26_OPT4_KTQT_v4[[#This Row],[SL-09]]*KH_26_OPT4_KTQT_v4[[#This Row],[GB-09]]*EXR</f>
        <v>0</v>
      </c>
      <c r="BM137" s="47">
        <f>KH_26_OPT4_KTQT_v4[[#This Row],[SL-10]]*KH_26_OPT4_KTQT_v4[[#This Row],[GB-10]]*EXR</f>
        <v>0</v>
      </c>
      <c r="BN137" s="47">
        <f>KH_26_OPT4_KTQT_v4[[#This Row],[SL-11]]*KH_26_OPT4_KTQT_v4[[#This Row],[GB-11]]*EXR</f>
        <v>0</v>
      </c>
      <c r="BO137" s="47">
        <f>KH_26_OPT4_KTQT_v4[[#This Row],[SL-12]]*KH_26_OPT4_KTQT_v4[[#This Row],[GB-12]]*EXR</f>
        <v>0</v>
      </c>
      <c r="BP137" s="47">
        <f ca="1">SUM(KH_26_OPT4_KTQT_v4[[#This Row],[DT-EXW-01]:[DT-EXW-12]])</f>
        <v>0</v>
      </c>
      <c r="BQ137" s="47">
        <f ca="1">SUMIFS(DB_25[DT-DB25],DB_25[Mã khách],KH_26_OPT4_KTQT_v4[[#This Row],[Mã khách]],DB_25[Mã sản phẩm],KH_26_OPT4_KTQT_v4[[#This Row],[Mã sản phẩm]])</f>
        <v>98749511.883688837</v>
      </c>
      <c r="BR137" s="47">
        <f ca="1">KH_26_OPT4_KTQT_v4[[#This Row],[DT-EXW-KH26]]-KH_26_OPT4_KTQT_v4[[#This Row],[DT-EXW-DB25]]</f>
        <v>-98749511.883688837</v>
      </c>
      <c r="BS137" s="21">
        <f ca="1">IFERROR(KH_26_OPT4_KTQT_v4[[#This Row],[DT-EXW-+/-]]/KH_26_OPT4_KTQT_v4[[#This Row],[DT-EXW-DB25]],0)</f>
        <v>-1</v>
      </c>
      <c r="BT137" s="139"/>
      <c r="BU137" s="57"/>
      <c r="BV137" s="51"/>
      <c r="BW137" s="47">
        <f>IF(KH_26_OPT4_KTQT_v4[[#This Row],[CPHH-%-SL]]="Dthu",KH_26_OPT4_KTQT_v4[[#This Row],[%HH]]*KH_26_OPT4_KTQT_v4[[#This Row],[DT-EXW-01]],KH_26_OPT4_KTQT_v4[[#This Row],[HH-SL]]*KH_26_OPT4_KTQT_v4[[#This Row],[SL-01]])</f>
        <v>0</v>
      </c>
      <c r="BX137" s="47">
        <f>IF(KH_26_OPT4_KTQT_v4[[#This Row],[CPHH-%-SL]]="Dthu",KH_26_OPT4_KTQT_v4[[#This Row],[%HH]]*KH_26_OPT4_KTQT_v4[[#This Row],[DT-EXW-02]],KH_26_OPT4_KTQT_v4[[#This Row],[HH-SL]]*KH_26_OPT4_KTQT_v4[[#This Row],[SL-02]])</f>
        <v>0</v>
      </c>
      <c r="BY137" s="47">
        <f>IF(KH_26_OPT4_KTQT_v4[[#This Row],[CPHH-%-SL]]="Dthu",KH_26_OPT4_KTQT_v4[[#This Row],[%HH]]*KH_26_OPT4_KTQT_v4[[#This Row],[DT-EXW-03]],KH_26_OPT4_KTQT_v4[[#This Row],[HH-SL]]*KH_26_OPT4_KTQT_v4[[#This Row],[SL-03]])</f>
        <v>0</v>
      </c>
      <c r="BZ137" s="47">
        <f>IF(KH_26_OPT4_KTQT_v4[[#This Row],[CPHH-%-SL]]="Dthu",KH_26_OPT4_KTQT_v4[[#This Row],[%HH]]*KH_26_OPT4_KTQT_v4[[#This Row],[DT-EXW-04]],KH_26_OPT4_KTQT_v4[[#This Row],[HH-SL]]*KH_26_OPT4_KTQT_v4[[#This Row],[SL-04]])</f>
        <v>0</v>
      </c>
      <c r="CA137" s="47">
        <f>IF(KH_26_OPT4_KTQT_v4[[#This Row],[CPHH-%-SL]]="Dthu",KH_26_OPT4_KTQT_v4[[#This Row],[%HH]]*KH_26_OPT4_KTQT_v4[[#This Row],[DT-EXW-05]],KH_26_OPT4_KTQT_v4[[#This Row],[HH-SL]]*KH_26_OPT4_KTQT_v4[[#This Row],[SL-05]])</f>
        <v>0</v>
      </c>
      <c r="CB137" s="47">
        <f>IF(KH_26_OPT4_KTQT_v4[[#This Row],[CPHH-%-SL]]="Dthu",KH_26_OPT4_KTQT_v4[[#This Row],[%HH]]*KH_26_OPT4_KTQT_v4[[#This Row],[DT-EXW-06]],KH_26_OPT4_KTQT_v4[[#This Row],[HH-SL]]*KH_26_OPT4_KTQT_v4[[#This Row],[SL-06]])</f>
        <v>0</v>
      </c>
      <c r="CC137" s="47">
        <f>IF(KH_26_OPT4_KTQT_v4[[#This Row],[CPHH-%-SL]]="Dthu",KH_26_OPT4_KTQT_v4[[#This Row],[%HH]]*KH_26_OPT4_KTQT_v4[[#This Row],[DT-EXW-07]],KH_26_OPT4_KTQT_v4[[#This Row],[HH-SL]]*KH_26_OPT4_KTQT_v4[[#This Row],[SL-07]])</f>
        <v>0</v>
      </c>
      <c r="CD137" s="47">
        <f>IF(KH_26_OPT4_KTQT_v4[[#This Row],[CPHH-%-SL]]="Dthu",KH_26_OPT4_KTQT_v4[[#This Row],[%HH]]*KH_26_OPT4_KTQT_v4[[#This Row],[DT-EXW-08]],KH_26_OPT4_KTQT_v4[[#This Row],[HH-SL]]*KH_26_OPT4_KTQT_v4[[#This Row],[SL-08]])</f>
        <v>0</v>
      </c>
      <c r="CE137" s="47">
        <f>IF(KH_26_OPT4_KTQT_v4[[#This Row],[CPHH-%-SL]]="Dthu",KH_26_OPT4_KTQT_v4[[#This Row],[%HH]]*KH_26_OPT4_KTQT_v4[[#This Row],[DT-EXW-09]],KH_26_OPT4_KTQT_v4[[#This Row],[HH-SL]]*KH_26_OPT4_KTQT_v4[[#This Row],[SL-09]])</f>
        <v>0</v>
      </c>
      <c r="CF137" s="47">
        <f>IF(KH_26_OPT4_KTQT_v4[[#This Row],[CPHH-%-SL]]="Dthu",KH_26_OPT4_KTQT_v4[[#This Row],[%HH]]*KH_26_OPT4_KTQT_v4[[#This Row],[DT-EXW-10]],KH_26_OPT4_KTQT_v4[[#This Row],[HH-SL]]*KH_26_OPT4_KTQT_v4[[#This Row],[SL-10]])</f>
        <v>0</v>
      </c>
      <c r="CG137" s="47">
        <f>IF(KH_26_OPT4_KTQT_v4[[#This Row],[CPHH-%-SL]]="Dthu",KH_26_OPT4_KTQT_v4[[#This Row],[%HH]]*KH_26_OPT4_KTQT_v4[[#This Row],[DT-EXW-11]],KH_26_OPT4_KTQT_v4[[#This Row],[HH-SL]]*KH_26_OPT4_KTQT_v4[[#This Row],[SL-11]])</f>
        <v>0</v>
      </c>
      <c r="CH137" s="47">
        <f>IF(KH_26_OPT4_KTQT_v4[[#This Row],[CPHH-%-SL]]="Dthu",KH_26_OPT4_KTQT_v4[[#This Row],[%HH]]*KH_26_OPT4_KTQT_v4[[#This Row],[DT-EXW-12]],KH_26_OPT4_KTQT_v4[[#This Row],[HH-SL]]*KH_26_OPT4_KTQT_v4[[#This Row],[SL-12]])</f>
        <v>0</v>
      </c>
      <c r="CI137" s="47">
        <f ca="1">SUM(KH_26_OPT4_KTQT_v4[[#This Row],[CPHH-01]:[CPHH-12]])</f>
        <v>0</v>
      </c>
      <c r="CJ137" s="47" cm="1">
        <f t="array" ref="CJ137">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37" s="19">
        <f ca="1">SUM(KH_26_OPT4_KTQT_v4[[#This Row],[ĐGVCNĐ-KXK]:[ĐGVCCT-KXK]])</f>
        <v>0</v>
      </c>
      <c r="CL137" s="47" cm="1">
        <f t="array" ref="CL137">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137" s="47" cm="1">
        <f t="array" ref="CM137">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37" s="47">
        <f ca="1">(KH_26_OPT4_KTQT_v4[[#This Row],[ĐGVC-KNĐ]]+KH_26_OPT4_KTQT_v4[[#This Row],[ĐGVC-KXK]])*KH_26_OPT4_KTQT_v4[[#This Row],[SL-01]]</f>
        <v>0</v>
      </c>
      <c r="CO137" s="47">
        <f ca="1">(KH_26_OPT4_KTQT_v4[[#This Row],[ĐGVC-KNĐ]]+KH_26_OPT4_KTQT_v4[[#This Row],[ĐGVC-KXK]])*KH_26_OPT4_KTQT_v4[[#This Row],[SL-02]]</f>
        <v>0</v>
      </c>
      <c r="CP137" s="47">
        <f ca="1">(KH_26_OPT4_KTQT_v4[[#This Row],[ĐGVC-KNĐ]]+KH_26_OPT4_KTQT_v4[[#This Row],[ĐGVC-KXK]])*KH_26_OPT4_KTQT_v4[[#This Row],[SL-03]]</f>
        <v>0</v>
      </c>
      <c r="CQ137" s="47">
        <f ca="1">(KH_26_OPT4_KTQT_v4[[#This Row],[ĐGVC-KNĐ]]+KH_26_OPT4_KTQT_v4[[#This Row],[ĐGVC-KXK]])*KH_26_OPT4_KTQT_v4[[#This Row],[SL-04]]</f>
        <v>0</v>
      </c>
      <c r="CR137" s="47">
        <f ca="1">(KH_26_OPT4_KTQT_v4[[#This Row],[ĐGVC-KNĐ]]+KH_26_OPT4_KTQT_v4[[#This Row],[ĐGVC-KXK]])*KH_26_OPT4_KTQT_v4[[#This Row],[SL-05]]</f>
        <v>0</v>
      </c>
      <c r="CS137" s="47">
        <f ca="1">(KH_26_OPT4_KTQT_v4[[#This Row],[ĐGVC-KNĐ]]+KH_26_OPT4_KTQT_v4[[#This Row],[ĐGVC-KXK]])*KH_26_OPT4_KTQT_v4[[#This Row],[SL-06]]</f>
        <v>0</v>
      </c>
      <c r="CT137" s="47">
        <f ca="1">(KH_26_OPT4_KTQT_v4[[#This Row],[ĐGVC-KNĐ]]+KH_26_OPT4_KTQT_v4[[#This Row],[ĐGVC-KXK]])*KH_26_OPT4_KTQT_v4[[#This Row],[SL-07]]</f>
        <v>0</v>
      </c>
      <c r="CU137" s="47">
        <f ca="1">(KH_26_OPT4_KTQT_v4[[#This Row],[ĐGVC-KNĐ]]+KH_26_OPT4_KTQT_v4[[#This Row],[ĐGVC-KXK]])*KH_26_OPT4_KTQT_v4[[#This Row],[SL-08]]</f>
        <v>0</v>
      </c>
      <c r="CV137" s="47">
        <f ca="1">(KH_26_OPT4_KTQT_v4[[#This Row],[ĐGVC-KNĐ]]+KH_26_OPT4_KTQT_v4[[#This Row],[ĐGVC-KXK]])*KH_26_OPT4_KTQT_v4[[#This Row],[SL-09]]</f>
        <v>0</v>
      </c>
      <c r="CW137" s="47">
        <f ca="1">(KH_26_OPT4_KTQT_v4[[#This Row],[ĐGVC-KNĐ]]+KH_26_OPT4_KTQT_v4[[#This Row],[ĐGVC-KXK]])*KH_26_OPT4_KTQT_v4[[#This Row],[SL-10]]</f>
        <v>0</v>
      </c>
      <c r="CX137" s="47">
        <f ca="1">(KH_26_OPT4_KTQT_v4[[#This Row],[ĐGVC-KNĐ]]+KH_26_OPT4_KTQT_v4[[#This Row],[ĐGVC-KXK]])*KH_26_OPT4_KTQT_v4[[#This Row],[SL-11]]</f>
        <v>0</v>
      </c>
      <c r="CY137" s="47">
        <f ca="1">(KH_26_OPT4_KTQT_v4[[#This Row],[ĐGVC-KNĐ]]+KH_26_OPT4_KTQT_v4[[#This Row],[ĐGVC-KXK]])*KH_26_OPT4_KTQT_v4[[#This Row],[SL-12]]</f>
        <v>0</v>
      </c>
      <c r="CZ137" s="47">
        <f ca="1">SUM(KH_26_OPT4_KTQT_v4[[#This Row],[CPVC-01]:[CPVC-12]])</f>
        <v>0</v>
      </c>
      <c r="DA137" s="124">
        <f ca="1">KH_26_OPT4_KTQT_v4[[#This Row],[DT-EXW-01]]+KH_26_OPT4_KTQT_v4[[#This Row],[CPVC-01]]+KH_26_OPT4_KTQT_v4[[#This Row],[CPHH-01]]</f>
        <v>0</v>
      </c>
      <c r="DB137" s="47">
        <f ca="1">KH_26_OPT4_KTQT_v4[[#This Row],[DT-EXW-02]]+KH_26_OPT4_KTQT_v4[[#This Row],[CPVC-02]]+KH_26_OPT4_KTQT_v4[[#This Row],[CPHH-02]]</f>
        <v>0</v>
      </c>
      <c r="DC137" s="47">
        <f ca="1">KH_26_OPT4_KTQT_v4[[#This Row],[DT-EXW-03]]+KH_26_OPT4_KTQT_v4[[#This Row],[CPVC-03]]+KH_26_OPT4_KTQT_v4[[#This Row],[CPHH-03]]</f>
        <v>0</v>
      </c>
      <c r="DD137" s="47">
        <f ca="1">KH_26_OPT4_KTQT_v4[[#This Row],[DT-EXW-04]]+KH_26_OPT4_KTQT_v4[[#This Row],[CPVC-04]]+KH_26_OPT4_KTQT_v4[[#This Row],[CPHH-04]]</f>
        <v>0</v>
      </c>
      <c r="DE137" s="47">
        <f ca="1">KH_26_OPT4_KTQT_v4[[#This Row],[DT-EXW-05]]+KH_26_OPT4_KTQT_v4[[#This Row],[CPVC-05]]+KH_26_OPT4_KTQT_v4[[#This Row],[CPHH-05]]</f>
        <v>0</v>
      </c>
      <c r="DF137" s="47">
        <f ca="1">KH_26_OPT4_KTQT_v4[[#This Row],[DT-EXW-06]]+KH_26_OPT4_KTQT_v4[[#This Row],[CPVC-06]]+KH_26_OPT4_KTQT_v4[[#This Row],[CPHH-06]]</f>
        <v>0</v>
      </c>
      <c r="DG137" s="47">
        <f ca="1">KH_26_OPT4_KTQT_v4[[#This Row],[DT-EXW-07]]+KH_26_OPT4_KTQT_v4[[#This Row],[CPVC-07]]+KH_26_OPT4_KTQT_v4[[#This Row],[CPHH-07]]</f>
        <v>0</v>
      </c>
      <c r="DH137" s="47">
        <f ca="1">KH_26_OPT4_KTQT_v4[[#This Row],[DT-EXW-08]]+KH_26_OPT4_KTQT_v4[[#This Row],[CPVC-08]]+KH_26_OPT4_KTQT_v4[[#This Row],[CPHH-08]]</f>
        <v>0</v>
      </c>
      <c r="DI137" s="47">
        <f ca="1">KH_26_OPT4_KTQT_v4[[#This Row],[DT-EXW-09]]+KH_26_OPT4_KTQT_v4[[#This Row],[CPVC-09]]+KH_26_OPT4_KTQT_v4[[#This Row],[CPHH-09]]</f>
        <v>0</v>
      </c>
      <c r="DJ137" s="47">
        <f ca="1">KH_26_OPT4_KTQT_v4[[#This Row],[DT-EXW-10]]+KH_26_OPT4_KTQT_v4[[#This Row],[CPVC-10]]+KH_26_OPT4_KTQT_v4[[#This Row],[CPHH-10]]</f>
        <v>0</v>
      </c>
      <c r="DK137" s="47">
        <f ca="1">KH_26_OPT4_KTQT_v4[[#This Row],[DT-EXW-11]]+KH_26_OPT4_KTQT_v4[[#This Row],[CPVC-11]]+KH_26_OPT4_KTQT_v4[[#This Row],[CPHH-11]]</f>
        <v>0</v>
      </c>
      <c r="DL137" s="47">
        <f ca="1">KH_26_OPT4_KTQT_v4[[#This Row],[DT-EXW-12]]+KH_26_OPT4_KTQT_v4[[#This Row],[CPVC-12]]+KH_26_OPT4_KTQT_v4[[#This Row],[CPHH-12]]</f>
        <v>0</v>
      </c>
      <c r="DM137" s="47">
        <f ca="1">SUM(KH_26_OPT4_KTQT_v4[[#This Row],[DT-01]:[DT-12]])</f>
        <v>0</v>
      </c>
      <c r="DN137" s="7"/>
      <c r="DO137" s="7"/>
      <c r="DP137" s="125"/>
      <c r="DQ137" s="136"/>
      <c r="DR137" s="132">
        <f>IFERROR(KH_26_OPT4_KTQT_v4[[#This Row],[DT-EXW-01]]*KH_26_OPT4_KTQT_v4[[#This Row],[%CPDP]],0)</f>
        <v>0</v>
      </c>
      <c r="DS137" s="132">
        <f>IFERROR(KH_26_OPT4_KTQT_v4[[#This Row],[DT-EXW-02]]*KH_26_OPT4_KTQT_v4[[#This Row],[%CPDP]],0)</f>
        <v>0</v>
      </c>
      <c r="DT137" s="132">
        <f>IFERROR(KH_26_OPT4_KTQT_v4[[#This Row],[DT-EXW-03]]*KH_26_OPT4_KTQT_v4[[#This Row],[%CPDP]],0)</f>
        <v>0</v>
      </c>
      <c r="DU137" s="132">
        <f>IFERROR(KH_26_OPT4_KTQT_v4[[#This Row],[DT-EXW-04]]*KH_26_OPT4_KTQT_v4[[#This Row],[%CPDP]],0)</f>
        <v>0</v>
      </c>
      <c r="DV137" s="132">
        <f>IFERROR(KH_26_OPT4_KTQT_v4[[#This Row],[DT-EXW-05]]*KH_26_OPT4_KTQT_v4[[#This Row],[%CPDP]],0)</f>
        <v>0</v>
      </c>
      <c r="DW137" s="132">
        <f>IFERROR(KH_26_OPT4_KTQT_v4[[#This Row],[DT-EXW-06]]*KH_26_OPT4_KTQT_v4[[#This Row],[%CPDP]],0)</f>
        <v>0</v>
      </c>
      <c r="DX137" s="132">
        <f>IFERROR(KH_26_OPT4_KTQT_v4[[#This Row],[DT-EXW-07]]*KH_26_OPT4_KTQT_v4[[#This Row],[%CPDP]],0)</f>
        <v>0</v>
      </c>
      <c r="DY137" s="132">
        <f>IFERROR(KH_26_OPT4_KTQT_v4[[#This Row],[DT-EXW-08]]*KH_26_OPT4_KTQT_v4[[#This Row],[%CPDP]],0)</f>
        <v>0</v>
      </c>
      <c r="DZ137" s="132">
        <f>IFERROR(KH_26_OPT4_KTQT_v4[[#This Row],[DT-EXW-09]]*KH_26_OPT4_KTQT_v4[[#This Row],[%CPDP]],0)</f>
        <v>0</v>
      </c>
      <c r="EA137" s="132">
        <f>IFERROR(KH_26_OPT4_KTQT_v4[[#This Row],[DT-EXW-10]]*KH_26_OPT4_KTQT_v4[[#This Row],[%CPDP]],0)</f>
        <v>0</v>
      </c>
      <c r="EB137" s="132">
        <f>IFERROR(KH_26_OPT4_KTQT_v4[[#This Row],[DT-EXW-11]]*KH_26_OPT4_KTQT_v4[[#This Row],[%CPDP]],0)</f>
        <v>0</v>
      </c>
      <c r="EC137" s="132">
        <f>IFERROR(KH_26_OPT4_KTQT_v4[[#This Row],[DT-EXW-12]]*KH_26_OPT4_KTQT_v4[[#This Row],[%CPDP]],0)</f>
        <v>0</v>
      </c>
      <c r="ED137" s="131">
        <f ca="1">SUM(KH_26_OPT4_KTQT_v4[[#This Row],[CPDP-01]:[CPDP-12]])</f>
        <v>0</v>
      </c>
    </row>
    <row r="138" spans="1:134" ht="14.65" hidden="1" customHeight="1" x14ac:dyDescent="0.35">
      <c r="A138" s="18">
        <v>133</v>
      </c>
      <c r="B138" s="71" t="s">
        <v>115</v>
      </c>
      <c r="C138" s="18" t="str">
        <f>IFERROR(_xlfn.XLOOKUP(KH_26_OPT4_KTQT_v4[[#This Row],[Salesman]],MD_Salesman[Salesman],MD_Salesman[SalesManager]),"")</f>
        <v>Quốc Anh</v>
      </c>
      <c r="D138" s="72" t="str">
        <f>IFERROR(INDEX(MD_Customer[Mã khách],MATCH(KH_26_OPT4_KTQT_v4[[#This Row],[Tên khách]],MD_Customer[Tên khách-rút gọn],0)),"")</f>
        <v>105248</v>
      </c>
      <c r="E138" s="7" t="str">
        <f>IFERROR(INDEX(MD_Customer[Parent Account],MATCH(KH_26_OPT4_KTQT_v4[[#This Row],[Tên khách]],MD_Customer[Tên khách-rút gọn],0)),"")</f>
        <v>ĐẠI NHẤT LONG</v>
      </c>
      <c r="F138" s="35" t="s">
        <v>62</v>
      </c>
      <c r="G138" s="7" t="str">
        <f>IFERROR(INDEX(MD_Customer[Phân loại],MATCH(KH_26_OPT4_KTQT_v4[[#This Row],[Tên khách]],MD_Customer[Tên khách-rút gọn],0)),"")</f>
        <v>Hiện hữu</v>
      </c>
      <c r="H138" s="7" t="str">
        <f>IFERROR(INDEX(MD_Customer[Kênh bán hàng],MATCH(KH_26_OPT4_KTQT_v4[[#This Row],[Tên khách]],MD_Customer[Tên khách-rút gọn],0)),"")</f>
        <v>Nội địa</v>
      </c>
      <c r="I138" s="35" t="s">
        <v>258</v>
      </c>
      <c r="J138" s="7" t="str">
        <f>IFERROR(INDEX(MD_Destination[Nước],MATCH(KH_26_OPT4_KTQT_v4[[#This Row],[Địa điểm đến]],MD_Destination[Địa điểm đến],0)),"")</f>
        <v>Việt Nam</v>
      </c>
      <c r="K138" s="7" t="str">
        <f>IFERROR(INDEX(MD_Destination[Khu vực],MATCH(KH_26_OPT4_KTQT_v4[[#This Row],[Địa điểm đến]],MD_Destination[Địa điểm đến],0)),"")</f>
        <v>Châu Á</v>
      </c>
      <c r="L138" s="35" t="s">
        <v>262</v>
      </c>
      <c r="M138" s="7" t="str">
        <f>IFERROR(INDEX(MD_SKU[Mã SKU],MATCH(KH_26_OPT4_KTQT_v4[[#This Row],[Tên sản phẩm]],MD_SKU[Tên SKU-rút gọn],0)),"")</f>
        <v>110000421</v>
      </c>
      <c r="N138" s="35" t="s">
        <v>481</v>
      </c>
      <c r="O138" s="7" t="str">
        <f>IFERROR(INDEX(MD_SKU[Ngành hàng],MATCH(KH_26_OPT4_KTQT_v4[[#This Row],[Tên sản phẩm]],MD_SKU[Tên SKU-rút gọn],0)),"")</f>
        <v>rPP</v>
      </c>
      <c r="P138" s="7" t="str">
        <f>IFERROR(INDEX(MD_SKU[Nhóm ngành],MATCH(KH_26_OPT4_KTQT_v4[[#This Row],[Tên sản phẩm]],MD_SKU[Tên SKU-rút gọn],0)),"")</f>
        <v>Vảy PP</v>
      </c>
      <c r="Q138" s="7" t="str">
        <f>IFERROR(
   IF(INDEX(MD_SKU[IV/IM],MATCH(KH_26_OPT4_KTQT_v4[[#This Row],[Tên sản phẩm]],MD_SKU[Tên SKU-rút gọn],0))=0,
      "",
      INDEX(MD_SKU[IV/IM],MATCH(KH_26_OPT4_KTQT_v4[[#This Row],[Tên sản phẩm]],MD_SKU[Tên SKU-rút gọn],0))
   ),
"")</f>
        <v/>
      </c>
      <c r="R138" s="44">
        <f>IFERROR(INDEX(MD_SKU[Application],MATCH(KH_26_OPT4_KTQT_v4[[#This Row],[Tên sản phẩm]],MD_SKU[Tên SKU-rút gọn],0)),"")</f>
        <v>0</v>
      </c>
      <c r="S138" s="7" t="str">
        <f>IFERROR(INDEX(MD_SKU[Phân loại],MATCH(KH_26_OPT4_KTQT_v4[[#This Row],[Tên sản phẩm]],MD_SKU[Tên SKU-rút gọn],0)),"")</f>
        <v>Cũ</v>
      </c>
      <c r="T138" s="7" t="s">
        <v>542</v>
      </c>
      <c r="U138" s="7"/>
      <c r="V138" s="70">
        <v>0.8</v>
      </c>
      <c r="W138" s="33"/>
      <c r="X138" s="33"/>
      <c r="Y138" s="33"/>
      <c r="Z138" s="33"/>
      <c r="AA138" s="33"/>
      <c r="AB138" s="33"/>
      <c r="AC138" s="33"/>
      <c r="AD138" s="33"/>
      <c r="AE138" s="33"/>
      <c r="AF138" s="33"/>
      <c r="AG138" s="33"/>
      <c r="AH138" s="33"/>
      <c r="AI138" s="47">
        <f ca="1">SUM(KH_26_OPT4_KTQT_v4[[#This Row],[SL-01]:[SL-12]])</f>
        <v>0</v>
      </c>
      <c r="AJ138" s="47">
        <f ca="1">SUMIFS(DB_25[SL-DB25],DB_25[Mã khách],KH_26_OPT4_KTQT_v4[[#This Row],[Mã khách]],DB_25[Mã sản phẩm],KH_26_OPT4_KTQT_v4[[#This Row],[Mã sản phẩm]])</f>
        <v>35.25</v>
      </c>
      <c r="AK138" s="20">
        <f ca="1">KH_26_OPT4_KTQT_v4[[#This Row],[SL-KH26]]-KH_26_OPT4_KTQT_v4[[#This Row],[SL-DB25]]</f>
        <v>-35.25</v>
      </c>
      <c r="AL138" s="21">
        <f ca="1">IFERROR(KH_26_OPT4_KTQT_v4[[#This Row],[SL-+/-]]/KH_26_OPT4_KTQT_v4[[#This Row],[SL-DB25]],0)</f>
        <v>-1</v>
      </c>
      <c r="AM138" s="51">
        <v>600</v>
      </c>
      <c r="AN138" s="51">
        <v>600</v>
      </c>
      <c r="AO138" s="51">
        <v>600</v>
      </c>
      <c r="AP138" s="51">
        <v>600</v>
      </c>
      <c r="AQ138" s="51">
        <v>600</v>
      </c>
      <c r="AR138" s="51">
        <v>600</v>
      </c>
      <c r="AS138" s="51">
        <v>600</v>
      </c>
      <c r="AT138" s="51">
        <v>600</v>
      </c>
      <c r="AU138" s="51">
        <v>600</v>
      </c>
      <c r="AV138" s="51">
        <v>600</v>
      </c>
      <c r="AW138" s="51">
        <v>600</v>
      </c>
      <c r="AX138" s="51">
        <v>600</v>
      </c>
      <c r="AY138" s="23">
        <v>600</v>
      </c>
      <c r="AZ138" s="7"/>
      <c r="BA138" s="24">
        <f>KH_26_OPT4_KTQT_v4[[#This Row],[GB-DB25]]-KH_26_OPT4_KTQT_v4[[#This Row],[GB-KH25]]</f>
        <v>600</v>
      </c>
      <c r="BB138" s="21">
        <f>IFERROR(KH_26_OPT4_KTQT_v4[[#This Row],[GB-+/-]]/KH_26_OPT4_KTQT_v4[[#This Row],[GB-KH25]],0)</f>
        <v>0</v>
      </c>
      <c r="BC138" s="21"/>
      <c r="BD138" s="47">
        <f>KH_26_OPT4_KTQT_v4[[#This Row],[SL-01]]*KH_26_OPT4_KTQT_v4[[#This Row],[GB-01]]*EXR</f>
        <v>0</v>
      </c>
      <c r="BE138" s="47">
        <f>KH_26_OPT4_KTQT_v4[[#This Row],[SL-02]]*KH_26_OPT4_KTQT_v4[[#This Row],[GB-02]]*EXR</f>
        <v>0</v>
      </c>
      <c r="BF138" s="47">
        <f>KH_26_OPT4_KTQT_v4[[#This Row],[SL-03]]*KH_26_OPT4_KTQT_v4[[#This Row],[GB-03]]*EXR</f>
        <v>0</v>
      </c>
      <c r="BG138" s="47">
        <f>KH_26_OPT4_KTQT_v4[[#This Row],[SL-04]]*KH_26_OPT4_KTQT_v4[[#This Row],[GB-04]]*EXR</f>
        <v>0</v>
      </c>
      <c r="BH138" s="47">
        <f>KH_26_OPT4_KTQT_v4[[#This Row],[SL-05]]*KH_26_OPT4_KTQT_v4[[#This Row],[GB-05]]*EXR</f>
        <v>0</v>
      </c>
      <c r="BI138" s="47">
        <f>KH_26_OPT4_KTQT_v4[[#This Row],[SL-06]]*KH_26_OPT4_KTQT_v4[[#This Row],[GB-06]]*EXR</f>
        <v>0</v>
      </c>
      <c r="BJ138" s="47">
        <f>KH_26_OPT4_KTQT_v4[[#This Row],[SL-07]]*KH_26_OPT4_KTQT_v4[[#This Row],[GB-07]]*EXR</f>
        <v>0</v>
      </c>
      <c r="BK138" s="47">
        <f>KH_26_OPT4_KTQT_v4[[#This Row],[SL-08]]*KH_26_OPT4_KTQT_v4[[#This Row],[GB-08]]*EXR</f>
        <v>0</v>
      </c>
      <c r="BL138" s="47">
        <f>KH_26_OPT4_KTQT_v4[[#This Row],[SL-09]]*KH_26_OPT4_KTQT_v4[[#This Row],[GB-09]]*EXR</f>
        <v>0</v>
      </c>
      <c r="BM138" s="47">
        <f>KH_26_OPT4_KTQT_v4[[#This Row],[SL-10]]*KH_26_OPT4_KTQT_v4[[#This Row],[GB-10]]*EXR</f>
        <v>0</v>
      </c>
      <c r="BN138" s="47">
        <f>KH_26_OPT4_KTQT_v4[[#This Row],[SL-11]]*KH_26_OPT4_KTQT_v4[[#This Row],[GB-11]]*EXR</f>
        <v>0</v>
      </c>
      <c r="BO138" s="47">
        <f>KH_26_OPT4_KTQT_v4[[#This Row],[SL-12]]*KH_26_OPT4_KTQT_v4[[#This Row],[GB-12]]*EXR</f>
        <v>0</v>
      </c>
      <c r="BP138" s="47">
        <f ca="1">SUM(KH_26_OPT4_KTQT_v4[[#This Row],[DT-EXW-01]:[DT-EXW-12]])</f>
        <v>0</v>
      </c>
      <c r="BQ138" s="47">
        <f ca="1">SUMIFS(DB_25[DT-DB25],DB_25[Mã khách],KH_26_OPT4_KTQT_v4[[#This Row],[Mã khách]],DB_25[Mã sản phẩm],KH_26_OPT4_KTQT_v4[[#This Row],[Mã sản phẩm]])</f>
        <v>630954212.19018769</v>
      </c>
      <c r="BR138" s="47">
        <f ca="1">KH_26_OPT4_KTQT_v4[[#This Row],[DT-EXW-KH26]]-KH_26_OPT4_KTQT_v4[[#This Row],[DT-EXW-DB25]]</f>
        <v>-630954212.19018769</v>
      </c>
      <c r="BS138" s="21">
        <f ca="1">IFERROR(KH_26_OPT4_KTQT_v4[[#This Row],[DT-EXW-+/-]]/KH_26_OPT4_KTQT_v4[[#This Row],[DT-EXW-DB25]],0)</f>
        <v>-1</v>
      </c>
      <c r="BT138" s="139"/>
      <c r="BU138" s="57"/>
      <c r="BV138" s="51"/>
      <c r="BW138" s="47">
        <f>IF(KH_26_OPT4_KTQT_v4[[#This Row],[CPHH-%-SL]]="Dthu",KH_26_OPT4_KTQT_v4[[#This Row],[%HH]]*KH_26_OPT4_KTQT_v4[[#This Row],[DT-EXW-01]],KH_26_OPT4_KTQT_v4[[#This Row],[HH-SL]]*KH_26_OPT4_KTQT_v4[[#This Row],[SL-01]])</f>
        <v>0</v>
      </c>
      <c r="BX138" s="47">
        <f>IF(KH_26_OPT4_KTQT_v4[[#This Row],[CPHH-%-SL]]="Dthu",KH_26_OPT4_KTQT_v4[[#This Row],[%HH]]*KH_26_OPT4_KTQT_v4[[#This Row],[DT-EXW-02]],KH_26_OPT4_KTQT_v4[[#This Row],[HH-SL]]*KH_26_OPT4_KTQT_v4[[#This Row],[SL-02]])</f>
        <v>0</v>
      </c>
      <c r="BY138" s="47">
        <f>IF(KH_26_OPT4_KTQT_v4[[#This Row],[CPHH-%-SL]]="Dthu",KH_26_OPT4_KTQT_v4[[#This Row],[%HH]]*KH_26_OPT4_KTQT_v4[[#This Row],[DT-EXW-03]],KH_26_OPT4_KTQT_v4[[#This Row],[HH-SL]]*KH_26_OPT4_KTQT_v4[[#This Row],[SL-03]])</f>
        <v>0</v>
      </c>
      <c r="BZ138" s="47">
        <f>IF(KH_26_OPT4_KTQT_v4[[#This Row],[CPHH-%-SL]]="Dthu",KH_26_OPT4_KTQT_v4[[#This Row],[%HH]]*KH_26_OPT4_KTQT_v4[[#This Row],[DT-EXW-04]],KH_26_OPT4_KTQT_v4[[#This Row],[HH-SL]]*KH_26_OPT4_KTQT_v4[[#This Row],[SL-04]])</f>
        <v>0</v>
      </c>
      <c r="CA138" s="47">
        <f>IF(KH_26_OPT4_KTQT_v4[[#This Row],[CPHH-%-SL]]="Dthu",KH_26_OPT4_KTQT_v4[[#This Row],[%HH]]*KH_26_OPT4_KTQT_v4[[#This Row],[DT-EXW-05]],KH_26_OPT4_KTQT_v4[[#This Row],[HH-SL]]*KH_26_OPT4_KTQT_v4[[#This Row],[SL-05]])</f>
        <v>0</v>
      </c>
      <c r="CB138" s="47">
        <f>IF(KH_26_OPT4_KTQT_v4[[#This Row],[CPHH-%-SL]]="Dthu",KH_26_OPT4_KTQT_v4[[#This Row],[%HH]]*KH_26_OPT4_KTQT_v4[[#This Row],[DT-EXW-06]],KH_26_OPT4_KTQT_v4[[#This Row],[HH-SL]]*KH_26_OPT4_KTQT_v4[[#This Row],[SL-06]])</f>
        <v>0</v>
      </c>
      <c r="CC138" s="47">
        <f>IF(KH_26_OPT4_KTQT_v4[[#This Row],[CPHH-%-SL]]="Dthu",KH_26_OPT4_KTQT_v4[[#This Row],[%HH]]*KH_26_OPT4_KTQT_v4[[#This Row],[DT-EXW-07]],KH_26_OPT4_KTQT_v4[[#This Row],[HH-SL]]*KH_26_OPT4_KTQT_v4[[#This Row],[SL-07]])</f>
        <v>0</v>
      </c>
      <c r="CD138" s="47">
        <f>IF(KH_26_OPT4_KTQT_v4[[#This Row],[CPHH-%-SL]]="Dthu",KH_26_OPT4_KTQT_v4[[#This Row],[%HH]]*KH_26_OPT4_KTQT_v4[[#This Row],[DT-EXW-08]],KH_26_OPT4_KTQT_v4[[#This Row],[HH-SL]]*KH_26_OPT4_KTQT_v4[[#This Row],[SL-08]])</f>
        <v>0</v>
      </c>
      <c r="CE138" s="47">
        <f>IF(KH_26_OPT4_KTQT_v4[[#This Row],[CPHH-%-SL]]="Dthu",KH_26_OPT4_KTQT_v4[[#This Row],[%HH]]*KH_26_OPT4_KTQT_v4[[#This Row],[DT-EXW-09]],KH_26_OPT4_KTQT_v4[[#This Row],[HH-SL]]*KH_26_OPT4_KTQT_v4[[#This Row],[SL-09]])</f>
        <v>0</v>
      </c>
      <c r="CF138" s="47">
        <f>IF(KH_26_OPT4_KTQT_v4[[#This Row],[CPHH-%-SL]]="Dthu",KH_26_OPT4_KTQT_v4[[#This Row],[%HH]]*KH_26_OPT4_KTQT_v4[[#This Row],[DT-EXW-10]],KH_26_OPT4_KTQT_v4[[#This Row],[HH-SL]]*KH_26_OPT4_KTQT_v4[[#This Row],[SL-10]])</f>
        <v>0</v>
      </c>
      <c r="CG138" s="47">
        <f>IF(KH_26_OPT4_KTQT_v4[[#This Row],[CPHH-%-SL]]="Dthu",KH_26_OPT4_KTQT_v4[[#This Row],[%HH]]*KH_26_OPT4_KTQT_v4[[#This Row],[DT-EXW-11]],KH_26_OPT4_KTQT_v4[[#This Row],[HH-SL]]*KH_26_OPT4_KTQT_v4[[#This Row],[SL-11]])</f>
        <v>0</v>
      </c>
      <c r="CH138" s="47">
        <f>IF(KH_26_OPT4_KTQT_v4[[#This Row],[CPHH-%-SL]]="Dthu",KH_26_OPT4_KTQT_v4[[#This Row],[%HH]]*KH_26_OPT4_KTQT_v4[[#This Row],[DT-EXW-12]],KH_26_OPT4_KTQT_v4[[#This Row],[HH-SL]]*KH_26_OPT4_KTQT_v4[[#This Row],[SL-12]])</f>
        <v>0</v>
      </c>
      <c r="CI138" s="47">
        <f ca="1">SUM(KH_26_OPT4_KTQT_v4[[#This Row],[CPHH-01]:[CPHH-12]])</f>
        <v>0</v>
      </c>
      <c r="CJ138" s="47" cm="1">
        <f t="array" ref="CJ138">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38" s="19">
        <f ca="1">SUM(KH_26_OPT4_KTQT_v4[[#This Row],[ĐGVCNĐ-KXK]:[ĐGVCCT-KXK]])</f>
        <v>0</v>
      </c>
      <c r="CL138" s="47" cm="1">
        <f t="array" ref="CL138">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138" s="47" cm="1">
        <f t="array" ref="CM138">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38" s="47">
        <f ca="1">(KH_26_OPT4_KTQT_v4[[#This Row],[ĐGVC-KNĐ]]+KH_26_OPT4_KTQT_v4[[#This Row],[ĐGVC-KXK]])*KH_26_OPT4_KTQT_v4[[#This Row],[SL-01]]</f>
        <v>0</v>
      </c>
      <c r="CO138" s="47">
        <f ca="1">(KH_26_OPT4_KTQT_v4[[#This Row],[ĐGVC-KNĐ]]+KH_26_OPT4_KTQT_v4[[#This Row],[ĐGVC-KXK]])*KH_26_OPT4_KTQT_v4[[#This Row],[SL-02]]</f>
        <v>0</v>
      </c>
      <c r="CP138" s="47">
        <f ca="1">(KH_26_OPT4_KTQT_v4[[#This Row],[ĐGVC-KNĐ]]+KH_26_OPT4_KTQT_v4[[#This Row],[ĐGVC-KXK]])*KH_26_OPT4_KTQT_v4[[#This Row],[SL-03]]</f>
        <v>0</v>
      </c>
      <c r="CQ138" s="47">
        <f ca="1">(KH_26_OPT4_KTQT_v4[[#This Row],[ĐGVC-KNĐ]]+KH_26_OPT4_KTQT_v4[[#This Row],[ĐGVC-KXK]])*KH_26_OPT4_KTQT_v4[[#This Row],[SL-04]]</f>
        <v>0</v>
      </c>
      <c r="CR138" s="47">
        <f ca="1">(KH_26_OPT4_KTQT_v4[[#This Row],[ĐGVC-KNĐ]]+KH_26_OPT4_KTQT_v4[[#This Row],[ĐGVC-KXK]])*KH_26_OPT4_KTQT_v4[[#This Row],[SL-05]]</f>
        <v>0</v>
      </c>
      <c r="CS138" s="47">
        <f ca="1">(KH_26_OPT4_KTQT_v4[[#This Row],[ĐGVC-KNĐ]]+KH_26_OPT4_KTQT_v4[[#This Row],[ĐGVC-KXK]])*KH_26_OPT4_KTQT_v4[[#This Row],[SL-06]]</f>
        <v>0</v>
      </c>
      <c r="CT138" s="47">
        <f ca="1">(KH_26_OPT4_KTQT_v4[[#This Row],[ĐGVC-KNĐ]]+KH_26_OPT4_KTQT_v4[[#This Row],[ĐGVC-KXK]])*KH_26_OPT4_KTQT_v4[[#This Row],[SL-07]]</f>
        <v>0</v>
      </c>
      <c r="CU138" s="47">
        <f ca="1">(KH_26_OPT4_KTQT_v4[[#This Row],[ĐGVC-KNĐ]]+KH_26_OPT4_KTQT_v4[[#This Row],[ĐGVC-KXK]])*KH_26_OPT4_KTQT_v4[[#This Row],[SL-08]]</f>
        <v>0</v>
      </c>
      <c r="CV138" s="47">
        <f ca="1">(KH_26_OPT4_KTQT_v4[[#This Row],[ĐGVC-KNĐ]]+KH_26_OPT4_KTQT_v4[[#This Row],[ĐGVC-KXK]])*KH_26_OPT4_KTQT_v4[[#This Row],[SL-09]]</f>
        <v>0</v>
      </c>
      <c r="CW138" s="47">
        <f ca="1">(KH_26_OPT4_KTQT_v4[[#This Row],[ĐGVC-KNĐ]]+KH_26_OPT4_KTQT_v4[[#This Row],[ĐGVC-KXK]])*KH_26_OPT4_KTQT_v4[[#This Row],[SL-10]]</f>
        <v>0</v>
      </c>
      <c r="CX138" s="47">
        <f ca="1">(KH_26_OPT4_KTQT_v4[[#This Row],[ĐGVC-KNĐ]]+KH_26_OPT4_KTQT_v4[[#This Row],[ĐGVC-KXK]])*KH_26_OPT4_KTQT_v4[[#This Row],[SL-11]]</f>
        <v>0</v>
      </c>
      <c r="CY138" s="47">
        <f ca="1">(KH_26_OPT4_KTQT_v4[[#This Row],[ĐGVC-KNĐ]]+KH_26_OPT4_KTQT_v4[[#This Row],[ĐGVC-KXK]])*KH_26_OPT4_KTQT_v4[[#This Row],[SL-12]]</f>
        <v>0</v>
      </c>
      <c r="CZ138" s="47">
        <f ca="1">SUM(KH_26_OPT4_KTQT_v4[[#This Row],[CPVC-01]:[CPVC-12]])</f>
        <v>0</v>
      </c>
      <c r="DA138" s="124">
        <f ca="1">KH_26_OPT4_KTQT_v4[[#This Row],[DT-EXW-01]]+KH_26_OPT4_KTQT_v4[[#This Row],[CPVC-01]]+KH_26_OPT4_KTQT_v4[[#This Row],[CPHH-01]]</f>
        <v>0</v>
      </c>
      <c r="DB138" s="47">
        <f ca="1">KH_26_OPT4_KTQT_v4[[#This Row],[DT-EXW-02]]+KH_26_OPT4_KTQT_v4[[#This Row],[CPVC-02]]+KH_26_OPT4_KTQT_v4[[#This Row],[CPHH-02]]</f>
        <v>0</v>
      </c>
      <c r="DC138" s="47">
        <f ca="1">KH_26_OPT4_KTQT_v4[[#This Row],[DT-EXW-03]]+KH_26_OPT4_KTQT_v4[[#This Row],[CPVC-03]]+KH_26_OPT4_KTQT_v4[[#This Row],[CPHH-03]]</f>
        <v>0</v>
      </c>
      <c r="DD138" s="47">
        <f ca="1">KH_26_OPT4_KTQT_v4[[#This Row],[DT-EXW-04]]+KH_26_OPT4_KTQT_v4[[#This Row],[CPVC-04]]+KH_26_OPT4_KTQT_v4[[#This Row],[CPHH-04]]</f>
        <v>0</v>
      </c>
      <c r="DE138" s="47">
        <f ca="1">KH_26_OPT4_KTQT_v4[[#This Row],[DT-EXW-05]]+KH_26_OPT4_KTQT_v4[[#This Row],[CPVC-05]]+KH_26_OPT4_KTQT_v4[[#This Row],[CPHH-05]]</f>
        <v>0</v>
      </c>
      <c r="DF138" s="47">
        <f ca="1">KH_26_OPT4_KTQT_v4[[#This Row],[DT-EXW-06]]+KH_26_OPT4_KTQT_v4[[#This Row],[CPVC-06]]+KH_26_OPT4_KTQT_v4[[#This Row],[CPHH-06]]</f>
        <v>0</v>
      </c>
      <c r="DG138" s="47">
        <f ca="1">KH_26_OPT4_KTQT_v4[[#This Row],[DT-EXW-07]]+KH_26_OPT4_KTQT_v4[[#This Row],[CPVC-07]]+KH_26_OPT4_KTQT_v4[[#This Row],[CPHH-07]]</f>
        <v>0</v>
      </c>
      <c r="DH138" s="47">
        <f ca="1">KH_26_OPT4_KTQT_v4[[#This Row],[DT-EXW-08]]+KH_26_OPT4_KTQT_v4[[#This Row],[CPVC-08]]+KH_26_OPT4_KTQT_v4[[#This Row],[CPHH-08]]</f>
        <v>0</v>
      </c>
      <c r="DI138" s="47">
        <f ca="1">KH_26_OPT4_KTQT_v4[[#This Row],[DT-EXW-09]]+KH_26_OPT4_KTQT_v4[[#This Row],[CPVC-09]]+KH_26_OPT4_KTQT_v4[[#This Row],[CPHH-09]]</f>
        <v>0</v>
      </c>
      <c r="DJ138" s="47">
        <f ca="1">KH_26_OPT4_KTQT_v4[[#This Row],[DT-EXW-10]]+KH_26_OPT4_KTQT_v4[[#This Row],[CPVC-10]]+KH_26_OPT4_KTQT_v4[[#This Row],[CPHH-10]]</f>
        <v>0</v>
      </c>
      <c r="DK138" s="47">
        <f ca="1">KH_26_OPT4_KTQT_v4[[#This Row],[DT-EXW-11]]+KH_26_OPT4_KTQT_v4[[#This Row],[CPVC-11]]+KH_26_OPT4_KTQT_v4[[#This Row],[CPHH-11]]</f>
        <v>0</v>
      </c>
      <c r="DL138" s="47">
        <f ca="1">KH_26_OPT4_KTQT_v4[[#This Row],[DT-EXW-12]]+KH_26_OPT4_KTQT_v4[[#This Row],[CPVC-12]]+KH_26_OPT4_KTQT_v4[[#This Row],[CPHH-12]]</f>
        <v>0</v>
      </c>
      <c r="DM138" s="47">
        <f ca="1">SUM(KH_26_OPT4_KTQT_v4[[#This Row],[DT-01]:[DT-12]])</f>
        <v>0</v>
      </c>
      <c r="DN138" s="7"/>
      <c r="DO138" s="7"/>
      <c r="DP138" s="125"/>
      <c r="DQ138" s="136"/>
      <c r="DR138" s="132">
        <f>IFERROR(KH_26_OPT4_KTQT_v4[[#This Row],[DT-EXW-01]]*KH_26_OPT4_KTQT_v4[[#This Row],[%CPDP]],0)</f>
        <v>0</v>
      </c>
      <c r="DS138" s="132">
        <f>IFERROR(KH_26_OPT4_KTQT_v4[[#This Row],[DT-EXW-02]]*KH_26_OPT4_KTQT_v4[[#This Row],[%CPDP]],0)</f>
        <v>0</v>
      </c>
      <c r="DT138" s="132">
        <f>IFERROR(KH_26_OPT4_KTQT_v4[[#This Row],[DT-EXW-03]]*KH_26_OPT4_KTQT_v4[[#This Row],[%CPDP]],0)</f>
        <v>0</v>
      </c>
      <c r="DU138" s="132">
        <f>IFERROR(KH_26_OPT4_KTQT_v4[[#This Row],[DT-EXW-04]]*KH_26_OPT4_KTQT_v4[[#This Row],[%CPDP]],0)</f>
        <v>0</v>
      </c>
      <c r="DV138" s="132">
        <f>IFERROR(KH_26_OPT4_KTQT_v4[[#This Row],[DT-EXW-05]]*KH_26_OPT4_KTQT_v4[[#This Row],[%CPDP]],0)</f>
        <v>0</v>
      </c>
      <c r="DW138" s="132">
        <f>IFERROR(KH_26_OPT4_KTQT_v4[[#This Row],[DT-EXW-06]]*KH_26_OPT4_KTQT_v4[[#This Row],[%CPDP]],0)</f>
        <v>0</v>
      </c>
      <c r="DX138" s="132">
        <f>IFERROR(KH_26_OPT4_KTQT_v4[[#This Row],[DT-EXW-07]]*KH_26_OPT4_KTQT_v4[[#This Row],[%CPDP]],0)</f>
        <v>0</v>
      </c>
      <c r="DY138" s="132">
        <f>IFERROR(KH_26_OPT4_KTQT_v4[[#This Row],[DT-EXW-08]]*KH_26_OPT4_KTQT_v4[[#This Row],[%CPDP]],0)</f>
        <v>0</v>
      </c>
      <c r="DZ138" s="132">
        <f>IFERROR(KH_26_OPT4_KTQT_v4[[#This Row],[DT-EXW-09]]*KH_26_OPT4_KTQT_v4[[#This Row],[%CPDP]],0)</f>
        <v>0</v>
      </c>
      <c r="EA138" s="132">
        <f>IFERROR(KH_26_OPT4_KTQT_v4[[#This Row],[DT-EXW-10]]*KH_26_OPT4_KTQT_v4[[#This Row],[%CPDP]],0)</f>
        <v>0</v>
      </c>
      <c r="EB138" s="132">
        <f>IFERROR(KH_26_OPT4_KTQT_v4[[#This Row],[DT-EXW-11]]*KH_26_OPT4_KTQT_v4[[#This Row],[%CPDP]],0)</f>
        <v>0</v>
      </c>
      <c r="EC138" s="132">
        <f>IFERROR(KH_26_OPT4_KTQT_v4[[#This Row],[DT-EXW-12]]*KH_26_OPT4_KTQT_v4[[#This Row],[%CPDP]],0)</f>
        <v>0</v>
      </c>
      <c r="ED138" s="131">
        <f ca="1">SUM(KH_26_OPT4_KTQT_v4[[#This Row],[CPDP-01]:[CPDP-12]])</f>
        <v>0</v>
      </c>
    </row>
    <row r="139" spans="1:134" ht="14.65" hidden="1" customHeight="1" x14ac:dyDescent="0.35">
      <c r="A139" s="18">
        <v>134</v>
      </c>
      <c r="B139" s="71" t="s">
        <v>95</v>
      </c>
      <c r="C139" s="18" t="str">
        <f>IFERROR(_xlfn.XLOOKUP(KH_26_OPT4_KTQT_v4[[#This Row],[Salesman]],MD_Salesman[Salesman],MD_Salesman[SalesManager]),"")</f>
        <v>Cường</v>
      </c>
      <c r="D139" s="72" t="str">
        <f>IFERROR(INDEX(MD_Customer[Mã khách],MATCH(KH_26_OPT4_KTQT_v4[[#This Row],[Tên khách]],MD_Customer[Tên khách-rút gọn],0)),"")</f>
        <v>105263</v>
      </c>
      <c r="E139" s="7" t="str">
        <f>IFERROR(INDEX(MD_Customer[Parent Account],MATCH(KH_26_OPT4_KTQT_v4[[#This Row],[Tên khách]],MD_Customer[Tên khách-rút gọn],0)),"")</f>
        <v>Unilever</v>
      </c>
      <c r="F139" s="35" t="s">
        <v>478</v>
      </c>
      <c r="G139" s="7" t="str">
        <f>IFERROR(INDEX(MD_Customer[Phân loại],MATCH(KH_26_OPT4_KTQT_v4[[#This Row],[Tên khách]],MD_Customer[Tên khách-rút gọn],0)),"")</f>
        <v>Hiện hữu</v>
      </c>
      <c r="H139" s="7" t="str">
        <f>IFERROR(INDEX(MD_Customer[Kênh bán hàng],MATCH(KH_26_OPT4_KTQT_v4[[#This Row],[Tên khách]],MD_Customer[Tên khách-rút gọn],0)),"")</f>
        <v>Nội địa</v>
      </c>
      <c r="I139" s="35" t="s">
        <v>258</v>
      </c>
      <c r="J139" s="7" t="str">
        <f>IFERROR(INDEX(MD_Destination[Nước],MATCH(KH_26_OPT4_KTQT_v4[[#This Row],[Địa điểm đến]],MD_Destination[Địa điểm đến],0)),"")</f>
        <v>Việt Nam</v>
      </c>
      <c r="K139" s="7" t="str">
        <f>IFERROR(INDEX(MD_Destination[Khu vực],MATCH(KH_26_OPT4_KTQT_v4[[#This Row],[Địa điểm đến]],MD_Destination[Địa điểm đến],0)),"")</f>
        <v>Châu Á</v>
      </c>
      <c r="L139" s="35" t="s">
        <v>262</v>
      </c>
      <c r="M139" s="7" t="str">
        <f>IFERROR(INDEX(MD_SKU[Mã SKU],MATCH(KH_26_OPT4_KTQT_v4[[#This Row],[Tên sản phẩm]],MD_SKU[Tên SKU-rút gọn],0)),"")</f>
        <v>110000360</v>
      </c>
      <c r="N139" s="35" t="s">
        <v>457</v>
      </c>
      <c r="O139" s="7" t="str">
        <f>IFERROR(INDEX(MD_SKU[Ngành hàng],MATCH(KH_26_OPT4_KTQT_v4[[#This Row],[Tên sản phẩm]],MD_SKU[Tên SKU-rút gọn],0)),"")</f>
        <v>rHDPE ép</v>
      </c>
      <c r="P139" s="7" t="str">
        <f>IFERROR(INDEX(MD_SKU[Nhóm ngành],MATCH(KH_26_OPT4_KTQT_v4[[#This Row],[Tên sản phẩm]],MD_SKU[Tên SKU-rút gọn],0)),"")</f>
        <v>Hạt HD ép</v>
      </c>
      <c r="Q139" s="7" t="str">
        <f>IFERROR(
   IF(INDEX(MD_SKU[IV/IM],MATCH(KH_26_OPT4_KTQT_v4[[#This Row],[Tên sản phẩm]],MD_SKU[Tên SKU-rút gọn],0))=0,
      "",
      INDEX(MD_SKU[IV/IM],MATCH(KH_26_OPT4_KTQT_v4[[#This Row],[Tên sản phẩm]],MD_SKU[Tên SKU-rút gọn],0))
   ),
"")</f>
        <v/>
      </c>
      <c r="R139" s="44">
        <f>IFERROR(INDEX(MD_SKU[Application],MATCH(KH_26_OPT4_KTQT_v4[[#This Row],[Tên sản phẩm]],MD_SKU[Tên SKU-rút gọn],0)),"")</f>
        <v>0</v>
      </c>
      <c r="S139" s="7" t="str">
        <f>IFERROR(INDEX(MD_SKU[Phân loại],MATCH(KH_26_OPT4_KTQT_v4[[#This Row],[Tên sản phẩm]],MD_SKU[Tên SKU-rút gọn],0)),"")</f>
        <v>Cũ</v>
      </c>
      <c r="T139" s="7" t="s">
        <v>542</v>
      </c>
      <c r="U139" s="7"/>
      <c r="V139" s="70">
        <v>0.8</v>
      </c>
      <c r="W139" s="33"/>
      <c r="X139" s="33"/>
      <c r="Y139" s="33"/>
      <c r="Z139" s="33"/>
      <c r="AA139" s="33"/>
      <c r="AB139" s="33"/>
      <c r="AC139" s="33"/>
      <c r="AD139" s="33"/>
      <c r="AE139" s="33"/>
      <c r="AF139" s="33"/>
      <c r="AG139" s="33"/>
      <c r="AH139" s="33"/>
      <c r="AI139" s="47">
        <f ca="1">SUM(KH_26_OPT4_KTQT_v4[[#This Row],[SL-01]:[SL-12]])</f>
        <v>0</v>
      </c>
      <c r="AJ139" s="47">
        <f ca="1">SUMIFS(DB_25[SL-DB25],DB_25[Mã khách],KH_26_OPT4_KTQT_v4[[#This Row],[Mã khách]],DB_25[Mã sản phẩm],KH_26_OPT4_KTQT_v4[[#This Row],[Mã sản phẩm]])</f>
        <v>5.5</v>
      </c>
      <c r="AK139" s="20">
        <f ca="1">KH_26_OPT4_KTQT_v4[[#This Row],[SL-KH26]]-KH_26_OPT4_KTQT_v4[[#This Row],[SL-DB25]]</f>
        <v>-5.5</v>
      </c>
      <c r="AL139" s="21">
        <f ca="1">IFERROR(KH_26_OPT4_KTQT_v4[[#This Row],[SL-+/-]]/KH_26_OPT4_KTQT_v4[[#This Row],[SL-DB25]],0)</f>
        <v>-1</v>
      </c>
      <c r="AM139" s="51">
        <v>695</v>
      </c>
      <c r="AN139" s="51">
        <v>695</v>
      </c>
      <c r="AO139" s="51">
        <v>695</v>
      </c>
      <c r="AP139" s="51">
        <v>695</v>
      </c>
      <c r="AQ139" s="51">
        <v>695</v>
      </c>
      <c r="AR139" s="51">
        <v>695</v>
      </c>
      <c r="AS139" s="51">
        <v>695</v>
      </c>
      <c r="AT139" s="51">
        <v>695</v>
      </c>
      <c r="AU139" s="51">
        <v>695</v>
      </c>
      <c r="AV139" s="51">
        <v>695</v>
      </c>
      <c r="AW139" s="51">
        <v>695</v>
      </c>
      <c r="AX139" s="51">
        <v>695</v>
      </c>
      <c r="AY139" s="23">
        <v>695</v>
      </c>
      <c r="AZ139" s="7"/>
      <c r="BA139" s="24">
        <f>KH_26_OPT4_KTQT_v4[[#This Row],[GB-DB25]]-KH_26_OPT4_KTQT_v4[[#This Row],[GB-KH25]]</f>
        <v>695</v>
      </c>
      <c r="BB139" s="21">
        <f>IFERROR(KH_26_OPT4_KTQT_v4[[#This Row],[GB-+/-]]/KH_26_OPT4_KTQT_v4[[#This Row],[GB-KH25]],0)</f>
        <v>0</v>
      </c>
      <c r="BC139" s="21"/>
      <c r="BD139" s="47">
        <f>KH_26_OPT4_KTQT_v4[[#This Row],[SL-01]]*KH_26_OPT4_KTQT_v4[[#This Row],[GB-01]]*EXR</f>
        <v>0</v>
      </c>
      <c r="BE139" s="47">
        <f>KH_26_OPT4_KTQT_v4[[#This Row],[SL-02]]*KH_26_OPT4_KTQT_v4[[#This Row],[GB-02]]*EXR</f>
        <v>0</v>
      </c>
      <c r="BF139" s="47">
        <f>KH_26_OPT4_KTQT_v4[[#This Row],[SL-03]]*KH_26_OPT4_KTQT_v4[[#This Row],[GB-03]]*EXR</f>
        <v>0</v>
      </c>
      <c r="BG139" s="47">
        <f>KH_26_OPT4_KTQT_v4[[#This Row],[SL-04]]*KH_26_OPT4_KTQT_v4[[#This Row],[GB-04]]*EXR</f>
        <v>0</v>
      </c>
      <c r="BH139" s="47">
        <f>KH_26_OPT4_KTQT_v4[[#This Row],[SL-05]]*KH_26_OPT4_KTQT_v4[[#This Row],[GB-05]]*EXR</f>
        <v>0</v>
      </c>
      <c r="BI139" s="47">
        <f>KH_26_OPT4_KTQT_v4[[#This Row],[SL-06]]*KH_26_OPT4_KTQT_v4[[#This Row],[GB-06]]*EXR</f>
        <v>0</v>
      </c>
      <c r="BJ139" s="47">
        <f>KH_26_OPT4_KTQT_v4[[#This Row],[SL-07]]*KH_26_OPT4_KTQT_v4[[#This Row],[GB-07]]*EXR</f>
        <v>0</v>
      </c>
      <c r="BK139" s="47">
        <f>KH_26_OPT4_KTQT_v4[[#This Row],[SL-08]]*KH_26_OPT4_KTQT_v4[[#This Row],[GB-08]]*EXR</f>
        <v>0</v>
      </c>
      <c r="BL139" s="47">
        <f>KH_26_OPT4_KTQT_v4[[#This Row],[SL-09]]*KH_26_OPT4_KTQT_v4[[#This Row],[GB-09]]*EXR</f>
        <v>0</v>
      </c>
      <c r="BM139" s="47">
        <f>KH_26_OPT4_KTQT_v4[[#This Row],[SL-10]]*KH_26_OPT4_KTQT_v4[[#This Row],[GB-10]]*EXR</f>
        <v>0</v>
      </c>
      <c r="BN139" s="47">
        <f>KH_26_OPT4_KTQT_v4[[#This Row],[SL-11]]*KH_26_OPT4_KTQT_v4[[#This Row],[GB-11]]*EXR</f>
        <v>0</v>
      </c>
      <c r="BO139" s="47">
        <f>KH_26_OPT4_KTQT_v4[[#This Row],[SL-12]]*KH_26_OPT4_KTQT_v4[[#This Row],[GB-12]]*EXR</f>
        <v>0</v>
      </c>
      <c r="BP139" s="47">
        <f ca="1">SUM(KH_26_OPT4_KTQT_v4[[#This Row],[DT-EXW-01]:[DT-EXW-12]])</f>
        <v>0</v>
      </c>
      <c r="BQ139" s="47">
        <f ca="1">SUMIFS(DB_25[DT-DB25],DB_25[Mã khách],KH_26_OPT4_KTQT_v4[[#This Row],[Mã khách]],DB_25[Mã sản phẩm],KH_26_OPT4_KTQT_v4[[#This Row],[Mã sản phẩm]])</f>
        <v>122476734</v>
      </c>
      <c r="BR139" s="47">
        <f ca="1">KH_26_OPT4_KTQT_v4[[#This Row],[DT-EXW-KH26]]-KH_26_OPT4_KTQT_v4[[#This Row],[DT-EXW-DB25]]</f>
        <v>-122476734</v>
      </c>
      <c r="BS139" s="21">
        <f ca="1">IFERROR(KH_26_OPT4_KTQT_v4[[#This Row],[DT-EXW-+/-]]/KH_26_OPT4_KTQT_v4[[#This Row],[DT-EXW-DB25]],0)</f>
        <v>-1</v>
      </c>
      <c r="BT139" s="139"/>
      <c r="BU139" s="57"/>
      <c r="BV139" s="51"/>
      <c r="BW139" s="47">
        <f>IF(KH_26_OPT4_KTQT_v4[[#This Row],[CPHH-%-SL]]="Dthu",KH_26_OPT4_KTQT_v4[[#This Row],[%HH]]*KH_26_OPT4_KTQT_v4[[#This Row],[DT-EXW-01]],KH_26_OPT4_KTQT_v4[[#This Row],[HH-SL]]*KH_26_OPT4_KTQT_v4[[#This Row],[SL-01]])</f>
        <v>0</v>
      </c>
      <c r="BX139" s="47">
        <f>IF(KH_26_OPT4_KTQT_v4[[#This Row],[CPHH-%-SL]]="Dthu",KH_26_OPT4_KTQT_v4[[#This Row],[%HH]]*KH_26_OPT4_KTQT_v4[[#This Row],[DT-EXW-02]],KH_26_OPT4_KTQT_v4[[#This Row],[HH-SL]]*KH_26_OPT4_KTQT_v4[[#This Row],[SL-02]])</f>
        <v>0</v>
      </c>
      <c r="BY139" s="47">
        <f>IF(KH_26_OPT4_KTQT_v4[[#This Row],[CPHH-%-SL]]="Dthu",KH_26_OPT4_KTQT_v4[[#This Row],[%HH]]*KH_26_OPT4_KTQT_v4[[#This Row],[DT-EXW-03]],KH_26_OPT4_KTQT_v4[[#This Row],[HH-SL]]*KH_26_OPT4_KTQT_v4[[#This Row],[SL-03]])</f>
        <v>0</v>
      </c>
      <c r="BZ139" s="47">
        <f>IF(KH_26_OPT4_KTQT_v4[[#This Row],[CPHH-%-SL]]="Dthu",KH_26_OPT4_KTQT_v4[[#This Row],[%HH]]*KH_26_OPT4_KTQT_v4[[#This Row],[DT-EXW-04]],KH_26_OPT4_KTQT_v4[[#This Row],[HH-SL]]*KH_26_OPT4_KTQT_v4[[#This Row],[SL-04]])</f>
        <v>0</v>
      </c>
      <c r="CA139" s="47">
        <f>IF(KH_26_OPT4_KTQT_v4[[#This Row],[CPHH-%-SL]]="Dthu",KH_26_OPT4_KTQT_v4[[#This Row],[%HH]]*KH_26_OPT4_KTQT_v4[[#This Row],[DT-EXW-05]],KH_26_OPT4_KTQT_v4[[#This Row],[HH-SL]]*KH_26_OPT4_KTQT_v4[[#This Row],[SL-05]])</f>
        <v>0</v>
      </c>
      <c r="CB139" s="47">
        <f>IF(KH_26_OPT4_KTQT_v4[[#This Row],[CPHH-%-SL]]="Dthu",KH_26_OPT4_KTQT_v4[[#This Row],[%HH]]*KH_26_OPT4_KTQT_v4[[#This Row],[DT-EXW-06]],KH_26_OPT4_KTQT_v4[[#This Row],[HH-SL]]*KH_26_OPT4_KTQT_v4[[#This Row],[SL-06]])</f>
        <v>0</v>
      </c>
      <c r="CC139" s="47">
        <f>IF(KH_26_OPT4_KTQT_v4[[#This Row],[CPHH-%-SL]]="Dthu",KH_26_OPT4_KTQT_v4[[#This Row],[%HH]]*KH_26_OPT4_KTQT_v4[[#This Row],[DT-EXW-07]],KH_26_OPT4_KTQT_v4[[#This Row],[HH-SL]]*KH_26_OPT4_KTQT_v4[[#This Row],[SL-07]])</f>
        <v>0</v>
      </c>
      <c r="CD139" s="47">
        <f>IF(KH_26_OPT4_KTQT_v4[[#This Row],[CPHH-%-SL]]="Dthu",KH_26_OPT4_KTQT_v4[[#This Row],[%HH]]*KH_26_OPT4_KTQT_v4[[#This Row],[DT-EXW-08]],KH_26_OPT4_KTQT_v4[[#This Row],[HH-SL]]*KH_26_OPT4_KTQT_v4[[#This Row],[SL-08]])</f>
        <v>0</v>
      </c>
      <c r="CE139" s="47">
        <f>IF(KH_26_OPT4_KTQT_v4[[#This Row],[CPHH-%-SL]]="Dthu",KH_26_OPT4_KTQT_v4[[#This Row],[%HH]]*KH_26_OPT4_KTQT_v4[[#This Row],[DT-EXW-09]],KH_26_OPT4_KTQT_v4[[#This Row],[HH-SL]]*KH_26_OPT4_KTQT_v4[[#This Row],[SL-09]])</f>
        <v>0</v>
      </c>
      <c r="CF139" s="47">
        <f>IF(KH_26_OPT4_KTQT_v4[[#This Row],[CPHH-%-SL]]="Dthu",KH_26_OPT4_KTQT_v4[[#This Row],[%HH]]*KH_26_OPT4_KTQT_v4[[#This Row],[DT-EXW-10]],KH_26_OPT4_KTQT_v4[[#This Row],[HH-SL]]*KH_26_OPT4_KTQT_v4[[#This Row],[SL-10]])</f>
        <v>0</v>
      </c>
      <c r="CG139" s="47">
        <f>IF(KH_26_OPT4_KTQT_v4[[#This Row],[CPHH-%-SL]]="Dthu",KH_26_OPT4_KTQT_v4[[#This Row],[%HH]]*KH_26_OPT4_KTQT_v4[[#This Row],[DT-EXW-11]],KH_26_OPT4_KTQT_v4[[#This Row],[HH-SL]]*KH_26_OPT4_KTQT_v4[[#This Row],[SL-11]])</f>
        <v>0</v>
      </c>
      <c r="CH139" s="47">
        <f>IF(KH_26_OPT4_KTQT_v4[[#This Row],[CPHH-%-SL]]="Dthu",KH_26_OPT4_KTQT_v4[[#This Row],[%HH]]*KH_26_OPT4_KTQT_v4[[#This Row],[DT-EXW-12]],KH_26_OPT4_KTQT_v4[[#This Row],[HH-SL]]*KH_26_OPT4_KTQT_v4[[#This Row],[SL-12]])</f>
        <v>0</v>
      </c>
      <c r="CI139" s="47">
        <f ca="1">SUM(KH_26_OPT4_KTQT_v4[[#This Row],[CPHH-01]:[CPHH-12]])</f>
        <v>0</v>
      </c>
      <c r="CJ139" s="47" cm="1">
        <f t="array" ref="CJ139">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39" s="19">
        <f ca="1">SUM(KH_26_OPT4_KTQT_v4[[#This Row],[ĐGVCNĐ-KXK]:[ĐGVCCT-KXK]])</f>
        <v>0</v>
      </c>
      <c r="CL139" s="47" cm="1">
        <f t="array" ref="CL139">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139" s="47" cm="1">
        <f t="array" ref="CM139">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39" s="47">
        <f ca="1">(KH_26_OPT4_KTQT_v4[[#This Row],[ĐGVC-KNĐ]]+KH_26_OPT4_KTQT_v4[[#This Row],[ĐGVC-KXK]])*KH_26_OPT4_KTQT_v4[[#This Row],[SL-01]]</f>
        <v>0</v>
      </c>
      <c r="CO139" s="47">
        <f ca="1">(KH_26_OPT4_KTQT_v4[[#This Row],[ĐGVC-KNĐ]]+KH_26_OPT4_KTQT_v4[[#This Row],[ĐGVC-KXK]])*KH_26_OPT4_KTQT_v4[[#This Row],[SL-02]]</f>
        <v>0</v>
      </c>
      <c r="CP139" s="47">
        <f ca="1">(KH_26_OPT4_KTQT_v4[[#This Row],[ĐGVC-KNĐ]]+KH_26_OPT4_KTQT_v4[[#This Row],[ĐGVC-KXK]])*KH_26_OPT4_KTQT_v4[[#This Row],[SL-03]]</f>
        <v>0</v>
      </c>
      <c r="CQ139" s="47">
        <f ca="1">(KH_26_OPT4_KTQT_v4[[#This Row],[ĐGVC-KNĐ]]+KH_26_OPT4_KTQT_v4[[#This Row],[ĐGVC-KXK]])*KH_26_OPT4_KTQT_v4[[#This Row],[SL-04]]</f>
        <v>0</v>
      </c>
      <c r="CR139" s="47">
        <f ca="1">(KH_26_OPT4_KTQT_v4[[#This Row],[ĐGVC-KNĐ]]+KH_26_OPT4_KTQT_v4[[#This Row],[ĐGVC-KXK]])*KH_26_OPT4_KTQT_v4[[#This Row],[SL-05]]</f>
        <v>0</v>
      </c>
      <c r="CS139" s="47">
        <f ca="1">(KH_26_OPT4_KTQT_v4[[#This Row],[ĐGVC-KNĐ]]+KH_26_OPT4_KTQT_v4[[#This Row],[ĐGVC-KXK]])*KH_26_OPT4_KTQT_v4[[#This Row],[SL-06]]</f>
        <v>0</v>
      </c>
      <c r="CT139" s="47">
        <f ca="1">(KH_26_OPT4_KTQT_v4[[#This Row],[ĐGVC-KNĐ]]+KH_26_OPT4_KTQT_v4[[#This Row],[ĐGVC-KXK]])*KH_26_OPT4_KTQT_v4[[#This Row],[SL-07]]</f>
        <v>0</v>
      </c>
      <c r="CU139" s="47">
        <f ca="1">(KH_26_OPT4_KTQT_v4[[#This Row],[ĐGVC-KNĐ]]+KH_26_OPT4_KTQT_v4[[#This Row],[ĐGVC-KXK]])*KH_26_OPT4_KTQT_v4[[#This Row],[SL-08]]</f>
        <v>0</v>
      </c>
      <c r="CV139" s="47">
        <f ca="1">(KH_26_OPT4_KTQT_v4[[#This Row],[ĐGVC-KNĐ]]+KH_26_OPT4_KTQT_v4[[#This Row],[ĐGVC-KXK]])*KH_26_OPT4_KTQT_v4[[#This Row],[SL-09]]</f>
        <v>0</v>
      </c>
      <c r="CW139" s="47">
        <f ca="1">(KH_26_OPT4_KTQT_v4[[#This Row],[ĐGVC-KNĐ]]+KH_26_OPT4_KTQT_v4[[#This Row],[ĐGVC-KXK]])*KH_26_OPT4_KTQT_v4[[#This Row],[SL-10]]</f>
        <v>0</v>
      </c>
      <c r="CX139" s="47">
        <f ca="1">(KH_26_OPT4_KTQT_v4[[#This Row],[ĐGVC-KNĐ]]+KH_26_OPT4_KTQT_v4[[#This Row],[ĐGVC-KXK]])*KH_26_OPT4_KTQT_v4[[#This Row],[SL-11]]</f>
        <v>0</v>
      </c>
      <c r="CY139" s="47">
        <f ca="1">(KH_26_OPT4_KTQT_v4[[#This Row],[ĐGVC-KNĐ]]+KH_26_OPT4_KTQT_v4[[#This Row],[ĐGVC-KXK]])*KH_26_OPT4_KTQT_v4[[#This Row],[SL-12]]</f>
        <v>0</v>
      </c>
      <c r="CZ139" s="47">
        <f ca="1">SUM(KH_26_OPT4_KTQT_v4[[#This Row],[CPVC-01]:[CPVC-12]])</f>
        <v>0</v>
      </c>
      <c r="DA139" s="124">
        <f ca="1">KH_26_OPT4_KTQT_v4[[#This Row],[DT-EXW-01]]+KH_26_OPT4_KTQT_v4[[#This Row],[CPVC-01]]+KH_26_OPT4_KTQT_v4[[#This Row],[CPHH-01]]</f>
        <v>0</v>
      </c>
      <c r="DB139" s="47">
        <f ca="1">KH_26_OPT4_KTQT_v4[[#This Row],[DT-EXW-02]]+KH_26_OPT4_KTQT_v4[[#This Row],[CPVC-02]]+KH_26_OPT4_KTQT_v4[[#This Row],[CPHH-02]]</f>
        <v>0</v>
      </c>
      <c r="DC139" s="47">
        <f ca="1">KH_26_OPT4_KTQT_v4[[#This Row],[DT-EXW-03]]+KH_26_OPT4_KTQT_v4[[#This Row],[CPVC-03]]+KH_26_OPT4_KTQT_v4[[#This Row],[CPHH-03]]</f>
        <v>0</v>
      </c>
      <c r="DD139" s="47">
        <f ca="1">KH_26_OPT4_KTQT_v4[[#This Row],[DT-EXW-04]]+KH_26_OPT4_KTQT_v4[[#This Row],[CPVC-04]]+KH_26_OPT4_KTQT_v4[[#This Row],[CPHH-04]]</f>
        <v>0</v>
      </c>
      <c r="DE139" s="47">
        <f ca="1">KH_26_OPT4_KTQT_v4[[#This Row],[DT-EXW-05]]+KH_26_OPT4_KTQT_v4[[#This Row],[CPVC-05]]+KH_26_OPT4_KTQT_v4[[#This Row],[CPHH-05]]</f>
        <v>0</v>
      </c>
      <c r="DF139" s="47">
        <f ca="1">KH_26_OPT4_KTQT_v4[[#This Row],[DT-EXW-06]]+KH_26_OPT4_KTQT_v4[[#This Row],[CPVC-06]]+KH_26_OPT4_KTQT_v4[[#This Row],[CPHH-06]]</f>
        <v>0</v>
      </c>
      <c r="DG139" s="47">
        <f ca="1">KH_26_OPT4_KTQT_v4[[#This Row],[DT-EXW-07]]+KH_26_OPT4_KTQT_v4[[#This Row],[CPVC-07]]+KH_26_OPT4_KTQT_v4[[#This Row],[CPHH-07]]</f>
        <v>0</v>
      </c>
      <c r="DH139" s="47">
        <f ca="1">KH_26_OPT4_KTQT_v4[[#This Row],[DT-EXW-08]]+KH_26_OPT4_KTQT_v4[[#This Row],[CPVC-08]]+KH_26_OPT4_KTQT_v4[[#This Row],[CPHH-08]]</f>
        <v>0</v>
      </c>
      <c r="DI139" s="47">
        <f ca="1">KH_26_OPT4_KTQT_v4[[#This Row],[DT-EXW-09]]+KH_26_OPT4_KTQT_v4[[#This Row],[CPVC-09]]+KH_26_OPT4_KTQT_v4[[#This Row],[CPHH-09]]</f>
        <v>0</v>
      </c>
      <c r="DJ139" s="47">
        <f ca="1">KH_26_OPT4_KTQT_v4[[#This Row],[DT-EXW-10]]+KH_26_OPT4_KTQT_v4[[#This Row],[CPVC-10]]+KH_26_OPT4_KTQT_v4[[#This Row],[CPHH-10]]</f>
        <v>0</v>
      </c>
      <c r="DK139" s="47">
        <f ca="1">KH_26_OPT4_KTQT_v4[[#This Row],[DT-EXW-11]]+KH_26_OPT4_KTQT_v4[[#This Row],[CPVC-11]]+KH_26_OPT4_KTQT_v4[[#This Row],[CPHH-11]]</f>
        <v>0</v>
      </c>
      <c r="DL139" s="47">
        <f ca="1">KH_26_OPT4_KTQT_v4[[#This Row],[DT-EXW-12]]+KH_26_OPT4_KTQT_v4[[#This Row],[CPVC-12]]+KH_26_OPT4_KTQT_v4[[#This Row],[CPHH-12]]</f>
        <v>0</v>
      </c>
      <c r="DM139" s="47">
        <f ca="1">SUM(KH_26_OPT4_KTQT_v4[[#This Row],[DT-01]:[DT-12]])</f>
        <v>0</v>
      </c>
      <c r="DN139" s="7"/>
      <c r="DO139" s="7"/>
      <c r="DP139" s="125"/>
      <c r="DQ139" s="136"/>
      <c r="DR139" s="132">
        <f>IFERROR(KH_26_OPT4_KTQT_v4[[#This Row],[DT-EXW-01]]*KH_26_OPT4_KTQT_v4[[#This Row],[%CPDP]],0)</f>
        <v>0</v>
      </c>
      <c r="DS139" s="132">
        <f>IFERROR(KH_26_OPT4_KTQT_v4[[#This Row],[DT-EXW-02]]*KH_26_OPT4_KTQT_v4[[#This Row],[%CPDP]],0)</f>
        <v>0</v>
      </c>
      <c r="DT139" s="132">
        <f>IFERROR(KH_26_OPT4_KTQT_v4[[#This Row],[DT-EXW-03]]*KH_26_OPT4_KTQT_v4[[#This Row],[%CPDP]],0)</f>
        <v>0</v>
      </c>
      <c r="DU139" s="132">
        <f>IFERROR(KH_26_OPT4_KTQT_v4[[#This Row],[DT-EXW-04]]*KH_26_OPT4_KTQT_v4[[#This Row],[%CPDP]],0)</f>
        <v>0</v>
      </c>
      <c r="DV139" s="132">
        <f>IFERROR(KH_26_OPT4_KTQT_v4[[#This Row],[DT-EXW-05]]*KH_26_OPT4_KTQT_v4[[#This Row],[%CPDP]],0)</f>
        <v>0</v>
      </c>
      <c r="DW139" s="132">
        <f>IFERROR(KH_26_OPT4_KTQT_v4[[#This Row],[DT-EXW-06]]*KH_26_OPT4_KTQT_v4[[#This Row],[%CPDP]],0)</f>
        <v>0</v>
      </c>
      <c r="DX139" s="132">
        <f>IFERROR(KH_26_OPT4_KTQT_v4[[#This Row],[DT-EXW-07]]*KH_26_OPT4_KTQT_v4[[#This Row],[%CPDP]],0)</f>
        <v>0</v>
      </c>
      <c r="DY139" s="132">
        <f>IFERROR(KH_26_OPT4_KTQT_v4[[#This Row],[DT-EXW-08]]*KH_26_OPT4_KTQT_v4[[#This Row],[%CPDP]],0)</f>
        <v>0</v>
      </c>
      <c r="DZ139" s="132">
        <f>IFERROR(KH_26_OPT4_KTQT_v4[[#This Row],[DT-EXW-09]]*KH_26_OPT4_KTQT_v4[[#This Row],[%CPDP]],0)</f>
        <v>0</v>
      </c>
      <c r="EA139" s="132">
        <f>IFERROR(KH_26_OPT4_KTQT_v4[[#This Row],[DT-EXW-10]]*KH_26_OPT4_KTQT_v4[[#This Row],[%CPDP]],0)</f>
        <v>0</v>
      </c>
      <c r="EB139" s="132">
        <f>IFERROR(KH_26_OPT4_KTQT_v4[[#This Row],[DT-EXW-11]]*KH_26_OPT4_KTQT_v4[[#This Row],[%CPDP]],0)</f>
        <v>0</v>
      </c>
      <c r="EC139" s="132">
        <f>IFERROR(KH_26_OPT4_KTQT_v4[[#This Row],[DT-EXW-12]]*KH_26_OPT4_KTQT_v4[[#This Row],[%CPDP]],0)</f>
        <v>0</v>
      </c>
      <c r="ED139" s="131">
        <f ca="1">SUM(KH_26_OPT4_KTQT_v4[[#This Row],[CPDP-01]:[CPDP-12]])</f>
        <v>0</v>
      </c>
    </row>
    <row r="140" spans="1:134" ht="14.65" hidden="1" customHeight="1" x14ac:dyDescent="0.35">
      <c r="A140" s="18">
        <v>135</v>
      </c>
      <c r="B140" s="71" t="s">
        <v>115</v>
      </c>
      <c r="C140" s="18" t="str">
        <f>IFERROR(_xlfn.XLOOKUP(KH_26_OPT4_KTQT_v4[[#This Row],[Salesman]],MD_Salesman[Salesman],MD_Salesman[SalesManager]),"")</f>
        <v>Quốc Anh</v>
      </c>
      <c r="D140" s="72" t="str">
        <f>IFERROR(INDEX(MD_Customer[Mã khách],MATCH(KH_26_OPT4_KTQT_v4[[#This Row],[Tên khách]],MD_Customer[Tên khách-rút gọn],0)),"")</f>
        <v>105265</v>
      </c>
      <c r="E140" s="7" t="str">
        <f>IFERROR(INDEX(MD_Customer[Parent Account],MATCH(KH_26_OPT4_KTQT_v4[[#This Row],[Tên khách]],MD_Customer[Tên khách-rút gọn],0)),"")</f>
        <v>Muji- DTP</v>
      </c>
      <c r="F140" s="35" t="s">
        <v>118</v>
      </c>
      <c r="G140" s="7" t="str">
        <f>IFERROR(INDEX(MD_Customer[Phân loại],MATCH(KH_26_OPT4_KTQT_v4[[#This Row],[Tên khách]],MD_Customer[Tên khách-rút gọn],0)),"")</f>
        <v>Hiện hữu</v>
      </c>
      <c r="H140" s="7" t="str">
        <f>IFERROR(INDEX(MD_Customer[Kênh bán hàng],MATCH(KH_26_OPT4_KTQT_v4[[#This Row],[Tên khách]],MD_Customer[Tên khách-rút gọn],0)),"")</f>
        <v>Nội địa</v>
      </c>
      <c r="I140" s="35" t="s">
        <v>258</v>
      </c>
      <c r="J140" s="7" t="str">
        <f>IFERROR(INDEX(MD_Destination[Nước],MATCH(KH_26_OPT4_KTQT_v4[[#This Row],[Địa điểm đến]],MD_Destination[Địa điểm đến],0)),"")</f>
        <v>Việt Nam</v>
      </c>
      <c r="K140" s="7" t="str">
        <f>IFERROR(INDEX(MD_Destination[Khu vực],MATCH(KH_26_OPT4_KTQT_v4[[#This Row],[Địa điểm đến]],MD_Destination[Địa điểm đến],0)),"")</f>
        <v>Châu Á</v>
      </c>
      <c r="L140" s="35" t="s">
        <v>262</v>
      </c>
      <c r="M140" s="7" t="str">
        <f>IFERROR(INDEX(MD_SKU[Mã SKU],MATCH(KH_26_OPT4_KTQT_v4[[#This Row],[Tên sản phẩm]],MD_SKU[Tên SKU-rút gọn],0)),"")</f>
        <v>110000354</v>
      </c>
      <c r="N140" s="35" t="s">
        <v>456</v>
      </c>
      <c r="O140" s="7" t="str">
        <f>IFERROR(INDEX(MD_SKU[Ngành hàng],MATCH(KH_26_OPT4_KTQT_v4[[#This Row],[Tên sản phẩm]],MD_SKU[Tên SKU-rút gọn],0)),"")</f>
        <v>rPET</v>
      </c>
      <c r="P140" s="7" t="str">
        <f>IFERROR(INDEX(MD_SKU[Nhóm ngành],MATCH(KH_26_OPT4_KTQT_v4[[#This Row],[Tên sản phẩm]],MD_SKU[Tên SKU-rút gọn],0)),"")</f>
        <v>Hạt PET</v>
      </c>
      <c r="Q140" s="7" t="str">
        <f>IFERROR(
   IF(INDEX(MD_SKU[IV/IM],MATCH(KH_26_OPT4_KTQT_v4[[#This Row],[Tên sản phẩm]],MD_SKU[Tên SKU-rút gọn],0))=0,
      "",
      INDEX(MD_SKU[IV/IM],MATCH(KH_26_OPT4_KTQT_v4[[#This Row],[Tên sản phẩm]],MD_SKU[Tên SKU-rút gọn],0))
   ),
"")</f>
        <v>0.78 ± 0.02</v>
      </c>
      <c r="R140" s="44">
        <f>IFERROR(INDEX(MD_SKU[Application],MATCH(KH_26_OPT4_KTQT_v4[[#This Row],[Tên sản phẩm]],MD_SKU[Tên SKU-rút gọn],0)),"")</f>
        <v>0</v>
      </c>
      <c r="S140" s="7" t="str">
        <f>IFERROR(INDEX(MD_SKU[Phân loại],MATCH(KH_26_OPT4_KTQT_v4[[#This Row],[Tên sản phẩm]],MD_SKU[Tên SKU-rút gọn],0)),"")</f>
        <v>Cũ</v>
      </c>
      <c r="T140" s="7" t="s">
        <v>542</v>
      </c>
      <c r="U140" s="7"/>
      <c r="V140" s="70">
        <v>0.8</v>
      </c>
      <c r="W140" s="33"/>
      <c r="X140" s="33"/>
      <c r="Y140" s="33"/>
      <c r="Z140" s="33"/>
      <c r="AA140" s="33"/>
      <c r="AB140" s="33"/>
      <c r="AC140" s="33"/>
      <c r="AD140" s="33"/>
      <c r="AE140" s="33"/>
      <c r="AF140" s="33"/>
      <c r="AG140" s="33"/>
      <c r="AH140" s="33"/>
      <c r="AI140" s="47">
        <f ca="1">SUM(KH_26_OPT4_KTQT_v4[[#This Row],[SL-01]:[SL-12]])</f>
        <v>0</v>
      </c>
      <c r="AJ140" s="47">
        <f ca="1">SUMIFS(DB_25[SL-DB25],DB_25[Mã khách],KH_26_OPT4_KTQT_v4[[#This Row],[Mã khách]],DB_25[Mã sản phẩm],KH_26_OPT4_KTQT_v4[[#This Row],[Mã sản phẩm]])</f>
        <v>16.5</v>
      </c>
      <c r="AK140" s="20">
        <f ca="1">KH_26_OPT4_KTQT_v4[[#This Row],[SL-KH26]]-KH_26_OPT4_KTQT_v4[[#This Row],[SL-DB25]]</f>
        <v>-16.5</v>
      </c>
      <c r="AL140" s="21">
        <f ca="1">IFERROR(KH_26_OPT4_KTQT_v4[[#This Row],[SL-+/-]]/KH_26_OPT4_KTQT_v4[[#This Row],[SL-DB25]],0)</f>
        <v>-1</v>
      </c>
      <c r="AM140" s="51">
        <v>1150</v>
      </c>
      <c r="AN140" s="51">
        <v>1150</v>
      </c>
      <c r="AO140" s="51">
        <v>1150</v>
      </c>
      <c r="AP140" s="51">
        <v>1150</v>
      </c>
      <c r="AQ140" s="51">
        <v>1150</v>
      </c>
      <c r="AR140" s="51">
        <v>1150</v>
      </c>
      <c r="AS140" s="51">
        <v>1150</v>
      </c>
      <c r="AT140" s="51">
        <v>1150</v>
      </c>
      <c r="AU140" s="51">
        <v>1150</v>
      </c>
      <c r="AV140" s="51">
        <v>1150</v>
      </c>
      <c r="AW140" s="51">
        <v>1150</v>
      </c>
      <c r="AX140" s="51">
        <v>1150</v>
      </c>
      <c r="AY140" s="23">
        <v>1150</v>
      </c>
      <c r="AZ140" s="7"/>
      <c r="BA140" s="24">
        <f>KH_26_OPT4_KTQT_v4[[#This Row],[GB-DB25]]-KH_26_OPT4_KTQT_v4[[#This Row],[GB-KH25]]</f>
        <v>1150</v>
      </c>
      <c r="BB140" s="21">
        <f>IFERROR(KH_26_OPT4_KTQT_v4[[#This Row],[GB-+/-]]/KH_26_OPT4_KTQT_v4[[#This Row],[GB-KH25]],0)</f>
        <v>0</v>
      </c>
      <c r="BC140" s="21"/>
      <c r="BD140" s="47">
        <f>KH_26_OPT4_KTQT_v4[[#This Row],[SL-01]]*KH_26_OPT4_KTQT_v4[[#This Row],[GB-01]]*EXR</f>
        <v>0</v>
      </c>
      <c r="BE140" s="47">
        <f>KH_26_OPT4_KTQT_v4[[#This Row],[SL-02]]*KH_26_OPT4_KTQT_v4[[#This Row],[GB-02]]*EXR</f>
        <v>0</v>
      </c>
      <c r="BF140" s="47">
        <f>KH_26_OPT4_KTQT_v4[[#This Row],[SL-03]]*KH_26_OPT4_KTQT_v4[[#This Row],[GB-03]]*EXR</f>
        <v>0</v>
      </c>
      <c r="BG140" s="47">
        <f>KH_26_OPT4_KTQT_v4[[#This Row],[SL-04]]*KH_26_OPT4_KTQT_v4[[#This Row],[GB-04]]*EXR</f>
        <v>0</v>
      </c>
      <c r="BH140" s="47">
        <f>KH_26_OPT4_KTQT_v4[[#This Row],[SL-05]]*KH_26_OPT4_KTQT_v4[[#This Row],[GB-05]]*EXR</f>
        <v>0</v>
      </c>
      <c r="BI140" s="47">
        <f>KH_26_OPT4_KTQT_v4[[#This Row],[SL-06]]*KH_26_OPT4_KTQT_v4[[#This Row],[GB-06]]*EXR</f>
        <v>0</v>
      </c>
      <c r="BJ140" s="47">
        <f>KH_26_OPT4_KTQT_v4[[#This Row],[SL-07]]*KH_26_OPT4_KTQT_v4[[#This Row],[GB-07]]*EXR</f>
        <v>0</v>
      </c>
      <c r="BK140" s="47">
        <f>KH_26_OPT4_KTQT_v4[[#This Row],[SL-08]]*KH_26_OPT4_KTQT_v4[[#This Row],[GB-08]]*EXR</f>
        <v>0</v>
      </c>
      <c r="BL140" s="47">
        <f>KH_26_OPT4_KTQT_v4[[#This Row],[SL-09]]*KH_26_OPT4_KTQT_v4[[#This Row],[GB-09]]*EXR</f>
        <v>0</v>
      </c>
      <c r="BM140" s="47">
        <f>KH_26_OPT4_KTQT_v4[[#This Row],[SL-10]]*KH_26_OPT4_KTQT_v4[[#This Row],[GB-10]]*EXR</f>
        <v>0</v>
      </c>
      <c r="BN140" s="47">
        <f>KH_26_OPT4_KTQT_v4[[#This Row],[SL-11]]*KH_26_OPT4_KTQT_v4[[#This Row],[GB-11]]*EXR</f>
        <v>0</v>
      </c>
      <c r="BO140" s="47">
        <f>KH_26_OPT4_KTQT_v4[[#This Row],[SL-12]]*KH_26_OPT4_KTQT_v4[[#This Row],[GB-12]]*EXR</f>
        <v>0</v>
      </c>
      <c r="BP140" s="47">
        <f ca="1">SUM(KH_26_OPT4_KTQT_v4[[#This Row],[DT-EXW-01]:[DT-EXW-12]])</f>
        <v>0</v>
      </c>
      <c r="BQ140" s="47">
        <f ca="1">SUMIFS(DB_25[DT-DB25],DB_25[Mã khách],KH_26_OPT4_KTQT_v4[[#This Row],[Mã khách]],DB_25[Mã sản phẩm],KH_26_OPT4_KTQT_v4[[#This Row],[Mã sản phẩm]])</f>
        <v>326454654.20983857</v>
      </c>
      <c r="BR140" s="47">
        <f ca="1">KH_26_OPT4_KTQT_v4[[#This Row],[DT-EXW-KH26]]-KH_26_OPT4_KTQT_v4[[#This Row],[DT-EXW-DB25]]</f>
        <v>-326454654.20983857</v>
      </c>
      <c r="BS140" s="21">
        <f ca="1">IFERROR(KH_26_OPT4_KTQT_v4[[#This Row],[DT-EXW-+/-]]/KH_26_OPT4_KTQT_v4[[#This Row],[DT-EXW-DB25]],0)</f>
        <v>-1</v>
      </c>
      <c r="BT140" s="139"/>
      <c r="BU140" s="57"/>
      <c r="BV140" s="51"/>
      <c r="BW140" s="47">
        <f>IF(KH_26_OPT4_KTQT_v4[[#This Row],[CPHH-%-SL]]="Dthu",KH_26_OPT4_KTQT_v4[[#This Row],[%HH]]*KH_26_OPT4_KTQT_v4[[#This Row],[DT-EXW-01]],KH_26_OPT4_KTQT_v4[[#This Row],[HH-SL]]*KH_26_OPT4_KTQT_v4[[#This Row],[SL-01]])</f>
        <v>0</v>
      </c>
      <c r="BX140" s="47">
        <f>IF(KH_26_OPT4_KTQT_v4[[#This Row],[CPHH-%-SL]]="Dthu",KH_26_OPT4_KTQT_v4[[#This Row],[%HH]]*KH_26_OPT4_KTQT_v4[[#This Row],[DT-EXW-02]],KH_26_OPT4_KTQT_v4[[#This Row],[HH-SL]]*KH_26_OPT4_KTQT_v4[[#This Row],[SL-02]])</f>
        <v>0</v>
      </c>
      <c r="BY140" s="47">
        <f>IF(KH_26_OPT4_KTQT_v4[[#This Row],[CPHH-%-SL]]="Dthu",KH_26_OPT4_KTQT_v4[[#This Row],[%HH]]*KH_26_OPT4_KTQT_v4[[#This Row],[DT-EXW-03]],KH_26_OPT4_KTQT_v4[[#This Row],[HH-SL]]*KH_26_OPT4_KTQT_v4[[#This Row],[SL-03]])</f>
        <v>0</v>
      </c>
      <c r="BZ140" s="47">
        <f>IF(KH_26_OPT4_KTQT_v4[[#This Row],[CPHH-%-SL]]="Dthu",KH_26_OPT4_KTQT_v4[[#This Row],[%HH]]*KH_26_OPT4_KTQT_v4[[#This Row],[DT-EXW-04]],KH_26_OPT4_KTQT_v4[[#This Row],[HH-SL]]*KH_26_OPT4_KTQT_v4[[#This Row],[SL-04]])</f>
        <v>0</v>
      </c>
      <c r="CA140" s="47">
        <f>IF(KH_26_OPT4_KTQT_v4[[#This Row],[CPHH-%-SL]]="Dthu",KH_26_OPT4_KTQT_v4[[#This Row],[%HH]]*KH_26_OPT4_KTQT_v4[[#This Row],[DT-EXW-05]],KH_26_OPT4_KTQT_v4[[#This Row],[HH-SL]]*KH_26_OPT4_KTQT_v4[[#This Row],[SL-05]])</f>
        <v>0</v>
      </c>
      <c r="CB140" s="47">
        <f>IF(KH_26_OPT4_KTQT_v4[[#This Row],[CPHH-%-SL]]="Dthu",KH_26_OPT4_KTQT_v4[[#This Row],[%HH]]*KH_26_OPT4_KTQT_v4[[#This Row],[DT-EXW-06]],KH_26_OPT4_KTQT_v4[[#This Row],[HH-SL]]*KH_26_OPT4_KTQT_v4[[#This Row],[SL-06]])</f>
        <v>0</v>
      </c>
      <c r="CC140" s="47">
        <f>IF(KH_26_OPT4_KTQT_v4[[#This Row],[CPHH-%-SL]]="Dthu",KH_26_OPT4_KTQT_v4[[#This Row],[%HH]]*KH_26_OPT4_KTQT_v4[[#This Row],[DT-EXW-07]],KH_26_OPT4_KTQT_v4[[#This Row],[HH-SL]]*KH_26_OPT4_KTQT_v4[[#This Row],[SL-07]])</f>
        <v>0</v>
      </c>
      <c r="CD140" s="47">
        <f>IF(KH_26_OPT4_KTQT_v4[[#This Row],[CPHH-%-SL]]="Dthu",KH_26_OPT4_KTQT_v4[[#This Row],[%HH]]*KH_26_OPT4_KTQT_v4[[#This Row],[DT-EXW-08]],KH_26_OPT4_KTQT_v4[[#This Row],[HH-SL]]*KH_26_OPT4_KTQT_v4[[#This Row],[SL-08]])</f>
        <v>0</v>
      </c>
      <c r="CE140" s="47">
        <f>IF(KH_26_OPT4_KTQT_v4[[#This Row],[CPHH-%-SL]]="Dthu",KH_26_OPT4_KTQT_v4[[#This Row],[%HH]]*KH_26_OPT4_KTQT_v4[[#This Row],[DT-EXW-09]],KH_26_OPT4_KTQT_v4[[#This Row],[HH-SL]]*KH_26_OPT4_KTQT_v4[[#This Row],[SL-09]])</f>
        <v>0</v>
      </c>
      <c r="CF140" s="47">
        <f>IF(KH_26_OPT4_KTQT_v4[[#This Row],[CPHH-%-SL]]="Dthu",KH_26_OPT4_KTQT_v4[[#This Row],[%HH]]*KH_26_OPT4_KTQT_v4[[#This Row],[DT-EXW-10]],KH_26_OPT4_KTQT_v4[[#This Row],[HH-SL]]*KH_26_OPT4_KTQT_v4[[#This Row],[SL-10]])</f>
        <v>0</v>
      </c>
      <c r="CG140" s="47">
        <f>IF(KH_26_OPT4_KTQT_v4[[#This Row],[CPHH-%-SL]]="Dthu",KH_26_OPT4_KTQT_v4[[#This Row],[%HH]]*KH_26_OPT4_KTQT_v4[[#This Row],[DT-EXW-11]],KH_26_OPT4_KTQT_v4[[#This Row],[HH-SL]]*KH_26_OPT4_KTQT_v4[[#This Row],[SL-11]])</f>
        <v>0</v>
      </c>
      <c r="CH140" s="47">
        <f>IF(KH_26_OPT4_KTQT_v4[[#This Row],[CPHH-%-SL]]="Dthu",KH_26_OPT4_KTQT_v4[[#This Row],[%HH]]*KH_26_OPT4_KTQT_v4[[#This Row],[DT-EXW-12]],KH_26_OPT4_KTQT_v4[[#This Row],[HH-SL]]*KH_26_OPT4_KTQT_v4[[#This Row],[SL-12]])</f>
        <v>0</v>
      </c>
      <c r="CI140" s="47">
        <f ca="1">SUM(KH_26_OPT4_KTQT_v4[[#This Row],[CPHH-01]:[CPHH-12]])</f>
        <v>0</v>
      </c>
      <c r="CJ140" s="47" cm="1">
        <f t="array" ref="CJ140">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40" s="19">
        <f ca="1">SUM(KH_26_OPT4_KTQT_v4[[#This Row],[ĐGVCNĐ-KXK]:[ĐGVCCT-KXK]])</f>
        <v>0</v>
      </c>
      <c r="CL140" s="47" cm="1">
        <f t="array" ref="CL140">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140" s="47" cm="1">
        <f t="array" ref="CM140">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40" s="47">
        <f ca="1">(KH_26_OPT4_KTQT_v4[[#This Row],[ĐGVC-KNĐ]]+KH_26_OPT4_KTQT_v4[[#This Row],[ĐGVC-KXK]])*KH_26_OPT4_KTQT_v4[[#This Row],[SL-01]]</f>
        <v>0</v>
      </c>
      <c r="CO140" s="47">
        <f ca="1">(KH_26_OPT4_KTQT_v4[[#This Row],[ĐGVC-KNĐ]]+KH_26_OPT4_KTQT_v4[[#This Row],[ĐGVC-KXK]])*KH_26_OPT4_KTQT_v4[[#This Row],[SL-02]]</f>
        <v>0</v>
      </c>
      <c r="CP140" s="47">
        <f ca="1">(KH_26_OPT4_KTQT_v4[[#This Row],[ĐGVC-KNĐ]]+KH_26_OPT4_KTQT_v4[[#This Row],[ĐGVC-KXK]])*KH_26_OPT4_KTQT_v4[[#This Row],[SL-03]]</f>
        <v>0</v>
      </c>
      <c r="CQ140" s="47">
        <f ca="1">(KH_26_OPT4_KTQT_v4[[#This Row],[ĐGVC-KNĐ]]+KH_26_OPT4_KTQT_v4[[#This Row],[ĐGVC-KXK]])*KH_26_OPT4_KTQT_v4[[#This Row],[SL-04]]</f>
        <v>0</v>
      </c>
      <c r="CR140" s="47">
        <f ca="1">(KH_26_OPT4_KTQT_v4[[#This Row],[ĐGVC-KNĐ]]+KH_26_OPT4_KTQT_v4[[#This Row],[ĐGVC-KXK]])*KH_26_OPT4_KTQT_v4[[#This Row],[SL-05]]</f>
        <v>0</v>
      </c>
      <c r="CS140" s="47">
        <f ca="1">(KH_26_OPT4_KTQT_v4[[#This Row],[ĐGVC-KNĐ]]+KH_26_OPT4_KTQT_v4[[#This Row],[ĐGVC-KXK]])*KH_26_OPT4_KTQT_v4[[#This Row],[SL-06]]</f>
        <v>0</v>
      </c>
      <c r="CT140" s="47">
        <f ca="1">(KH_26_OPT4_KTQT_v4[[#This Row],[ĐGVC-KNĐ]]+KH_26_OPT4_KTQT_v4[[#This Row],[ĐGVC-KXK]])*KH_26_OPT4_KTQT_v4[[#This Row],[SL-07]]</f>
        <v>0</v>
      </c>
      <c r="CU140" s="47">
        <f ca="1">(KH_26_OPT4_KTQT_v4[[#This Row],[ĐGVC-KNĐ]]+KH_26_OPT4_KTQT_v4[[#This Row],[ĐGVC-KXK]])*KH_26_OPT4_KTQT_v4[[#This Row],[SL-08]]</f>
        <v>0</v>
      </c>
      <c r="CV140" s="47">
        <f ca="1">(KH_26_OPT4_KTQT_v4[[#This Row],[ĐGVC-KNĐ]]+KH_26_OPT4_KTQT_v4[[#This Row],[ĐGVC-KXK]])*KH_26_OPT4_KTQT_v4[[#This Row],[SL-09]]</f>
        <v>0</v>
      </c>
      <c r="CW140" s="47">
        <f ca="1">(KH_26_OPT4_KTQT_v4[[#This Row],[ĐGVC-KNĐ]]+KH_26_OPT4_KTQT_v4[[#This Row],[ĐGVC-KXK]])*KH_26_OPT4_KTQT_v4[[#This Row],[SL-10]]</f>
        <v>0</v>
      </c>
      <c r="CX140" s="47">
        <f ca="1">(KH_26_OPT4_KTQT_v4[[#This Row],[ĐGVC-KNĐ]]+KH_26_OPT4_KTQT_v4[[#This Row],[ĐGVC-KXK]])*KH_26_OPT4_KTQT_v4[[#This Row],[SL-11]]</f>
        <v>0</v>
      </c>
      <c r="CY140" s="47">
        <f ca="1">(KH_26_OPT4_KTQT_v4[[#This Row],[ĐGVC-KNĐ]]+KH_26_OPT4_KTQT_v4[[#This Row],[ĐGVC-KXK]])*KH_26_OPT4_KTQT_v4[[#This Row],[SL-12]]</f>
        <v>0</v>
      </c>
      <c r="CZ140" s="47">
        <f ca="1">SUM(KH_26_OPT4_KTQT_v4[[#This Row],[CPVC-01]:[CPVC-12]])</f>
        <v>0</v>
      </c>
      <c r="DA140" s="124">
        <f ca="1">KH_26_OPT4_KTQT_v4[[#This Row],[DT-EXW-01]]+KH_26_OPT4_KTQT_v4[[#This Row],[CPVC-01]]+KH_26_OPT4_KTQT_v4[[#This Row],[CPHH-01]]</f>
        <v>0</v>
      </c>
      <c r="DB140" s="47">
        <f ca="1">KH_26_OPT4_KTQT_v4[[#This Row],[DT-EXW-02]]+KH_26_OPT4_KTQT_v4[[#This Row],[CPVC-02]]+KH_26_OPT4_KTQT_v4[[#This Row],[CPHH-02]]</f>
        <v>0</v>
      </c>
      <c r="DC140" s="47">
        <f ca="1">KH_26_OPT4_KTQT_v4[[#This Row],[DT-EXW-03]]+KH_26_OPT4_KTQT_v4[[#This Row],[CPVC-03]]+KH_26_OPT4_KTQT_v4[[#This Row],[CPHH-03]]</f>
        <v>0</v>
      </c>
      <c r="DD140" s="47">
        <f ca="1">KH_26_OPT4_KTQT_v4[[#This Row],[DT-EXW-04]]+KH_26_OPT4_KTQT_v4[[#This Row],[CPVC-04]]+KH_26_OPT4_KTQT_v4[[#This Row],[CPHH-04]]</f>
        <v>0</v>
      </c>
      <c r="DE140" s="47">
        <f ca="1">KH_26_OPT4_KTQT_v4[[#This Row],[DT-EXW-05]]+KH_26_OPT4_KTQT_v4[[#This Row],[CPVC-05]]+KH_26_OPT4_KTQT_v4[[#This Row],[CPHH-05]]</f>
        <v>0</v>
      </c>
      <c r="DF140" s="47">
        <f ca="1">KH_26_OPT4_KTQT_v4[[#This Row],[DT-EXW-06]]+KH_26_OPT4_KTQT_v4[[#This Row],[CPVC-06]]+KH_26_OPT4_KTQT_v4[[#This Row],[CPHH-06]]</f>
        <v>0</v>
      </c>
      <c r="DG140" s="47">
        <f ca="1">KH_26_OPT4_KTQT_v4[[#This Row],[DT-EXW-07]]+KH_26_OPT4_KTQT_v4[[#This Row],[CPVC-07]]+KH_26_OPT4_KTQT_v4[[#This Row],[CPHH-07]]</f>
        <v>0</v>
      </c>
      <c r="DH140" s="47">
        <f ca="1">KH_26_OPT4_KTQT_v4[[#This Row],[DT-EXW-08]]+KH_26_OPT4_KTQT_v4[[#This Row],[CPVC-08]]+KH_26_OPT4_KTQT_v4[[#This Row],[CPHH-08]]</f>
        <v>0</v>
      </c>
      <c r="DI140" s="47">
        <f ca="1">KH_26_OPT4_KTQT_v4[[#This Row],[DT-EXW-09]]+KH_26_OPT4_KTQT_v4[[#This Row],[CPVC-09]]+KH_26_OPT4_KTQT_v4[[#This Row],[CPHH-09]]</f>
        <v>0</v>
      </c>
      <c r="DJ140" s="47">
        <f ca="1">KH_26_OPT4_KTQT_v4[[#This Row],[DT-EXW-10]]+KH_26_OPT4_KTQT_v4[[#This Row],[CPVC-10]]+KH_26_OPT4_KTQT_v4[[#This Row],[CPHH-10]]</f>
        <v>0</v>
      </c>
      <c r="DK140" s="47">
        <f ca="1">KH_26_OPT4_KTQT_v4[[#This Row],[DT-EXW-11]]+KH_26_OPT4_KTQT_v4[[#This Row],[CPVC-11]]+KH_26_OPT4_KTQT_v4[[#This Row],[CPHH-11]]</f>
        <v>0</v>
      </c>
      <c r="DL140" s="47">
        <f ca="1">KH_26_OPT4_KTQT_v4[[#This Row],[DT-EXW-12]]+KH_26_OPT4_KTQT_v4[[#This Row],[CPVC-12]]+KH_26_OPT4_KTQT_v4[[#This Row],[CPHH-12]]</f>
        <v>0</v>
      </c>
      <c r="DM140" s="47">
        <f ca="1">SUM(KH_26_OPT4_KTQT_v4[[#This Row],[DT-01]:[DT-12]])</f>
        <v>0</v>
      </c>
      <c r="DN140" s="7"/>
      <c r="DO140" s="7"/>
      <c r="DP140" s="125"/>
      <c r="DQ140" s="136"/>
      <c r="DR140" s="132">
        <f>IFERROR(KH_26_OPT4_KTQT_v4[[#This Row],[DT-EXW-01]]*KH_26_OPT4_KTQT_v4[[#This Row],[%CPDP]],0)</f>
        <v>0</v>
      </c>
      <c r="DS140" s="132">
        <f>IFERROR(KH_26_OPT4_KTQT_v4[[#This Row],[DT-EXW-02]]*KH_26_OPT4_KTQT_v4[[#This Row],[%CPDP]],0)</f>
        <v>0</v>
      </c>
      <c r="DT140" s="132">
        <f>IFERROR(KH_26_OPT4_KTQT_v4[[#This Row],[DT-EXW-03]]*KH_26_OPT4_KTQT_v4[[#This Row],[%CPDP]],0)</f>
        <v>0</v>
      </c>
      <c r="DU140" s="132">
        <f>IFERROR(KH_26_OPT4_KTQT_v4[[#This Row],[DT-EXW-04]]*KH_26_OPT4_KTQT_v4[[#This Row],[%CPDP]],0)</f>
        <v>0</v>
      </c>
      <c r="DV140" s="132">
        <f>IFERROR(KH_26_OPT4_KTQT_v4[[#This Row],[DT-EXW-05]]*KH_26_OPT4_KTQT_v4[[#This Row],[%CPDP]],0)</f>
        <v>0</v>
      </c>
      <c r="DW140" s="132">
        <f>IFERROR(KH_26_OPT4_KTQT_v4[[#This Row],[DT-EXW-06]]*KH_26_OPT4_KTQT_v4[[#This Row],[%CPDP]],0)</f>
        <v>0</v>
      </c>
      <c r="DX140" s="132">
        <f>IFERROR(KH_26_OPT4_KTQT_v4[[#This Row],[DT-EXW-07]]*KH_26_OPT4_KTQT_v4[[#This Row],[%CPDP]],0)</f>
        <v>0</v>
      </c>
      <c r="DY140" s="132">
        <f>IFERROR(KH_26_OPT4_KTQT_v4[[#This Row],[DT-EXW-08]]*KH_26_OPT4_KTQT_v4[[#This Row],[%CPDP]],0)</f>
        <v>0</v>
      </c>
      <c r="DZ140" s="132">
        <f>IFERROR(KH_26_OPT4_KTQT_v4[[#This Row],[DT-EXW-09]]*KH_26_OPT4_KTQT_v4[[#This Row],[%CPDP]],0)</f>
        <v>0</v>
      </c>
      <c r="EA140" s="132">
        <f>IFERROR(KH_26_OPT4_KTQT_v4[[#This Row],[DT-EXW-10]]*KH_26_OPT4_KTQT_v4[[#This Row],[%CPDP]],0)</f>
        <v>0</v>
      </c>
      <c r="EB140" s="132">
        <f>IFERROR(KH_26_OPT4_KTQT_v4[[#This Row],[DT-EXW-11]]*KH_26_OPT4_KTQT_v4[[#This Row],[%CPDP]],0)</f>
        <v>0</v>
      </c>
      <c r="EC140" s="132">
        <f>IFERROR(KH_26_OPT4_KTQT_v4[[#This Row],[DT-EXW-12]]*KH_26_OPT4_KTQT_v4[[#This Row],[%CPDP]],0)</f>
        <v>0</v>
      </c>
      <c r="ED140" s="131">
        <f ca="1">SUM(KH_26_OPT4_KTQT_v4[[#This Row],[CPDP-01]:[CPDP-12]])</f>
        <v>0</v>
      </c>
    </row>
    <row r="141" spans="1:134" ht="14.65" hidden="1" customHeight="1" x14ac:dyDescent="0.35">
      <c r="A141" s="18">
        <v>136</v>
      </c>
      <c r="B141" s="71" t="s">
        <v>115</v>
      </c>
      <c r="C141" s="18" t="str">
        <f>IFERROR(_xlfn.XLOOKUP(KH_26_OPT4_KTQT_v4[[#This Row],[Salesman]],MD_Salesman[Salesman],MD_Salesman[SalesManager]),"")</f>
        <v>Quốc Anh</v>
      </c>
      <c r="D141" s="72" t="str">
        <f>IFERROR(INDEX(MD_Customer[Mã khách],MATCH(KH_26_OPT4_KTQT_v4[[#This Row],[Tên khách]],MD_Customer[Tên khách-rút gọn],0)),"")</f>
        <v>105291</v>
      </c>
      <c r="E141" s="7" t="str">
        <f>IFERROR(INDEX(MD_Customer[Parent Account],MATCH(KH_26_OPT4_KTQT_v4[[#This Row],[Tên khách]],MD_Customer[Tên khách-rút gọn],0)),"")</f>
        <v>AN NHẬT</v>
      </c>
      <c r="F141" s="35" t="s">
        <v>71</v>
      </c>
      <c r="G141" s="7" t="str">
        <f>IFERROR(INDEX(MD_Customer[Phân loại],MATCH(KH_26_OPT4_KTQT_v4[[#This Row],[Tên khách]],MD_Customer[Tên khách-rút gọn],0)),"")</f>
        <v>Hiện hữu</v>
      </c>
      <c r="H141" s="7" t="str">
        <f>IFERROR(INDEX(MD_Customer[Kênh bán hàng],MATCH(KH_26_OPT4_KTQT_v4[[#This Row],[Tên khách]],MD_Customer[Tên khách-rút gọn],0)),"")</f>
        <v>Nội địa</v>
      </c>
      <c r="I141" s="35" t="s">
        <v>274</v>
      </c>
      <c r="J141" s="7" t="str">
        <f>IFERROR(INDEX(MD_Destination[Nước],MATCH(KH_26_OPT4_KTQT_v4[[#This Row],[Địa điểm đến]],MD_Destination[Địa điểm đến],0)),"")</f>
        <v>Việt Nam</v>
      </c>
      <c r="K141" s="7" t="str">
        <f>IFERROR(INDEX(MD_Destination[Khu vực],MATCH(KH_26_OPT4_KTQT_v4[[#This Row],[Địa điểm đến]],MD_Destination[Địa điểm đến],0)),"")</f>
        <v>Châu Á</v>
      </c>
      <c r="L141" s="35" t="s">
        <v>260</v>
      </c>
      <c r="M141" s="7" t="str">
        <f>IFERROR(INDEX(MD_SKU[Mã SKU],MATCH(KH_26_OPT4_KTQT_v4[[#This Row],[Tên sản phẩm]],MD_SKU[Tên SKU-rút gọn],0)),"")</f>
        <v>110000392</v>
      </c>
      <c r="N141" s="35" t="s">
        <v>485</v>
      </c>
      <c r="O141" s="7" t="str">
        <f>IFERROR(INDEX(MD_SKU[Ngành hàng],MATCH(KH_26_OPT4_KTQT_v4[[#This Row],[Tên sản phẩm]],MD_SKU[Tên SKU-rút gọn],0)),"")</f>
        <v>rPP</v>
      </c>
      <c r="P141" s="7" t="str">
        <f>IFERROR(INDEX(MD_SKU[Nhóm ngành],MATCH(KH_26_OPT4_KTQT_v4[[#This Row],[Tên sản phẩm]],MD_SKU[Tên SKU-rút gọn],0)),"")</f>
        <v>Hạt PP</v>
      </c>
      <c r="Q141" s="7" t="str">
        <f>IFERROR(
   IF(INDEX(MD_SKU[IV/IM],MATCH(KH_26_OPT4_KTQT_v4[[#This Row],[Tên sản phẩm]],MD_SKU[Tên SKU-rút gọn],0))=0,
      "",
      INDEX(MD_SKU[IV/IM],MATCH(KH_26_OPT4_KTQT_v4[[#This Row],[Tên sản phẩm]],MD_SKU[Tên SKU-rút gọn],0))
   ),
"")</f>
        <v/>
      </c>
      <c r="R141" s="44">
        <f>IFERROR(INDEX(MD_SKU[Application],MATCH(KH_26_OPT4_KTQT_v4[[#This Row],[Tên sản phẩm]],MD_SKU[Tên SKU-rút gọn],0)),"")</f>
        <v>0</v>
      </c>
      <c r="S141" s="7" t="str">
        <f>IFERROR(INDEX(MD_SKU[Phân loại],MATCH(KH_26_OPT4_KTQT_v4[[#This Row],[Tên sản phẩm]],MD_SKU[Tên SKU-rút gọn],0)),"")</f>
        <v>Cũ</v>
      </c>
      <c r="T141" s="7" t="s">
        <v>542</v>
      </c>
      <c r="U141" s="7"/>
      <c r="V141" s="70">
        <v>0.8</v>
      </c>
      <c r="W141" s="33"/>
      <c r="X141" s="33"/>
      <c r="Y141" s="33"/>
      <c r="Z141" s="33"/>
      <c r="AA141" s="33"/>
      <c r="AB141" s="33"/>
      <c r="AC141" s="33"/>
      <c r="AD141" s="33"/>
      <c r="AE141" s="33"/>
      <c r="AF141" s="33"/>
      <c r="AG141" s="33"/>
      <c r="AH141" s="33"/>
      <c r="AI141" s="47">
        <f ca="1">SUM(KH_26_OPT4_KTQT_v4[[#This Row],[SL-01]:[SL-12]])</f>
        <v>0</v>
      </c>
      <c r="AJ141" s="47">
        <f ca="1">SUMIFS(DB_25[SL-DB25],DB_25[Mã khách],KH_26_OPT4_KTQT_v4[[#This Row],[Mã khách]],DB_25[Mã sản phẩm],KH_26_OPT4_KTQT_v4[[#This Row],[Mã sản phẩm]])</f>
        <v>0.5</v>
      </c>
      <c r="AK141" s="20">
        <f ca="1">KH_26_OPT4_KTQT_v4[[#This Row],[SL-KH26]]-KH_26_OPT4_KTQT_v4[[#This Row],[SL-DB25]]</f>
        <v>-0.5</v>
      </c>
      <c r="AL141" s="21">
        <f ca="1">IFERROR(KH_26_OPT4_KTQT_v4[[#This Row],[SL-+/-]]/KH_26_OPT4_KTQT_v4[[#This Row],[SL-DB25]],0)</f>
        <v>-1</v>
      </c>
      <c r="AM141" s="51">
        <v>825</v>
      </c>
      <c r="AN141" s="51">
        <v>825</v>
      </c>
      <c r="AO141" s="51">
        <v>825</v>
      </c>
      <c r="AP141" s="51">
        <v>825</v>
      </c>
      <c r="AQ141" s="51">
        <v>825</v>
      </c>
      <c r="AR141" s="51">
        <v>825</v>
      </c>
      <c r="AS141" s="51">
        <v>825</v>
      </c>
      <c r="AT141" s="51">
        <v>825</v>
      </c>
      <c r="AU141" s="51">
        <v>825</v>
      </c>
      <c r="AV141" s="51">
        <v>825</v>
      </c>
      <c r="AW141" s="51">
        <v>825</v>
      </c>
      <c r="AX141" s="51">
        <v>825</v>
      </c>
      <c r="AY141" s="23">
        <v>825</v>
      </c>
      <c r="AZ141" s="7"/>
      <c r="BA141" s="24">
        <f>KH_26_OPT4_KTQT_v4[[#This Row],[GB-DB25]]-KH_26_OPT4_KTQT_v4[[#This Row],[GB-KH25]]</f>
        <v>825</v>
      </c>
      <c r="BB141" s="21">
        <f>IFERROR(KH_26_OPT4_KTQT_v4[[#This Row],[GB-+/-]]/KH_26_OPT4_KTQT_v4[[#This Row],[GB-KH25]],0)</f>
        <v>0</v>
      </c>
      <c r="BC141" s="21"/>
      <c r="BD141" s="47">
        <f>KH_26_OPT4_KTQT_v4[[#This Row],[SL-01]]*KH_26_OPT4_KTQT_v4[[#This Row],[GB-01]]*EXR</f>
        <v>0</v>
      </c>
      <c r="BE141" s="47">
        <f>KH_26_OPT4_KTQT_v4[[#This Row],[SL-02]]*KH_26_OPT4_KTQT_v4[[#This Row],[GB-02]]*EXR</f>
        <v>0</v>
      </c>
      <c r="BF141" s="47">
        <f>KH_26_OPT4_KTQT_v4[[#This Row],[SL-03]]*KH_26_OPT4_KTQT_v4[[#This Row],[GB-03]]*EXR</f>
        <v>0</v>
      </c>
      <c r="BG141" s="47">
        <f>KH_26_OPT4_KTQT_v4[[#This Row],[SL-04]]*KH_26_OPT4_KTQT_v4[[#This Row],[GB-04]]*EXR</f>
        <v>0</v>
      </c>
      <c r="BH141" s="47">
        <f>KH_26_OPT4_KTQT_v4[[#This Row],[SL-05]]*KH_26_OPT4_KTQT_v4[[#This Row],[GB-05]]*EXR</f>
        <v>0</v>
      </c>
      <c r="BI141" s="47">
        <f>KH_26_OPT4_KTQT_v4[[#This Row],[SL-06]]*KH_26_OPT4_KTQT_v4[[#This Row],[GB-06]]*EXR</f>
        <v>0</v>
      </c>
      <c r="BJ141" s="47">
        <f>KH_26_OPT4_KTQT_v4[[#This Row],[SL-07]]*KH_26_OPT4_KTQT_v4[[#This Row],[GB-07]]*EXR</f>
        <v>0</v>
      </c>
      <c r="BK141" s="47">
        <f>KH_26_OPT4_KTQT_v4[[#This Row],[SL-08]]*KH_26_OPT4_KTQT_v4[[#This Row],[GB-08]]*EXR</f>
        <v>0</v>
      </c>
      <c r="BL141" s="47">
        <f>KH_26_OPT4_KTQT_v4[[#This Row],[SL-09]]*KH_26_OPT4_KTQT_v4[[#This Row],[GB-09]]*EXR</f>
        <v>0</v>
      </c>
      <c r="BM141" s="47">
        <f>KH_26_OPT4_KTQT_v4[[#This Row],[SL-10]]*KH_26_OPT4_KTQT_v4[[#This Row],[GB-10]]*EXR</f>
        <v>0</v>
      </c>
      <c r="BN141" s="47">
        <f>KH_26_OPT4_KTQT_v4[[#This Row],[SL-11]]*KH_26_OPT4_KTQT_v4[[#This Row],[GB-11]]*EXR</f>
        <v>0</v>
      </c>
      <c r="BO141" s="47">
        <f>KH_26_OPT4_KTQT_v4[[#This Row],[SL-12]]*KH_26_OPT4_KTQT_v4[[#This Row],[GB-12]]*EXR</f>
        <v>0</v>
      </c>
      <c r="BP141" s="47">
        <f ca="1">SUM(KH_26_OPT4_KTQT_v4[[#This Row],[DT-EXW-01]:[DT-EXW-12]])</f>
        <v>0</v>
      </c>
      <c r="BQ141" s="47">
        <f ca="1">SUMIFS(DB_25[DT-DB25],DB_25[Mã khách],KH_26_OPT4_KTQT_v4[[#This Row],[Mã khách]],DB_25[Mã sản phẩm],KH_26_OPT4_KTQT_v4[[#This Row],[Mã sản phẩm]])</f>
        <v>14532700.121665465</v>
      </c>
      <c r="BR141" s="47">
        <f ca="1">KH_26_OPT4_KTQT_v4[[#This Row],[DT-EXW-KH26]]-KH_26_OPT4_KTQT_v4[[#This Row],[DT-EXW-DB25]]</f>
        <v>-14532700.121665465</v>
      </c>
      <c r="BS141" s="21">
        <f ca="1">IFERROR(KH_26_OPT4_KTQT_v4[[#This Row],[DT-EXW-+/-]]/KH_26_OPT4_KTQT_v4[[#This Row],[DT-EXW-DB25]],0)</f>
        <v>-1</v>
      </c>
      <c r="BT141" s="139"/>
      <c r="BU141" s="57"/>
      <c r="BV141" s="51"/>
      <c r="BW141" s="47">
        <f>IF(KH_26_OPT4_KTQT_v4[[#This Row],[CPHH-%-SL]]="Dthu",KH_26_OPT4_KTQT_v4[[#This Row],[%HH]]*KH_26_OPT4_KTQT_v4[[#This Row],[DT-EXW-01]],KH_26_OPT4_KTQT_v4[[#This Row],[HH-SL]]*KH_26_OPT4_KTQT_v4[[#This Row],[SL-01]])</f>
        <v>0</v>
      </c>
      <c r="BX141" s="47">
        <f>IF(KH_26_OPT4_KTQT_v4[[#This Row],[CPHH-%-SL]]="Dthu",KH_26_OPT4_KTQT_v4[[#This Row],[%HH]]*KH_26_OPT4_KTQT_v4[[#This Row],[DT-EXW-02]],KH_26_OPT4_KTQT_v4[[#This Row],[HH-SL]]*KH_26_OPT4_KTQT_v4[[#This Row],[SL-02]])</f>
        <v>0</v>
      </c>
      <c r="BY141" s="47">
        <f>IF(KH_26_OPT4_KTQT_v4[[#This Row],[CPHH-%-SL]]="Dthu",KH_26_OPT4_KTQT_v4[[#This Row],[%HH]]*KH_26_OPT4_KTQT_v4[[#This Row],[DT-EXW-03]],KH_26_OPT4_KTQT_v4[[#This Row],[HH-SL]]*KH_26_OPT4_KTQT_v4[[#This Row],[SL-03]])</f>
        <v>0</v>
      </c>
      <c r="BZ141" s="47">
        <f>IF(KH_26_OPT4_KTQT_v4[[#This Row],[CPHH-%-SL]]="Dthu",KH_26_OPT4_KTQT_v4[[#This Row],[%HH]]*KH_26_OPT4_KTQT_v4[[#This Row],[DT-EXW-04]],KH_26_OPT4_KTQT_v4[[#This Row],[HH-SL]]*KH_26_OPT4_KTQT_v4[[#This Row],[SL-04]])</f>
        <v>0</v>
      </c>
      <c r="CA141" s="47">
        <f>IF(KH_26_OPT4_KTQT_v4[[#This Row],[CPHH-%-SL]]="Dthu",KH_26_OPT4_KTQT_v4[[#This Row],[%HH]]*KH_26_OPT4_KTQT_v4[[#This Row],[DT-EXW-05]],KH_26_OPT4_KTQT_v4[[#This Row],[HH-SL]]*KH_26_OPT4_KTQT_v4[[#This Row],[SL-05]])</f>
        <v>0</v>
      </c>
      <c r="CB141" s="47">
        <f>IF(KH_26_OPT4_KTQT_v4[[#This Row],[CPHH-%-SL]]="Dthu",KH_26_OPT4_KTQT_v4[[#This Row],[%HH]]*KH_26_OPT4_KTQT_v4[[#This Row],[DT-EXW-06]],KH_26_OPT4_KTQT_v4[[#This Row],[HH-SL]]*KH_26_OPT4_KTQT_v4[[#This Row],[SL-06]])</f>
        <v>0</v>
      </c>
      <c r="CC141" s="47">
        <f>IF(KH_26_OPT4_KTQT_v4[[#This Row],[CPHH-%-SL]]="Dthu",KH_26_OPT4_KTQT_v4[[#This Row],[%HH]]*KH_26_OPT4_KTQT_v4[[#This Row],[DT-EXW-07]],KH_26_OPT4_KTQT_v4[[#This Row],[HH-SL]]*KH_26_OPT4_KTQT_v4[[#This Row],[SL-07]])</f>
        <v>0</v>
      </c>
      <c r="CD141" s="47">
        <f>IF(KH_26_OPT4_KTQT_v4[[#This Row],[CPHH-%-SL]]="Dthu",KH_26_OPT4_KTQT_v4[[#This Row],[%HH]]*KH_26_OPT4_KTQT_v4[[#This Row],[DT-EXW-08]],KH_26_OPT4_KTQT_v4[[#This Row],[HH-SL]]*KH_26_OPT4_KTQT_v4[[#This Row],[SL-08]])</f>
        <v>0</v>
      </c>
      <c r="CE141" s="47">
        <f>IF(KH_26_OPT4_KTQT_v4[[#This Row],[CPHH-%-SL]]="Dthu",KH_26_OPT4_KTQT_v4[[#This Row],[%HH]]*KH_26_OPT4_KTQT_v4[[#This Row],[DT-EXW-09]],KH_26_OPT4_KTQT_v4[[#This Row],[HH-SL]]*KH_26_OPT4_KTQT_v4[[#This Row],[SL-09]])</f>
        <v>0</v>
      </c>
      <c r="CF141" s="47">
        <f>IF(KH_26_OPT4_KTQT_v4[[#This Row],[CPHH-%-SL]]="Dthu",KH_26_OPT4_KTQT_v4[[#This Row],[%HH]]*KH_26_OPT4_KTQT_v4[[#This Row],[DT-EXW-10]],KH_26_OPT4_KTQT_v4[[#This Row],[HH-SL]]*KH_26_OPT4_KTQT_v4[[#This Row],[SL-10]])</f>
        <v>0</v>
      </c>
      <c r="CG141" s="47">
        <f>IF(KH_26_OPT4_KTQT_v4[[#This Row],[CPHH-%-SL]]="Dthu",KH_26_OPT4_KTQT_v4[[#This Row],[%HH]]*KH_26_OPT4_KTQT_v4[[#This Row],[DT-EXW-11]],KH_26_OPT4_KTQT_v4[[#This Row],[HH-SL]]*KH_26_OPT4_KTQT_v4[[#This Row],[SL-11]])</f>
        <v>0</v>
      </c>
      <c r="CH141" s="47">
        <f>IF(KH_26_OPT4_KTQT_v4[[#This Row],[CPHH-%-SL]]="Dthu",KH_26_OPT4_KTQT_v4[[#This Row],[%HH]]*KH_26_OPT4_KTQT_v4[[#This Row],[DT-EXW-12]],KH_26_OPT4_KTQT_v4[[#This Row],[HH-SL]]*KH_26_OPT4_KTQT_v4[[#This Row],[SL-12]])</f>
        <v>0</v>
      </c>
      <c r="CI141" s="47">
        <f ca="1">SUM(KH_26_OPT4_KTQT_v4[[#This Row],[CPHH-01]:[CPHH-12]])</f>
        <v>0</v>
      </c>
      <c r="CJ141" s="47" cm="1">
        <f t="array" ref="CJ141">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41" s="19">
        <f ca="1">SUM(KH_26_OPT4_KTQT_v4[[#This Row],[ĐGVCNĐ-KXK]:[ĐGVCCT-KXK]])</f>
        <v>0</v>
      </c>
      <c r="CL141" s="47" cm="1">
        <f t="array" ref="CL141">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141" s="47" cm="1">
        <f t="array" ref="CM141">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41" s="47">
        <f ca="1">(KH_26_OPT4_KTQT_v4[[#This Row],[ĐGVC-KNĐ]]+KH_26_OPT4_KTQT_v4[[#This Row],[ĐGVC-KXK]])*KH_26_OPT4_KTQT_v4[[#This Row],[SL-01]]</f>
        <v>0</v>
      </c>
      <c r="CO141" s="47">
        <f ca="1">(KH_26_OPT4_KTQT_v4[[#This Row],[ĐGVC-KNĐ]]+KH_26_OPT4_KTQT_v4[[#This Row],[ĐGVC-KXK]])*KH_26_OPT4_KTQT_v4[[#This Row],[SL-02]]</f>
        <v>0</v>
      </c>
      <c r="CP141" s="47">
        <f ca="1">(KH_26_OPT4_KTQT_v4[[#This Row],[ĐGVC-KNĐ]]+KH_26_OPT4_KTQT_v4[[#This Row],[ĐGVC-KXK]])*KH_26_OPT4_KTQT_v4[[#This Row],[SL-03]]</f>
        <v>0</v>
      </c>
      <c r="CQ141" s="47">
        <f ca="1">(KH_26_OPT4_KTQT_v4[[#This Row],[ĐGVC-KNĐ]]+KH_26_OPT4_KTQT_v4[[#This Row],[ĐGVC-KXK]])*KH_26_OPT4_KTQT_v4[[#This Row],[SL-04]]</f>
        <v>0</v>
      </c>
      <c r="CR141" s="47">
        <f ca="1">(KH_26_OPT4_KTQT_v4[[#This Row],[ĐGVC-KNĐ]]+KH_26_OPT4_KTQT_v4[[#This Row],[ĐGVC-KXK]])*KH_26_OPT4_KTQT_v4[[#This Row],[SL-05]]</f>
        <v>0</v>
      </c>
      <c r="CS141" s="47">
        <f ca="1">(KH_26_OPT4_KTQT_v4[[#This Row],[ĐGVC-KNĐ]]+KH_26_OPT4_KTQT_v4[[#This Row],[ĐGVC-KXK]])*KH_26_OPT4_KTQT_v4[[#This Row],[SL-06]]</f>
        <v>0</v>
      </c>
      <c r="CT141" s="47">
        <f ca="1">(KH_26_OPT4_KTQT_v4[[#This Row],[ĐGVC-KNĐ]]+KH_26_OPT4_KTQT_v4[[#This Row],[ĐGVC-KXK]])*KH_26_OPT4_KTQT_v4[[#This Row],[SL-07]]</f>
        <v>0</v>
      </c>
      <c r="CU141" s="47">
        <f ca="1">(KH_26_OPT4_KTQT_v4[[#This Row],[ĐGVC-KNĐ]]+KH_26_OPT4_KTQT_v4[[#This Row],[ĐGVC-KXK]])*KH_26_OPT4_KTQT_v4[[#This Row],[SL-08]]</f>
        <v>0</v>
      </c>
      <c r="CV141" s="47">
        <f ca="1">(KH_26_OPT4_KTQT_v4[[#This Row],[ĐGVC-KNĐ]]+KH_26_OPT4_KTQT_v4[[#This Row],[ĐGVC-KXK]])*KH_26_OPT4_KTQT_v4[[#This Row],[SL-09]]</f>
        <v>0</v>
      </c>
      <c r="CW141" s="47">
        <f ca="1">(KH_26_OPT4_KTQT_v4[[#This Row],[ĐGVC-KNĐ]]+KH_26_OPT4_KTQT_v4[[#This Row],[ĐGVC-KXK]])*KH_26_OPT4_KTQT_v4[[#This Row],[SL-10]]</f>
        <v>0</v>
      </c>
      <c r="CX141" s="47">
        <f ca="1">(KH_26_OPT4_KTQT_v4[[#This Row],[ĐGVC-KNĐ]]+KH_26_OPT4_KTQT_v4[[#This Row],[ĐGVC-KXK]])*KH_26_OPT4_KTQT_v4[[#This Row],[SL-11]]</f>
        <v>0</v>
      </c>
      <c r="CY141" s="47">
        <f ca="1">(KH_26_OPT4_KTQT_v4[[#This Row],[ĐGVC-KNĐ]]+KH_26_OPT4_KTQT_v4[[#This Row],[ĐGVC-KXK]])*KH_26_OPT4_KTQT_v4[[#This Row],[SL-12]]</f>
        <v>0</v>
      </c>
      <c r="CZ141" s="47">
        <f ca="1">SUM(KH_26_OPT4_KTQT_v4[[#This Row],[CPVC-01]:[CPVC-12]])</f>
        <v>0</v>
      </c>
      <c r="DA141" s="124">
        <f ca="1">KH_26_OPT4_KTQT_v4[[#This Row],[DT-EXW-01]]+KH_26_OPT4_KTQT_v4[[#This Row],[CPVC-01]]+KH_26_OPT4_KTQT_v4[[#This Row],[CPHH-01]]</f>
        <v>0</v>
      </c>
      <c r="DB141" s="47">
        <f ca="1">KH_26_OPT4_KTQT_v4[[#This Row],[DT-EXW-02]]+KH_26_OPT4_KTQT_v4[[#This Row],[CPVC-02]]+KH_26_OPT4_KTQT_v4[[#This Row],[CPHH-02]]</f>
        <v>0</v>
      </c>
      <c r="DC141" s="47">
        <f ca="1">KH_26_OPT4_KTQT_v4[[#This Row],[DT-EXW-03]]+KH_26_OPT4_KTQT_v4[[#This Row],[CPVC-03]]+KH_26_OPT4_KTQT_v4[[#This Row],[CPHH-03]]</f>
        <v>0</v>
      </c>
      <c r="DD141" s="47">
        <f ca="1">KH_26_OPT4_KTQT_v4[[#This Row],[DT-EXW-04]]+KH_26_OPT4_KTQT_v4[[#This Row],[CPVC-04]]+KH_26_OPT4_KTQT_v4[[#This Row],[CPHH-04]]</f>
        <v>0</v>
      </c>
      <c r="DE141" s="47">
        <f ca="1">KH_26_OPT4_KTQT_v4[[#This Row],[DT-EXW-05]]+KH_26_OPT4_KTQT_v4[[#This Row],[CPVC-05]]+KH_26_OPT4_KTQT_v4[[#This Row],[CPHH-05]]</f>
        <v>0</v>
      </c>
      <c r="DF141" s="47">
        <f ca="1">KH_26_OPT4_KTQT_v4[[#This Row],[DT-EXW-06]]+KH_26_OPT4_KTQT_v4[[#This Row],[CPVC-06]]+KH_26_OPT4_KTQT_v4[[#This Row],[CPHH-06]]</f>
        <v>0</v>
      </c>
      <c r="DG141" s="47">
        <f ca="1">KH_26_OPT4_KTQT_v4[[#This Row],[DT-EXW-07]]+KH_26_OPT4_KTQT_v4[[#This Row],[CPVC-07]]+KH_26_OPT4_KTQT_v4[[#This Row],[CPHH-07]]</f>
        <v>0</v>
      </c>
      <c r="DH141" s="47">
        <f ca="1">KH_26_OPT4_KTQT_v4[[#This Row],[DT-EXW-08]]+KH_26_OPT4_KTQT_v4[[#This Row],[CPVC-08]]+KH_26_OPT4_KTQT_v4[[#This Row],[CPHH-08]]</f>
        <v>0</v>
      </c>
      <c r="DI141" s="47">
        <f ca="1">KH_26_OPT4_KTQT_v4[[#This Row],[DT-EXW-09]]+KH_26_OPT4_KTQT_v4[[#This Row],[CPVC-09]]+KH_26_OPT4_KTQT_v4[[#This Row],[CPHH-09]]</f>
        <v>0</v>
      </c>
      <c r="DJ141" s="47">
        <f ca="1">KH_26_OPT4_KTQT_v4[[#This Row],[DT-EXW-10]]+KH_26_OPT4_KTQT_v4[[#This Row],[CPVC-10]]+KH_26_OPT4_KTQT_v4[[#This Row],[CPHH-10]]</f>
        <v>0</v>
      </c>
      <c r="DK141" s="47">
        <f ca="1">KH_26_OPT4_KTQT_v4[[#This Row],[DT-EXW-11]]+KH_26_OPT4_KTQT_v4[[#This Row],[CPVC-11]]+KH_26_OPT4_KTQT_v4[[#This Row],[CPHH-11]]</f>
        <v>0</v>
      </c>
      <c r="DL141" s="47">
        <f ca="1">KH_26_OPT4_KTQT_v4[[#This Row],[DT-EXW-12]]+KH_26_OPT4_KTQT_v4[[#This Row],[CPVC-12]]+KH_26_OPT4_KTQT_v4[[#This Row],[CPHH-12]]</f>
        <v>0</v>
      </c>
      <c r="DM141" s="47">
        <f ca="1">SUM(KH_26_OPT4_KTQT_v4[[#This Row],[DT-01]:[DT-12]])</f>
        <v>0</v>
      </c>
      <c r="DN141" s="7"/>
      <c r="DO141" s="7"/>
      <c r="DP141" s="125"/>
      <c r="DQ141" s="136"/>
      <c r="DR141" s="132">
        <f>IFERROR(KH_26_OPT4_KTQT_v4[[#This Row],[DT-EXW-01]]*KH_26_OPT4_KTQT_v4[[#This Row],[%CPDP]],0)</f>
        <v>0</v>
      </c>
      <c r="DS141" s="132">
        <f>IFERROR(KH_26_OPT4_KTQT_v4[[#This Row],[DT-EXW-02]]*KH_26_OPT4_KTQT_v4[[#This Row],[%CPDP]],0)</f>
        <v>0</v>
      </c>
      <c r="DT141" s="132">
        <f>IFERROR(KH_26_OPT4_KTQT_v4[[#This Row],[DT-EXW-03]]*KH_26_OPT4_KTQT_v4[[#This Row],[%CPDP]],0)</f>
        <v>0</v>
      </c>
      <c r="DU141" s="132">
        <f>IFERROR(KH_26_OPT4_KTQT_v4[[#This Row],[DT-EXW-04]]*KH_26_OPT4_KTQT_v4[[#This Row],[%CPDP]],0)</f>
        <v>0</v>
      </c>
      <c r="DV141" s="132">
        <f>IFERROR(KH_26_OPT4_KTQT_v4[[#This Row],[DT-EXW-05]]*KH_26_OPT4_KTQT_v4[[#This Row],[%CPDP]],0)</f>
        <v>0</v>
      </c>
      <c r="DW141" s="132">
        <f>IFERROR(KH_26_OPT4_KTQT_v4[[#This Row],[DT-EXW-06]]*KH_26_OPT4_KTQT_v4[[#This Row],[%CPDP]],0)</f>
        <v>0</v>
      </c>
      <c r="DX141" s="132">
        <f>IFERROR(KH_26_OPT4_KTQT_v4[[#This Row],[DT-EXW-07]]*KH_26_OPT4_KTQT_v4[[#This Row],[%CPDP]],0)</f>
        <v>0</v>
      </c>
      <c r="DY141" s="132">
        <f>IFERROR(KH_26_OPT4_KTQT_v4[[#This Row],[DT-EXW-08]]*KH_26_OPT4_KTQT_v4[[#This Row],[%CPDP]],0)</f>
        <v>0</v>
      </c>
      <c r="DZ141" s="132">
        <f>IFERROR(KH_26_OPT4_KTQT_v4[[#This Row],[DT-EXW-09]]*KH_26_OPT4_KTQT_v4[[#This Row],[%CPDP]],0)</f>
        <v>0</v>
      </c>
      <c r="EA141" s="132">
        <f>IFERROR(KH_26_OPT4_KTQT_v4[[#This Row],[DT-EXW-10]]*KH_26_OPT4_KTQT_v4[[#This Row],[%CPDP]],0)</f>
        <v>0</v>
      </c>
      <c r="EB141" s="132">
        <f>IFERROR(KH_26_OPT4_KTQT_v4[[#This Row],[DT-EXW-11]]*KH_26_OPT4_KTQT_v4[[#This Row],[%CPDP]],0)</f>
        <v>0</v>
      </c>
      <c r="EC141" s="132">
        <f>IFERROR(KH_26_OPT4_KTQT_v4[[#This Row],[DT-EXW-12]]*KH_26_OPT4_KTQT_v4[[#This Row],[%CPDP]],0)</f>
        <v>0</v>
      </c>
      <c r="ED141" s="131">
        <f ca="1">SUM(KH_26_OPT4_KTQT_v4[[#This Row],[CPDP-01]:[CPDP-12]])</f>
        <v>0</v>
      </c>
    </row>
    <row r="142" spans="1:134" ht="14.65" hidden="1" customHeight="1" x14ac:dyDescent="0.35">
      <c r="A142" s="18">
        <v>137</v>
      </c>
      <c r="B142" s="71" t="s">
        <v>101</v>
      </c>
      <c r="C142" s="18" t="str">
        <f>IFERROR(_xlfn.XLOOKUP(KH_26_OPT4_KTQT_v4[[#This Row],[Salesman]],MD_Salesman[Salesman],MD_Salesman[SalesManager]),"")</f>
        <v>Cường</v>
      </c>
      <c r="D142" s="72" t="str">
        <f>IFERROR(INDEX(MD_Customer[Mã khách],MATCH(KH_26_OPT4_KTQT_v4[[#This Row],[Tên khách]],MD_Customer[Tên khách-rút gọn],0)),"")</f>
        <v>105301</v>
      </c>
      <c r="E142" s="7" t="str">
        <f>IFERROR(INDEX(MD_Customer[Parent Account],MATCH(KH_26_OPT4_KTQT_v4[[#This Row],[Tên khách]],MD_Customer[Tên khách-rút gọn],0)),"")</f>
        <v>TÂN TƯỜNG KHANG</v>
      </c>
      <c r="F142" s="35" t="s">
        <v>117</v>
      </c>
      <c r="G142" s="7" t="str">
        <f>IFERROR(INDEX(MD_Customer[Phân loại],MATCH(KH_26_OPT4_KTQT_v4[[#This Row],[Tên khách]],MD_Customer[Tên khách-rút gọn],0)),"")</f>
        <v>Hiện hữu</v>
      </c>
      <c r="H142" s="7" t="str">
        <f>IFERROR(INDEX(MD_Customer[Kênh bán hàng],MATCH(KH_26_OPT4_KTQT_v4[[#This Row],[Tên khách]],MD_Customer[Tên khách-rút gọn],0)),"")</f>
        <v>Nội địa</v>
      </c>
      <c r="I142" s="35" t="s">
        <v>264</v>
      </c>
      <c r="J142" s="7" t="str">
        <f>IFERROR(INDEX(MD_Destination[Nước],MATCH(KH_26_OPT4_KTQT_v4[[#This Row],[Địa điểm đến]],MD_Destination[Địa điểm đến],0)),"")</f>
        <v>Việt Nam</v>
      </c>
      <c r="K142" s="7" t="str">
        <f>IFERROR(INDEX(MD_Destination[Khu vực],MATCH(KH_26_OPT4_KTQT_v4[[#This Row],[Địa điểm đến]],MD_Destination[Địa điểm đến],0)),"")</f>
        <v>Châu Á</v>
      </c>
      <c r="L142" s="35" t="s">
        <v>262</v>
      </c>
      <c r="M142" s="7" t="str">
        <f>IFERROR(INDEX(MD_SKU[Mã SKU],MATCH(KH_26_OPT4_KTQT_v4[[#This Row],[Tên sản phẩm]],MD_SKU[Tên SKU-rút gọn],0)),"")</f>
        <v>110000359</v>
      </c>
      <c r="N142" s="35" t="s">
        <v>468</v>
      </c>
      <c r="O142" s="7" t="str">
        <f>IFERROR(INDEX(MD_SKU[Ngành hàng],MATCH(KH_26_OPT4_KTQT_v4[[#This Row],[Tên sản phẩm]],MD_SKU[Tên SKU-rút gọn],0)),"")</f>
        <v>rPET</v>
      </c>
      <c r="P142" s="7" t="str">
        <f>IFERROR(INDEX(MD_SKU[Nhóm ngành],MATCH(KH_26_OPT4_KTQT_v4[[#This Row],[Tên sản phẩm]],MD_SKU[Tên SKU-rút gọn],0)),"")</f>
        <v>Hạt PET</v>
      </c>
      <c r="Q142" s="7" t="str">
        <f>IFERROR(
   IF(INDEX(MD_SKU[IV/IM],MATCH(KH_26_OPT4_KTQT_v4[[#This Row],[Tên sản phẩm]],MD_SKU[Tên SKU-rút gọn],0))=0,
      "",
      INDEX(MD_SKU[IV/IM],MATCH(KH_26_OPT4_KTQT_v4[[#This Row],[Tên sản phẩm]],MD_SKU[Tên SKU-rút gọn],0))
   ),
"")</f>
        <v>0.70 ± 0.02</v>
      </c>
      <c r="R142" s="44">
        <f>IFERROR(INDEX(MD_SKU[Application],MATCH(KH_26_OPT4_KTQT_v4[[#This Row],[Tên sản phẩm]],MD_SKU[Tên SKU-rút gọn],0)),"")</f>
        <v>0</v>
      </c>
      <c r="S142" s="7" t="str">
        <f>IFERROR(INDEX(MD_SKU[Phân loại],MATCH(KH_26_OPT4_KTQT_v4[[#This Row],[Tên sản phẩm]],MD_SKU[Tên SKU-rút gọn],0)),"")</f>
        <v>Cũ</v>
      </c>
      <c r="T142" s="7" t="s">
        <v>542</v>
      </c>
      <c r="U142" s="7"/>
      <c r="V142" s="70">
        <v>0.8</v>
      </c>
      <c r="W142" s="33"/>
      <c r="X142" s="33"/>
      <c r="Y142" s="33"/>
      <c r="Z142" s="33"/>
      <c r="AA142" s="33"/>
      <c r="AB142" s="33"/>
      <c r="AC142" s="33"/>
      <c r="AD142" s="33"/>
      <c r="AE142" s="33"/>
      <c r="AF142" s="33"/>
      <c r="AG142" s="33"/>
      <c r="AH142" s="33"/>
      <c r="AI142" s="47">
        <f ca="1">SUM(KH_26_OPT4_KTQT_v4[[#This Row],[SL-01]:[SL-12]])</f>
        <v>0</v>
      </c>
      <c r="AJ142" s="47">
        <f ca="1">SUMIFS(DB_25[SL-DB25],DB_25[Mã khách],KH_26_OPT4_KTQT_v4[[#This Row],[Mã khách]],DB_25[Mã sản phẩm],KH_26_OPT4_KTQT_v4[[#This Row],[Mã sản phẩm]])</f>
        <v>33</v>
      </c>
      <c r="AK142" s="20">
        <f ca="1">KH_26_OPT4_KTQT_v4[[#This Row],[SL-KH26]]-KH_26_OPT4_KTQT_v4[[#This Row],[SL-DB25]]</f>
        <v>-33</v>
      </c>
      <c r="AL142" s="21">
        <f ca="1">IFERROR(KH_26_OPT4_KTQT_v4[[#This Row],[SL-+/-]]/KH_26_OPT4_KTQT_v4[[#This Row],[SL-DB25]],0)</f>
        <v>-1</v>
      </c>
      <c r="AM142" s="51">
        <v>970</v>
      </c>
      <c r="AN142" s="51">
        <v>970</v>
      </c>
      <c r="AO142" s="51">
        <v>970</v>
      </c>
      <c r="AP142" s="51">
        <v>970</v>
      </c>
      <c r="AQ142" s="51">
        <v>970</v>
      </c>
      <c r="AR142" s="51">
        <v>970</v>
      </c>
      <c r="AS142" s="51">
        <v>970</v>
      </c>
      <c r="AT142" s="51">
        <v>970</v>
      </c>
      <c r="AU142" s="51">
        <v>970</v>
      </c>
      <c r="AV142" s="51">
        <v>970</v>
      </c>
      <c r="AW142" s="51">
        <v>970</v>
      </c>
      <c r="AX142" s="51">
        <v>970</v>
      </c>
      <c r="AY142" s="23">
        <v>970</v>
      </c>
      <c r="AZ142" s="7"/>
      <c r="BA142" s="24">
        <f>KH_26_OPT4_KTQT_v4[[#This Row],[GB-DB25]]-KH_26_OPT4_KTQT_v4[[#This Row],[GB-KH25]]</f>
        <v>970</v>
      </c>
      <c r="BB142" s="21">
        <f>IFERROR(KH_26_OPT4_KTQT_v4[[#This Row],[GB-+/-]]/KH_26_OPT4_KTQT_v4[[#This Row],[GB-KH25]],0)</f>
        <v>0</v>
      </c>
      <c r="BC142" s="21"/>
      <c r="BD142" s="47">
        <f>KH_26_OPT4_KTQT_v4[[#This Row],[SL-01]]*KH_26_OPT4_KTQT_v4[[#This Row],[GB-01]]*EXR</f>
        <v>0</v>
      </c>
      <c r="BE142" s="47">
        <f>KH_26_OPT4_KTQT_v4[[#This Row],[SL-02]]*KH_26_OPT4_KTQT_v4[[#This Row],[GB-02]]*EXR</f>
        <v>0</v>
      </c>
      <c r="BF142" s="47">
        <f>KH_26_OPT4_KTQT_v4[[#This Row],[SL-03]]*KH_26_OPT4_KTQT_v4[[#This Row],[GB-03]]*EXR</f>
        <v>0</v>
      </c>
      <c r="BG142" s="47">
        <f>KH_26_OPT4_KTQT_v4[[#This Row],[SL-04]]*KH_26_OPT4_KTQT_v4[[#This Row],[GB-04]]*EXR</f>
        <v>0</v>
      </c>
      <c r="BH142" s="47">
        <f>KH_26_OPT4_KTQT_v4[[#This Row],[SL-05]]*KH_26_OPT4_KTQT_v4[[#This Row],[GB-05]]*EXR</f>
        <v>0</v>
      </c>
      <c r="BI142" s="47">
        <f>KH_26_OPT4_KTQT_v4[[#This Row],[SL-06]]*KH_26_OPT4_KTQT_v4[[#This Row],[GB-06]]*EXR</f>
        <v>0</v>
      </c>
      <c r="BJ142" s="47">
        <f>KH_26_OPT4_KTQT_v4[[#This Row],[SL-07]]*KH_26_OPT4_KTQT_v4[[#This Row],[GB-07]]*EXR</f>
        <v>0</v>
      </c>
      <c r="BK142" s="47">
        <f>KH_26_OPT4_KTQT_v4[[#This Row],[SL-08]]*KH_26_OPT4_KTQT_v4[[#This Row],[GB-08]]*EXR</f>
        <v>0</v>
      </c>
      <c r="BL142" s="47">
        <f>KH_26_OPT4_KTQT_v4[[#This Row],[SL-09]]*KH_26_OPT4_KTQT_v4[[#This Row],[GB-09]]*EXR</f>
        <v>0</v>
      </c>
      <c r="BM142" s="47">
        <f>KH_26_OPT4_KTQT_v4[[#This Row],[SL-10]]*KH_26_OPT4_KTQT_v4[[#This Row],[GB-10]]*EXR</f>
        <v>0</v>
      </c>
      <c r="BN142" s="47">
        <f>KH_26_OPT4_KTQT_v4[[#This Row],[SL-11]]*KH_26_OPT4_KTQT_v4[[#This Row],[GB-11]]*EXR</f>
        <v>0</v>
      </c>
      <c r="BO142" s="47">
        <f>KH_26_OPT4_KTQT_v4[[#This Row],[SL-12]]*KH_26_OPT4_KTQT_v4[[#This Row],[GB-12]]*EXR</f>
        <v>0</v>
      </c>
      <c r="BP142" s="47">
        <f ca="1">SUM(KH_26_OPT4_KTQT_v4[[#This Row],[DT-EXW-01]:[DT-EXW-12]])</f>
        <v>0</v>
      </c>
      <c r="BQ142" s="47">
        <f ca="1">SUMIFS(DB_25[DT-DB25],DB_25[Mã khách],KH_26_OPT4_KTQT_v4[[#This Row],[Mã khách]],DB_25[Mã sản phẩm],KH_26_OPT4_KTQT_v4[[#This Row],[Mã sản phẩm]])</f>
        <v>647369203.15606499</v>
      </c>
      <c r="BR142" s="47">
        <f ca="1">KH_26_OPT4_KTQT_v4[[#This Row],[DT-EXW-KH26]]-KH_26_OPT4_KTQT_v4[[#This Row],[DT-EXW-DB25]]</f>
        <v>-647369203.15606499</v>
      </c>
      <c r="BS142" s="21">
        <f ca="1">IFERROR(KH_26_OPT4_KTQT_v4[[#This Row],[DT-EXW-+/-]]/KH_26_OPT4_KTQT_v4[[#This Row],[DT-EXW-DB25]],0)</f>
        <v>-1</v>
      </c>
      <c r="BT142" s="139"/>
      <c r="BU142" s="57"/>
      <c r="BV142" s="51"/>
      <c r="BW142" s="47">
        <f>IF(KH_26_OPT4_KTQT_v4[[#This Row],[CPHH-%-SL]]="Dthu",KH_26_OPT4_KTQT_v4[[#This Row],[%HH]]*KH_26_OPT4_KTQT_v4[[#This Row],[DT-EXW-01]],KH_26_OPT4_KTQT_v4[[#This Row],[HH-SL]]*KH_26_OPT4_KTQT_v4[[#This Row],[SL-01]])</f>
        <v>0</v>
      </c>
      <c r="BX142" s="47">
        <f>IF(KH_26_OPT4_KTQT_v4[[#This Row],[CPHH-%-SL]]="Dthu",KH_26_OPT4_KTQT_v4[[#This Row],[%HH]]*KH_26_OPT4_KTQT_v4[[#This Row],[DT-EXW-02]],KH_26_OPT4_KTQT_v4[[#This Row],[HH-SL]]*KH_26_OPT4_KTQT_v4[[#This Row],[SL-02]])</f>
        <v>0</v>
      </c>
      <c r="BY142" s="47">
        <f>IF(KH_26_OPT4_KTQT_v4[[#This Row],[CPHH-%-SL]]="Dthu",KH_26_OPT4_KTQT_v4[[#This Row],[%HH]]*KH_26_OPT4_KTQT_v4[[#This Row],[DT-EXW-03]],KH_26_OPT4_KTQT_v4[[#This Row],[HH-SL]]*KH_26_OPT4_KTQT_v4[[#This Row],[SL-03]])</f>
        <v>0</v>
      </c>
      <c r="BZ142" s="47">
        <f>IF(KH_26_OPT4_KTQT_v4[[#This Row],[CPHH-%-SL]]="Dthu",KH_26_OPT4_KTQT_v4[[#This Row],[%HH]]*KH_26_OPT4_KTQT_v4[[#This Row],[DT-EXW-04]],KH_26_OPT4_KTQT_v4[[#This Row],[HH-SL]]*KH_26_OPT4_KTQT_v4[[#This Row],[SL-04]])</f>
        <v>0</v>
      </c>
      <c r="CA142" s="47">
        <f>IF(KH_26_OPT4_KTQT_v4[[#This Row],[CPHH-%-SL]]="Dthu",KH_26_OPT4_KTQT_v4[[#This Row],[%HH]]*KH_26_OPT4_KTQT_v4[[#This Row],[DT-EXW-05]],KH_26_OPT4_KTQT_v4[[#This Row],[HH-SL]]*KH_26_OPT4_KTQT_v4[[#This Row],[SL-05]])</f>
        <v>0</v>
      </c>
      <c r="CB142" s="47">
        <f>IF(KH_26_OPT4_KTQT_v4[[#This Row],[CPHH-%-SL]]="Dthu",KH_26_OPT4_KTQT_v4[[#This Row],[%HH]]*KH_26_OPT4_KTQT_v4[[#This Row],[DT-EXW-06]],KH_26_OPT4_KTQT_v4[[#This Row],[HH-SL]]*KH_26_OPT4_KTQT_v4[[#This Row],[SL-06]])</f>
        <v>0</v>
      </c>
      <c r="CC142" s="47">
        <f>IF(KH_26_OPT4_KTQT_v4[[#This Row],[CPHH-%-SL]]="Dthu",KH_26_OPT4_KTQT_v4[[#This Row],[%HH]]*KH_26_OPT4_KTQT_v4[[#This Row],[DT-EXW-07]],KH_26_OPT4_KTQT_v4[[#This Row],[HH-SL]]*KH_26_OPT4_KTQT_v4[[#This Row],[SL-07]])</f>
        <v>0</v>
      </c>
      <c r="CD142" s="47">
        <f>IF(KH_26_OPT4_KTQT_v4[[#This Row],[CPHH-%-SL]]="Dthu",KH_26_OPT4_KTQT_v4[[#This Row],[%HH]]*KH_26_OPT4_KTQT_v4[[#This Row],[DT-EXW-08]],KH_26_OPT4_KTQT_v4[[#This Row],[HH-SL]]*KH_26_OPT4_KTQT_v4[[#This Row],[SL-08]])</f>
        <v>0</v>
      </c>
      <c r="CE142" s="47">
        <f>IF(KH_26_OPT4_KTQT_v4[[#This Row],[CPHH-%-SL]]="Dthu",KH_26_OPT4_KTQT_v4[[#This Row],[%HH]]*KH_26_OPT4_KTQT_v4[[#This Row],[DT-EXW-09]],KH_26_OPT4_KTQT_v4[[#This Row],[HH-SL]]*KH_26_OPT4_KTQT_v4[[#This Row],[SL-09]])</f>
        <v>0</v>
      </c>
      <c r="CF142" s="47">
        <f>IF(KH_26_OPT4_KTQT_v4[[#This Row],[CPHH-%-SL]]="Dthu",KH_26_OPT4_KTQT_v4[[#This Row],[%HH]]*KH_26_OPT4_KTQT_v4[[#This Row],[DT-EXW-10]],KH_26_OPT4_KTQT_v4[[#This Row],[HH-SL]]*KH_26_OPT4_KTQT_v4[[#This Row],[SL-10]])</f>
        <v>0</v>
      </c>
      <c r="CG142" s="47">
        <f>IF(KH_26_OPT4_KTQT_v4[[#This Row],[CPHH-%-SL]]="Dthu",KH_26_OPT4_KTQT_v4[[#This Row],[%HH]]*KH_26_OPT4_KTQT_v4[[#This Row],[DT-EXW-11]],KH_26_OPT4_KTQT_v4[[#This Row],[HH-SL]]*KH_26_OPT4_KTQT_v4[[#This Row],[SL-11]])</f>
        <v>0</v>
      </c>
      <c r="CH142" s="47">
        <f>IF(KH_26_OPT4_KTQT_v4[[#This Row],[CPHH-%-SL]]="Dthu",KH_26_OPT4_KTQT_v4[[#This Row],[%HH]]*KH_26_OPT4_KTQT_v4[[#This Row],[DT-EXW-12]],KH_26_OPT4_KTQT_v4[[#This Row],[HH-SL]]*KH_26_OPT4_KTQT_v4[[#This Row],[SL-12]])</f>
        <v>0</v>
      </c>
      <c r="CI142" s="47">
        <f ca="1">SUM(KH_26_OPT4_KTQT_v4[[#This Row],[CPHH-01]:[CPHH-12]])</f>
        <v>0</v>
      </c>
      <c r="CJ142" s="47" cm="1">
        <f t="array" ref="CJ142">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42" s="19">
        <f ca="1">SUM(KH_26_OPT4_KTQT_v4[[#This Row],[ĐGVCNĐ-KXK]:[ĐGVCCT-KXK]])</f>
        <v>0</v>
      </c>
      <c r="CL142" s="47" cm="1">
        <f t="array" ref="CL142">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142" s="47" cm="1">
        <f t="array" ref="CM142">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42" s="47">
        <f ca="1">(KH_26_OPT4_KTQT_v4[[#This Row],[ĐGVC-KNĐ]]+KH_26_OPT4_KTQT_v4[[#This Row],[ĐGVC-KXK]])*KH_26_OPT4_KTQT_v4[[#This Row],[SL-01]]</f>
        <v>0</v>
      </c>
      <c r="CO142" s="47">
        <f ca="1">(KH_26_OPT4_KTQT_v4[[#This Row],[ĐGVC-KNĐ]]+KH_26_OPT4_KTQT_v4[[#This Row],[ĐGVC-KXK]])*KH_26_OPT4_KTQT_v4[[#This Row],[SL-02]]</f>
        <v>0</v>
      </c>
      <c r="CP142" s="47">
        <f ca="1">(KH_26_OPT4_KTQT_v4[[#This Row],[ĐGVC-KNĐ]]+KH_26_OPT4_KTQT_v4[[#This Row],[ĐGVC-KXK]])*KH_26_OPT4_KTQT_v4[[#This Row],[SL-03]]</f>
        <v>0</v>
      </c>
      <c r="CQ142" s="47">
        <f ca="1">(KH_26_OPT4_KTQT_v4[[#This Row],[ĐGVC-KNĐ]]+KH_26_OPT4_KTQT_v4[[#This Row],[ĐGVC-KXK]])*KH_26_OPT4_KTQT_v4[[#This Row],[SL-04]]</f>
        <v>0</v>
      </c>
      <c r="CR142" s="47">
        <f ca="1">(KH_26_OPT4_KTQT_v4[[#This Row],[ĐGVC-KNĐ]]+KH_26_OPT4_KTQT_v4[[#This Row],[ĐGVC-KXK]])*KH_26_OPT4_KTQT_v4[[#This Row],[SL-05]]</f>
        <v>0</v>
      </c>
      <c r="CS142" s="47">
        <f ca="1">(KH_26_OPT4_KTQT_v4[[#This Row],[ĐGVC-KNĐ]]+KH_26_OPT4_KTQT_v4[[#This Row],[ĐGVC-KXK]])*KH_26_OPT4_KTQT_v4[[#This Row],[SL-06]]</f>
        <v>0</v>
      </c>
      <c r="CT142" s="47">
        <f ca="1">(KH_26_OPT4_KTQT_v4[[#This Row],[ĐGVC-KNĐ]]+KH_26_OPT4_KTQT_v4[[#This Row],[ĐGVC-KXK]])*KH_26_OPT4_KTQT_v4[[#This Row],[SL-07]]</f>
        <v>0</v>
      </c>
      <c r="CU142" s="47">
        <f ca="1">(KH_26_OPT4_KTQT_v4[[#This Row],[ĐGVC-KNĐ]]+KH_26_OPT4_KTQT_v4[[#This Row],[ĐGVC-KXK]])*KH_26_OPT4_KTQT_v4[[#This Row],[SL-08]]</f>
        <v>0</v>
      </c>
      <c r="CV142" s="47">
        <f ca="1">(KH_26_OPT4_KTQT_v4[[#This Row],[ĐGVC-KNĐ]]+KH_26_OPT4_KTQT_v4[[#This Row],[ĐGVC-KXK]])*KH_26_OPT4_KTQT_v4[[#This Row],[SL-09]]</f>
        <v>0</v>
      </c>
      <c r="CW142" s="47">
        <f ca="1">(KH_26_OPT4_KTQT_v4[[#This Row],[ĐGVC-KNĐ]]+KH_26_OPT4_KTQT_v4[[#This Row],[ĐGVC-KXK]])*KH_26_OPT4_KTQT_v4[[#This Row],[SL-10]]</f>
        <v>0</v>
      </c>
      <c r="CX142" s="47">
        <f ca="1">(KH_26_OPT4_KTQT_v4[[#This Row],[ĐGVC-KNĐ]]+KH_26_OPT4_KTQT_v4[[#This Row],[ĐGVC-KXK]])*KH_26_OPT4_KTQT_v4[[#This Row],[SL-11]]</f>
        <v>0</v>
      </c>
      <c r="CY142" s="47">
        <f ca="1">(KH_26_OPT4_KTQT_v4[[#This Row],[ĐGVC-KNĐ]]+KH_26_OPT4_KTQT_v4[[#This Row],[ĐGVC-KXK]])*KH_26_OPT4_KTQT_v4[[#This Row],[SL-12]]</f>
        <v>0</v>
      </c>
      <c r="CZ142" s="47">
        <f ca="1">SUM(KH_26_OPT4_KTQT_v4[[#This Row],[CPVC-01]:[CPVC-12]])</f>
        <v>0</v>
      </c>
      <c r="DA142" s="124">
        <f ca="1">KH_26_OPT4_KTQT_v4[[#This Row],[DT-EXW-01]]+KH_26_OPT4_KTQT_v4[[#This Row],[CPVC-01]]+KH_26_OPT4_KTQT_v4[[#This Row],[CPHH-01]]</f>
        <v>0</v>
      </c>
      <c r="DB142" s="47">
        <f ca="1">KH_26_OPT4_KTQT_v4[[#This Row],[DT-EXW-02]]+KH_26_OPT4_KTQT_v4[[#This Row],[CPVC-02]]+KH_26_OPT4_KTQT_v4[[#This Row],[CPHH-02]]</f>
        <v>0</v>
      </c>
      <c r="DC142" s="47">
        <f ca="1">KH_26_OPT4_KTQT_v4[[#This Row],[DT-EXW-03]]+KH_26_OPT4_KTQT_v4[[#This Row],[CPVC-03]]+KH_26_OPT4_KTQT_v4[[#This Row],[CPHH-03]]</f>
        <v>0</v>
      </c>
      <c r="DD142" s="47">
        <f ca="1">KH_26_OPT4_KTQT_v4[[#This Row],[DT-EXW-04]]+KH_26_OPT4_KTQT_v4[[#This Row],[CPVC-04]]+KH_26_OPT4_KTQT_v4[[#This Row],[CPHH-04]]</f>
        <v>0</v>
      </c>
      <c r="DE142" s="47">
        <f ca="1">KH_26_OPT4_KTQT_v4[[#This Row],[DT-EXW-05]]+KH_26_OPT4_KTQT_v4[[#This Row],[CPVC-05]]+KH_26_OPT4_KTQT_v4[[#This Row],[CPHH-05]]</f>
        <v>0</v>
      </c>
      <c r="DF142" s="47">
        <f ca="1">KH_26_OPT4_KTQT_v4[[#This Row],[DT-EXW-06]]+KH_26_OPT4_KTQT_v4[[#This Row],[CPVC-06]]+KH_26_OPT4_KTQT_v4[[#This Row],[CPHH-06]]</f>
        <v>0</v>
      </c>
      <c r="DG142" s="47">
        <f ca="1">KH_26_OPT4_KTQT_v4[[#This Row],[DT-EXW-07]]+KH_26_OPT4_KTQT_v4[[#This Row],[CPVC-07]]+KH_26_OPT4_KTQT_v4[[#This Row],[CPHH-07]]</f>
        <v>0</v>
      </c>
      <c r="DH142" s="47">
        <f ca="1">KH_26_OPT4_KTQT_v4[[#This Row],[DT-EXW-08]]+KH_26_OPT4_KTQT_v4[[#This Row],[CPVC-08]]+KH_26_OPT4_KTQT_v4[[#This Row],[CPHH-08]]</f>
        <v>0</v>
      </c>
      <c r="DI142" s="47">
        <f ca="1">KH_26_OPT4_KTQT_v4[[#This Row],[DT-EXW-09]]+KH_26_OPT4_KTQT_v4[[#This Row],[CPVC-09]]+KH_26_OPT4_KTQT_v4[[#This Row],[CPHH-09]]</f>
        <v>0</v>
      </c>
      <c r="DJ142" s="47">
        <f ca="1">KH_26_OPT4_KTQT_v4[[#This Row],[DT-EXW-10]]+KH_26_OPT4_KTQT_v4[[#This Row],[CPVC-10]]+KH_26_OPT4_KTQT_v4[[#This Row],[CPHH-10]]</f>
        <v>0</v>
      </c>
      <c r="DK142" s="47">
        <f ca="1">KH_26_OPT4_KTQT_v4[[#This Row],[DT-EXW-11]]+KH_26_OPT4_KTQT_v4[[#This Row],[CPVC-11]]+KH_26_OPT4_KTQT_v4[[#This Row],[CPHH-11]]</f>
        <v>0</v>
      </c>
      <c r="DL142" s="47">
        <f ca="1">KH_26_OPT4_KTQT_v4[[#This Row],[DT-EXW-12]]+KH_26_OPT4_KTQT_v4[[#This Row],[CPVC-12]]+KH_26_OPT4_KTQT_v4[[#This Row],[CPHH-12]]</f>
        <v>0</v>
      </c>
      <c r="DM142" s="47">
        <f ca="1">SUM(KH_26_OPT4_KTQT_v4[[#This Row],[DT-01]:[DT-12]])</f>
        <v>0</v>
      </c>
      <c r="DN142" s="7"/>
      <c r="DO142" s="7"/>
      <c r="DP142" s="125"/>
      <c r="DQ142" s="136"/>
      <c r="DR142" s="132">
        <f>IFERROR(KH_26_OPT4_KTQT_v4[[#This Row],[DT-EXW-01]]*KH_26_OPT4_KTQT_v4[[#This Row],[%CPDP]],0)</f>
        <v>0</v>
      </c>
      <c r="DS142" s="132">
        <f>IFERROR(KH_26_OPT4_KTQT_v4[[#This Row],[DT-EXW-02]]*KH_26_OPT4_KTQT_v4[[#This Row],[%CPDP]],0)</f>
        <v>0</v>
      </c>
      <c r="DT142" s="132">
        <f>IFERROR(KH_26_OPT4_KTQT_v4[[#This Row],[DT-EXW-03]]*KH_26_OPT4_KTQT_v4[[#This Row],[%CPDP]],0)</f>
        <v>0</v>
      </c>
      <c r="DU142" s="132">
        <f>IFERROR(KH_26_OPT4_KTQT_v4[[#This Row],[DT-EXW-04]]*KH_26_OPT4_KTQT_v4[[#This Row],[%CPDP]],0)</f>
        <v>0</v>
      </c>
      <c r="DV142" s="132">
        <f>IFERROR(KH_26_OPT4_KTQT_v4[[#This Row],[DT-EXW-05]]*KH_26_OPT4_KTQT_v4[[#This Row],[%CPDP]],0)</f>
        <v>0</v>
      </c>
      <c r="DW142" s="132">
        <f>IFERROR(KH_26_OPT4_KTQT_v4[[#This Row],[DT-EXW-06]]*KH_26_OPT4_KTQT_v4[[#This Row],[%CPDP]],0)</f>
        <v>0</v>
      </c>
      <c r="DX142" s="132">
        <f>IFERROR(KH_26_OPT4_KTQT_v4[[#This Row],[DT-EXW-07]]*KH_26_OPT4_KTQT_v4[[#This Row],[%CPDP]],0)</f>
        <v>0</v>
      </c>
      <c r="DY142" s="132">
        <f>IFERROR(KH_26_OPT4_KTQT_v4[[#This Row],[DT-EXW-08]]*KH_26_OPT4_KTQT_v4[[#This Row],[%CPDP]],0)</f>
        <v>0</v>
      </c>
      <c r="DZ142" s="132">
        <f>IFERROR(KH_26_OPT4_KTQT_v4[[#This Row],[DT-EXW-09]]*KH_26_OPT4_KTQT_v4[[#This Row],[%CPDP]],0)</f>
        <v>0</v>
      </c>
      <c r="EA142" s="132">
        <f>IFERROR(KH_26_OPT4_KTQT_v4[[#This Row],[DT-EXW-10]]*KH_26_OPT4_KTQT_v4[[#This Row],[%CPDP]],0)</f>
        <v>0</v>
      </c>
      <c r="EB142" s="132">
        <f>IFERROR(KH_26_OPT4_KTQT_v4[[#This Row],[DT-EXW-11]]*KH_26_OPT4_KTQT_v4[[#This Row],[%CPDP]],0)</f>
        <v>0</v>
      </c>
      <c r="EC142" s="132">
        <f>IFERROR(KH_26_OPT4_KTQT_v4[[#This Row],[DT-EXW-12]]*KH_26_OPT4_KTQT_v4[[#This Row],[%CPDP]],0)</f>
        <v>0</v>
      </c>
      <c r="ED142" s="131">
        <f ca="1">SUM(KH_26_OPT4_KTQT_v4[[#This Row],[CPDP-01]:[CPDP-12]])</f>
        <v>0</v>
      </c>
    </row>
    <row r="143" spans="1:134" ht="14.65" hidden="1" customHeight="1" x14ac:dyDescent="0.35">
      <c r="A143" s="18">
        <v>138</v>
      </c>
      <c r="B143" s="71" t="s">
        <v>115</v>
      </c>
      <c r="C143" s="18" t="str">
        <f>IFERROR(_xlfn.XLOOKUP(KH_26_OPT4_KTQT_v4[[#This Row],[Salesman]],MD_Salesman[Salesman],MD_Salesman[SalesManager]),"")</f>
        <v>Quốc Anh</v>
      </c>
      <c r="D143" s="72" t="str">
        <f>IFERROR(INDEX(MD_Customer[Mã khách],MATCH(KH_26_OPT4_KTQT_v4[[#This Row],[Tên khách]],MD_Customer[Tên khách-rút gọn],0)),"")</f>
        <v>105324</v>
      </c>
      <c r="E143" s="7" t="str">
        <f>IFERROR(INDEX(MD_Customer[Parent Account],MATCH(KH_26_OPT4_KTQT_v4[[#This Row],[Tên khách]],MD_Customer[Tên khách-rút gọn],0)),"")</f>
        <v>NHỰA TRƯỜNG AN</v>
      </c>
      <c r="F143" s="35" t="s">
        <v>58</v>
      </c>
      <c r="G143" s="7" t="str">
        <f>IFERROR(INDEX(MD_Customer[Phân loại],MATCH(KH_26_OPT4_KTQT_v4[[#This Row],[Tên khách]],MD_Customer[Tên khách-rút gọn],0)),"")</f>
        <v>Hiện hữu</v>
      </c>
      <c r="H143" s="7" t="str">
        <f>IFERROR(INDEX(MD_Customer[Kênh bán hàng],MATCH(KH_26_OPT4_KTQT_v4[[#This Row],[Tên khách]],MD_Customer[Tên khách-rút gọn],0)),"")</f>
        <v>Nội địa</v>
      </c>
      <c r="I143" s="35" t="s">
        <v>258</v>
      </c>
      <c r="J143" s="7" t="str">
        <f>IFERROR(INDEX(MD_Destination[Nước],MATCH(KH_26_OPT4_KTQT_v4[[#This Row],[Địa điểm đến]],MD_Destination[Địa điểm đến],0)),"")</f>
        <v>Việt Nam</v>
      </c>
      <c r="K143" s="7" t="str">
        <f>IFERROR(INDEX(MD_Destination[Khu vực],MATCH(KH_26_OPT4_KTQT_v4[[#This Row],[Địa điểm đến]],MD_Destination[Địa điểm đến],0)),"")</f>
        <v>Châu Á</v>
      </c>
      <c r="L143" s="35" t="s">
        <v>262</v>
      </c>
      <c r="M143" s="7" t="str">
        <f>IFERROR(INDEX(MD_SKU[Mã SKU],MATCH(KH_26_OPT4_KTQT_v4[[#This Row],[Tên sản phẩm]],MD_SKU[Tên SKU-rút gọn],0)),"")</f>
        <v>110000411</v>
      </c>
      <c r="N143" s="35" t="s">
        <v>474</v>
      </c>
      <c r="O143" s="7" t="str">
        <f>IFERROR(INDEX(MD_SKU[Ngành hàng],MATCH(KH_26_OPT4_KTQT_v4[[#This Row],[Tên sản phẩm]],MD_SKU[Tên SKU-rút gọn],0)),"")</f>
        <v>rHDPE ép</v>
      </c>
      <c r="P143" s="7" t="str">
        <f>IFERROR(INDEX(MD_SKU[Nhóm ngành],MATCH(KH_26_OPT4_KTQT_v4[[#This Row],[Tên sản phẩm]],MD_SKU[Tên SKU-rút gọn],0)),"")</f>
        <v>Vảy HD ép</v>
      </c>
      <c r="Q143" s="7" t="str">
        <f>IFERROR(
   IF(INDEX(MD_SKU[IV/IM],MATCH(KH_26_OPT4_KTQT_v4[[#This Row],[Tên sản phẩm]],MD_SKU[Tên SKU-rút gọn],0))=0,
      "",
      INDEX(MD_SKU[IV/IM],MATCH(KH_26_OPT4_KTQT_v4[[#This Row],[Tên sản phẩm]],MD_SKU[Tên SKU-rút gọn],0))
   ),
"")</f>
        <v/>
      </c>
      <c r="R143" s="44">
        <f>IFERROR(INDEX(MD_SKU[Application],MATCH(KH_26_OPT4_KTQT_v4[[#This Row],[Tên sản phẩm]],MD_SKU[Tên SKU-rút gọn],0)),"")</f>
        <v>0</v>
      </c>
      <c r="S143" s="7" t="str">
        <f>IFERROR(INDEX(MD_SKU[Phân loại],MATCH(KH_26_OPT4_KTQT_v4[[#This Row],[Tên sản phẩm]],MD_SKU[Tên SKU-rút gọn],0)),"")</f>
        <v>Cũ</v>
      </c>
      <c r="T143" s="7" t="s">
        <v>542</v>
      </c>
      <c r="U143" s="7"/>
      <c r="V143" s="70">
        <v>0.8</v>
      </c>
      <c r="W143" s="93"/>
      <c r="X143" s="93"/>
      <c r="Y143" s="93"/>
      <c r="Z143" s="93"/>
      <c r="AA143" s="93"/>
      <c r="AB143" s="93"/>
      <c r="AC143" s="93"/>
      <c r="AD143" s="93"/>
      <c r="AE143" s="93"/>
      <c r="AF143" s="93"/>
      <c r="AG143" s="93"/>
      <c r="AH143" s="93"/>
      <c r="AI143" s="47">
        <f ca="1">SUM(KH_26_OPT4_KTQT_v4[[#This Row],[SL-01]:[SL-12]])</f>
        <v>0</v>
      </c>
      <c r="AJ143" s="47">
        <f ca="1">SUMIFS(DB_25[SL-DB25],DB_25[Mã khách],KH_26_OPT4_KTQT_v4[[#This Row],[Mã khách]],DB_25[Mã sản phẩm],KH_26_OPT4_KTQT_v4[[#This Row],[Mã sản phẩm]])</f>
        <v>0.75</v>
      </c>
      <c r="AK143" s="20">
        <f ca="1">KH_26_OPT4_KTQT_v4[[#This Row],[SL-KH26]]-KH_26_OPT4_KTQT_v4[[#This Row],[SL-DB25]]</f>
        <v>-0.75</v>
      </c>
      <c r="AL143" s="21">
        <f ca="1">IFERROR(KH_26_OPT4_KTQT_v4[[#This Row],[SL-+/-]]/KH_26_OPT4_KTQT_v4[[#This Row],[SL-DB25]],0)</f>
        <v>-1</v>
      </c>
      <c r="AM143" s="51">
        <v>560</v>
      </c>
      <c r="AN143" s="51">
        <v>560</v>
      </c>
      <c r="AO143" s="51">
        <v>560</v>
      </c>
      <c r="AP143" s="51">
        <v>560</v>
      </c>
      <c r="AQ143" s="51">
        <v>560</v>
      </c>
      <c r="AR143" s="51">
        <v>560</v>
      </c>
      <c r="AS143" s="51">
        <v>560</v>
      </c>
      <c r="AT143" s="51">
        <v>560</v>
      </c>
      <c r="AU143" s="51">
        <v>560</v>
      </c>
      <c r="AV143" s="51">
        <v>560</v>
      </c>
      <c r="AW143" s="51">
        <v>560</v>
      </c>
      <c r="AX143" s="51">
        <v>560</v>
      </c>
      <c r="AY143" s="23">
        <v>560</v>
      </c>
      <c r="AZ143" s="7"/>
      <c r="BA143" s="24">
        <f>KH_26_OPT4_KTQT_v4[[#This Row],[GB-DB25]]-KH_26_OPT4_KTQT_v4[[#This Row],[GB-KH25]]</f>
        <v>560</v>
      </c>
      <c r="BB143" s="21">
        <f>IFERROR(KH_26_OPT4_KTQT_v4[[#This Row],[GB-+/-]]/KH_26_OPT4_KTQT_v4[[#This Row],[GB-KH25]],0)</f>
        <v>0</v>
      </c>
      <c r="BC143" s="21"/>
      <c r="BD143" s="47">
        <f>KH_26_OPT4_KTQT_v4[[#This Row],[SL-01]]*KH_26_OPT4_KTQT_v4[[#This Row],[GB-01]]*EXR</f>
        <v>0</v>
      </c>
      <c r="BE143" s="47">
        <f>KH_26_OPT4_KTQT_v4[[#This Row],[SL-02]]*KH_26_OPT4_KTQT_v4[[#This Row],[GB-02]]*EXR</f>
        <v>0</v>
      </c>
      <c r="BF143" s="47">
        <f>KH_26_OPT4_KTQT_v4[[#This Row],[SL-03]]*KH_26_OPT4_KTQT_v4[[#This Row],[GB-03]]*EXR</f>
        <v>0</v>
      </c>
      <c r="BG143" s="47">
        <f>KH_26_OPT4_KTQT_v4[[#This Row],[SL-04]]*KH_26_OPT4_KTQT_v4[[#This Row],[GB-04]]*EXR</f>
        <v>0</v>
      </c>
      <c r="BH143" s="47">
        <f>KH_26_OPT4_KTQT_v4[[#This Row],[SL-05]]*KH_26_OPT4_KTQT_v4[[#This Row],[GB-05]]*EXR</f>
        <v>0</v>
      </c>
      <c r="BI143" s="47">
        <f>KH_26_OPT4_KTQT_v4[[#This Row],[SL-06]]*KH_26_OPT4_KTQT_v4[[#This Row],[GB-06]]*EXR</f>
        <v>0</v>
      </c>
      <c r="BJ143" s="47">
        <f>KH_26_OPT4_KTQT_v4[[#This Row],[SL-07]]*KH_26_OPT4_KTQT_v4[[#This Row],[GB-07]]*EXR</f>
        <v>0</v>
      </c>
      <c r="BK143" s="47">
        <f>KH_26_OPT4_KTQT_v4[[#This Row],[SL-08]]*KH_26_OPT4_KTQT_v4[[#This Row],[GB-08]]*EXR</f>
        <v>0</v>
      </c>
      <c r="BL143" s="47">
        <f>KH_26_OPT4_KTQT_v4[[#This Row],[SL-09]]*KH_26_OPT4_KTQT_v4[[#This Row],[GB-09]]*EXR</f>
        <v>0</v>
      </c>
      <c r="BM143" s="47">
        <f>KH_26_OPT4_KTQT_v4[[#This Row],[SL-10]]*KH_26_OPT4_KTQT_v4[[#This Row],[GB-10]]*EXR</f>
        <v>0</v>
      </c>
      <c r="BN143" s="47">
        <f>KH_26_OPT4_KTQT_v4[[#This Row],[SL-11]]*KH_26_OPT4_KTQT_v4[[#This Row],[GB-11]]*EXR</f>
        <v>0</v>
      </c>
      <c r="BO143" s="47">
        <f>KH_26_OPT4_KTQT_v4[[#This Row],[SL-12]]*KH_26_OPT4_KTQT_v4[[#This Row],[GB-12]]*EXR</f>
        <v>0</v>
      </c>
      <c r="BP143" s="47">
        <f ca="1">SUM(KH_26_OPT4_KTQT_v4[[#This Row],[DT-EXW-01]:[DT-EXW-12]])</f>
        <v>0</v>
      </c>
      <c r="BQ143" s="47">
        <f ca="1">SUMIFS(DB_25[DT-DB25],DB_25[Mã khách],KH_26_OPT4_KTQT_v4[[#This Row],[Mã khách]],DB_25[Mã sản phẩm],KH_26_OPT4_KTQT_v4[[#This Row],[Mã sản phẩm]])</f>
        <v>11805556</v>
      </c>
      <c r="BR143" s="47">
        <f ca="1">KH_26_OPT4_KTQT_v4[[#This Row],[DT-EXW-KH26]]-KH_26_OPT4_KTQT_v4[[#This Row],[DT-EXW-DB25]]</f>
        <v>-11805556</v>
      </c>
      <c r="BS143" s="21">
        <f ca="1">IFERROR(KH_26_OPT4_KTQT_v4[[#This Row],[DT-EXW-+/-]]/KH_26_OPT4_KTQT_v4[[#This Row],[DT-EXW-DB25]],0)</f>
        <v>-1</v>
      </c>
      <c r="BT143" s="139"/>
      <c r="BU143" s="57"/>
      <c r="BV143" s="51"/>
      <c r="BW143" s="47">
        <f>IF(KH_26_OPT4_KTQT_v4[[#This Row],[CPHH-%-SL]]="Dthu",KH_26_OPT4_KTQT_v4[[#This Row],[%HH]]*KH_26_OPT4_KTQT_v4[[#This Row],[DT-EXW-01]],KH_26_OPT4_KTQT_v4[[#This Row],[HH-SL]]*KH_26_OPT4_KTQT_v4[[#This Row],[SL-01]])</f>
        <v>0</v>
      </c>
      <c r="BX143" s="47">
        <f>IF(KH_26_OPT4_KTQT_v4[[#This Row],[CPHH-%-SL]]="Dthu",KH_26_OPT4_KTQT_v4[[#This Row],[%HH]]*KH_26_OPT4_KTQT_v4[[#This Row],[DT-EXW-02]],KH_26_OPT4_KTQT_v4[[#This Row],[HH-SL]]*KH_26_OPT4_KTQT_v4[[#This Row],[SL-02]])</f>
        <v>0</v>
      </c>
      <c r="BY143" s="47">
        <f>IF(KH_26_OPT4_KTQT_v4[[#This Row],[CPHH-%-SL]]="Dthu",KH_26_OPT4_KTQT_v4[[#This Row],[%HH]]*KH_26_OPT4_KTQT_v4[[#This Row],[DT-EXW-03]],KH_26_OPT4_KTQT_v4[[#This Row],[HH-SL]]*KH_26_OPT4_KTQT_v4[[#This Row],[SL-03]])</f>
        <v>0</v>
      </c>
      <c r="BZ143" s="47">
        <f>IF(KH_26_OPT4_KTQT_v4[[#This Row],[CPHH-%-SL]]="Dthu",KH_26_OPT4_KTQT_v4[[#This Row],[%HH]]*KH_26_OPT4_KTQT_v4[[#This Row],[DT-EXW-04]],KH_26_OPT4_KTQT_v4[[#This Row],[HH-SL]]*KH_26_OPT4_KTQT_v4[[#This Row],[SL-04]])</f>
        <v>0</v>
      </c>
      <c r="CA143" s="47">
        <f>IF(KH_26_OPT4_KTQT_v4[[#This Row],[CPHH-%-SL]]="Dthu",KH_26_OPT4_KTQT_v4[[#This Row],[%HH]]*KH_26_OPT4_KTQT_v4[[#This Row],[DT-EXW-05]],KH_26_OPT4_KTQT_v4[[#This Row],[HH-SL]]*KH_26_OPT4_KTQT_v4[[#This Row],[SL-05]])</f>
        <v>0</v>
      </c>
      <c r="CB143" s="47">
        <f>IF(KH_26_OPT4_KTQT_v4[[#This Row],[CPHH-%-SL]]="Dthu",KH_26_OPT4_KTQT_v4[[#This Row],[%HH]]*KH_26_OPT4_KTQT_v4[[#This Row],[DT-EXW-06]],KH_26_OPT4_KTQT_v4[[#This Row],[HH-SL]]*KH_26_OPT4_KTQT_v4[[#This Row],[SL-06]])</f>
        <v>0</v>
      </c>
      <c r="CC143" s="47">
        <f>IF(KH_26_OPT4_KTQT_v4[[#This Row],[CPHH-%-SL]]="Dthu",KH_26_OPT4_KTQT_v4[[#This Row],[%HH]]*KH_26_OPT4_KTQT_v4[[#This Row],[DT-EXW-07]],KH_26_OPT4_KTQT_v4[[#This Row],[HH-SL]]*KH_26_OPT4_KTQT_v4[[#This Row],[SL-07]])</f>
        <v>0</v>
      </c>
      <c r="CD143" s="47">
        <f>IF(KH_26_OPT4_KTQT_v4[[#This Row],[CPHH-%-SL]]="Dthu",KH_26_OPT4_KTQT_v4[[#This Row],[%HH]]*KH_26_OPT4_KTQT_v4[[#This Row],[DT-EXW-08]],KH_26_OPT4_KTQT_v4[[#This Row],[HH-SL]]*KH_26_OPT4_KTQT_v4[[#This Row],[SL-08]])</f>
        <v>0</v>
      </c>
      <c r="CE143" s="47">
        <f>IF(KH_26_OPT4_KTQT_v4[[#This Row],[CPHH-%-SL]]="Dthu",KH_26_OPT4_KTQT_v4[[#This Row],[%HH]]*KH_26_OPT4_KTQT_v4[[#This Row],[DT-EXW-09]],KH_26_OPT4_KTQT_v4[[#This Row],[HH-SL]]*KH_26_OPT4_KTQT_v4[[#This Row],[SL-09]])</f>
        <v>0</v>
      </c>
      <c r="CF143" s="47">
        <f>IF(KH_26_OPT4_KTQT_v4[[#This Row],[CPHH-%-SL]]="Dthu",KH_26_OPT4_KTQT_v4[[#This Row],[%HH]]*KH_26_OPT4_KTQT_v4[[#This Row],[DT-EXW-10]],KH_26_OPT4_KTQT_v4[[#This Row],[HH-SL]]*KH_26_OPT4_KTQT_v4[[#This Row],[SL-10]])</f>
        <v>0</v>
      </c>
      <c r="CG143" s="47">
        <f>IF(KH_26_OPT4_KTQT_v4[[#This Row],[CPHH-%-SL]]="Dthu",KH_26_OPT4_KTQT_v4[[#This Row],[%HH]]*KH_26_OPT4_KTQT_v4[[#This Row],[DT-EXW-11]],KH_26_OPT4_KTQT_v4[[#This Row],[HH-SL]]*KH_26_OPT4_KTQT_v4[[#This Row],[SL-11]])</f>
        <v>0</v>
      </c>
      <c r="CH143" s="47">
        <f>IF(KH_26_OPT4_KTQT_v4[[#This Row],[CPHH-%-SL]]="Dthu",KH_26_OPT4_KTQT_v4[[#This Row],[%HH]]*KH_26_OPT4_KTQT_v4[[#This Row],[DT-EXW-12]],KH_26_OPT4_KTQT_v4[[#This Row],[HH-SL]]*KH_26_OPT4_KTQT_v4[[#This Row],[SL-12]])</f>
        <v>0</v>
      </c>
      <c r="CI143" s="47">
        <f ca="1">SUM(KH_26_OPT4_KTQT_v4[[#This Row],[CPHH-01]:[CPHH-12]])</f>
        <v>0</v>
      </c>
      <c r="CJ143" s="47" cm="1">
        <f t="array" ref="CJ143">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43" s="19">
        <f ca="1">SUM(KH_26_OPT4_KTQT_v4[[#This Row],[ĐGVCNĐ-KXK]:[ĐGVCCT-KXK]])</f>
        <v>0</v>
      </c>
      <c r="CL143" s="47" cm="1">
        <f t="array" ref="CL143">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143" s="47" cm="1">
        <f t="array" ref="CM143">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43" s="47">
        <f ca="1">(KH_26_OPT4_KTQT_v4[[#This Row],[ĐGVC-KNĐ]]+KH_26_OPT4_KTQT_v4[[#This Row],[ĐGVC-KXK]])*KH_26_OPT4_KTQT_v4[[#This Row],[SL-01]]</f>
        <v>0</v>
      </c>
      <c r="CO143" s="47">
        <f ca="1">(KH_26_OPT4_KTQT_v4[[#This Row],[ĐGVC-KNĐ]]+KH_26_OPT4_KTQT_v4[[#This Row],[ĐGVC-KXK]])*KH_26_OPT4_KTQT_v4[[#This Row],[SL-02]]</f>
        <v>0</v>
      </c>
      <c r="CP143" s="47">
        <f ca="1">(KH_26_OPT4_KTQT_v4[[#This Row],[ĐGVC-KNĐ]]+KH_26_OPT4_KTQT_v4[[#This Row],[ĐGVC-KXK]])*KH_26_OPT4_KTQT_v4[[#This Row],[SL-03]]</f>
        <v>0</v>
      </c>
      <c r="CQ143" s="47">
        <f ca="1">(KH_26_OPT4_KTQT_v4[[#This Row],[ĐGVC-KNĐ]]+KH_26_OPT4_KTQT_v4[[#This Row],[ĐGVC-KXK]])*KH_26_OPT4_KTQT_v4[[#This Row],[SL-04]]</f>
        <v>0</v>
      </c>
      <c r="CR143" s="47">
        <f ca="1">(KH_26_OPT4_KTQT_v4[[#This Row],[ĐGVC-KNĐ]]+KH_26_OPT4_KTQT_v4[[#This Row],[ĐGVC-KXK]])*KH_26_OPT4_KTQT_v4[[#This Row],[SL-05]]</f>
        <v>0</v>
      </c>
      <c r="CS143" s="47">
        <f ca="1">(KH_26_OPT4_KTQT_v4[[#This Row],[ĐGVC-KNĐ]]+KH_26_OPT4_KTQT_v4[[#This Row],[ĐGVC-KXK]])*KH_26_OPT4_KTQT_v4[[#This Row],[SL-06]]</f>
        <v>0</v>
      </c>
      <c r="CT143" s="47">
        <f ca="1">(KH_26_OPT4_KTQT_v4[[#This Row],[ĐGVC-KNĐ]]+KH_26_OPT4_KTQT_v4[[#This Row],[ĐGVC-KXK]])*KH_26_OPT4_KTQT_v4[[#This Row],[SL-07]]</f>
        <v>0</v>
      </c>
      <c r="CU143" s="47">
        <f ca="1">(KH_26_OPT4_KTQT_v4[[#This Row],[ĐGVC-KNĐ]]+KH_26_OPT4_KTQT_v4[[#This Row],[ĐGVC-KXK]])*KH_26_OPT4_KTQT_v4[[#This Row],[SL-08]]</f>
        <v>0</v>
      </c>
      <c r="CV143" s="47">
        <f ca="1">(KH_26_OPT4_KTQT_v4[[#This Row],[ĐGVC-KNĐ]]+KH_26_OPT4_KTQT_v4[[#This Row],[ĐGVC-KXK]])*KH_26_OPT4_KTQT_v4[[#This Row],[SL-09]]</f>
        <v>0</v>
      </c>
      <c r="CW143" s="47">
        <f ca="1">(KH_26_OPT4_KTQT_v4[[#This Row],[ĐGVC-KNĐ]]+KH_26_OPT4_KTQT_v4[[#This Row],[ĐGVC-KXK]])*KH_26_OPT4_KTQT_v4[[#This Row],[SL-10]]</f>
        <v>0</v>
      </c>
      <c r="CX143" s="47">
        <f ca="1">(KH_26_OPT4_KTQT_v4[[#This Row],[ĐGVC-KNĐ]]+KH_26_OPT4_KTQT_v4[[#This Row],[ĐGVC-KXK]])*KH_26_OPT4_KTQT_v4[[#This Row],[SL-11]]</f>
        <v>0</v>
      </c>
      <c r="CY143" s="47">
        <f ca="1">(KH_26_OPT4_KTQT_v4[[#This Row],[ĐGVC-KNĐ]]+KH_26_OPT4_KTQT_v4[[#This Row],[ĐGVC-KXK]])*KH_26_OPT4_KTQT_v4[[#This Row],[SL-12]]</f>
        <v>0</v>
      </c>
      <c r="CZ143" s="47">
        <f ca="1">SUM(KH_26_OPT4_KTQT_v4[[#This Row],[CPVC-01]:[CPVC-12]])</f>
        <v>0</v>
      </c>
      <c r="DA143" s="124">
        <f ca="1">KH_26_OPT4_KTQT_v4[[#This Row],[DT-EXW-01]]+KH_26_OPT4_KTQT_v4[[#This Row],[CPVC-01]]+KH_26_OPT4_KTQT_v4[[#This Row],[CPHH-01]]</f>
        <v>0</v>
      </c>
      <c r="DB143" s="47">
        <f ca="1">KH_26_OPT4_KTQT_v4[[#This Row],[DT-EXW-02]]+KH_26_OPT4_KTQT_v4[[#This Row],[CPVC-02]]+KH_26_OPT4_KTQT_v4[[#This Row],[CPHH-02]]</f>
        <v>0</v>
      </c>
      <c r="DC143" s="47">
        <f ca="1">KH_26_OPT4_KTQT_v4[[#This Row],[DT-EXW-03]]+KH_26_OPT4_KTQT_v4[[#This Row],[CPVC-03]]+KH_26_OPT4_KTQT_v4[[#This Row],[CPHH-03]]</f>
        <v>0</v>
      </c>
      <c r="DD143" s="47">
        <f ca="1">KH_26_OPT4_KTQT_v4[[#This Row],[DT-EXW-04]]+KH_26_OPT4_KTQT_v4[[#This Row],[CPVC-04]]+KH_26_OPT4_KTQT_v4[[#This Row],[CPHH-04]]</f>
        <v>0</v>
      </c>
      <c r="DE143" s="47">
        <f ca="1">KH_26_OPT4_KTQT_v4[[#This Row],[DT-EXW-05]]+KH_26_OPT4_KTQT_v4[[#This Row],[CPVC-05]]+KH_26_OPT4_KTQT_v4[[#This Row],[CPHH-05]]</f>
        <v>0</v>
      </c>
      <c r="DF143" s="47">
        <f ca="1">KH_26_OPT4_KTQT_v4[[#This Row],[DT-EXW-06]]+KH_26_OPT4_KTQT_v4[[#This Row],[CPVC-06]]+KH_26_OPT4_KTQT_v4[[#This Row],[CPHH-06]]</f>
        <v>0</v>
      </c>
      <c r="DG143" s="47">
        <f ca="1">KH_26_OPT4_KTQT_v4[[#This Row],[DT-EXW-07]]+KH_26_OPT4_KTQT_v4[[#This Row],[CPVC-07]]+KH_26_OPT4_KTQT_v4[[#This Row],[CPHH-07]]</f>
        <v>0</v>
      </c>
      <c r="DH143" s="47">
        <f ca="1">KH_26_OPT4_KTQT_v4[[#This Row],[DT-EXW-08]]+KH_26_OPT4_KTQT_v4[[#This Row],[CPVC-08]]+KH_26_OPT4_KTQT_v4[[#This Row],[CPHH-08]]</f>
        <v>0</v>
      </c>
      <c r="DI143" s="47">
        <f ca="1">KH_26_OPT4_KTQT_v4[[#This Row],[DT-EXW-09]]+KH_26_OPT4_KTQT_v4[[#This Row],[CPVC-09]]+KH_26_OPT4_KTQT_v4[[#This Row],[CPHH-09]]</f>
        <v>0</v>
      </c>
      <c r="DJ143" s="47">
        <f ca="1">KH_26_OPT4_KTQT_v4[[#This Row],[DT-EXW-10]]+KH_26_OPT4_KTQT_v4[[#This Row],[CPVC-10]]+KH_26_OPT4_KTQT_v4[[#This Row],[CPHH-10]]</f>
        <v>0</v>
      </c>
      <c r="DK143" s="47">
        <f ca="1">KH_26_OPT4_KTQT_v4[[#This Row],[DT-EXW-11]]+KH_26_OPT4_KTQT_v4[[#This Row],[CPVC-11]]+KH_26_OPT4_KTQT_v4[[#This Row],[CPHH-11]]</f>
        <v>0</v>
      </c>
      <c r="DL143" s="47">
        <f ca="1">KH_26_OPT4_KTQT_v4[[#This Row],[DT-EXW-12]]+KH_26_OPT4_KTQT_v4[[#This Row],[CPVC-12]]+KH_26_OPT4_KTQT_v4[[#This Row],[CPHH-12]]</f>
        <v>0</v>
      </c>
      <c r="DM143" s="47">
        <f ca="1">SUM(KH_26_OPT4_KTQT_v4[[#This Row],[DT-01]:[DT-12]])</f>
        <v>0</v>
      </c>
      <c r="DN143" s="7"/>
      <c r="DO143" s="7"/>
      <c r="DP143" s="125"/>
      <c r="DQ143" s="136"/>
      <c r="DR143" s="132">
        <f>IFERROR(KH_26_OPT4_KTQT_v4[[#This Row],[DT-EXW-01]]*KH_26_OPT4_KTQT_v4[[#This Row],[%CPDP]],0)</f>
        <v>0</v>
      </c>
      <c r="DS143" s="132">
        <f>IFERROR(KH_26_OPT4_KTQT_v4[[#This Row],[DT-EXW-02]]*KH_26_OPT4_KTQT_v4[[#This Row],[%CPDP]],0)</f>
        <v>0</v>
      </c>
      <c r="DT143" s="132">
        <f>IFERROR(KH_26_OPT4_KTQT_v4[[#This Row],[DT-EXW-03]]*KH_26_OPT4_KTQT_v4[[#This Row],[%CPDP]],0)</f>
        <v>0</v>
      </c>
      <c r="DU143" s="132">
        <f>IFERROR(KH_26_OPT4_KTQT_v4[[#This Row],[DT-EXW-04]]*KH_26_OPT4_KTQT_v4[[#This Row],[%CPDP]],0)</f>
        <v>0</v>
      </c>
      <c r="DV143" s="132">
        <f>IFERROR(KH_26_OPT4_KTQT_v4[[#This Row],[DT-EXW-05]]*KH_26_OPT4_KTQT_v4[[#This Row],[%CPDP]],0)</f>
        <v>0</v>
      </c>
      <c r="DW143" s="132">
        <f>IFERROR(KH_26_OPT4_KTQT_v4[[#This Row],[DT-EXW-06]]*KH_26_OPT4_KTQT_v4[[#This Row],[%CPDP]],0)</f>
        <v>0</v>
      </c>
      <c r="DX143" s="132">
        <f>IFERROR(KH_26_OPT4_KTQT_v4[[#This Row],[DT-EXW-07]]*KH_26_OPT4_KTQT_v4[[#This Row],[%CPDP]],0)</f>
        <v>0</v>
      </c>
      <c r="DY143" s="132">
        <f>IFERROR(KH_26_OPT4_KTQT_v4[[#This Row],[DT-EXW-08]]*KH_26_OPT4_KTQT_v4[[#This Row],[%CPDP]],0)</f>
        <v>0</v>
      </c>
      <c r="DZ143" s="132">
        <f>IFERROR(KH_26_OPT4_KTQT_v4[[#This Row],[DT-EXW-09]]*KH_26_OPT4_KTQT_v4[[#This Row],[%CPDP]],0)</f>
        <v>0</v>
      </c>
      <c r="EA143" s="132">
        <f>IFERROR(KH_26_OPT4_KTQT_v4[[#This Row],[DT-EXW-10]]*KH_26_OPT4_KTQT_v4[[#This Row],[%CPDP]],0)</f>
        <v>0</v>
      </c>
      <c r="EB143" s="132">
        <f>IFERROR(KH_26_OPT4_KTQT_v4[[#This Row],[DT-EXW-11]]*KH_26_OPT4_KTQT_v4[[#This Row],[%CPDP]],0)</f>
        <v>0</v>
      </c>
      <c r="EC143" s="132">
        <f>IFERROR(KH_26_OPT4_KTQT_v4[[#This Row],[DT-EXW-12]]*KH_26_OPT4_KTQT_v4[[#This Row],[%CPDP]],0)</f>
        <v>0</v>
      </c>
      <c r="ED143" s="131">
        <f ca="1">SUM(KH_26_OPT4_KTQT_v4[[#This Row],[CPDP-01]:[CPDP-12]])</f>
        <v>0</v>
      </c>
    </row>
    <row r="144" spans="1:134" ht="14.65" hidden="1" customHeight="1" x14ac:dyDescent="0.35">
      <c r="A144" s="18">
        <v>139</v>
      </c>
      <c r="B144" s="71" t="s">
        <v>115</v>
      </c>
      <c r="C144" s="18" t="str">
        <f>IFERROR(_xlfn.XLOOKUP(KH_26_OPT4_KTQT_v4[[#This Row],[Salesman]],MD_Salesman[Salesman],MD_Salesman[SalesManager]),"")</f>
        <v>Quốc Anh</v>
      </c>
      <c r="D144" s="72" t="str">
        <f>IFERROR(INDEX(MD_Customer[Mã khách],MATCH(KH_26_OPT4_KTQT_v4[[#This Row],[Tên khách]],MD_Customer[Tên khách-rút gọn],0)),"")</f>
        <v>105324</v>
      </c>
      <c r="E144" s="7" t="str">
        <f>IFERROR(INDEX(MD_Customer[Parent Account],MATCH(KH_26_OPT4_KTQT_v4[[#This Row],[Tên khách]],MD_Customer[Tên khách-rút gọn],0)),"")</f>
        <v>NHỰA TRƯỜNG AN</v>
      </c>
      <c r="F144" s="35" t="s">
        <v>58</v>
      </c>
      <c r="G144" s="7" t="str">
        <f>IFERROR(INDEX(MD_Customer[Phân loại],MATCH(KH_26_OPT4_KTQT_v4[[#This Row],[Tên khách]],MD_Customer[Tên khách-rút gọn],0)),"")</f>
        <v>Hiện hữu</v>
      </c>
      <c r="H144" s="7" t="str">
        <f>IFERROR(INDEX(MD_Customer[Kênh bán hàng],MATCH(KH_26_OPT4_KTQT_v4[[#This Row],[Tên khách]],MD_Customer[Tên khách-rút gọn],0)),"")</f>
        <v>Nội địa</v>
      </c>
      <c r="I144" s="35" t="s">
        <v>258</v>
      </c>
      <c r="J144" s="7" t="str">
        <f>IFERROR(INDEX(MD_Destination[Nước],MATCH(KH_26_OPT4_KTQT_v4[[#This Row],[Địa điểm đến]],MD_Destination[Địa điểm đến],0)),"")</f>
        <v>Việt Nam</v>
      </c>
      <c r="K144" s="7" t="str">
        <f>IFERROR(INDEX(MD_Destination[Khu vực],MATCH(KH_26_OPT4_KTQT_v4[[#This Row],[Địa điểm đến]],MD_Destination[Địa điểm đến],0)),"")</f>
        <v>Châu Á</v>
      </c>
      <c r="L144" s="35" t="s">
        <v>262</v>
      </c>
      <c r="M144" s="7" t="str">
        <f>IFERROR(INDEX(MD_SKU[Mã SKU],MATCH(KH_26_OPT4_KTQT_v4[[#This Row],[Tên sản phẩm]],MD_SKU[Tên SKU-rút gọn],0)),"")</f>
        <v>110000412</v>
      </c>
      <c r="N144" s="35" t="s">
        <v>475</v>
      </c>
      <c r="O144" s="7" t="str">
        <f>IFERROR(INDEX(MD_SKU[Ngành hàng],MATCH(KH_26_OPT4_KTQT_v4[[#This Row],[Tên sản phẩm]],MD_SKU[Tên SKU-rút gọn],0)),"")</f>
        <v>rHDPE ép</v>
      </c>
      <c r="P144" s="7" t="str">
        <f>IFERROR(INDEX(MD_SKU[Nhóm ngành],MATCH(KH_26_OPT4_KTQT_v4[[#This Row],[Tên sản phẩm]],MD_SKU[Tên SKU-rút gọn],0)),"")</f>
        <v>Vảy HD ép</v>
      </c>
      <c r="Q144" s="7" t="str">
        <f>IFERROR(
   IF(INDEX(MD_SKU[IV/IM],MATCH(KH_26_OPT4_KTQT_v4[[#This Row],[Tên sản phẩm]],MD_SKU[Tên SKU-rút gọn],0))=0,
      "",
      INDEX(MD_SKU[IV/IM],MATCH(KH_26_OPT4_KTQT_v4[[#This Row],[Tên sản phẩm]],MD_SKU[Tên SKU-rút gọn],0))
   ),
"")</f>
        <v/>
      </c>
      <c r="R144" s="44">
        <f>IFERROR(INDEX(MD_SKU[Application],MATCH(KH_26_OPT4_KTQT_v4[[#This Row],[Tên sản phẩm]],MD_SKU[Tên SKU-rút gọn],0)),"")</f>
        <v>0</v>
      </c>
      <c r="S144" s="7" t="str">
        <f>IFERROR(INDEX(MD_SKU[Phân loại],MATCH(KH_26_OPT4_KTQT_v4[[#This Row],[Tên sản phẩm]],MD_SKU[Tên SKU-rút gọn],0)),"")</f>
        <v>Cũ</v>
      </c>
      <c r="T144" s="7"/>
      <c r="U144" s="7"/>
      <c r="V144" s="70">
        <v>0.8</v>
      </c>
      <c r="W144" s="93"/>
      <c r="X144" s="93"/>
      <c r="Y144" s="93"/>
      <c r="Z144" s="93"/>
      <c r="AA144" s="93"/>
      <c r="AB144" s="93"/>
      <c r="AC144" s="93"/>
      <c r="AD144" s="93"/>
      <c r="AE144" s="93"/>
      <c r="AF144" s="93"/>
      <c r="AG144" s="93"/>
      <c r="AH144" s="93"/>
      <c r="AI144" s="47">
        <f ca="1">SUM(KH_26_OPT4_KTQT_v4[[#This Row],[SL-01]:[SL-12]])</f>
        <v>0</v>
      </c>
      <c r="AJ144" s="47">
        <f ca="1">SUMIFS(DB_25[SL-DB25],DB_25[Mã khách],KH_26_OPT4_KTQT_v4[[#This Row],[Mã khách]],DB_25[Mã sản phẩm],KH_26_OPT4_KTQT_v4[[#This Row],[Mã sản phẩm]])</f>
        <v>6</v>
      </c>
      <c r="AK144" s="20">
        <f ca="1">KH_26_OPT4_KTQT_v4[[#This Row],[SL-KH26]]-KH_26_OPT4_KTQT_v4[[#This Row],[SL-DB25]]</f>
        <v>-6</v>
      </c>
      <c r="AL144" s="21">
        <f ca="1">IFERROR(KH_26_OPT4_KTQT_v4[[#This Row],[SL-+/-]]/KH_26_OPT4_KTQT_v4[[#This Row],[SL-DB25]],0)</f>
        <v>-1</v>
      </c>
      <c r="AM144" s="51">
        <v>560</v>
      </c>
      <c r="AN144" s="51">
        <v>560</v>
      </c>
      <c r="AO144" s="51">
        <v>560</v>
      </c>
      <c r="AP144" s="51">
        <v>560</v>
      </c>
      <c r="AQ144" s="51">
        <v>560</v>
      </c>
      <c r="AR144" s="51">
        <v>560</v>
      </c>
      <c r="AS144" s="51">
        <v>560</v>
      </c>
      <c r="AT144" s="51">
        <v>560</v>
      </c>
      <c r="AU144" s="51">
        <v>560</v>
      </c>
      <c r="AV144" s="51">
        <v>560</v>
      </c>
      <c r="AW144" s="51">
        <v>560</v>
      </c>
      <c r="AX144" s="51">
        <v>560</v>
      </c>
      <c r="AY144" s="23">
        <v>560</v>
      </c>
      <c r="AZ144" s="7"/>
      <c r="BA144" s="24">
        <f>KH_26_OPT4_KTQT_v4[[#This Row],[GB-DB25]]-KH_26_OPT4_KTQT_v4[[#This Row],[GB-KH25]]</f>
        <v>560</v>
      </c>
      <c r="BB144" s="21">
        <f>IFERROR(KH_26_OPT4_KTQT_v4[[#This Row],[GB-+/-]]/KH_26_OPT4_KTQT_v4[[#This Row],[GB-KH25]],0)</f>
        <v>0</v>
      </c>
      <c r="BC144" s="21"/>
      <c r="BD144" s="47">
        <f>KH_26_OPT4_KTQT_v4[[#This Row],[SL-01]]*KH_26_OPT4_KTQT_v4[[#This Row],[GB-01]]*EXR</f>
        <v>0</v>
      </c>
      <c r="BE144" s="47">
        <f>KH_26_OPT4_KTQT_v4[[#This Row],[SL-02]]*KH_26_OPT4_KTQT_v4[[#This Row],[GB-02]]*EXR</f>
        <v>0</v>
      </c>
      <c r="BF144" s="47">
        <f>KH_26_OPT4_KTQT_v4[[#This Row],[SL-03]]*KH_26_OPT4_KTQT_v4[[#This Row],[GB-03]]*EXR</f>
        <v>0</v>
      </c>
      <c r="BG144" s="47">
        <f>KH_26_OPT4_KTQT_v4[[#This Row],[SL-04]]*KH_26_OPT4_KTQT_v4[[#This Row],[GB-04]]*EXR</f>
        <v>0</v>
      </c>
      <c r="BH144" s="47">
        <f>KH_26_OPT4_KTQT_v4[[#This Row],[SL-05]]*KH_26_OPT4_KTQT_v4[[#This Row],[GB-05]]*EXR</f>
        <v>0</v>
      </c>
      <c r="BI144" s="47">
        <f>KH_26_OPT4_KTQT_v4[[#This Row],[SL-06]]*KH_26_OPT4_KTQT_v4[[#This Row],[GB-06]]*EXR</f>
        <v>0</v>
      </c>
      <c r="BJ144" s="47">
        <f>KH_26_OPT4_KTQT_v4[[#This Row],[SL-07]]*KH_26_OPT4_KTQT_v4[[#This Row],[GB-07]]*EXR</f>
        <v>0</v>
      </c>
      <c r="BK144" s="47">
        <f>KH_26_OPT4_KTQT_v4[[#This Row],[SL-08]]*KH_26_OPT4_KTQT_v4[[#This Row],[GB-08]]*EXR</f>
        <v>0</v>
      </c>
      <c r="BL144" s="47">
        <f>KH_26_OPT4_KTQT_v4[[#This Row],[SL-09]]*KH_26_OPT4_KTQT_v4[[#This Row],[GB-09]]*EXR</f>
        <v>0</v>
      </c>
      <c r="BM144" s="47">
        <f>KH_26_OPT4_KTQT_v4[[#This Row],[SL-10]]*KH_26_OPT4_KTQT_v4[[#This Row],[GB-10]]*EXR</f>
        <v>0</v>
      </c>
      <c r="BN144" s="47">
        <f>KH_26_OPT4_KTQT_v4[[#This Row],[SL-11]]*KH_26_OPT4_KTQT_v4[[#This Row],[GB-11]]*EXR</f>
        <v>0</v>
      </c>
      <c r="BO144" s="47">
        <f>KH_26_OPT4_KTQT_v4[[#This Row],[SL-12]]*KH_26_OPT4_KTQT_v4[[#This Row],[GB-12]]*EXR</f>
        <v>0</v>
      </c>
      <c r="BP144" s="47">
        <f ca="1">SUM(KH_26_OPT4_KTQT_v4[[#This Row],[DT-EXW-01]:[DT-EXW-12]])</f>
        <v>0</v>
      </c>
      <c r="BQ144" s="47">
        <f ca="1">SUMIFS(DB_25[DT-DB25],DB_25[Mã khách],KH_26_OPT4_KTQT_v4[[#This Row],[Mã khách]],DB_25[Mã sản phẩm],KH_26_OPT4_KTQT_v4[[#This Row],[Mã sản phẩm]])</f>
        <v>70854765.572998434</v>
      </c>
      <c r="BR144" s="47">
        <f ca="1">KH_26_OPT4_KTQT_v4[[#This Row],[DT-EXW-KH26]]-KH_26_OPT4_KTQT_v4[[#This Row],[DT-EXW-DB25]]</f>
        <v>-70854765.572998434</v>
      </c>
      <c r="BS144" s="21">
        <f ca="1">IFERROR(KH_26_OPT4_KTQT_v4[[#This Row],[DT-EXW-+/-]]/KH_26_OPT4_KTQT_v4[[#This Row],[DT-EXW-DB25]],0)</f>
        <v>-1</v>
      </c>
      <c r="BT144" s="139"/>
      <c r="BU144" s="57"/>
      <c r="BV144" s="51"/>
      <c r="BW144" s="47">
        <f>IF(KH_26_OPT4_KTQT_v4[[#This Row],[CPHH-%-SL]]="Dthu",KH_26_OPT4_KTQT_v4[[#This Row],[%HH]]*KH_26_OPT4_KTQT_v4[[#This Row],[DT-EXW-01]],KH_26_OPT4_KTQT_v4[[#This Row],[HH-SL]]*KH_26_OPT4_KTQT_v4[[#This Row],[SL-01]])</f>
        <v>0</v>
      </c>
      <c r="BX144" s="47">
        <f>IF(KH_26_OPT4_KTQT_v4[[#This Row],[CPHH-%-SL]]="Dthu",KH_26_OPT4_KTQT_v4[[#This Row],[%HH]]*KH_26_OPT4_KTQT_v4[[#This Row],[DT-EXW-02]],KH_26_OPT4_KTQT_v4[[#This Row],[HH-SL]]*KH_26_OPT4_KTQT_v4[[#This Row],[SL-02]])</f>
        <v>0</v>
      </c>
      <c r="BY144" s="47">
        <f>IF(KH_26_OPT4_KTQT_v4[[#This Row],[CPHH-%-SL]]="Dthu",KH_26_OPT4_KTQT_v4[[#This Row],[%HH]]*KH_26_OPT4_KTQT_v4[[#This Row],[DT-EXW-03]],KH_26_OPT4_KTQT_v4[[#This Row],[HH-SL]]*KH_26_OPT4_KTQT_v4[[#This Row],[SL-03]])</f>
        <v>0</v>
      </c>
      <c r="BZ144" s="47">
        <f>IF(KH_26_OPT4_KTQT_v4[[#This Row],[CPHH-%-SL]]="Dthu",KH_26_OPT4_KTQT_v4[[#This Row],[%HH]]*KH_26_OPT4_KTQT_v4[[#This Row],[DT-EXW-04]],KH_26_OPT4_KTQT_v4[[#This Row],[HH-SL]]*KH_26_OPT4_KTQT_v4[[#This Row],[SL-04]])</f>
        <v>0</v>
      </c>
      <c r="CA144" s="47">
        <f>IF(KH_26_OPT4_KTQT_v4[[#This Row],[CPHH-%-SL]]="Dthu",KH_26_OPT4_KTQT_v4[[#This Row],[%HH]]*KH_26_OPT4_KTQT_v4[[#This Row],[DT-EXW-05]],KH_26_OPT4_KTQT_v4[[#This Row],[HH-SL]]*KH_26_OPT4_KTQT_v4[[#This Row],[SL-05]])</f>
        <v>0</v>
      </c>
      <c r="CB144" s="47">
        <f>IF(KH_26_OPT4_KTQT_v4[[#This Row],[CPHH-%-SL]]="Dthu",KH_26_OPT4_KTQT_v4[[#This Row],[%HH]]*KH_26_OPT4_KTQT_v4[[#This Row],[DT-EXW-06]],KH_26_OPT4_KTQT_v4[[#This Row],[HH-SL]]*KH_26_OPT4_KTQT_v4[[#This Row],[SL-06]])</f>
        <v>0</v>
      </c>
      <c r="CC144" s="47">
        <f>IF(KH_26_OPT4_KTQT_v4[[#This Row],[CPHH-%-SL]]="Dthu",KH_26_OPT4_KTQT_v4[[#This Row],[%HH]]*KH_26_OPT4_KTQT_v4[[#This Row],[DT-EXW-07]],KH_26_OPT4_KTQT_v4[[#This Row],[HH-SL]]*KH_26_OPT4_KTQT_v4[[#This Row],[SL-07]])</f>
        <v>0</v>
      </c>
      <c r="CD144" s="47">
        <f>IF(KH_26_OPT4_KTQT_v4[[#This Row],[CPHH-%-SL]]="Dthu",KH_26_OPT4_KTQT_v4[[#This Row],[%HH]]*KH_26_OPT4_KTQT_v4[[#This Row],[DT-EXW-08]],KH_26_OPT4_KTQT_v4[[#This Row],[HH-SL]]*KH_26_OPT4_KTQT_v4[[#This Row],[SL-08]])</f>
        <v>0</v>
      </c>
      <c r="CE144" s="47">
        <f>IF(KH_26_OPT4_KTQT_v4[[#This Row],[CPHH-%-SL]]="Dthu",KH_26_OPT4_KTQT_v4[[#This Row],[%HH]]*KH_26_OPT4_KTQT_v4[[#This Row],[DT-EXW-09]],KH_26_OPT4_KTQT_v4[[#This Row],[HH-SL]]*KH_26_OPT4_KTQT_v4[[#This Row],[SL-09]])</f>
        <v>0</v>
      </c>
      <c r="CF144" s="47">
        <f>IF(KH_26_OPT4_KTQT_v4[[#This Row],[CPHH-%-SL]]="Dthu",KH_26_OPT4_KTQT_v4[[#This Row],[%HH]]*KH_26_OPT4_KTQT_v4[[#This Row],[DT-EXW-10]],KH_26_OPT4_KTQT_v4[[#This Row],[HH-SL]]*KH_26_OPT4_KTQT_v4[[#This Row],[SL-10]])</f>
        <v>0</v>
      </c>
      <c r="CG144" s="47">
        <f>IF(KH_26_OPT4_KTQT_v4[[#This Row],[CPHH-%-SL]]="Dthu",KH_26_OPT4_KTQT_v4[[#This Row],[%HH]]*KH_26_OPT4_KTQT_v4[[#This Row],[DT-EXW-11]],KH_26_OPT4_KTQT_v4[[#This Row],[HH-SL]]*KH_26_OPT4_KTQT_v4[[#This Row],[SL-11]])</f>
        <v>0</v>
      </c>
      <c r="CH144" s="47">
        <f>IF(KH_26_OPT4_KTQT_v4[[#This Row],[CPHH-%-SL]]="Dthu",KH_26_OPT4_KTQT_v4[[#This Row],[%HH]]*KH_26_OPT4_KTQT_v4[[#This Row],[DT-EXW-12]],KH_26_OPT4_KTQT_v4[[#This Row],[HH-SL]]*KH_26_OPT4_KTQT_v4[[#This Row],[SL-12]])</f>
        <v>0</v>
      </c>
      <c r="CI144" s="47">
        <f ca="1">SUM(KH_26_OPT4_KTQT_v4[[#This Row],[CPHH-01]:[CPHH-12]])</f>
        <v>0</v>
      </c>
      <c r="CJ144" s="47" cm="1">
        <f t="array" ref="CJ144">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44" s="19">
        <f ca="1">SUM(KH_26_OPT4_KTQT_v4[[#This Row],[ĐGVCNĐ-KXK]:[ĐGVCCT-KXK]])</f>
        <v>0</v>
      </c>
      <c r="CL144" s="47" cm="1">
        <f t="array" ref="CL144">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144" s="47" cm="1">
        <f t="array" ref="CM144">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44" s="47">
        <f ca="1">(KH_26_OPT4_KTQT_v4[[#This Row],[ĐGVC-KNĐ]]+KH_26_OPT4_KTQT_v4[[#This Row],[ĐGVC-KXK]])*KH_26_OPT4_KTQT_v4[[#This Row],[SL-01]]</f>
        <v>0</v>
      </c>
      <c r="CO144" s="47">
        <f ca="1">(KH_26_OPT4_KTQT_v4[[#This Row],[ĐGVC-KNĐ]]+KH_26_OPT4_KTQT_v4[[#This Row],[ĐGVC-KXK]])*KH_26_OPT4_KTQT_v4[[#This Row],[SL-02]]</f>
        <v>0</v>
      </c>
      <c r="CP144" s="47">
        <f ca="1">(KH_26_OPT4_KTQT_v4[[#This Row],[ĐGVC-KNĐ]]+KH_26_OPT4_KTQT_v4[[#This Row],[ĐGVC-KXK]])*KH_26_OPT4_KTQT_v4[[#This Row],[SL-03]]</f>
        <v>0</v>
      </c>
      <c r="CQ144" s="47">
        <f ca="1">(KH_26_OPT4_KTQT_v4[[#This Row],[ĐGVC-KNĐ]]+KH_26_OPT4_KTQT_v4[[#This Row],[ĐGVC-KXK]])*KH_26_OPT4_KTQT_v4[[#This Row],[SL-04]]</f>
        <v>0</v>
      </c>
      <c r="CR144" s="47">
        <f ca="1">(KH_26_OPT4_KTQT_v4[[#This Row],[ĐGVC-KNĐ]]+KH_26_OPT4_KTQT_v4[[#This Row],[ĐGVC-KXK]])*KH_26_OPT4_KTQT_v4[[#This Row],[SL-05]]</f>
        <v>0</v>
      </c>
      <c r="CS144" s="47">
        <f ca="1">(KH_26_OPT4_KTQT_v4[[#This Row],[ĐGVC-KNĐ]]+KH_26_OPT4_KTQT_v4[[#This Row],[ĐGVC-KXK]])*KH_26_OPT4_KTQT_v4[[#This Row],[SL-06]]</f>
        <v>0</v>
      </c>
      <c r="CT144" s="47">
        <f ca="1">(KH_26_OPT4_KTQT_v4[[#This Row],[ĐGVC-KNĐ]]+KH_26_OPT4_KTQT_v4[[#This Row],[ĐGVC-KXK]])*KH_26_OPT4_KTQT_v4[[#This Row],[SL-07]]</f>
        <v>0</v>
      </c>
      <c r="CU144" s="47">
        <f ca="1">(KH_26_OPT4_KTQT_v4[[#This Row],[ĐGVC-KNĐ]]+KH_26_OPT4_KTQT_v4[[#This Row],[ĐGVC-KXK]])*KH_26_OPT4_KTQT_v4[[#This Row],[SL-08]]</f>
        <v>0</v>
      </c>
      <c r="CV144" s="47">
        <f ca="1">(KH_26_OPT4_KTQT_v4[[#This Row],[ĐGVC-KNĐ]]+KH_26_OPT4_KTQT_v4[[#This Row],[ĐGVC-KXK]])*KH_26_OPT4_KTQT_v4[[#This Row],[SL-09]]</f>
        <v>0</v>
      </c>
      <c r="CW144" s="47">
        <f ca="1">(KH_26_OPT4_KTQT_v4[[#This Row],[ĐGVC-KNĐ]]+KH_26_OPT4_KTQT_v4[[#This Row],[ĐGVC-KXK]])*KH_26_OPT4_KTQT_v4[[#This Row],[SL-10]]</f>
        <v>0</v>
      </c>
      <c r="CX144" s="47">
        <f ca="1">(KH_26_OPT4_KTQT_v4[[#This Row],[ĐGVC-KNĐ]]+KH_26_OPT4_KTQT_v4[[#This Row],[ĐGVC-KXK]])*KH_26_OPT4_KTQT_v4[[#This Row],[SL-11]]</f>
        <v>0</v>
      </c>
      <c r="CY144" s="47">
        <f ca="1">(KH_26_OPT4_KTQT_v4[[#This Row],[ĐGVC-KNĐ]]+KH_26_OPT4_KTQT_v4[[#This Row],[ĐGVC-KXK]])*KH_26_OPT4_KTQT_v4[[#This Row],[SL-12]]</f>
        <v>0</v>
      </c>
      <c r="CZ144" s="47">
        <f ca="1">SUM(KH_26_OPT4_KTQT_v4[[#This Row],[CPVC-01]:[CPVC-12]])</f>
        <v>0</v>
      </c>
      <c r="DA144" s="124">
        <f ca="1">KH_26_OPT4_KTQT_v4[[#This Row],[DT-EXW-01]]+KH_26_OPT4_KTQT_v4[[#This Row],[CPVC-01]]+KH_26_OPT4_KTQT_v4[[#This Row],[CPHH-01]]</f>
        <v>0</v>
      </c>
      <c r="DB144" s="47">
        <f ca="1">KH_26_OPT4_KTQT_v4[[#This Row],[DT-EXW-02]]+KH_26_OPT4_KTQT_v4[[#This Row],[CPVC-02]]+KH_26_OPT4_KTQT_v4[[#This Row],[CPHH-02]]</f>
        <v>0</v>
      </c>
      <c r="DC144" s="47">
        <f ca="1">KH_26_OPT4_KTQT_v4[[#This Row],[DT-EXW-03]]+KH_26_OPT4_KTQT_v4[[#This Row],[CPVC-03]]+KH_26_OPT4_KTQT_v4[[#This Row],[CPHH-03]]</f>
        <v>0</v>
      </c>
      <c r="DD144" s="47">
        <f ca="1">KH_26_OPT4_KTQT_v4[[#This Row],[DT-EXW-04]]+KH_26_OPT4_KTQT_v4[[#This Row],[CPVC-04]]+KH_26_OPT4_KTQT_v4[[#This Row],[CPHH-04]]</f>
        <v>0</v>
      </c>
      <c r="DE144" s="47">
        <f ca="1">KH_26_OPT4_KTQT_v4[[#This Row],[DT-EXW-05]]+KH_26_OPT4_KTQT_v4[[#This Row],[CPVC-05]]+KH_26_OPT4_KTQT_v4[[#This Row],[CPHH-05]]</f>
        <v>0</v>
      </c>
      <c r="DF144" s="47">
        <f ca="1">KH_26_OPT4_KTQT_v4[[#This Row],[DT-EXW-06]]+KH_26_OPT4_KTQT_v4[[#This Row],[CPVC-06]]+KH_26_OPT4_KTQT_v4[[#This Row],[CPHH-06]]</f>
        <v>0</v>
      </c>
      <c r="DG144" s="47">
        <f ca="1">KH_26_OPT4_KTQT_v4[[#This Row],[DT-EXW-07]]+KH_26_OPT4_KTQT_v4[[#This Row],[CPVC-07]]+KH_26_OPT4_KTQT_v4[[#This Row],[CPHH-07]]</f>
        <v>0</v>
      </c>
      <c r="DH144" s="47">
        <f ca="1">KH_26_OPT4_KTQT_v4[[#This Row],[DT-EXW-08]]+KH_26_OPT4_KTQT_v4[[#This Row],[CPVC-08]]+KH_26_OPT4_KTQT_v4[[#This Row],[CPHH-08]]</f>
        <v>0</v>
      </c>
      <c r="DI144" s="47">
        <f ca="1">KH_26_OPT4_KTQT_v4[[#This Row],[DT-EXW-09]]+KH_26_OPT4_KTQT_v4[[#This Row],[CPVC-09]]+KH_26_OPT4_KTQT_v4[[#This Row],[CPHH-09]]</f>
        <v>0</v>
      </c>
      <c r="DJ144" s="47">
        <f ca="1">KH_26_OPT4_KTQT_v4[[#This Row],[DT-EXW-10]]+KH_26_OPT4_KTQT_v4[[#This Row],[CPVC-10]]+KH_26_OPT4_KTQT_v4[[#This Row],[CPHH-10]]</f>
        <v>0</v>
      </c>
      <c r="DK144" s="47">
        <f ca="1">KH_26_OPT4_KTQT_v4[[#This Row],[DT-EXW-11]]+KH_26_OPT4_KTQT_v4[[#This Row],[CPVC-11]]+KH_26_OPT4_KTQT_v4[[#This Row],[CPHH-11]]</f>
        <v>0</v>
      </c>
      <c r="DL144" s="47">
        <f ca="1">KH_26_OPT4_KTQT_v4[[#This Row],[DT-EXW-12]]+KH_26_OPT4_KTQT_v4[[#This Row],[CPVC-12]]+KH_26_OPT4_KTQT_v4[[#This Row],[CPHH-12]]</f>
        <v>0</v>
      </c>
      <c r="DM144" s="47">
        <f ca="1">SUM(KH_26_OPT4_KTQT_v4[[#This Row],[DT-01]:[DT-12]])</f>
        <v>0</v>
      </c>
      <c r="DN144" s="7"/>
      <c r="DO144" s="7"/>
      <c r="DP144" s="125"/>
      <c r="DQ144" s="136"/>
      <c r="DR144" s="132">
        <f>IFERROR(KH_26_OPT4_KTQT_v4[[#This Row],[DT-EXW-01]]*KH_26_OPT4_KTQT_v4[[#This Row],[%CPDP]],0)</f>
        <v>0</v>
      </c>
      <c r="DS144" s="132">
        <f>IFERROR(KH_26_OPT4_KTQT_v4[[#This Row],[DT-EXW-02]]*KH_26_OPT4_KTQT_v4[[#This Row],[%CPDP]],0)</f>
        <v>0</v>
      </c>
      <c r="DT144" s="132">
        <f>IFERROR(KH_26_OPT4_KTQT_v4[[#This Row],[DT-EXW-03]]*KH_26_OPT4_KTQT_v4[[#This Row],[%CPDP]],0)</f>
        <v>0</v>
      </c>
      <c r="DU144" s="132">
        <f>IFERROR(KH_26_OPT4_KTQT_v4[[#This Row],[DT-EXW-04]]*KH_26_OPT4_KTQT_v4[[#This Row],[%CPDP]],0)</f>
        <v>0</v>
      </c>
      <c r="DV144" s="132">
        <f>IFERROR(KH_26_OPT4_KTQT_v4[[#This Row],[DT-EXW-05]]*KH_26_OPT4_KTQT_v4[[#This Row],[%CPDP]],0)</f>
        <v>0</v>
      </c>
      <c r="DW144" s="132">
        <f>IFERROR(KH_26_OPT4_KTQT_v4[[#This Row],[DT-EXW-06]]*KH_26_OPT4_KTQT_v4[[#This Row],[%CPDP]],0)</f>
        <v>0</v>
      </c>
      <c r="DX144" s="132">
        <f>IFERROR(KH_26_OPT4_KTQT_v4[[#This Row],[DT-EXW-07]]*KH_26_OPT4_KTQT_v4[[#This Row],[%CPDP]],0)</f>
        <v>0</v>
      </c>
      <c r="DY144" s="132">
        <f>IFERROR(KH_26_OPT4_KTQT_v4[[#This Row],[DT-EXW-08]]*KH_26_OPT4_KTQT_v4[[#This Row],[%CPDP]],0)</f>
        <v>0</v>
      </c>
      <c r="DZ144" s="132">
        <f>IFERROR(KH_26_OPT4_KTQT_v4[[#This Row],[DT-EXW-09]]*KH_26_OPT4_KTQT_v4[[#This Row],[%CPDP]],0)</f>
        <v>0</v>
      </c>
      <c r="EA144" s="132">
        <f>IFERROR(KH_26_OPT4_KTQT_v4[[#This Row],[DT-EXW-10]]*KH_26_OPT4_KTQT_v4[[#This Row],[%CPDP]],0)</f>
        <v>0</v>
      </c>
      <c r="EB144" s="132">
        <f>IFERROR(KH_26_OPT4_KTQT_v4[[#This Row],[DT-EXW-11]]*KH_26_OPT4_KTQT_v4[[#This Row],[%CPDP]],0)</f>
        <v>0</v>
      </c>
      <c r="EC144" s="132">
        <f>IFERROR(KH_26_OPT4_KTQT_v4[[#This Row],[DT-EXW-12]]*KH_26_OPT4_KTQT_v4[[#This Row],[%CPDP]],0)</f>
        <v>0</v>
      </c>
      <c r="ED144" s="131">
        <f ca="1">SUM(KH_26_OPT4_KTQT_v4[[#This Row],[CPDP-01]:[CPDP-12]])</f>
        <v>0</v>
      </c>
    </row>
    <row r="145" spans="1:134" ht="14.65" hidden="1" customHeight="1" x14ac:dyDescent="0.35">
      <c r="A145" s="18">
        <v>140</v>
      </c>
      <c r="B145" s="71" t="s">
        <v>115</v>
      </c>
      <c r="C145" s="18" t="str">
        <f>IFERROR(_xlfn.XLOOKUP(KH_26_OPT4_KTQT_v4[[#This Row],[Salesman]],MD_Salesman[Salesman],MD_Salesman[SalesManager]),"")</f>
        <v>Quốc Anh</v>
      </c>
      <c r="D145" s="72" t="str">
        <f>IFERROR(INDEX(MD_Customer[Mã khách],MATCH(KH_26_OPT4_KTQT_v4[[#This Row],[Tên khách]],MD_Customer[Tên khách-rút gọn],0)),"")</f>
        <v>105327</v>
      </c>
      <c r="E145" s="7" t="str">
        <f>IFERROR(INDEX(MD_Customer[Parent Account],MATCH(KH_26_OPT4_KTQT_v4[[#This Row],[Tên khách]],MD_Customer[Tên khách-rút gọn],0)),"")</f>
        <v>MEGA</v>
      </c>
      <c r="F145" s="35" t="s">
        <v>72</v>
      </c>
      <c r="G145" s="7" t="str">
        <f>IFERROR(INDEX(MD_Customer[Phân loại],MATCH(KH_26_OPT4_KTQT_v4[[#This Row],[Tên khách]],MD_Customer[Tên khách-rút gọn],0)),"")</f>
        <v>Mới</v>
      </c>
      <c r="H145" s="7" t="str">
        <f>IFERROR(INDEX(MD_Customer[Kênh bán hàng],MATCH(KH_26_OPT4_KTQT_v4[[#This Row],[Tên khách]],MD_Customer[Tên khách-rút gọn],0)),"")</f>
        <v>Nội địa</v>
      </c>
      <c r="I145" s="35" t="s">
        <v>261</v>
      </c>
      <c r="J145" s="7" t="str">
        <f>IFERROR(INDEX(MD_Destination[Nước],MATCH(KH_26_OPT4_KTQT_v4[[#This Row],[Địa điểm đến]],MD_Destination[Địa điểm đến],0)),"")</f>
        <v>Việt Nam</v>
      </c>
      <c r="K145" s="7" t="str">
        <f>IFERROR(INDEX(MD_Destination[Khu vực],MATCH(KH_26_OPT4_KTQT_v4[[#This Row],[Địa điểm đến]],MD_Destination[Địa điểm đến],0)),"")</f>
        <v>Châu Á</v>
      </c>
      <c r="L145" s="35" t="s">
        <v>260</v>
      </c>
      <c r="M145" s="7" t="str">
        <f>IFERROR(INDEX(MD_SKU[Mã SKU],MATCH(KH_26_OPT4_KTQT_v4[[#This Row],[Tên sản phẩm]],MD_SKU[Tên SKU-rút gọn],0)),"")</f>
        <v>110000389</v>
      </c>
      <c r="N145" s="35" t="s">
        <v>480</v>
      </c>
      <c r="O145" s="7" t="str">
        <f>IFERROR(INDEX(MD_SKU[Ngành hàng],MATCH(KH_26_OPT4_KTQT_v4[[#This Row],[Tên sản phẩm]],MD_SKU[Tên SKU-rút gọn],0)),"")</f>
        <v>rPP</v>
      </c>
      <c r="P145" s="7" t="str">
        <f>IFERROR(INDEX(MD_SKU[Nhóm ngành],MATCH(KH_26_OPT4_KTQT_v4[[#This Row],[Tên sản phẩm]],MD_SKU[Tên SKU-rút gọn],0)),"")</f>
        <v>Hạt PP</v>
      </c>
      <c r="Q145" s="7" t="str">
        <f>IFERROR(
   IF(INDEX(MD_SKU[IV/IM],MATCH(KH_26_OPT4_KTQT_v4[[#This Row],[Tên sản phẩm]],MD_SKU[Tên SKU-rút gọn],0))=0,
      "",
      INDEX(MD_SKU[IV/IM],MATCH(KH_26_OPT4_KTQT_v4[[#This Row],[Tên sản phẩm]],MD_SKU[Tên SKU-rút gọn],0))
   ),
"")</f>
        <v/>
      </c>
      <c r="R145" s="44">
        <f>IFERROR(INDEX(MD_SKU[Application],MATCH(KH_26_OPT4_KTQT_v4[[#This Row],[Tên sản phẩm]],MD_SKU[Tên SKU-rút gọn],0)),"")</f>
        <v>0</v>
      </c>
      <c r="S145" s="7" t="str">
        <f>IFERROR(INDEX(MD_SKU[Phân loại],MATCH(KH_26_OPT4_KTQT_v4[[#This Row],[Tên sản phẩm]],MD_SKU[Tên SKU-rút gọn],0)),"")</f>
        <v>Cũ</v>
      </c>
      <c r="T145" s="7" t="s">
        <v>542</v>
      </c>
      <c r="U145" s="7"/>
      <c r="V145" s="70">
        <v>0.8</v>
      </c>
      <c r="W145" s="33"/>
      <c r="X145" s="33"/>
      <c r="Y145" s="33"/>
      <c r="Z145" s="33"/>
      <c r="AA145" s="33"/>
      <c r="AB145" s="33"/>
      <c r="AC145" s="33"/>
      <c r="AD145" s="33"/>
      <c r="AE145" s="33"/>
      <c r="AF145" s="33"/>
      <c r="AG145" s="33"/>
      <c r="AH145" s="33"/>
      <c r="AI145" s="47">
        <f ca="1">SUM(KH_26_OPT4_KTQT_v4[[#This Row],[SL-01]:[SL-12]])</f>
        <v>0</v>
      </c>
      <c r="AJ145" s="47">
        <f ca="1">SUMIFS(DB_25[SL-DB25],DB_25[Mã khách],KH_26_OPT4_KTQT_v4[[#This Row],[Mã khách]],DB_25[Mã sản phẩm],KH_26_OPT4_KTQT_v4[[#This Row],[Mã sản phẩm]])</f>
        <v>5.0000000000000001E-3</v>
      </c>
      <c r="AK145" s="20">
        <f ca="1">KH_26_OPT4_KTQT_v4[[#This Row],[SL-KH26]]-KH_26_OPT4_KTQT_v4[[#This Row],[SL-DB25]]</f>
        <v>-5.0000000000000001E-3</v>
      </c>
      <c r="AL145" s="21">
        <f ca="1">IFERROR(KH_26_OPT4_KTQT_v4[[#This Row],[SL-+/-]]/KH_26_OPT4_KTQT_v4[[#This Row],[SL-DB25]],0)</f>
        <v>-1</v>
      </c>
      <c r="AM145" s="51">
        <v>700</v>
      </c>
      <c r="AN145" s="51">
        <v>700</v>
      </c>
      <c r="AO145" s="51">
        <v>700</v>
      </c>
      <c r="AP145" s="51">
        <v>700</v>
      </c>
      <c r="AQ145" s="51">
        <v>700</v>
      </c>
      <c r="AR145" s="51">
        <v>700</v>
      </c>
      <c r="AS145" s="51">
        <v>700</v>
      </c>
      <c r="AT145" s="51">
        <v>700</v>
      </c>
      <c r="AU145" s="51">
        <v>700</v>
      </c>
      <c r="AV145" s="51">
        <v>700</v>
      </c>
      <c r="AW145" s="51">
        <v>700</v>
      </c>
      <c r="AX145" s="51">
        <v>700</v>
      </c>
      <c r="AY145" s="23">
        <v>700</v>
      </c>
      <c r="AZ145" s="7"/>
      <c r="BA145" s="24">
        <f>KH_26_OPT4_KTQT_v4[[#This Row],[GB-DB25]]-KH_26_OPT4_KTQT_v4[[#This Row],[GB-KH25]]</f>
        <v>700</v>
      </c>
      <c r="BB145" s="21">
        <f>IFERROR(KH_26_OPT4_KTQT_v4[[#This Row],[GB-+/-]]/KH_26_OPT4_KTQT_v4[[#This Row],[GB-KH25]],0)</f>
        <v>0</v>
      </c>
      <c r="BC145" s="21"/>
      <c r="BD145" s="47">
        <f>KH_26_OPT4_KTQT_v4[[#This Row],[SL-01]]*KH_26_OPT4_KTQT_v4[[#This Row],[GB-01]]*EXR</f>
        <v>0</v>
      </c>
      <c r="BE145" s="47">
        <f>KH_26_OPT4_KTQT_v4[[#This Row],[SL-02]]*KH_26_OPT4_KTQT_v4[[#This Row],[GB-02]]*EXR</f>
        <v>0</v>
      </c>
      <c r="BF145" s="47">
        <f>KH_26_OPT4_KTQT_v4[[#This Row],[SL-03]]*KH_26_OPT4_KTQT_v4[[#This Row],[GB-03]]*EXR</f>
        <v>0</v>
      </c>
      <c r="BG145" s="47">
        <f>KH_26_OPT4_KTQT_v4[[#This Row],[SL-04]]*KH_26_OPT4_KTQT_v4[[#This Row],[GB-04]]*EXR</f>
        <v>0</v>
      </c>
      <c r="BH145" s="47">
        <f>KH_26_OPT4_KTQT_v4[[#This Row],[SL-05]]*KH_26_OPT4_KTQT_v4[[#This Row],[GB-05]]*EXR</f>
        <v>0</v>
      </c>
      <c r="BI145" s="47">
        <f>KH_26_OPT4_KTQT_v4[[#This Row],[SL-06]]*KH_26_OPT4_KTQT_v4[[#This Row],[GB-06]]*EXR</f>
        <v>0</v>
      </c>
      <c r="BJ145" s="47">
        <f>KH_26_OPT4_KTQT_v4[[#This Row],[SL-07]]*KH_26_OPT4_KTQT_v4[[#This Row],[GB-07]]*EXR</f>
        <v>0</v>
      </c>
      <c r="BK145" s="47">
        <f>KH_26_OPT4_KTQT_v4[[#This Row],[SL-08]]*KH_26_OPT4_KTQT_v4[[#This Row],[GB-08]]*EXR</f>
        <v>0</v>
      </c>
      <c r="BL145" s="47">
        <f>KH_26_OPT4_KTQT_v4[[#This Row],[SL-09]]*KH_26_OPT4_KTQT_v4[[#This Row],[GB-09]]*EXR</f>
        <v>0</v>
      </c>
      <c r="BM145" s="47">
        <f>KH_26_OPT4_KTQT_v4[[#This Row],[SL-10]]*KH_26_OPT4_KTQT_v4[[#This Row],[GB-10]]*EXR</f>
        <v>0</v>
      </c>
      <c r="BN145" s="47">
        <f>KH_26_OPT4_KTQT_v4[[#This Row],[SL-11]]*KH_26_OPT4_KTQT_v4[[#This Row],[GB-11]]*EXR</f>
        <v>0</v>
      </c>
      <c r="BO145" s="47">
        <f>KH_26_OPT4_KTQT_v4[[#This Row],[SL-12]]*KH_26_OPT4_KTQT_v4[[#This Row],[GB-12]]*EXR</f>
        <v>0</v>
      </c>
      <c r="BP145" s="47">
        <f ca="1">SUM(KH_26_OPT4_KTQT_v4[[#This Row],[DT-EXW-01]:[DT-EXW-12]])</f>
        <v>0</v>
      </c>
      <c r="BQ145" s="47">
        <f ca="1">SUMIFS(DB_25[DT-DB25],DB_25[Mã khách],KH_26_OPT4_KTQT_v4[[#This Row],[Mã khách]],DB_25[Mã sản phẩm],KH_26_OPT4_KTQT_v4[[#This Row],[Mã sản phẩm]])</f>
        <v>105000</v>
      </c>
      <c r="BR145" s="47">
        <f ca="1">KH_26_OPT4_KTQT_v4[[#This Row],[DT-EXW-KH26]]-KH_26_OPT4_KTQT_v4[[#This Row],[DT-EXW-DB25]]</f>
        <v>-105000</v>
      </c>
      <c r="BS145" s="21">
        <f ca="1">IFERROR(KH_26_OPT4_KTQT_v4[[#This Row],[DT-EXW-+/-]]/KH_26_OPT4_KTQT_v4[[#This Row],[DT-EXW-DB25]],0)</f>
        <v>-1</v>
      </c>
      <c r="BT145" s="139"/>
      <c r="BU145" s="57"/>
      <c r="BV145" s="51"/>
      <c r="BW145" s="47">
        <f>IF(KH_26_OPT4_KTQT_v4[[#This Row],[CPHH-%-SL]]="Dthu",KH_26_OPT4_KTQT_v4[[#This Row],[%HH]]*KH_26_OPT4_KTQT_v4[[#This Row],[DT-EXW-01]],KH_26_OPT4_KTQT_v4[[#This Row],[HH-SL]]*KH_26_OPT4_KTQT_v4[[#This Row],[SL-01]])</f>
        <v>0</v>
      </c>
      <c r="BX145" s="47">
        <f>IF(KH_26_OPT4_KTQT_v4[[#This Row],[CPHH-%-SL]]="Dthu",KH_26_OPT4_KTQT_v4[[#This Row],[%HH]]*KH_26_OPT4_KTQT_v4[[#This Row],[DT-EXW-02]],KH_26_OPT4_KTQT_v4[[#This Row],[HH-SL]]*KH_26_OPT4_KTQT_v4[[#This Row],[SL-02]])</f>
        <v>0</v>
      </c>
      <c r="BY145" s="47">
        <f>IF(KH_26_OPT4_KTQT_v4[[#This Row],[CPHH-%-SL]]="Dthu",KH_26_OPT4_KTQT_v4[[#This Row],[%HH]]*KH_26_OPT4_KTQT_v4[[#This Row],[DT-EXW-03]],KH_26_OPT4_KTQT_v4[[#This Row],[HH-SL]]*KH_26_OPT4_KTQT_v4[[#This Row],[SL-03]])</f>
        <v>0</v>
      </c>
      <c r="BZ145" s="47">
        <f>IF(KH_26_OPT4_KTQT_v4[[#This Row],[CPHH-%-SL]]="Dthu",KH_26_OPT4_KTQT_v4[[#This Row],[%HH]]*KH_26_OPT4_KTQT_v4[[#This Row],[DT-EXW-04]],KH_26_OPT4_KTQT_v4[[#This Row],[HH-SL]]*KH_26_OPT4_KTQT_v4[[#This Row],[SL-04]])</f>
        <v>0</v>
      </c>
      <c r="CA145" s="47">
        <f>IF(KH_26_OPT4_KTQT_v4[[#This Row],[CPHH-%-SL]]="Dthu",KH_26_OPT4_KTQT_v4[[#This Row],[%HH]]*KH_26_OPT4_KTQT_v4[[#This Row],[DT-EXW-05]],KH_26_OPT4_KTQT_v4[[#This Row],[HH-SL]]*KH_26_OPT4_KTQT_v4[[#This Row],[SL-05]])</f>
        <v>0</v>
      </c>
      <c r="CB145" s="47">
        <f>IF(KH_26_OPT4_KTQT_v4[[#This Row],[CPHH-%-SL]]="Dthu",KH_26_OPT4_KTQT_v4[[#This Row],[%HH]]*KH_26_OPT4_KTQT_v4[[#This Row],[DT-EXW-06]],KH_26_OPT4_KTQT_v4[[#This Row],[HH-SL]]*KH_26_OPT4_KTQT_v4[[#This Row],[SL-06]])</f>
        <v>0</v>
      </c>
      <c r="CC145" s="47">
        <f>IF(KH_26_OPT4_KTQT_v4[[#This Row],[CPHH-%-SL]]="Dthu",KH_26_OPT4_KTQT_v4[[#This Row],[%HH]]*KH_26_OPT4_KTQT_v4[[#This Row],[DT-EXW-07]],KH_26_OPT4_KTQT_v4[[#This Row],[HH-SL]]*KH_26_OPT4_KTQT_v4[[#This Row],[SL-07]])</f>
        <v>0</v>
      </c>
      <c r="CD145" s="47">
        <f>IF(KH_26_OPT4_KTQT_v4[[#This Row],[CPHH-%-SL]]="Dthu",KH_26_OPT4_KTQT_v4[[#This Row],[%HH]]*KH_26_OPT4_KTQT_v4[[#This Row],[DT-EXW-08]],KH_26_OPT4_KTQT_v4[[#This Row],[HH-SL]]*KH_26_OPT4_KTQT_v4[[#This Row],[SL-08]])</f>
        <v>0</v>
      </c>
      <c r="CE145" s="47">
        <f>IF(KH_26_OPT4_KTQT_v4[[#This Row],[CPHH-%-SL]]="Dthu",KH_26_OPT4_KTQT_v4[[#This Row],[%HH]]*KH_26_OPT4_KTQT_v4[[#This Row],[DT-EXW-09]],KH_26_OPT4_KTQT_v4[[#This Row],[HH-SL]]*KH_26_OPT4_KTQT_v4[[#This Row],[SL-09]])</f>
        <v>0</v>
      </c>
      <c r="CF145" s="47">
        <f>IF(KH_26_OPT4_KTQT_v4[[#This Row],[CPHH-%-SL]]="Dthu",KH_26_OPT4_KTQT_v4[[#This Row],[%HH]]*KH_26_OPT4_KTQT_v4[[#This Row],[DT-EXW-10]],KH_26_OPT4_KTQT_v4[[#This Row],[HH-SL]]*KH_26_OPT4_KTQT_v4[[#This Row],[SL-10]])</f>
        <v>0</v>
      </c>
      <c r="CG145" s="47">
        <f>IF(KH_26_OPT4_KTQT_v4[[#This Row],[CPHH-%-SL]]="Dthu",KH_26_OPT4_KTQT_v4[[#This Row],[%HH]]*KH_26_OPT4_KTQT_v4[[#This Row],[DT-EXW-11]],KH_26_OPT4_KTQT_v4[[#This Row],[HH-SL]]*KH_26_OPT4_KTQT_v4[[#This Row],[SL-11]])</f>
        <v>0</v>
      </c>
      <c r="CH145" s="47">
        <f>IF(KH_26_OPT4_KTQT_v4[[#This Row],[CPHH-%-SL]]="Dthu",KH_26_OPT4_KTQT_v4[[#This Row],[%HH]]*KH_26_OPT4_KTQT_v4[[#This Row],[DT-EXW-12]],KH_26_OPT4_KTQT_v4[[#This Row],[HH-SL]]*KH_26_OPT4_KTQT_v4[[#This Row],[SL-12]])</f>
        <v>0</v>
      </c>
      <c r="CI145" s="47">
        <f ca="1">SUM(KH_26_OPT4_KTQT_v4[[#This Row],[CPHH-01]:[CPHH-12]])</f>
        <v>0</v>
      </c>
      <c r="CJ145" s="47" cm="1">
        <f t="array" ref="CJ145">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45" s="19">
        <f ca="1">SUM(KH_26_OPT4_KTQT_v4[[#This Row],[ĐGVCNĐ-KXK]:[ĐGVCCT-KXK]])</f>
        <v>0</v>
      </c>
      <c r="CL145" s="47" cm="1">
        <f t="array" ref="CL145">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145" s="47" cm="1">
        <f t="array" ref="CM145">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45" s="47">
        <f ca="1">(KH_26_OPT4_KTQT_v4[[#This Row],[ĐGVC-KNĐ]]+KH_26_OPT4_KTQT_v4[[#This Row],[ĐGVC-KXK]])*KH_26_OPT4_KTQT_v4[[#This Row],[SL-01]]</f>
        <v>0</v>
      </c>
      <c r="CO145" s="47">
        <f ca="1">(KH_26_OPT4_KTQT_v4[[#This Row],[ĐGVC-KNĐ]]+KH_26_OPT4_KTQT_v4[[#This Row],[ĐGVC-KXK]])*KH_26_OPT4_KTQT_v4[[#This Row],[SL-02]]</f>
        <v>0</v>
      </c>
      <c r="CP145" s="47">
        <f ca="1">(KH_26_OPT4_KTQT_v4[[#This Row],[ĐGVC-KNĐ]]+KH_26_OPT4_KTQT_v4[[#This Row],[ĐGVC-KXK]])*KH_26_OPT4_KTQT_v4[[#This Row],[SL-03]]</f>
        <v>0</v>
      </c>
      <c r="CQ145" s="47">
        <f ca="1">(KH_26_OPT4_KTQT_v4[[#This Row],[ĐGVC-KNĐ]]+KH_26_OPT4_KTQT_v4[[#This Row],[ĐGVC-KXK]])*KH_26_OPT4_KTQT_v4[[#This Row],[SL-04]]</f>
        <v>0</v>
      </c>
      <c r="CR145" s="47">
        <f ca="1">(KH_26_OPT4_KTQT_v4[[#This Row],[ĐGVC-KNĐ]]+KH_26_OPT4_KTQT_v4[[#This Row],[ĐGVC-KXK]])*KH_26_OPT4_KTQT_v4[[#This Row],[SL-05]]</f>
        <v>0</v>
      </c>
      <c r="CS145" s="47">
        <f ca="1">(KH_26_OPT4_KTQT_v4[[#This Row],[ĐGVC-KNĐ]]+KH_26_OPT4_KTQT_v4[[#This Row],[ĐGVC-KXK]])*KH_26_OPT4_KTQT_v4[[#This Row],[SL-06]]</f>
        <v>0</v>
      </c>
      <c r="CT145" s="47">
        <f ca="1">(KH_26_OPT4_KTQT_v4[[#This Row],[ĐGVC-KNĐ]]+KH_26_OPT4_KTQT_v4[[#This Row],[ĐGVC-KXK]])*KH_26_OPT4_KTQT_v4[[#This Row],[SL-07]]</f>
        <v>0</v>
      </c>
      <c r="CU145" s="47">
        <f ca="1">(KH_26_OPT4_KTQT_v4[[#This Row],[ĐGVC-KNĐ]]+KH_26_OPT4_KTQT_v4[[#This Row],[ĐGVC-KXK]])*KH_26_OPT4_KTQT_v4[[#This Row],[SL-08]]</f>
        <v>0</v>
      </c>
      <c r="CV145" s="47">
        <f ca="1">(KH_26_OPT4_KTQT_v4[[#This Row],[ĐGVC-KNĐ]]+KH_26_OPT4_KTQT_v4[[#This Row],[ĐGVC-KXK]])*KH_26_OPT4_KTQT_v4[[#This Row],[SL-09]]</f>
        <v>0</v>
      </c>
      <c r="CW145" s="47">
        <f ca="1">(KH_26_OPT4_KTQT_v4[[#This Row],[ĐGVC-KNĐ]]+KH_26_OPT4_KTQT_v4[[#This Row],[ĐGVC-KXK]])*KH_26_OPT4_KTQT_v4[[#This Row],[SL-10]]</f>
        <v>0</v>
      </c>
      <c r="CX145" s="47">
        <f ca="1">(KH_26_OPT4_KTQT_v4[[#This Row],[ĐGVC-KNĐ]]+KH_26_OPT4_KTQT_v4[[#This Row],[ĐGVC-KXK]])*KH_26_OPT4_KTQT_v4[[#This Row],[SL-11]]</f>
        <v>0</v>
      </c>
      <c r="CY145" s="47">
        <f ca="1">(KH_26_OPT4_KTQT_v4[[#This Row],[ĐGVC-KNĐ]]+KH_26_OPT4_KTQT_v4[[#This Row],[ĐGVC-KXK]])*KH_26_OPT4_KTQT_v4[[#This Row],[SL-12]]</f>
        <v>0</v>
      </c>
      <c r="CZ145" s="47">
        <f ca="1">SUM(KH_26_OPT4_KTQT_v4[[#This Row],[CPVC-01]:[CPVC-12]])</f>
        <v>0</v>
      </c>
      <c r="DA145" s="124">
        <f ca="1">KH_26_OPT4_KTQT_v4[[#This Row],[DT-EXW-01]]+KH_26_OPT4_KTQT_v4[[#This Row],[CPVC-01]]+KH_26_OPT4_KTQT_v4[[#This Row],[CPHH-01]]</f>
        <v>0</v>
      </c>
      <c r="DB145" s="47">
        <f ca="1">KH_26_OPT4_KTQT_v4[[#This Row],[DT-EXW-02]]+KH_26_OPT4_KTQT_v4[[#This Row],[CPVC-02]]+KH_26_OPT4_KTQT_v4[[#This Row],[CPHH-02]]</f>
        <v>0</v>
      </c>
      <c r="DC145" s="47">
        <f ca="1">KH_26_OPT4_KTQT_v4[[#This Row],[DT-EXW-03]]+KH_26_OPT4_KTQT_v4[[#This Row],[CPVC-03]]+KH_26_OPT4_KTQT_v4[[#This Row],[CPHH-03]]</f>
        <v>0</v>
      </c>
      <c r="DD145" s="47">
        <f ca="1">KH_26_OPT4_KTQT_v4[[#This Row],[DT-EXW-04]]+KH_26_OPT4_KTQT_v4[[#This Row],[CPVC-04]]+KH_26_OPT4_KTQT_v4[[#This Row],[CPHH-04]]</f>
        <v>0</v>
      </c>
      <c r="DE145" s="47">
        <f ca="1">KH_26_OPT4_KTQT_v4[[#This Row],[DT-EXW-05]]+KH_26_OPT4_KTQT_v4[[#This Row],[CPVC-05]]+KH_26_OPT4_KTQT_v4[[#This Row],[CPHH-05]]</f>
        <v>0</v>
      </c>
      <c r="DF145" s="47">
        <f ca="1">KH_26_OPT4_KTQT_v4[[#This Row],[DT-EXW-06]]+KH_26_OPT4_KTQT_v4[[#This Row],[CPVC-06]]+KH_26_OPT4_KTQT_v4[[#This Row],[CPHH-06]]</f>
        <v>0</v>
      </c>
      <c r="DG145" s="47">
        <f ca="1">KH_26_OPT4_KTQT_v4[[#This Row],[DT-EXW-07]]+KH_26_OPT4_KTQT_v4[[#This Row],[CPVC-07]]+KH_26_OPT4_KTQT_v4[[#This Row],[CPHH-07]]</f>
        <v>0</v>
      </c>
      <c r="DH145" s="47">
        <f ca="1">KH_26_OPT4_KTQT_v4[[#This Row],[DT-EXW-08]]+KH_26_OPT4_KTQT_v4[[#This Row],[CPVC-08]]+KH_26_OPT4_KTQT_v4[[#This Row],[CPHH-08]]</f>
        <v>0</v>
      </c>
      <c r="DI145" s="47">
        <f ca="1">KH_26_OPT4_KTQT_v4[[#This Row],[DT-EXW-09]]+KH_26_OPT4_KTQT_v4[[#This Row],[CPVC-09]]+KH_26_OPT4_KTQT_v4[[#This Row],[CPHH-09]]</f>
        <v>0</v>
      </c>
      <c r="DJ145" s="47">
        <f ca="1">KH_26_OPT4_KTQT_v4[[#This Row],[DT-EXW-10]]+KH_26_OPT4_KTQT_v4[[#This Row],[CPVC-10]]+KH_26_OPT4_KTQT_v4[[#This Row],[CPHH-10]]</f>
        <v>0</v>
      </c>
      <c r="DK145" s="47">
        <f ca="1">KH_26_OPT4_KTQT_v4[[#This Row],[DT-EXW-11]]+KH_26_OPT4_KTQT_v4[[#This Row],[CPVC-11]]+KH_26_OPT4_KTQT_v4[[#This Row],[CPHH-11]]</f>
        <v>0</v>
      </c>
      <c r="DL145" s="47">
        <f ca="1">KH_26_OPT4_KTQT_v4[[#This Row],[DT-EXW-12]]+KH_26_OPT4_KTQT_v4[[#This Row],[CPVC-12]]+KH_26_OPT4_KTQT_v4[[#This Row],[CPHH-12]]</f>
        <v>0</v>
      </c>
      <c r="DM145" s="47">
        <f ca="1">SUM(KH_26_OPT4_KTQT_v4[[#This Row],[DT-01]:[DT-12]])</f>
        <v>0</v>
      </c>
      <c r="DN145" s="7"/>
      <c r="DO145" s="7"/>
      <c r="DP145" s="125"/>
      <c r="DQ145" s="136"/>
      <c r="DR145" s="132">
        <f>IFERROR(KH_26_OPT4_KTQT_v4[[#This Row],[DT-EXW-01]]*KH_26_OPT4_KTQT_v4[[#This Row],[%CPDP]],0)</f>
        <v>0</v>
      </c>
      <c r="DS145" s="132">
        <f>IFERROR(KH_26_OPT4_KTQT_v4[[#This Row],[DT-EXW-02]]*KH_26_OPT4_KTQT_v4[[#This Row],[%CPDP]],0)</f>
        <v>0</v>
      </c>
      <c r="DT145" s="132">
        <f>IFERROR(KH_26_OPT4_KTQT_v4[[#This Row],[DT-EXW-03]]*KH_26_OPT4_KTQT_v4[[#This Row],[%CPDP]],0)</f>
        <v>0</v>
      </c>
      <c r="DU145" s="132">
        <f>IFERROR(KH_26_OPT4_KTQT_v4[[#This Row],[DT-EXW-04]]*KH_26_OPT4_KTQT_v4[[#This Row],[%CPDP]],0)</f>
        <v>0</v>
      </c>
      <c r="DV145" s="132">
        <f>IFERROR(KH_26_OPT4_KTQT_v4[[#This Row],[DT-EXW-05]]*KH_26_OPT4_KTQT_v4[[#This Row],[%CPDP]],0)</f>
        <v>0</v>
      </c>
      <c r="DW145" s="132">
        <f>IFERROR(KH_26_OPT4_KTQT_v4[[#This Row],[DT-EXW-06]]*KH_26_OPT4_KTQT_v4[[#This Row],[%CPDP]],0)</f>
        <v>0</v>
      </c>
      <c r="DX145" s="132">
        <f>IFERROR(KH_26_OPT4_KTQT_v4[[#This Row],[DT-EXW-07]]*KH_26_OPT4_KTQT_v4[[#This Row],[%CPDP]],0)</f>
        <v>0</v>
      </c>
      <c r="DY145" s="132">
        <f>IFERROR(KH_26_OPT4_KTQT_v4[[#This Row],[DT-EXW-08]]*KH_26_OPT4_KTQT_v4[[#This Row],[%CPDP]],0)</f>
        <v>0</v>
      </c>
      <c r="DZ145" s="132">
        <f>IFERROR(KH_26_OPT4_KTQT_v4[[#This Row],[DT-EXW-09]]*KH_26_OPT4_KTQT_v4[[#This Row],[%CPDP]],0)</f>
        <v>0</v>
      </c>
      <c r="EA145" s="132">
        <f>IFERROR(KH_26_OPT4_KTQT_v4[[#This Row],[DT-EXW-10]]*KH_26_OPT4_KTQT_v4[[#This Row],[%CPDP]],0)</f>
        <v>0</v>
      </c>
      <c r="EB145" s="132">
        <f>IFERROR(KH_26_OPT4_KTQT_v4[[#This Row],[DT-EXW-11]]*KH_26_OPT4_KTQT_v4[[#This Row],[%CPDP]],0)</f>
        <v>0</v>
      </c>
      <c r="EC145" s="132">
        <f>IFERROR(KH_26_OPT4_KTQT_v4[[#This Row],[DT-EXW-12]]*KH_26_OPT4_KTQT_v4[[#This Row],[%CPDP]],0)</f>
        <v>0</v>
      </c>
      <c r="ED145" s="131">
        <f ca="1">SUM(KH_26_OPT4_KTQT_v4[[#This Row],[CPDP-01]:[CPDP-12]])</f>
        <v>0</v>
      </c>
    </row>
    <row r="146" spans="1:134" ht="14.65" hidden="1" customHeight="1" x14ac:dyDescent="0.35">
      <c r="A146" s="18">
        <v>141</v>
      </c>
      <c r="B146" s="71" t="s">
        <v>115</v>
      </c>
      <c r="C146" s="18" t="str">
        <f>IFERROR(_xlfn.XLOOKUP(KH_26_OPT4_KTQT_v4[[#This Row],[Salesman]],MD_Salesman[Salesman],MD_Salesman[SalesManager]),"")</f>
        <v>Quốc Anh</v>
      </c>
      <c r="D146" s="72" t="str">
        <f>IFERROR(INDEX(MD_Customer[Mã khách],MATCH(KH_26_OPT4_KTQT_v4[[#This Row],[Tên khách]],MD_Customer[Tên khách-rút gọn],0)),"")</f>
        <v>105327</v>
      </c>
      <c r="E146" s="7" t="str">
        <f>IFERROR(INDEX(MD_Customer[Parent Account],MATCH(KH_26_OPT4_KTQT_v4[[#This Row],[Tên khách]],MD_Customer[Tên khách-rút gọn],0)),"")</f>
        <v>MEGA</v>
      </c>
      <c r="F146" s="35" t="s">
        <v>72</v>
      </c>
      <c r="G146" s="7" t="str">
        <f>IFERROR(INDEX(MD_Customer[Phân loại],MATCH(KH_26_OPT4_KTQT_v4[[#This Row],[Tên khách]],MD_Customer[Tên khách-rút gọn],0)),"")</f>
        <v>Mới</v>
      </c>
      <c r="H146" s="7" t="str">
        <f>IFERROR(INDEX(MD_Customer[Kênh bán hàng],MATCH(KH_26_OPT4_KTQT_v4[[#This Row],[Tên khách]],MD_Customer[Tên khách-rút gọn],0)),"")</f>
        <v>Nội địa</v>
      </c>
      <c r="I146" s="35" t="s">
        <v>261</v>
      </c>
      <c r="J146" s="7" t="str">
        <f>IFERROR(INDEX(MD_Destination[Nước],MATCH(KH_26_OPT4_KTQT_v4[[#This Row],[Địa điểm đến]],MD_Destination[Địa điểm đến],0)),"")</f>
        <v>Việt Nam</v>
      </c>
      <c r="K146" s="7" t="str">
        <f>IFERROR(INDEX(MD_Destination[Khu vực],MATCH(KH_26_OPT4_KTQT_v4[[#This Row],[Địa điểm đến]],MD_Destination[Địa điểm đến],0)),"")</f>
        <v>Châu Á</v>
      </c>
      <c r="L146" s="35" t="s">
        <v>260</v>
      </c>
      <c r="M146" s="7" t="str">
        <f>IFERROR(INDEX(MD_SKU[Mã SKU],MATCH(KH_26_OPT4_KTQT_v4[[#This Row],[Tên sản phẩm]],MD_SKU[Tên SKU-rút gọn],0)),"")</f>
        <v>110000435</v>
      </c>
      <c r="N146" s="35" t="s">
        <v>489</v>
      </c>
      <c r="O146" s="7" t="str">
        <f>IFERROR(INDEX(MD_SKU[Ngành hàng],MATCH(KH_26_OPT4_KTQT_v4[[#This Row],[Tên sản phẩm]],MD_SKU[Tên SKU-rút gọn],0)),"")</f>
        <v>rPP</v>
      </c>
      <c r="P146" s="7" t="str">
        <f>IFERROR(INDEX(MD_SKU[Nhóm ngành],MATCH(KH_26_OPT4_KTQT_v4[[#This Row],[Tên sản phẩm]],MD_SKU[Tên SKU-rút gọn],0)),"")</f>
        <v>Hạt PP</v>
      </c>
      <c r="Q146" s="7" t="str">
        <f>IFERROR(
   IF(INDEX(MD_SKU[IV/IM],MATCH(KH_26_OPT4_KTQT_v4[[#This Row],[Tên sản phẩm]],MD_SKU[Tên SKU-rút gọn],0))=0,
      "",
      INDEX(MD_SKU[IV/IM],MATCH(KH_26_OPT4_KTQT_v4[[#This Row],[Tên sản phẩm]],MD_SKU[Tên SKU-rút gọn],0))
   ),
"")</f>
        <v/>
      </c>
      <c r="R146" s="44">
        <f>IFERROR(INDEX(MD_SKU[Application],MATCH(KH_26_OPT4_KTQT_v4[[#This Row],[Tên sản phẩm]],MD_SKU[Tên SKU-rút gọn],0)),"")</f>
        <v>0</v>
      </c>
      <c r="S146" s="7" t="str">
        <f>IFERROR(INDEX(MD_SKU[Phân loại],MATCH(KH_26_OPT4_KTQT_v4[[#This Row],[Tên sản phẩm]],MD_SKU[Tên SKU-rút gọn],0)),"")</f>
        <v>Cũ</v>
      </c>
      <c r="T146" s="7"/>
      <c r="U146" s="7"/>
      <c r="V146" s="70">
        <v>0.8</v>
      </c>
      <c r="W146" s="33"/>
      <c r="X146" s="33"/>
      <c r="Y146" s="33"/>
      <c r="Z146" s="33"/>
      <c r="AA146" s="33"/>
      <c r="AB146" s="33"/>
      <c r="AC146" s="33"/>
      <c r="AD146" s="33"/>
      <c r="AE146" s="33"/>
      <c r="AF146" s="33"/>
      <c r="AG146" s="33"/>
      <c r="AH146" s="33"/>
      <c r="AI146" s="47">
        <f ca="1">SUM(KH_26_OPT4_KTQT_v4[[#This Row],[SL-01]:[SL-12]])</f>
        <v>0</v>
      </c>
      <c r="AJ146" s="47">
        <f ca="1">SUMIFS(DB_25[SL-DB25],DB_25[Mã khách],KH_26_OPT4_KTQT_v4[[#This Row],[Mã khách]],DB_25[Mã sản phẩm],KH_26_OPT4_KTQT_v4[[#This Row],[Mã sản phẩm]])</f>
        <v>5.0000000000000001E-3</v>
      </c>
      <c r="AK146" s="20">
        <f ca="1">KH_26_OPT4_KTQT_v4[[#This Row],[SL-KH26]]-KH_26_OPT4_KTQT_v4[[#This Row],[SL-DB25]]</f>
        <v>-5.0000000000000001E-3</v>
      </c>
      <c r="AL146" s="21">
        <f ca="1">IFERROR(KH_26_OPT4_KTQT_v4[[#This Row],[SL-+/-]]/KH_26_OPT4_KTQT_v4[[#This Row],[SL-DB25]],0)</f>
        <v>-1</v>
      </c>
      <c r="AM146" s="51">
        <v>700</v>
      </c>
      <c r="AN146" s="51">
        <v>700</v>
      </c>
      <c r="AO146" s="51">
        <v>700</v>
      </c>
      <c r="AP146" s="51">
        <v>700</v>
      </c>
      <c r="AQ146" s="51">
        <v>700</v>
      </c>
      <c r="AR146" s="51">
        <v>700</v>
      </c>
      <c r="AS146" s="51">
        <v>700</v>
      </c>
      <c r="AT146" s="51">
        <v>700</v>
      </c>
      <c r="AU146" s="51">
        <v>700</v>
      </c>
      <c r="AV146" s="51">
        <v>700</v>
      </c>
      <c r="AW146" s="51">
        <v>700</v>
      </c>
      <c r="AX146" s="51">
        <v>700</v>
      </c>
      <c r="AY146" s="23">
        <v>700</v>
      </c>
      <c r="AZ146" s="7"/>
      <c r="BA146" s="24">
        <f>KH_26_OPT4_KTQT_v4[[#This Row],[GB-DB25]]-KH_26_OPT4_KTQT_v4[[#This Row],[GB-KH25]]</f>
        <v>700</v>
      </c>
      <c r="BB146" s="21">
        <f>IFERROR(KH_26_OPT4_KTQT_v4[[#This Row],[GB-+/-]]/KH_26_OPT4_KTQT_v4[[#This Row],[GB-KH25]],0)</f>
        <v>0</v>
      </c>
      <c r="BC146" s="21"/>
      <c r="BD146" s="47">
        <f>KH_26_OPT4_KTQT_v4[[#This Row],[SL-01]]*KH_26_OPT4_KTQT_v4[[#This Row],[GB-01]]*EXR</f>
        <v>0</v>
      </c>
      <c r="BE146" s="47">
        <f>KH_26_OPT4_KTQT_v4[[#This Row],[SL-02]]*KH_26_OPT4_KTQT_v4[[#This Row],[GB-02]]*EXR</f>
        <v>0</v>
      </c>
      <c r="BF146" s="47">
        <f>KH_26_OPT4_KTQT_v4[[#This Row],[SL-03]]*KH_26_OPT4_KTQT_v4[[#This Row],[GB-03]]*EXR</f>
        <v>0</v>
      </c>
      <c r="BG146" s="47">
        <f>KH_26_OPT4_KTQT_v4[[#This Row],[SL-04]]*KH_26_OPT4_KTQT_v4[[#This Row],[GB-04]]*EXR</f>
        <v>0</v>
      </c>
      <c r="BH146" s="47">
        <f>KH_26_OPT4_KTQT_v4[[#This Row],[SL-05]]*KH_26_OPT4_KTQT_v4[[#This Row],[GB-05]]*EXR</f>
        <v>0</v>
      </c>
      <c r="BI146" s="47">
        <f>KH_26_OPT4_KTQT_v4[[#This Row],[SL-06]]*KH_26_OPT4_KTQT_v4[[#This Row],[GB-06]]*EXR</f>
        <v>0</v>
      </c>
      <c r="BJ146" s="47">
        <f>KH_26_OPT4_KTQT_v4[[#This Row],[SL-07]]*KH_26_OPT4_KTQT_v4[[#This Row],[GB-07]]*EXR</f>
        <v>0</v>
      </c>
      <c r="BK146" s="47">
        <f>KH_26_OPT4_KTQT_v4[[#This Row],[SL-08]]*KH_26_OPT4_KTQT_v4[[#This Row],[GB-08]]*EXR</f>
        <v>0</v>
      </c>
      <c r="BL146" s="47">
        <f>KH_26_OPT4_KTQT_v4[[#This Row],[SL-09]]*KH_26_OPT4_KTQT_v4[[#This Row],[GB-09]]*EXR</f>
        <v>0</v>
      </c>
      <c r="BM146" s="47">
        <f>KH_26_OPT4_KTQT_v4[[#This Row],[SL-10]]*KH_26_OPT4_KTQT_v4[[#This Row],[GB-10]]*EXR</f>
        <v>0</v>
      </c>
      <c r="BN146" s="47">
        <f>KH_26_OPT4_KTQT_v4[[#This Row],[SL-11]]*KH_26_OPT4_KTQT_v4[[#This Row],[GB-11]]*EXR</f>
        <v>0</v>
      </c>
      <c r="BO146" s="47">
        <f>KH_26_OPT4_KTQT_v4[[#This Row],[SL-12]]*KH_26_OPT4_KTQT_v4[[#This Row],[GB-12]]*EXR</f>
        <v>0</v>
      </c>
      <c r="BP146" s="47">
        <f ca="1">SUM(KH_26_OPT4_KTQT_v4[[#This Row],[DT-EXW-01]:[DT-EXW-12]])</f>
        <v>0</v>
      </c>
      <c r="BQ146" s="47">
        <f ca="1">SUMIFS(DB_25[DT-DB25],DB_25[Mã khách],KH_26_OPT4_KTQT_v4[[#This Row],[Mã khách]],DB_25[Mã sản phẩm],KH_26_OPT4_KTQT_v4[[#This Row],[Mã sản phẩm]])</f>
        <v>105000</v>
      </c>
      <c r="BR146" s="47">
        <f ca="1">KH_26_OPT4_KTQT_v4[[#This Row],[DT-EXW-KH26]]-KH_26_OPT4_KTQT_v4[[#This Row],[DT-EXW-DB25]]</f>
        <v>-105000</v>
      </c>
      <c r="BS146" s="21">
        <f ca="1">IFERROR(KH_26_OPT4_KTQT_v4[[#This Row],[DT-EXW-+/-]]/KH_26_OPT4_KTQT_v4[[#This Row],[DT-EXW-DB25]],0)</f>
        <v>-1</v>
      </c>
      <c r="BT146" s="139"/>
      <c r="BU146" s="57"/>
      <c r="BV146" s="51"/>
      <c r="BW146" s="47">
        <f>IF(KH_26_OPT4_KTQT_v4[[#This Row],[CPHH-%-SL]]="Dthu",KH_26_OPT4_KTQT_v4[[#This Row],[%HH]]*KH_26_OPT4_KTQT_v4[[#This Row],[DT-EXW-01]],KH_26_OPT4_KTQT_v4[[#This Row],[HH-SL]]*KH_26_OPT4_KTQT_v4[[#This Row],[SL-01]])</f>
        <v>0</v>
      </c>
      <c r="BX146" s="47">
        <f>IF(KH_26_OPT4_KTQT_v4[[#This Row],[CPHH-%-SL]]="Dthu",KH_26_OPT4_KTQT_v4[[#This Row],[%HH]]*KH_26_OPT4_KTQT_v4[[#This Row],[DT-EXW-02]],KH_26_OPT4_KTQT_v4[[#This Row],[HH-SL]]*KH_26_OPT4_KTQT_v4[[#This Row],[SL-02]])</f>
        <v>0</v>
      </c>
      <c r="BY146" s="47">
        <f>IF(KH_26_OPT4_KTQT_v4[[#This Row],[CPHH-%-SL]]="Dthu",KH_26_OPT4_KTQT_v4[[#This Row],[%HH]]*KH_26_OPT4_KTQT_v4[[#This Row],[DT-EXW-03]],KH_26_OPT4_KTQT_v4[[#This Row],[HH-SL]]*KH_26_OPT4_KTQT_v4[[#This Row],[SL-03]])</f>
        <v>0</v>
      </c>
      <c r="BZ146" s="47">
        <f>IF(KH_26_OPT4_KTQT_v4[[#This Row],[CPHH-%-SL]]="Dthu",KH_26_OPT4_KTQT_v4[[#This Row],[%HH]]*KH_26_OPT4_KTQT_v4[[#This Row],[DT-EXW-04]],KH_26_OPT4_KTQT_v4[[#This Row],[HH-SL]]*KH_26_OPT4_KTQT_v4[[#This Row],[SL-04]])</f>
        <v>0</v>
      </c>
      <c r="CA146" s="47">
        <f>IF(KH_26_OPT4_KTQT_v4[[#This Row],[CPHH-%-SL]]="Dthu",KH_26_OPT4_KTQT_v4[[#This Row],[%HH]]*KH_26_OPT4_KTQT_v4[[#This Row],[DT-EXW-05]],KH_26_OPT4_KTQT_v4[[#This Row],[HH-SL]]*KH_26_OPT4_KTQT_v4[[#This Row],[SL-05]])</f>
        <v>0</v>
      </c>
      <c r="CB146" s="47">
        <f>IF(KH_26_OPT4_KTQT_v4[[#This Row],[CPHH-%-SL]]="Dthu",KH_26_OPT4_KTQT_v4[[#This Row],[%HH]]*KH_26_OPT4_KTQT_v4[[#This Row],[DT-EXW-06]],KH_26_OPT4_KTQT_v4[[#This Row],[HH-SL]]*KH_26_OPT4_KTQT_v4[[#This Row],[SL-06]])</f>
        <v>0</v>
      </c>
      <c r="CC146" s="47">
        <f>IF(KH_26_OPT4_KTQT_v4[[#This Row],[CPHH-%-SL]]="Dthu",KH_26_OPT4_KTQT_v4[[#This Row],[%HH]]*KH_26_OPT4_KTQT_v4[[#This Row],[DT-EXW-07]],KH_26_OPT4_KTQT_v4[[#This Row],[HH-SL]]*KH_26_OPT4_KTQT_v4[[#This Row],[SL-07]])</f>
        <v>0</v>
      </c>
      <c r="CD146" s="47">
        <f>IF(KH_26_OPT4_KTQT_v4[[#This Row],[CPHH-%-SL]]="Dthu",KH_26_OPT4_KTQT_v4[[#This Row],[%HH]]*KH_26_OPT4_KTQT_v4[[#This Row],[DT-EXW-08]],KH_26_OPT4_KTQT_v4[[#This Row],[HH-SL]]*KH_26_OPT4_KTQT_v4[[#This Row],[SL-08]])</f>
        <v>0</v>
      </c>
      <c r="CE146" s="47">
        <f>IF(KH_26_OPT4_KTQT_v4[[#This Row],[CPHH-%-SL]]="Dthu",KH_26_OPT4_KTQT_v4[[#This Row],[%HH]]*KH_26_OPT4_KTQT_v4[[#This Row],[DT-EXW-09]],KH_26_OPT4_KTQT_v4[[#This Row],[HH-SL]]*KH_26_OPT4_KTQT_v4[[#This Row],[SL-09]])</f>
        <v>0</v>
      </c>
      <c r="CF146" s="47">
        <f>IF(KH_26_OPT4_KTQT_v4[[#This Row],[CPHH-%-SL]]="Dthu",KH_26_OPT4_KTQT_v4[[#This Row],[%HH]]*KH_26_OPT4_KTQT_v4[[#This Row],[DT-EXW-10]],KH_26_OPT4_KTQT_v4[[#This Row],[HH-SL]]*KH_26_OPT4_KTQT_v4[[#This Row],[SL-10]])</f>
        <v>0</v>
      </c>
      <c r="CG146" s="47">
        <f>IF(KH_26_OPT4_KTQT_v4[[#This Row],[CPHH-%-SL]]="Dthu",KH_26_OPT4_KTQT_v4[[#This Row],[%HH]]*KH_26_OPT4_KTQT_v4[[#This Row],[DT-EXW-11]],KH_26_OPT4_KTQT_v4[[#This Row],[HH-SL]]*KH_26_OPT4_KTQT_v4[[#This Row],[SL-11]])</f>
        <v>0</v>
      </c>
      <c r="CH146" s="47">
        <f>IF(KH_26_OPT4_KTQT_v4[[#This Row],[CPHH-%-SL]]="Dthu",KH_26_OPT4_KTQT_v4[[#This Row],[%HH]]*KH_26_OPT4_KTQT_v4[[#This Row],[DT-EXW-12]],KH_26_OPT4_KTQT_v4[[#This Row],[HH-SL]]*KH_26_OPT4_KTQT_v4[[#This Row],[SL-12]])</f>
        <v>0</v>
      </c>
      <c r="CI146" s="47">
        <f ca="1">SUM(KH_26_OPT4_KTQT_v4[[#This Row],[CPHH-01]:[CPHH-12]])</f>
        <v>0</v>
      </c>
      <c r="CJ146" s="47" cm="1">
        <f t="array" ref="CJ146">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46" s="19">
        <f ca="1">SUM(KH_26_OPT4_KTQT_v4[[#This Row],[ĐGVCNĐ-KXK]:[ĐGVCCT-KXK]])</f>
        <v>0</v>
      </c>
      <c r="CL146" s="47" cm="1">
        <f t="array" ref="CL146">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146" s="47" cm="1">
        <f t="array" ref="CM146">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46" s="47">
        <f ca="1">(KH_26_OPT4_KTQT_v4[[#This Row],[ĐGVC-KNĐ]]+KH_26_OPT4_KTQT_v4[[#This Row],[ĐGVC-KXK]])*KH_26_OPT4_KTQT_v4[[#This Row],[SL-01]]</f>
        <v>0</v>
      </c>
      <c r="CO146" s="47">
        <f ca="1">(KH_26_OPT4_KTQT_v4[[#This Row],[ĐGVC-KNĐ]]+KH_26_OPT4_KTQT_v4[[#This Row],[ĐGVC-KXK]])*KH_26_OPT4_KTQT_v4[[#This Row],[SL-02]]</f>
        <v>0</v>
      </c>
      <c r="CP146" s="47">
        <f ca="1">(KH_26_OPT4_KTQT_v4[[#This Row],[ĐGVC-KNĐ]]+KH_26_OPT4_KTQT_v4[[#This Row],[ĐGVC-KXK]])*KH_26_OPT4_KTQT_v4[[#This Row],[SL-03]]</f>
        <v>0</v>
      </c>
      <c r="CQ146" s="47">
        <f ca="1">(KH_26_OPT4_KTQT_v4[[#This Row],[ĐGVC-KNĐ]]+KH_26_OPT4_KTQT_v4[[#This Row],[ĐGVC-KXK]])*KH_26_OPT4_KTQT_v4[[#This Row],[SL-04]]</f>
        <v>0</v>
      </c>
      <c r="CR146" s="47">
        <f ca="1">(KH_26_OPT4_KTQT_v4[[#This Row],[ĐGVC-KNĐ]]+KH_26_OPT4_KTQT_v4[[#This Row],[ĐGVC-KXK]])*KH_26_OPT4_KTQT_v4[[#This Row],[SL-05]]</f>
        <v>0</v>
      </c>
      <c r="CS146" s="47">
        <f ca="1">(KH_26_OPT4_KTQT_v4[[#This Row],[ĐGVC-KNĐ]]+KH_26_OPT4_KTQT_v4[[#This Row],[ĐGVC-KXK]])*KH_26_OPT4_KTQT_v4[[#This Row],[SL-06]]</f>
        <v>0</v>
      </c>
      <c r="CT146" s="47">
        <f ca="1">(KH_26_OPT4_KTQT_v4[[#This Row],[ĐGVC-KNĐ]]+KH_26_OPT4_KTQT_v4[[#This Row],[ĐGVC-KXK]])*KH_26_OPT4_KTQT_v4[[#This Row],[SL-07]]</f>
        <v>0</v>
      </c>
      <c r="CU146" s="47">
        <f ca="1">(KH_26_OPT4_KTQT_v4[[#This Row],[ĐGVC-KNĐ]]+KH_26_OPT4_KTQT_v4[[#This Row],[ĐGVC-KXK]])*KH_26_OPT4_KTQT_v4[[#This Row],[SL-08]]</f>
        <v>0</v>
      </c>
      <c r="CV146" s="47">
        <f ca="1">(KH_26_OPT4_KTQT_v4[[#This Row],[ĐGVC-KNĐ]]+KH_26_OPT4_KTQT_v4[[#This Row],[ĐGVC-KXK]])*KH_26_OPT4_KTQT_v4[[#This Row],[SL-09]]</f>
        <v>0</v>
      </c>
      <c r="CW146" s="47">
        <f ca="1">(KH_26_OPT4_KTQT_v4[[#This Row],[ĐGVC-KNĐ]]+KH_26_OPT4_KTQT_v4[[#This Row],[ĐGVC-KXK]])*KH_26_OPT4_KTQT_v4[[#This Row],[SL-10]]</f>
        <v>0</v>
      </c>
      <c r="CX146" s="47">
        <f ca="1">(KH_26_OPT4_KTQT_v4[[#This Row],[ĐGVC-KNĐ]]+KH_26_OPT4_KTQT_v4[[#This Row],[ĐGVC-KXK]])*KH_26_OPT4_KTQT_v4[[#This Row],[SL-11]]</f>
        <v>0</v>
      </c>
      <c r="CY146" s="47">
        <f ca="1">(KH_26_OPT4_KTQT_v4[[#This Row],[ĐGVC-KNĐ]]+KH_26_OPT4_KTQT_v4[[#This Row],[ĐGVC-KXK]])*KH_26_OPT4_KTQT_v4[[#This Row],[SL-12]]</f>
        <v>0</v>
      </c>
      <c r="CZ146" s="47">
        <f ca="1">SUM(KH_26_OPT4_KTQT_v4[[#This Row],[CPVC-01]:[CPVC-12]])</f>
        <v>0</v>
      </c>
      <c r="DA146" s="124">
        <f ca="1">KH_26_OPT4_KTQT_v4[[#This Row],[DT-EXW-01]]+KH_26_OPT4_KTQT_v4[[#This Row],[CPVC-01]]+KH_26_OPT4_KTQT_v4[[#This Row],[CPHH-01]]</f>
        <v>0</v>
      </c>
      <c r="DB146" s="47">
        <f ca="1">KH_26_OPT4_KTQT_v4[[#This Row],[DT-EXW-02]]+KH_26_OPT4_KTQT_v4[[#This Row],[CPVC-02]]+KH_26_OPT4_KTQT_v4[[#This Row],[CPHH-02]]</f>
        <v>0</v>
      </c>
      <c r="DC146" s="47">
        <f ca="1">KH_26_OPT4_KTQT_v4[[#This Row],[DT-EXW-03]]+KH_26_OPT4_KTQT_v4[[#This Row],[CPVC-03]]+KH_26_OPT4_KTQT_v4[[#This Row],[CPHH-03]]</f>
        <v>0</v>
      </c>
      <c r="DD146" s="47">
        <f ca="1">KH_26_OPT4_KTQT_v4[[#This Row],[DT-EXW-04]]+KH_26_OPT4_KTQT_v4[[#This Row],[CPVC-04]]+KH_26_OPT4_KTQT_v4[[#This Row],[CPHH-04]]</f>
        <v>0</v>
      </c>
      <c r="DE146" s="47">
        <f ca="1">KH_26_OPT4_KTQT_v4[[#This Row],[DT-EXW-05]]+KH_26_OPT4_KTQT_v4[[#This Row],[CPVC-05]]+KH_26_OPT4_KTQT_v4[[#This Row],[CPHH-05]]</f>
        <v>0</v>
      </c>
      <c r="DF146" s="47">
        <f ca="1">KH_26_OPT4_KTQT_v4[[#This Row],[DT-EXW-06]]+KH_26_OPT4_KTQT_v4[[#This Row],[CPVC-06]]+KH_26_OPT4_KTQT_v4[[#This Row],[CPHH-06]]</f>
        <v>0</v>
      </c>
      <c r="DG146" s="47">
        <f ca="1">KH_26_OPT4_KTQT_v4[[#This Row],[DT-EXW-07]]+KH_26_OPT4_KTQT_v4[[#This Row],[CPVC-07]]+KH_26_OPT4_KTQT_v4[[#This Row],[CPHH-07]]</f>
        <v>0</v>
      </c>
      <c r="DH146" s="47">
        <f ca="1">KH_26_OPT4_KTQT_v4[[#This Row],[DT-EXW-08]]+KH_26_OPT4_KTQT_v4[[#This Row],[CPVC-08]]+KH_26_OPT4_KTQT_v4[[#This Row],[CPHH-08]]</f>
        <v>0</v>
      </c>
      <c r="DI146" s="47">
        <f ca="1">KH_26_OPT4_KTQT_v4[[#This Row],[DT-EXW-09]]+KH_26_OPT4_KTQT_v4[[#This Row],[CPVC-09]]+KH_26_OPT4_KTQT_v4[[#This Row],[CPHH-09]]</f>
        <v>0</v>
      </c>
      <c r="DJ146" s="47">
        <f ca="1">KH_26_OPT4_KTQT_v4[[#This Row],[DT-EXW-10]]+KH_26_OPT4_KTQT_v4[[#This Row],[CPVC-10]]+KH_26_OPT4_KTQT_v4[[#This Row],[CPHH-10]]</f>
        <v>0</v>
      </c>
      <c r="DK146" s="47">
        <f ca="1">KH_26_OPT4_KTQT_v4[[#This Row],[DT-EXW-11]]+KH_26_OPT4_KTQT_v4[[#This Row],[CPVC-11]]+KH_26_OPT4_KTQT_v4[[#This Row],[CPHH-11]]</f>
        <v>0</v>
      </c>
      <c r="DL146" s="47">
        <f ca="1">KH_26_OPT4_KTQT_v4[[#This Row],[DT-EXW-12]]+KH_26_OPT4_KTQT_v4[[#This Row],[CPVC-12]]+KH_26_OPT4_KTQT_v4[[#This Row],[CPHH-12]]</f>
        <v>0</v>
      </c>
      <c r="DM146" s="47">
        <f ca="1">SUM(KH_26_OPT4_KTQT_v4[[#This Row],[DT-01]:[DT-12]])</f>
        <v>0</v>
      </c>
      <c r="DN146" s="7"/>
      <c r="DO146" s="7"/>
      <c r="DP146" s="125"/>
      <c r="DQ146" s="136"/>
      <c r="DR146" s="132">
        <f>IFERROR(KH_26_OPT4_KTQT_v4[[#This Row],[DT-EXW-01]]*KH_26_OPT4_KTQT_v4[[#This Row],[%CPDP]],0)</f>
        <v>0</v>
      </c>
      <c r="DS146" s="132">
        <f>IFERROR(KH_26_OPT4_KTQT_v4[[#This Row],[DT-EXW-02]]*KH_26_OPT4_KTQT_v4[[#This Row],[%CPDP]],0)</f>
        <v>0</v>
      </c>
      <c r="DT146" s="132">
        <f>IFERROR(KH_26_OPT4_KTQT_v4[[#This Row],[DT-EXW-03]]*KH_26_OPT4_KTQT_v4[[#This Row],[%CPDP]],0)</f>
        <v>0</v>
      </c>
      <c r="DU146" s="132">
        <f>IFERROR(KH_26_OPT4_KTQT_v4[[#This Row],[DT-EXW-04]]*KH_26_OPT4_KTQT_v4[[#This Row],[%CPDP]],0)</f>
        <v>0</v>
      </c>
      <c r="DV146" s="132">
        <f>IFERROR(KH_26_OPT4_KTQT_v4[[#This Row],[DT-EXW-05]]*KH_26_OPT4_KTQT_v4[[#This Row],[%CPDP]],0)</f>
        <v>0</v>
      </c>
      <c r="DW146" s="132">
        <f>IFERROR(KH_26_OPT4_KTQT_v4[[#This Row],[DT-EXW-06]]*KH_26_OPT4_KTQT_v4[[#This Row],[%CPDP]],0)</f>
        <v>0</v>
      </c>
      <c r="DX146" s="132">
        <f>IFERROR(KH_26_OPT4_KTQT_v4[[#This Row],[DT-EXW-07]]*KH_26_OPT4_KTQT_v4[[#This Row],[%CPDP]],0)</f>
        <v>0</v>
      </c>
      <c r="DY146" s="132">
        <f>IFERROR(KH_26_OPT4_KTQT_v4[[#This Row],[DT-EXW-08]]*KH_26_OPT4_KTQT_v4[[#This Row],[%CPDP]],0)</f>
        <v>0</v>
      </c>
      <c r="DZ146" s="132">
        <f>IFERROR(KH_26_OPT4_KTQT_v4[[#This Row],[DT-EXW-09]]*KH_26_OPT4_KTQT_v4[[#This Row],[%CPDP]],0)</f>
        <v>0</v>
      </c>
      <c r="EA146" s="132">
        <f>IFERROR(KH_26_OPT4_KTQT_v4[[#This Row],[DT-EXW-10]]*KH_26_OPT4_KTQT_v4[[#This Row],[%CPDP]],0)</f>
        <v>0</v>
      </c>
      <c r="EB146" s="132">
        <f>IFERROR(KH_26_OPT4_KTQT_v4[[#This Row],[DT-EXW-11]]*KH_26_OPT4_KTQT_v4[[#This Row],[%CPDP]],0)</f>
        <v>0</v>
      </c>
      <c r="EC146" s="132">
        <f>IFERROR(KH_26_OPT4_KTQT_v4[[#This Row],[DT-EXW-12]]*KH_26_OPT4_KTQT_v4[[#This Row],[%CPDP]],0)</f>
        <v>0</v>
      </c>
      <c r="ED146" s="131">
        <f ca="1">SUM(KH_26_OPT4_KTQT_v4[[#This Row],[CPDP-01]:[CPDP-12]])</f>
        <v>0</v>
      </c>
    </row>
    <row r="147" spans="1:134" ht="14.65" hidden="1" customHeight="1" x14ac:dyDescent="0.35">
      <c r="A147" s="18">
        <v>142</v>
      </c>
      <c r="B147" s="71" t="s">
        <v>115</v>
      </c>
      <c r="C147" s="18" t="str">
        <f>IFERROR(_xlfn.XLOOKUP(KH_26_OPT4_KTQT_v4[[#This Row],[Salesman]],MD_Salesman[Salesman],MD_Salesman[SalesManager]),"")</f>
        <v>Quốc Anh</v>
      </c>
      <c r="D147" s="72" t="str">
        <f>IFERROR(INDEX(MD_Customer[Mã khách],MATCH(KH_26_OPT4_KTQT_v4[[#This Row],[Tên khách]],MD_Customer[Tên khách-rút gọn],0)),"")</f>
        <v>105327</v>
      </c>
      <c r="E147" s="7" t="str">
        <f>IFERROR(INDEX(MD_Customer[Parent Account],MATCH(KH_26_OPT4_KTQT_v4[[#This Row],[Tên khách]],MD_Customer[Tên khách-rút gọn],0)),"")</f>
        <v>MEGA</v>
      </c>
      <c r="F147" s="35" t="s">
        <v>72</v>
      </c>
      <c r="G147" s="7" t="str">
        <f>IFERROR(INDEX(MD_Customer[Phân loại],MATCH(KH_26_OPT4_KTQT_v4[[#This Row],[Tên khách]],MD_Customer[Tên khách-rút gọn],0)),"")</f>
        <v>Mới</v>
      </c>
      <c r="H147" s="7" t="str">
        <f>IFERROR(INDEX(MD_Customer[Kênh bán hàng],MATCH(KH_26_OPT4_KTQT_v4[[#This Row],[Tên khách]],MD_Customer[Tên khách-rút gọn],0)),"")</f>
        <v>Nội địa</v>
      </c>
      <c r="I147" s="35" t="s">
        <v>261</v>
      </c>
      <c r="J147" s="7" t="str">
        <f>IFERROR(INDEX(MD_Destination[Nước],MATCH(KH_26_OPT4_KTQT_v4[[#This Row],[Địa điểm đến]],MD_Destination[Địa điểm đến],0)),"")</f>
        <v>Việt Nam</v>
      </c>
      <c r="K147" s="7" t="str">
        <f>IFERROR(INDEX(MD_Destination[Khu vực],MATCH(KH_26_OPT4_KTQT_v4[[#This Row],[Địa điểm đến]],MD_Destination[Địa điểm đến],0)),"")</f>
        <v>Châu Á</v>
      </c>
      <c r="L147" s="35" t="s">
        <v>260</v>
      </c>
      <c r="M147" s="7" t="str">
        <f>IFERROR(INDEX(MD_SKU[Mã SKU],MATCH(KH_26_OPT4_KTQT_v4[[#This Row],[Tên sản phẩm]],MD_SKU[Tên SKU-rút gọn],0)),"")</f>
        <v>110000472</v>
      </c>
      <c r="N147" s="35" t="s">
        <v>490</v>
      </c>
      <c r="O147" s="7" t="str">
        <f>IFERROR(INDEX(MD_SKU[Ngành hàng],MATCH(KH_26_OPT4_KTQT_v4[[#This Row],[Tên sản phẩm]],MD_SKU[Tên SKU-rút gọn],0)),"")</f>
        <v>rPP</v>
      </c>
      <c r="P147" s="7" t="str">
        <f>IFERROR(INDEX(MD_SKU[Nhóm ngành],MATCH(KH_26_OPT4_KTQT_v4[[#This Row],[Tên sản phẩm]],MD_SKU[Tên SKU-rút gọn],0)),"")</f>
        <v>Hạt PP</v>
      </c>
      <c r="Q147" s="7" t="str">
        <f>IFERROR(
   IF(INDEX(MD_SKU[IV/IM],MATCH(KH_26_OPT4_KTQT_v4[[#This Row],[Tên sản phẩm]],MD_SKU[Tên SKU-rút gọn],0))=0,
      "",
      INDEX(MD_SKU[IV/IM],MATCH(KH_26_OPT4_KTQT_v4[[#This Row],[Tên sản phẩm]],MD_SKU[Tên SKU-rút gọn],0))
   ),
"")</f>
        <v/>
      </c>
      <c r="R147" s="44">
        <f>IFERROR(INDEX(MD_SKU[Application],MATCH(KH_26_OPT4_KTQT_v4[[#This Row],[Tên sản phẩm]],MD_SKU[Tên SKU-rút gọn],0)),"")</f>
        <v>0</v>
      </c>
      <c r="S147" s="7" t="str">
        <f>IFERROR(INDEX(MD_SKU[Phân loại],MATCH(KH_26_OPT4_KTQT_v4[[#This Row],[Tên sản phẩm]],MD_SKU[Tên SKU-rút gọn],0)),"")</f>
        <v>Cũ</v>
      </c>
      <c r="T147" s="7" t="s">
        <v>542</v>
      </c>
      <c r="U147" s="7"/>
      <c r="V147" s="70">
        <v>0.8</v>
      </c>
      <c r="W147" s="33"/>
      <c r="X147" s="33"/>
      <c r="Y147" s="33"/>
      <c r="Z147" s="33"/>
      <c r="AA147" s="33"/>
      <c r="AB147" s="33"/>
      <c r="AC147" s="33"/>
      <c r="AD147" s="33"/>
      <c r="AE147" s="33"/>
      <c r="AF147" s="33"/>
      <c r="AG147" s="33"/>
      <c r="AH147" s="33"/>
      <c r="AI147" s="47">
        <f ca="1">SUM(KH_26_OPT4_KTQT_v4[[#This Row],[SL-01]:[SL-12]])</f>
        <v>0</v>
      </c>
      <c r="AJ147" s="47">
        <f ca="1">SUMIFS(DB_25[SL-DB25],DB_25[Mã khách],KH_26_OPT4_KTQT_v4[[#This Row],[Mã khách]],DB_25[Mã sản phẩm],KH_26_OPT4_KTQT_v4[[#This Row],[Mã sản phẩm]])</f>
        <v>5.0000000000000001E-3</v>
      </c>
      <c r="AK147" s="20">
        <f ca="1">KH_26_OPT4_KTQT_v4[[#This Row],[SL-KH26]]-KH_26_OPT4_KTQT_v4[[#This Row],[SL-DB25]]</f>
        <v>-5.0000000000000001E-3</v>
      </c>
      <c r="AL147" s="21">
        <f ca="1">IFERROR(KH_26_OPT4_KTQT_v4[[#This Row],[SL-+/-]]/KH_26_OPT4_KTQT_v4[[#This Row],[SL-DB25]],0)</f>
        <v>-1</v>
      </c>
      <c r="AM147" s="51">
        <v>700</v>
      </c>
      <c r="AN147" s="51">
        <v>700</v>
      </c>
      <c r="AO147" s="51">
        <v>700</v>
      </c>
      <c r="AP147" s="51">
        <v>700</v>
      </c>
      <c r="AQ147" s="51">
        <v>700</v>
      </c>
      <c r="AR147" s="51">
        <v>700</v>
      </c>
      <c r="AS147" s="51">
        <v>700</v>
      </c>
      <c r="AT147" s="51">
        <v>700</v>
      </c>
      <c r="AU147" s="51">
        <v>700</v>
      </c>
      <c r="AV147" s="51">
        <v>700</v>
      </c>
      <c r="AW147" s="51">
        <v>700</v>
      </c>
      <c r="AX147" s="51">
        <v>700</v>
      </c>
      <c r="AY147" s="23">
        <v>700</v>
      </c>
      <c r="AZ147" s="7"/>
      <c r="BA147" s="24">
        <f>KH_26_OPT4_KTQT_v4[[#This Row],[GB-DB25]]-KH_26_OPT4_KTQT_v4[[#This Row],[GB-KH25]]</f>
        <v>700</v>
      </c>
      <c r="BB147" s="21">
        <f>IFERROR(KH_26_OPT4_KTQT_v4[[#This Row],[GB-+/-]]/KH_26_OPT4_KTQT_v4[[#This Row],[GB-KH25]],0)</f>
        <v>0</v>
      </c>
      <c r="BC147" s="21"/>
      <c r="BD147" s="47">
        <f>KH_26_OPT4_KTQT_v4[[#This Row],[SL-01]]*KH_26_OPT4_KTQT_v4[[#This Row],[GB-01]]*EXR</f>
        <v>0</v>
      </c>
      <c r="BE147" s="47">
        <f>KH_26_OPT4_KTQT_v4[[#This Row],[SL-02]]*KH_26_OPT4_KTQT_v4[[#This Row],[GB-02]]*EXR</f>
        <v>0</v>
      </c>
      <c r="BF147" s="47">
        <f>KH_26_OPT4_KTQT_v4[[#This Row],[SL-03]]*KH_26_OPT4_KTQT_v4[[#This Row],[GB-03]]*EXR</f>
        <v>0</v>
      </c>
      <c r="BG147" s="47">
        <f>KH_26_OPT4_KTQT_v4[[#This Row],[SL-04]]*KH_26_OPT4_KTQT_v4[[#This Row],[GB-04]]*EXR</f>
        <v>0</v>
      </c>
      <c r="BH147" s="47">
        <f>KH_26_OPT4_KTQT_v4[[#This Row],[SL-05]]*KH_26_OPT4_KTQT_v4[[#This Row],[GB-05]]*EXR</f>
        <v>0</v>
      </c>
      <c r="BI147" s="47">
        <f>KH_26_OPT4_KTQT_v4[[#This Row],[SL-06]]*KH_26_OPT4_KTQT_v4[[#This Row],[GB-06]]*EXR</f>
        <v>0</v>
      </c>
      <c r="BJ147" s="47">
        <f>KH_26_OPT4_KTQT_v4[[#This Row],[SL-07]]*KH_26_OPT4_KTQT_v4[[#This Row],[GB-07]]*EXR</f>
        <v>0</v>
      </c>
      <c r="BK147" s="47">
        <f>KH_26_OPT4_KTQT_v4[[#This Row],[SL-08]]*KH_26_OPT4_KTQT_v4[[#This Row],[GB-08]]*EXR</f>
        <v>0</v>
      </c>
      <c r="BL147" s="47">
        <f>KH_26_OPT4_KTQT_v4[[#This Row],[SL-09]]*KH_26_OPT4_KTQT_v4[[#This Row],[GB-09]]*EXR</f>
        <v>0</v>
      </c>
      <c r="BM147" s="47">
        <f>KH_26_OPT4_KTQT_v4[[#This Row],[SL-10]]*KH_26_OPT4_KTQT_v4[[#This Row],[GB-10]]*EXR</f>
        <v>0</v>
      </c>
      <c r="BN147" s="47">
        <f>KH_26_OPT4_KTQT_v4[[#This Row],[SL-11]]*KH_26_OPT4_KTQT_v4[[#This Row],[GB-11]]*EXR</f>
        <v>0</v>
      </c>
      <c r="BO147" s="47">
        <f>KH_26_OPT4_KTQT_v4[[#This Row],[SL-12]]*KH_26_OPT4_KTQT_v4[[#This Row],[GB-12]]*EXR</f>
        <v>0</v>
      </c>
      <c r="BP147" s="47">
        <f ca="1">SUM(KH_26_OPT4_KTQT_v4[[#This Row],[DT-EXW-01]:[DT-EXW-12]])</f>
        <v>0</v>
      </c>
      <c r="BQ147" s="47">
        <f ca="1">SUMIFS(DB_25[DT-DB25],DB_25[Mã khách],KH_26_OPT4_KTQT_v4[[#This Row],[Mã khách]],DB_25[Mã sản phẩm],KH_26_OPT4_KTQT_v4[[#This Row],[Mã sản phẩm]])</f>
        <v>105000</v>
      </c>
      <c r="BR147" s="47">
        <f ca="1">KH_26_OPT4_KTQT_v4[[#This Row],[DT-EXW-KH26]]-KH_26_OPT4_KTQT_v4[[#This Row],[DT-EXW-DB25]]</f>
        <v>-105000</v>
      </c>
      <c r="BS147" s="21">
        <f ca="1">IFERROR(KH_26_OPT4_KTQT_v4[[#This Row],[DT-EXW-+/-]]/KH_26_OPT4_KTQT_v4[[#This Row],[DT-EXW-DB25]],0)</f>
        <v>-1</v>
      </c>
      <c r="BT147" s="139"/>
      <c r="BU147" s="57"/>
      <c r="BV147" s="51"/>
      <c r="BW147" s="47">
        <f>IF(KH_26_OPT4_KTQT_v4[[#This Row],[CPHH-%-SL]]="Dthu",KH_26_OPT4_KTQT_v4[[#This Row],[%HH]]*KH_26_OPT4_KTQT_v4[[#This Row],[DT-EXW-01]],KH_26_OPT4_KTQT_v4[[#This Row],[HH-SL]]*KH_26_OPT4_KTQT_v4[[#This Row],[SL-01]])</f>
        <v>0</v>
      </c>
      <c r="BX147" s="47">
        <f>IF(KH_26_OPT4_KTQT_v4[[#This Row],[CPHH-%-SL]]="Dthu",KH_26_OPT4_KTQT_v4[[#This Row],[%HH]]*KH_26_OPT4_KTQT_v4[[#This Row],[DT-EXW-02]],KH_26_OPT4_KTQT_v4[[#This Row],[HH-SL]]*KH_26_OPT4_KTQT_v4[[#This Row],[SL-02]])</f>
        <v>0</v>
      </c>
      <c r="BY147" s="47">
        <f>IF(KH_26_OPT4_KTQT_v4[[#This Row],[CPHH-%-SL]]="Dthu",KH_26_OPT4_KTQT_v4[[#This Row],[%HH]]*KH_26_OPT4_KTQT_v4[[#This Row],[DT-EXW-03]],KH_26_OPT4_KTQT_v4[[#This Row],[HH-SL]]*KH_26_OPT4_KTQT_v4[[#This Row],[SL-03]])</f>
        <v>0</v>
      </c>
      <c r="BZ147" s="47">
        <f>IF(KH_26_OPT4_KTQT_v4[[#This Row],[CPHH-%-SL]]="Dthu",KH_26_OPT4_KTQT_v4[[#This Row],[%HH]]*KH_26_OPT4_KTQT_v4[[#This Row],[DT-EXW-04]],KH_26_OPT4_KTQT_v4[[#This Row],[HH-SL]]*KH_26_OPT4_KTQT_v4[[#This Row],[SL-04]])</f>
        <v>0</v>
      </c>
      <c r="CA147" s="47">
        <f>IF(KH_26_OPT4_KTQT_v4[[#This Row],[CPHH-%-SL]]="Dthu",KH_26_OPT4_KTQT_v4[[#This Row],[%HH]]*KH_26_OPT4_KTQT_v4[[#This Row],[DT-EXW-05]],KH_26_OPT4_KTQT_v4[[#This Row],[HH-SL]]*KH_26_OPT4_KTQT_v4[[#This Row],[SL-05]])</f>
        <v>0</v>
      </c>
      <c r="CB147" s="47">
        <f>IF(KH_26_OPT4_KTQT_v4[[#This Row],[CPHH-%-SL]]="Dthu",KH_26_OPT4_KTQT_v4[[#This Row],[%HH]]*KH_26_OPT4_KTQT_v4[[#This Row],[DT-EXW-06]],KH_26_OPT4_KTQT_v4[[#This Row],[HH-SL]]*KH_26_OPT4_KTQT_v4[[#This Row],[SL-06]])</f>
        <v>0</v>
      </c>
      <c r="CC147" s="47">
        <f>IF(KH_26_OPT4_KTQT_v4[[#This Row],[CPHH-%-SL]]="Dthu",KH_26_OPT4_KTQT_v4[[#This Row],[%HH]]*KH_26_OPT4_KTQT_v4[[#This Row],[DT-EXW-07]],KH_26_OPT4_KTQT_v4[[#This Row],[HH-SL]]*KH_26_OPT4_KTQT_v4[[#This Row],[SL-07]])</f>
        <v>0</v>
      </c>
      <c r="CD147" s="47">
        <f>IF(KH_26_OPT4_KTQT_v4[[#This Row],[CPHH-%-SL]]="Dthu",KH_26_OPT4_KTQT_v4[[#This Row],[%HH]]*KH_26_OPT4_KTQT_v4[[#This Row],[DT-EXW-08]],KH_26_OPT4_KTQT_v4[[#This Row],[HH-SL]]*KH_26_OPT4_KTQT_v4[[#This Row],[SL-08]])</f>
        <v>0</v>
      </c>
      <c r="CE147" s="47">
        <f>IF(KH_26_OPT4_KTQT_v4[[#This Row],[CPHH-%-SL]]="Dthu",KH_26_OPT4_KTQT_v4[[#This Row],[%HH]]*KH_26_OPT4_KTQT_v4[[#This Row],[DT-EXW-09]],KH_26_OPT4_KTQT_v4[[#This Row],[HH-SL]]*KH_26_OPT4_KTQT_v4[[#This Row],[SL-09]])</f>
        <v>0</v>
      </c>
      <c r="CF147" s="47">
        <f>IF(KH_26_OPT4_KTQT_v4[[#This Row],[CPHH-%-SL]]="Dthu",KH_26_OPT4_KTQT_v4[[#This Row],[%HH]]*KH_26_OPT4_KTQT_v4[[#This Row],[DT-EXW-10]],KH_26_OPT4_KTQT_v4[[#This Row],[HH-SL]]*KH_26_OPT4_KTQT_v4[[#This Row],[SL-10]])</f>
        <v>0</v>
      </c>
      <c r="CG147" s="47">
        <f>IF(KH_26_OPT4_KTQT_v4[[#This Row],[CPHH-%-SL]]="Dthu",KH_26_OPT4_KTQT_v4[[#This Row],[%HH]]*KH_26_OPT4_KTQT_v4[[#This Row],[DT-EXW-11]],KH_26_OPT4_KTQT_v4[[#This Row],[HH-SL]]*KH_26_OPT4_KTQT_v4[[#This Row],[SL-11]])</f>
        <v>0</v>
      </c>
      <c r="CH147" s="47">
        <f>IF(KH_26_OPT4_KTQT_v4[[#This Row],[CPHH-%-SL]]="Dthu",KH_26_OPT4_KTQT_v4[[#This Row],[%HH]]*KH_26_OPT4_KTQT_v4[[#This Row],[DT-EXW-12]],KH_26_OPT4_KTQT_v4[[#This Row],[HH-SL]]*KH_26_OPT4_KTQT_v4[[#This Row],[SL-12]])</f>
        <v>0</v>
      </c>
      <c r="CI147" s="47">
        <f ca="1">SUM(KH_26_OPT4_KTQT_v4[[#This Row],[CPHH-01]:[CPHH-12]])</f>
        <v>0</v>
      </c>
      <c r="CJ147" s="47" cm="1">
        <f t="array" ref="CJ147">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47" s="19">
        <f ca="1">SUM(KH_26_OPT4_KTQT_v4[[#This Row],[ĐGVCNĐ-KXK]:[ĐGVCCT-KXK]])</f>
        <v>0</v>
      </c>
      <c r="CL147" s="47" cm="1">
        <f t="array" ref="CL147">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147" s="47" cm="1">
        <f t="array" ref="CM147">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47" s="47">
        <f ca="1">(KH_26_OPT4_KTQT_v4[[#This Row],[ĐGVC-KNĐ]]+KH_26_OPT4_KTQT_v4[[#This Row],[ĐGVC-KXK]])*KH_26_OPT4_KTQT_v4[[#This Row],[SL-01]]</f>
        <v>0</v>
      </c>
      <c r="CO147" s="47">
        <f ca="1">(KH_26_OPT4_KTQT_v4[[#This Row],[ĐGVC-KNĐ]]+KH_26_OPT4_KTQT_v4[[#This Row],[ĐGVC-KXK]])*KH_26_OPT4_KTQT_v4[[#This Row],[SL-02]]</f>
        <v>0</v>
      </c>
      <c r="CP147" s="47">
        <f ca="1">(KH_26_OPT4_KTQT_v4[[#This Row],[ĐGVC-KNĐ]]+KH_26_OPT4_KTQT_v4[[#This Row],[ĐGVC-KXK]])*KH_26_OPT4_KTQT_v4[[#This Row],[SL-03]]</f>
        <v>0</v>
      </c>
      <c r="CQ147" s="47">
        <f ca="1">(KH_26_OPT4_KTQT_v4[[#This Row],[ĐGVC-KNĐ]]+KH_26_OPT4_KTQT_v4[[#This Row],[ĐGVC-KXK]])*KH_26_OPT4_KTQT_v4[[#This Row],[SL-04]]</f>
        <v>0</v>
      </c>
      <c r="CR147" s="47">
        <f ca="1">(KH_26_OPT4_KTQT_v4[[#This Row],[ĐGVC-KNĐ]]+KH_26_OPT4_KTQT_v4[[#This Row],[ĐGVC-KXK]])*KH_26_OPT4_KTQT_v4[[#This Row],[SL-05]]</f>
        <v>0</v>
      </c>
      <c r="CS147" s="47">
        <f ca="1">(KH_26_OPT4_KTQT_v4[[#This Row],[ĐGVC-KNĐ]]+KH_26_OPT4_KTQT_v4[[#This Row],[ĐGVC-KXK]])*KH_26_OPT4_KTQT_v4[[#This Row],[SL-06]]</f>
        <v>0</v>
      </c>
      <c r="CT147" s="47">
        <f ca="1">(KH_26_OPT4_KTQT_v4[[#This Row],[ĐGVC-KNĐ]]+KH_26_OPT4_KTQT_v4[[#This Row],[ĐGVC-KXK]])*KH_26_OPT4_KTQT_v4[[#This Row],[SL-07]]</f>
        <v>0</v>
      </c>
      <c r="CU147" s="47">
        <f ca="1">(KH_26_OPT4_KTQT_v4[[#This Row],[ĐGVC-KNĐ]]+KH_26_OPT4_KTQT_v4[[#This Row],[ĐGVC-KXK]])*KH_26_OPT4_KTQT_v4[[#This Row],[SL-08]]</f>
        <v>0</v>
      </c>
      <c r="CV147" s="47">
        <f ca="1">(KH_26_OPT4_KTQT_v4[[#This Row],[ĐGVC-KNĐ]]+KH_26_OPT4_KTQT_v4[[#This Row],[ĐGVC-KXK]])*KH_26_OPT4_KTQT_v4[[#This Row],[SL-09]]</f>
        <v>0</v>
      </c>
      <c r="CW147" s="47">
        <f ca="1">(KH_26_OPT4_KTQT_v4[[#This Row],[ĐGVC-KNĐ]]+KH_26_OPT4_KTQT_v4[[#This Row],[ĐGVC-KXK]])*KH_26_OPT4_KTQT_v4[[#This Row],[SL-10]]</f>
        <v>0</v>
      </c>
      <c r="CX147" s="47">
        <f ca="1">(KH_26_OPT4_KTQT_v4[[#This Row],[ĐGVC-KNĐ]]+KH_26_OPT4_KTQT_v4[[#This Row],[ĐGVC-KXK]])*KH_26_OPT4_KTQT_v4[[#This Row],[SL-11]]</f>
        <v>0</v>
      </c>
      <c r="CY147" s="47">
        <f ca="1">(KH_26_OPT4_KTQT_v4[[#This Row],[ĐGVC-KNĐ]]+KH_26_OPT4_KTQT_v4[[#This Row],[ĐGVC-KXK]])*KH_26_OPT4_KTQT_v4[[#This Row],[SL-12]]</f>
        <v>0</v>
      </c>
      <c r="CZ147" s="47">
        <f ca="1">SUM(KH_26_OPT4_KTQT_v4[[#This Row],[CPVC-01]:[CPVC-12]])</f>
        <v>0</v>
      </c>
      <c r="DA147" s="124">
        <f ca="1">KH_26_OPT4_KTQT_v4[[#This Row],[DT-EXW-01]]+KH_26_OPT4_KTQT_v4[[#This Row],[CPVC-01]]+KH_26_OPT4_KTQT_v4[[#This Row],[CPHH-01]]</f>
        <v>0</v>
      </c>
      <c r="DB147" s="47">
        <f ca="1">KH_26_OPT4_KTQT_v4[[#This Row],[DT-EXW-02]]+KH_26_OPT4_KTQT_v4[[#This Row],[CPVC-02]]+KH_26_OPT4_KTQT_v4[[#This Row],[CPHH-02]]</f>
        <v>0</v>
      </c>
      <c r="DC147" s="47">
        <f ca="1">KH_26_OPT4_KTQT_v4[[#This Row],[DT-EXW-03]]+KH_26_OPT4_KTQT_v4[[#This Row],[CPVC-03]]+KH_26_OPT4_KTQT_v4[[#This Row],[CPHH-03]]</f>
        <v>0</v>
      </c>
      <c r="DD147" s="47">
        <f ca="1">KH_26_OPT4_KTQT_v4[[#This Row],[DT-EXW-04]]+KH_26_OPT4_KTQT_v4[[#This Row],[CPVC-04]]+KH_26_OPT4_KTQT_v4[[#This Row],[CPHH-04]]</f>
        <v>0</v>
      </c>
      <c r="DE147" s="47">
        <f ca="1">KH_26_OPT4_KTQT_v4[[#This Row],[DT-EXW-05]]+KH_26_OPT4_KTQT_v4[[#This Row],[CPVC-05]]+KH_26_OPT4_KTQT_v4[[#This Row],[CPHH-05]]</f>
        <v>0</v>
      </c>
      <c r="DF147" s="47">
        <f ca="1">KH_26_OPT4_KTQT_v4[[#This Row],[DT-EXW-06]]+KH_26_OPT4_KTQT_v4[[#This Row],[CPVC-06]]+KH_26_OPT4_KTQT_v4[[#This Row],[CPHH-06]]</f>
        <v>0</v>
      </c>
      <c r="DG147" s="47">
        <f ca="1">KH_26_OPT4_KTQT_v4[[#This Row],[DT-EXW-07]]+KH_26_OPT4_KTQT_v4[[#This Row],[CPVC-07]]+KH_26_OPT4_KTQT_v4[[#This Row],[CPHH-07]]</f>
        <v>0</v>
      </c>
      <c r="DH147" s="47">
        <f ca="1">KH_26_OPT4_KTQT_v4[[#This Row],[DT-EXW-08]]+KH_26_OPT4_KTQT_v4[[#This Row],[CPVC-08]]+KH_26_OPT4_KTQT_v4[[#This Row],[CPHH-08]]</f>
        <v>0</v>
      </c>
      <c r="DI147" s="47">
        <f ca="1">KH_26_OPT4_KTQT_v4[[#This Row],[DT-EXW-09]]+KH_26_OPT4_KTQT_v4[[#This Row],[CPVC-09]]+KH_26_OPT4_KTQT_v4[[#This Row],[CPHH-09]]</f>
        <v>0</v>
      </c>
      <c r="DJ147" s="47">
        <f ca="1">KH_26_OPT4_KTQT_v4[[#This Row],[DT-EXW-10]]+KH_26_OPT4_KTQT_v4[[#This Row],[CPVC-10]]+KH_26_OPT4_KTQT_v4[[#This Row],[CPHH-10]]</f>
        <v>0</v>
      </c>
      <c r="DK147" s="47">
        <f ca="1">KH_26_OPT4_KTQT_v4[[#This Row],[DT-EXW-11]]+KH_26_OPT4_KTQT_v4[[#This Row],[CPVC-11]]+KH_26_OPT4_KTQT_v4[[#This Row],[CPHH-11]]</f>
        <v>0</v>
      </c>
      <c r="DL147" s="47">
        <f ca="1">KH_26_OPT4_KTQT_v4[[#This Row],[DT-EXW-12]]+KH_26_OPT4_KTQT_v4[[#This Row],[CPVC-12]]+KH_26_OPT4_KTQT_v4[[#This Row],[CPHH-12]]</f>
        <v>0</v>
      </c>
      <c r="DM147" s="47">
        <f ca="1">SUM(KH_26_OPT4_KTQT_v4[[#This Row],[DT-01]:[DT-12]])</f>
        <v>0</v>
      </c>
      <c r="DN147" s="7"/>
      <c r="DO147" s="7"/>
      <c r="DP147" s="125"/>
      <c r="DQ147" s="136"/>
      <c r="DR147" s="132">
        <f>IFERROR(KH_26_OPT4_KTQT_v4[[#This Row],[DT-EXW-01]]*KH_26_OPT4_KTQT_v4[[#This Row],[%CPDP]],0)</f>
        <v>0</v>
      </c>
      <c r="DS147" s="132">
        <f>IFERROR(KH_26_OPT4_KTQT_v4[[#This Row],[DT-EXW-02]]*KH_26_OPT4_KTQT_v4[[#This Row],[%CPDP]],0)</f>
        <v>0</v>
      </c>
      <c r="DT147" s="132">
        <f>IFERROR(KH_26_OPT4_KTQT_v4[[#This Row],[DT-EXW-03]]*KH_26_OPT4_KTQT_v4[[#This Row],[%CPDP]],0)</f>
        <v>0</v>
      </c>
      <c r="DU147" s="132">
        <f>IFERROR(KH_26_OPT4_KTQT_v4[[#This Row],[DT-EXW-04]]*KH_26_OPT4_KTQT_v4[[#This Row],[%CPDP]],0)</f>
        <v>0</v>
      </c>
      <c r="DV147" s="132">
        <f>IFERROR(KH_26_OPT4_KTQT_v4[[#This Row],[DT-EXW-05]]*KH_26_OPT4_KTQT_v4[[#This Row],[%CPDP]],0)</f>
        <v>0</v>
      </c>
      <c r="DW147" s="132">
        <f>IFERROR(KH_26_OPT4_KTQT_v4[[#This Row],[DT-EXW-06]]*KH_26_OPT4_KTQT_v4[[#This Row],[%CPDP]],0)</f>
        <v>0</v>
      </c>
      <c r="DX147" s="132">
        <f>IFERROR(KH_26_OPT4_KTQT_v4[[#This Row],[DT-EXW-07]]*KH_26_OPT4_KTQT_v4[[#This Row],[%CPDP]],0)</f>
        <v>0</v>
      </c>
      <c r="DY147" s="132">
        <f>IFERROR(KH_26_OPT4_KTQT_v4[[#This Row],[DT-EXW-08]]*KH_26_OPT4_KTQT_v4[[#This Row],[%CPDP]],0)</f>
        <v>0</v>
      </c>
      <c r="DZ147" s="132">
        <f>IFERROR(KH_26_OPT4_KTQT_v4[[#This Row],[DT-EXW-09]]*KH_26_OPT4_KTQT_v4[[#This Row],[%CPDP]],0)</f>
        <v>0</v>
      </c>
      <c r="EA147" s="132">
        <f>IFERROR(KH_26_OPT4_KTQT_v4[[#This Row],[DT-EXW-10]]*KH_26_OPT4_KTQT_v4[[#This Row],[%CPDP]],0)</f>
        <v>0</v>
      </c>
      <c r="EB147" s="132">
        <f>IFERROR(KH_26_OPT4_KTQT_v4[[#This Row],[DT-EXW-11]]*KH_26_OPT4_KTQT_v4[[#This Row],[%CPDP]],0)</f>
        <v>0</v>
      </c>
      <c r="EC147" s="132">
        <f>IFERROR(KH_26_OPT4_KTQT_v4[[#This Row],[DT-EXW-12]]*KH_26_OPT4_KTQT_v4[[#This Row],[%CPDP]],0)</f>
        <v>0</v>
      </c>
      <c r="ED147" s="131">
        <f ca="1">SUM(KH_26_OPT4_KTQT_v4[[#This Row],[CPDP-01]:[CPDP-12]])</f>
        <v>0</v>
      </c>
    </row>
    <row r="148" spans="1:134" ht="14.65" hidden="1" customHeight="1" x14ac:dyDescent="0.35">
      <c r="A148" s="18">
        <v>143</v>
      </c>
      <c r="B148" s="71" t="s">
        <v>115</v>
      </c>
      <c r="C148" s="18" t="str">
        <f>IFERROR(_xlfn.XLOOKUP(KH_26_OPT4_KTQT_v4[[#This Row],[Salesman]],MD_Salesman[Salesman],MD_Salesman[SalesManager]),"")</f>
        <v>Quốc Anh</v>
      </c>
      <c r="D148" s="72" t="str">
        <f>IFERROR(INDEX(MD_Customer[Mã khách],MATCH(KH_26_OPT4_KTQT_v4[[#This Row],[Tên khách]],MD_Customer[Tên khách-rút gọn],0)),"")</f>
        <v>105327</v>
      </c>
      <c r="E148" s="7" t="str">
        <f>IFERROR(INDEX(MD_Customer[Parent Account],MATCH(KH_26_OPT4_KTQT_v4[[#This Row],[Tên khách]],MD_Customer[Tên khách-rút gọn],0)),"")</f>
        <v>MEGA</v>
      </c>
      <c r="F148" s="35" t="s">
        <v>72</v>
      </c>
      <c r="G148" s="7" t="str">
        <f>IFERROR(INDEX(MD_Customer[Phân loại],MATCH(KH_26_OPT4_KTQT_v4[[#This Row],[Tên khách]],MD_Customer[Tên khách-rút gọn],0)),"")</f>
        <v>Mới</v>
      </c>
      <c r="H148" s="7" t="str">
        <f>IFERROR(INDEX(MD_Customer[Kênh bán hàng],MATCH(KH_26_OPT4_KTQT_v4[[#This Row],[Tên khách]],MD_Customer[Tên khách-rút gọn],0)),"")</f>
        <v>Nội địa</v>
      </c>
      <c r="I148" s="35" t="s">
        <v>261</v>
      </c>
      <c r="J148" s="7" t="str">
        <f>IFERROR(INDEX(MD_Destination[Nước],MATCH(KH_26_OPT4_KTQT_v4[[#This Row],[Địa điểm đến]],MD_Destination[Địa điểm đến],0)),"")</f>
        <v>Việt Nam</v>
      </c>
      <c r="K148" s="7" t="str">
        <f>IFERROR(INDEX(MD_Destination[Khu vực],MATCH(KH_26_OPT4_KTQT_v4[[#This Row],[Địa điểm đến]],MD_Destination[Địa điểm đến],0)),"")</f>
        <v>Châu Á</v>
      </c>
      <c r="L148" s="35" t="s">
        <v>260</v>
      </c>
      <c r="M148" s="7" t="str">
        <f>IFERROR(INDEX(MD_SKU[Mã SKU],MATCH(KH_26_OPT4_KTQT_v4[[#This Row],[Tên sản phẩm]],MD_SKU[Tên SKU-rút gọn],0)),"")</f>
        <v>110000482</v>
      </c>
      <c r="N148" s="35" t="s">
        <v>491</v>
      </c>
      <c r="O148" s="7" t="str">
        <f>IFERROR(INDEX(MD_SKU[Ngành hàng],MATCH(KH_26_OPT4_KTQT_v4[[#This Row],[Tên sản phẩm]],MD_SKU[Tên SKU-rút gọn],0)),"")</f>
        <v>rPP</v>
      </c>
      <c r="P148" s="7" t="str">
        <f>IFERROR(INDEX(MD_SKU[Nhóm ngành],MATCH(KH_26_OPT4_KTQT_v4[[#This Row],[Tên sản phẩm]],MD_SKU[Tên SKU-rút gọn],0)),"")</f>
        <v>Hạt PP</v>
      </c>
      <c r="Q148" s="7" t="str">
        <f>IFERROR(
   IF(INDEX(MD_SKU[IV/IM],MATCH(KH_26_OPT4_KTQT_v4[[#This Row],[Tên sản phẩm]],MD_SKU[Tên SKU-rút gọn],0))=0,
      "",
      INDEX(MD_SKU[IV/IM],MATCH(KH_26_OPT4_KTQT_v4[[#This Row],[Tên sản phẩm]],MD_SKU[Tên SKU-rút gọn],0))
   ),
"")</f>
        <v/>
      </c>
      <c r="R148" s="44">
        <f>IFERROR(INDEX(MD_SKU[Application],MATCH(KH_26_OPT4_KTQT_v4[[#This Row],[Tên sản phẩm]],MD_SKU[Tên SKU-rút gọn],0)),"")</f>
        <v>0</v>
      </c>
      <c r="S148" s="7" t="str">
        <f>IFERROR(INDEX(MD_SKU[Phân loại],MATCH(KH_26_OPT4_KTQT_v4[[#This Row],[Tên sản phẩm]],MD_SKU[Tên SKU-rút gọn],0)),"")</f>
        <v>Cũ</v>
      </c>
      <c r="T148" s="7"/>
      <c r="U148" s="7"/>
      <c r="V148" s="70">
        <v>0.8</v>
      </c>
      <c r="W148" s="33"/>
      <c r="X148" s="93"/>
      <c r="Y148" s="33"/>
      <c r="Z148" s="33"/>
      <c r="AA148" s="33"/>
      <c r="AB148" s="33"/>
      <c r="AC148" s="33"/>
      <c r="AD148" s="33"/>
      <c r="AE148" s="33"/>
      <c r="AF148" s="33"/>
      <c r="AG148" s="33"/>
      <c r="AH148" s="33"/>
      <c r="AI148" s="47">
        <f ca="1">SUM(KH_26_OPT4_KTQT_v4[[#This Row],[SL-01]:[SL-12]])</f>
        <v>0</v>
      </c>
      <c r="AJ148" s="47">
        <f ca="1">SUMIFS(DB_25[SL-DB25],DB_25[Mã khách],KH_26_OPT4_KTQT_v4[[#This Row],[Mã khách]],DB_25[Mã sản phẩm],KH_26_OPT4_KTQT_v4[[#This Row],[Mã sản phẩm]])</f>
        <v>5.0000000000000001E-3</v>
      </c>
      <c r="AK148" s="20">
        <f ca="1">KH_26_OPT4_KTQT_v4[[#This Row],[SL-KH26]]-KH_26_OPT4_KTQT_v4[[#This Row],[SL-DB25]]</f>
        <v>-5.0000000000000001E-3</v>
      </c>
      <c r="AL148" s="21">
        <f ca="1">IFERROR(KH_26_OPT4_KTQT_v4[[#This Row],[SL-+/-]]/KH_26_OPT4_KTQT_v4[[#This Row],[SL-DB25]],0)</f>
        <v>-1</v>
      </c>
      <c r="AM148" s="51">
        <v>700</v>
      </c>
      <c r="AN148" s="51">
        <v>700</v>
      </c>
      <c r="AO148" s="51">
        <v>700</v>
      </c>
      <c r="AP148" s="51">
        <v>700</v>
      </c>
      <c r="AQ148" s="51">
        <v>700</v>
      </c>
      <c r="AR148" s="51">
        <v>700</v>
      </c>
      <c r="AS148" s="51">
        <v>700</v>
      </c>
      <c r="AT148" s="51">
        <v>700</v>
      </c>
      <c r="AU148" s="51">
        <v>700</v>
      </c>
      <c r="AV148" s="51">
        <v>700</v>
      </c>
      <c r="AW148" s="51">
        <v>700</v>
      </c>
      <c r="AX148" s="51">
        <v>700</v>
      </c>
      <c r="AY148" s="23">
        <v>700</v>
      </c>
      <c r="AZ148" s="7"/>
      <c r="BA148" s="24">
        <f>KH_26_OPT4_KTQT_v4[[#This Row],[GB-DB25]]-KH_26_OPT4_KTQT_v4[[#This Row],[GB-KH25]]</f>
        <v>700</v>
      </c>
      <c r="BB148" s="21">
        <f>IFERROR(KH_26_OPT4_KTQT_v4[[#This Row],[GB-+/-]]/KH_26_OPT4_KTQT_v4[[#This Row],[GB-KH25]],0)</f>
        <v>0</v>
      </c>
      <c r="BC148" s="21"/>
      <c r="BD148" s="47">
        <f>KH_26_OPT4_KTQT_v4[[#This Row],[SL-01]]*KH_26_OPT4_KTQT_v4[[#This Row],[GB-01]]*EXR</f>
        <v>0</v>
      </c>
      <c r="BE148" s="47">
        <f>KH_26_OPT4_KTQT_v4[[#This Row],[SL-02]]*KH_26_OPT4_KTQT_v4[[#This Row],[GB-02]]*EXR</f>
        <v>0</v>
      </c>
      <c r="BF148" s="47">
        <f>KH_26_OPT4_KTQT_v4[[#This Row],[SL-03]]*KH_26_OPT4_KTQT_v4[[#This Row],[GB-03]]*EXR</f>
        <v>0</v>
      </c>
      <c r="BG148" s="47">
        <f>KH_26_OPT4_KTQT_v4[[#This Row],[SL-04]]*KH_26_OPT4_KTQT_v4[[#This Row],[GB-04]]*EXR</f>
        <v>0</v>
      </c>
      <c r="BH148" s="47">
        <f>KH_26_OPT4_KTQT_v4[[#This Row],[SL-05]]*KH_26_OPT4_KTQT_v4[[#This Row],[GB-05]]*EXR</f>
        <v>0</v>
      </c>
      <c r="BI148" s="47">
        <f>KH_26_OPT4_KTQT_v4[[#This Row],[SL-06]]*KH_26_OPT4_KTQT_v4[[#This Row],[GB-06]]*EXR</f>
        <v>0</v>
      </c>
      <c r="BJ148" s="47">
        <f>KH_26_OPT4_KTQT_v4[[#This Row],[SL-07]]*KH_26_OPT4_KTQT_v4[[#This Row],[GB-07]]*EXR</f>
        <v>0</v>
      </c>
      <c r="BK148" s="47">
        <f>KH_26_OPT4_KTQT_v4[[#This Row],[SL-08]]*KH_26_OPT4_KTQT_v4[[#This Row],[GB-08]]*EXR</f>
        <v>0</v>
      </c>
      <c r="BL148" s="47">
        <f>KH_26_OPT4_KTQT_v4[[#This Row],[SL-09]]*KH_26_OPT4_KTQT_v4[[#This Row],[GB-09]]*EXR</f>
        <v>0</v>
      </c>
      <c r="BM148" s="47">
        <f>KH_26_OPT4_KTQT_v4[[#This Row],[SL-10]]*KH_26_OPT4_KTQT_v4[[#This Row],[GB-10]]*EXR</f>
        <v>0</v>
      </c>
      <c r="BN148" s="47">
        <f>KH_26_OPT4_KTQT_v4[[#This Row],[SL-11]]*KH_26_OPT4_KTQT_v4[[#This Row],[GB-11]]*EXR</f>
        <v>0</v>
      </c>
      <c r="BO148" s="47">
        <f>KH_26_OPT4_KTQT_v4[[#This Row],[SL-12]]*KH_26_OPT4_KTQT_v4[[#This Row],[GB-12]]*EXR</f>
        <v>0</v>
      </c>
      <c r="BP148" s="47">
        <f ca="1">SUM(KH_26_OPT4_KTQT_v4[[#This Row],[DT-EXW-01]:[DT-EXW-12]])</f>
        <v>0</v>
      </c>
      <c r="BQ148" s="47">
        <f ca="1">SUMIFS(DB_25[DT-DB25],DB_25[Mã khách],KH_26_OPT4_KTQT_v4[[#This Row],[Mã khách]],DB_25[Mã sản phẩm],KH_26_OPT4_KTQT_v4[[#This Row],[Mã sản phẩm]])</f>
        <v>105000</v>
      </c>
      <c r="BR148" s="47">
        <f ca="1">KH_26_OPT4_KTQT_v4[[#This Row],[DT-EXW-KH26]]-KH_26_OPT4_KTQT_v4[[#This Row],[DT-EXW-DB25]]</f>
        <v>-105000</v>
      </c>
      <c r="BS148" s="21">
        <f ca="1">IFERROR(KH_26_OPT4_KTQT_v4[[#This Row],[DT-EXW-+/-]]/KH_26_OPT4_KTQT_v4[[#This Row],[DT-EXW-DB25]],0)</f>
        <v>-1</v>
      </c>
      <c r="BT148" s="139"/>
      <c r="BU148" s="57"/>
      <c r="BV148" s="51"/>
      <c r="BW148" s="47">
        <f>IF(KH_26_OPT4_KTQT_v4[[#This Row],[CPHH-%-SL]]="Dthu",KH_26_OPT4_KTQT_v4[[#This Row],[%HH]]*KH_26_OPT4_KTQT_v4[[#This Row],[DT-EXW-01]],KH_26_OPT4_KTQT_v4[[#This Row],[HH-SL]]*KH_26_OPT4_KTQT_v4[[#This Row],[SL-01]])</f>
        <v>0</v>
      </c>
      <c r="BX148" s="47">
        <f>IF(KH_26_OPT4_KTQT_v4[[#This Row],[CPHH-%-SL]]="Dthu",KH_26_OPT4_KTQT_v4[[#This Row],[%HH]]*KH_26_OPT4_KTQT_v4[[#This Row],[DT-EXW-02]],KH_26_OPT4_KTQT_v4[[#This Row],[HH-SL]]*KH_26_OPT4_KTQT_v4[[#This Row],[SL-02]])</f>
        <v>0</v>
      </c>
      <c r="BY148" s="47">
        <f>IF(KH_26_OPT4_KTQT_v4[[#This Row],[CPHH-%-SL]]="Dthu",KH_26_OPT4_KTQT_v4[[#This Row],[%HH]]*KH_26_OPT4_KTQT_v4[[#This Row],[DT-EXW-03]],KH_26_OPT4_KTQT_v4[[#This Row],[HH-SL]]*KH_26_OPT4_KTQT_v4[[#This Row],[SL-03]])</f>
        <v>0</v>
      </c>
      <c r="BZ148" s="47">
        <f>IF(KH_26_OPT4_KTQT_v4[[#This Row],[CPHH-%-SL]]="Dthu",KH_26_OPT4_KTQT_v4[[#This Row],[%HH]]*KH_26_OPT4_KTQT_v4[[#This Row],[DT-EXW-04]],KH_26_OPT4_KTQT_v4[[#This Row],[HH-SL]]*KH_26_OPT4_KTQT_v4[[#This Row],[SL-04]])</f>
        <v>0</v>
      </c>
      <c r="CA148" s="47">
        <f>IF(KH_26_OPT4_KTQT_v4[[#This Row],[CPHH-%-SL]]="Dthu",KH_26_OPT4_KTQT_v4[[#This Row],[%HH]]*KH_26_OPT4_KTQT_v4[[#This Row],[DT-EXW-05]],KH_26_OPT4_KTQT_v4[[#This Row],[HH-SL]]*KH_26_OPT4_KTQT_v4[[#This Row],[SL-05]])</f>
        <v>0</v>
      </c>
      <c r="CB148" s="47">
        <f>IF(KH_26_OPT4_KTQT_v4[[#This Row],[CPHH-%-SL]]="Dthu",KH_26_OPT4_KTQT_v4[[#This Row],[%HH]]*KH_26_OPT4_KTQT_v4[[#This Row],[DT-EXW-06]],KH_26_OPT4_KTQT_v4[[#This Row],[HH-SL]]*KH_26_OPT4_KTQT_v4[[#This Row],[SL-06]])</f>
        <v>0</v>
      </c>
      <c r="CC148" s="47">
        <f>IF(KH_26_OPT4_KTQT_v4[[#This Row],[CPHH-%-SL]]="Dthu",KH_26_OPT4_KTQT_v4[[#This Row],[%HH]]*KH_26_OPT4_KTQT_v4[[#This Row],[DT-EXW-07]],KH_26_OPT4_KTQT_v4[[#This Row],[HH-SL]]*KH_26_OPT4_KTQT_v4[[#This Row],[SL-07]])</f>
        <v>0</v>
      </c>
      <c r="CD148" s="47">
        <f>IF(KH_26_OPT4_KTQT_v4[[#This Row],[CPHH-%-SL]]="Dthu",KH_26_OPT4_KTQT_v4[[#This Row],[%HH]]*KH_26_OPT4_KTQT_v4[[#This Row],[DT-EXW-08]],KH_26_OPT4_KTQT_v4[[#This Row],[HH-SL]]*KH_26_OPT4_KTQT_v4[[#This Row],[SL-08]])</f>
        <v>0</v>
      </c>
      <c r="CE148" s="47">
        <f>IF(KH_26_OPT4_KTQT_v4[[#This Row],[CPHH-%-SL]]="Dthu",KH_26_OPT4_KTQT_v4[[#This Row],[%HH]]*KH_26_OPT4_KTQT_v4[[#This Row],[DT-EXW-09]],KH_26_OPT4_KTQT_v4[[#This Row],[HH-SL]]*KH_26_OPT4_KTQT_v4[[#This Row],[SL-09]])</f>
        <v>0</v>
      </c>
      <c r="CF148" s="47">
        <f>IF(KH_26_OPT4_KTQT_v4[[#This Row],[CPHH-%-SL]]="Dthu",KH_26_OPT4_KTQT_v4[[#This Row],[%HH]]*KH_26_OPT4_KTQT_v4[[#This Row],[DT-EXW-10]],KH_26_OPT4_KTQT_v4[[#This Row],[HH-SL]]*KH_26_OPT4_KTQT_v4[[#This Row],[SL-10]])</f>
        <v>0</v>
      </c>
      <c r="CG148" s="47">
        <f>IF(KH_26_OPT4_KTQT_v4[[#This Row],[CPHH-%-SL]]="Dthu",KH_26_OPT4_KTQT_v4[[#This Row],[%HH]]*KH_26_OPT4_KTQT_v4[[#This Row],[DT-EXW-11]],KH_26_OPT4_KTQT_v4[[#This Row],[HH-SL]]*KH_26_OPT4_KTQT_v4[[#This Row],[SL-11]])</f>
        <v>0</v>
      </c>
      <c r="CH148" s="47">
        <f>IF(KH_26_OPT4_KTQT_v4[[#This Row],[CPHH-%-SL]]="Dthu",KH_26_OPT4_KTQT_v4[[#This Row],[%HH]]*KH_26_OPT4_KTQT_v4[[#This Row],[DT-EXW-12]],KH_26_OPT4_KTQT_v4[[#This Row],[HH-SL]]*KH_26_OPT4_KTQT_v4[[#This Row],[SL-12]])</f>
        <v>0</v>
      </c>
      <c r="CI148" s="47">
        <f ca="1">SUM(KH_26_OPT4_KTQT_v4[[#This Row],[CPHH-01]:[CPHH-12]])</f>
        <v>0</v>
      </c>
      <c r="CJ148" s="47" cm="1">
        <f t="array" ref="CJ148">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48" s="19">
        <f ca="1">SUM(KH_26_OPT4_KTQT_v4[[#This Row],[ĐGVCNĐ-KXK]:[ĐGVCCT-KXK]])</f>
        <v>0</v>
      </c>
      <c r="CL148" s="47" cm="1">
        <f t="array" ref="CL148">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148" s="47" cm="1">
        <f t="array" ref="CM148">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48" s="47">
        <f ca="1">(KH_26_OPT4_KTQT_v4[[#This Row],[ĐGVC-KNĐ]]+KH_26_OPT4_KTQT_v4[[#This Row],[ĐGVC-KXK]])*KH_26_OPT4_KTQT_v4[[#This Row],[SL-01]]</f>
        <v>0</v>
      </c>
      <c r="CO148" s="47">
        <f ca="1">(KH_26_OPT4_KTQT_v4[[#This Row],[ĐGVC-KNĐ]]+KH_26_OPT4_KTQT_v4[[#This Row],[ĐGVC-KXK]])*KH_26_OPT4_KTQT_v4[[#This Row],[SL-02]]</f>
        <v>0</v>
      </c>
      <c r="CP148" s="47">
        <f ca="1">(KH_26_OPT4_KTQT_v4[[#This Row],[ĐGVC-KNĐ]]+KH_26_OPT4_KTQT_v4[[#This Row],[ĐGVC-KXK]])*KH_26_OPT4_KTQT_v4[[#This Row],[SL-03]]</f>
        <v>0</v>
      </c>
      <c r="CQ148" s="47">
        <f ca="1">(KH_26_OPT4_KTQT_v4[[#This Row],[ĐGVC-KNĐ]]+KH_26_OPT4_KTQT_v4[[#This Row],[ĐGVC-KXK]])*KH_26_OPT4_KTQT_v4[[#This Row],[SL-04]]</f>
        <v>0</v>
      </c>
      <c r="CR148" s="47">
        <f ca="1">(KH_26_OPT4_KTQT_v4[[#This Row],[ĐGVC-KNĐ]]+KH_26_OPT4_KTQT_v4[[#This Row],[ĐGVC-KXK]])*KH_26_OPT4_KTQT_v4[[#This Row],[SL-05]]</f>
        <v>0</v>
      </c>
      <c r="CS148" s="47">
        <f ca="1">(KH_26_OPT4_KTQT_v4[[#This Row],[ĐGVC-KNĐ]]+KH_26_OPT4_KTQT_v4[[#This Row],[ĐGVC-KXK]])*KH_26_OPT4_KTQT_v4[[#This Row],[SL-06]]</f>
        <v>0</v>
      </c>
      <c r="CT148" s="47">
        <f ca="1">(KH_26_OPT4_KTQT_v4[[#This Row],[ĐGVC-KNĐ]]+KH_26_OPT4_KTQT_v4[[#This Row],[ĐGVC-KXK]])*KH_26_OPT4_KTQT_v4[[#This Row],[SL-07]]</f>
        <v>0</v>
      </c>
      <c r="CU148" s="47">
        <f ca="1">(KH_26_OPT4_KTQT_v4[[#This Row],[ĐGVC-KNĐ]]+KH_26_OPT4_KTQT_v4[[#This Row],[ĐGVC-KXK]])*KH_26_OPT4_KTQT_v4[[#This Row],[SL-08]]</f>
        <v>0</v>
      </c>
      <c r="CV148" s="47">
        <f ca="1">(KH_26_OPT4_KTQT_v4[[#This Row],[ĐGVC-KNĐ]]+KH_26_OPT4_KTQT_v4[[#This Row],[ĐGVC-KXK]])*KH_26_OPT4_KTQT_v4[[#This Row],[SL-09]]</f>
        <v>0</v>
      </c>
      <c r="CW148" s="47">
        <f ca="1">(KH_26_OPT4_KTQT_v4[[#This Row],[ĐGVC-KNĐ]]+KH_26_OPT4_KTQT_v4[[#This Row],[ĐGVC-KXK]])*KH_26_OPT4_KTQT_v4[[#This Row],[SL-10]]</f>
        <v>0</v>
      </c>
      <c r="CX148" s="47">
        <f ca="1">(KH_26_OPT4_KTQT_v4[[#This Row],[ĐGVC-KNĐ]]+KH_26_OPT4_KTQT_v4[[#This Row],[ĐGVC-KXK]])*KH_26_OPT4_KTQT_v4[[#This Row],[SL-11]]</f>
        <v>0</v>
      </c>
      <c r="CY148" s="47">
        <f ca="1">(KH_26_OPT4_KTQT_v4[[#This Row],[ĐGVC-KNĐ]]+KH_26_OPT4_KTQT_v4[[#This Row],[ĐGVC-KXK]])*KH_26_OPT4_KTQT_v4[[#This Row],[SL-12]]</f>
        <v>0</v>
      </c>
      <c r="CZ148" s="47">
        <f ca="1">SUM(KH_26_OPT4_KTQT_v4[[#This Row],[CPVC-01]:[CPVC-12]])</f>
        <v>0</v>
      </c>
      <c r="DA148" s="124">
        <f ca="1">KH_26_OPT4_KTQT_v4[[#This Row],[DT-EXW-01]]+KH_26_OPT4_KTQT_v4[[#This Row],[CPVC-01]]+KH_26_OPT4_KTQT_v4[[#This Row],[CPHH-01]]</f>
        <v>0</v>
      </c>
      <c r="DB148" s="47">
        <f ca="1">KH_26_OPT4_KTQT_v4[[#This Row],[DT-EXW-02]]+KH_26_OPT4_KTQT_v4[[#This Row],[CPVC-02]]+KH_26_OPT4_KTQT_v4[[#This Row],[CPHH-02]]</f>
        <v>0</v>
      </c>
      <c r="DC148" s="47">
        <f ca="1">KH_26_OPT4_KTQT_v4[[#This Row],[DT-EXW-03]]+KH_26_OPT4_KTQT_v4[[#This Row],[CPVC-03]]+KH_26_OPT4_KTQT_v4[[#This Row],[CPHH-03]]</f>
        <v>0</v>
      </c>
      <c r="DD148" s="47">
        <f ca="1">KH_26_OPT4_KTQT_v4[[#This Row],[DT-EXW-04]]+KH_26_OPT4_KTQT_v4[[#This Row],[CPVC-04]]+KH_26_OPT4_KTQT_v4[[#This Row],[CPHH-04]]</f>
        <v>0</v>
      </c>
      <c r="DE148" s="47">
        <f ca="1">KH_26_OPT4_KTQT_v4[[#This Row],[DT-EXW-05]]+KH_26_OPT4_KTQT_v4[[#This Row],[CPVC-05]]+KH_26_OPT4_KTQT_v4[[#This Row],[CPHH-05]]</f>
        <v>0</v>
      </c>
      <c r="DF148" s="47">
        <f ca="1">KH_26_OPT4_KTQT_v4[[#This Row],[DT-EXW-06]]+KH_26_OPT4_KTQT_v4[[#This Row],[CPVC-06]]+KH_26_OPT4_KTQT_v4[[#This Row],[CPHH-06]]</f>
        <v>0</v>
      </c>
      <c r="DG148" s="47">
        <f ca="1">KH_26_OPT4_KTQT_v4[[#This Row],[DT-EXW-07]]+KH_26_OPT4_KTQT_v4[[#This Row],[CPVC-07]]+KH_26_OPT4_KTQT_v4[[#This Row],[CPHH-07]]</f>
        <v>0</v>
      </c>
      <c r="DH148" s="47">
        <f ca="1">KH_26_OPT4_KTQT_v4[[#This Row],[DT-EXW-08]]+KH_26_OPT4_KTQT_v4[[#This Row],[CPVC-08]]+KH_26_OPT4_KTQT_v4[[#This Row],[CPHH-08]]</f>
        <v>0</v>
      </c>
      <c r="DI148" s="47">
        <f ca="1">KH_26_OPT4_KTQT_v4[[#This Row],[DT-EXW-09]]+KH_26_OPT4_KTQT_v4[[#This Row],[CPVC-09]]+KH_26_OPT4_KTQT_v4[[#This Row],[CPHH-09]]</f>
        <v>0</v>
      </c>
      <c r="DJ148" s="47">
        <f ca="1">KH_26_OPT4_KTQT_v4[[#This Row],[DT-EXW-10]]+KH_26_OPT4_KTQT_v4[[#This Row],[CPVC-10]]+KH_26_OPT4_KTQT_v4[[#This Row],[CPHH-10]]</f>
        <v>0</v>
      </c>
      <c r="DK148" s="47">
        <f ca="1">KH_26_OPT4_KTQT_v4[[#This Row],[DT-EXW-11]]+KH_26_OPT4_KTQT_v4[[#This Row],[CPVC-11]]+KH_26_OPT4_KTQT_v4[[#This Row],[CPHH-11]]</f>
        <v>0</v>
      </c>
      <c r="DL148" s="47">
        <f ca="1">KH_26_OPT4_KTQT_v4[[#This Row],[DT-EXW-12]]+KH_26_OPT4_KTQT_v4[[#This Row],[CPVC-12]]+KH_26_OPT4_KTQT_v4[[#This Row],[CPHH-12]]</f>
        <v>0</v>
      </c>
      <c r="DM148" s="47">
        <f ca="1">SUM(KH_26_OPT4_KTQT_v4[[#This Row],[DT-01]:[DT-12]])</f>
        <v>0</v>
      </c>
      <c r="DN148" s="7"/>
      <c r="DO148" s="7"/>
      <c r="DP148" s="125"/>
      <c r="DQ148" s="136"/>
      <c r="DR148" s="132">
        <f>IFERROR(KH_26_OPT4_KTQT_v4[[#This Row],[DT-EXW-01]]*KH_26_OPT4_KTQT_v4[[#This Row],[%CPDP]],0)</f>
        <v>0</v>
      </c>
      <c r="DS148" s="132">
        <f>IFERROR(KH_26_OPT4_KTQT_v4[[#This Row],[DT-EXW-02]]*KH_26_OPT4_KTQT_v4[[#This Row],[%CPDP]],0)</f>
        <v>0</v>
      </c>
      <c r="DT148" s="132">
        <f>IFERROR(KH_26_OPT4_KTQT_v4[[#This Row],[DT-EXW-03]]*KH_26_OPT4_KTQT_v4[[#This Row],[%CPDP]],0)</f>
        <v>0</v>
      </c>
      <c r="DU148" s="132">
        <f>IFERROR(KH_26_OPT4_KTQT_v4[[#This Row],[DT-EXW-04]]*KH_26_OPT4_KTQT_v4[[#This Row],[%CPDP]],0)</f>
        <v>0</v>
      </c>
      <c r="DV148" s="132">
        <f>IFERROR(KH_26_OPT4_KTQT_v4[[#This Row],[DT-EXW-05]]*KH_26_OPT4_KTQT_v4[[#This Row],[%CPDP]],0)</f>
        <v>0</v>
      </c>
      <c r="DW148" s="132">
        <f>IFERROR(KH_26_OPT4_KTQT_v4[[#This Row],[DT-EXW-06]]*KH_26_OPT4_KTQT_v4[[#This Row],[%CPDP]],0)</f>
        <v>0</v>
      </c>
      <c r="DX148" s="132">
        <f>IFERROR(KH_26_OPT4_KTQT_v4[[#This Row],[DT-EXW-07]]*KH_26_OPT4_KTQT_v4[[#This Row],[%CPDP]],0)</f>
        <v>0</v>
      </c>
      <c r="DY148" s="132">
        <f>IFERROR(KH_26_OPT4_KTQT_v4[[#This Row],[DT-EXW-08]]*KH_26_OPT4_KTQT_v4[[#This Row],[%CPDP]],0)</f>
        <v>0</v>
      </c>
      <c r="DZ148" s="132">
        <f>IFERROR(KH_26_OPT4_KTQT_v4[[#This Row],[DT-EXW-09]]*KH_26_OPT4_KTQT_v4[[#This Row],[%CPDP]],0)</f>
        <v>0</v>
      </c>
      <c r="EA148" s="132">
        <f>IFERROR(KH_26_OPT4_KTQT_v4[[#This Row],[DT-EXW-10]]*KH_26_OPT4_KTQT_v4[[#This Row],[%CPDP]],0)</f>
        <v>0</v>
      </c>
      <c r="EB148" s="132">
        <f>IFERROR(KH_26_OPT4_KTQT_v4[[#This Row],[DT-EXW-11]]*KH_26_OPT4_KTQT_v4[[#This Row],[%CPDP]],0)</f>
        <v>0</v>
      </c>
      <c r="EC148" s="132">
        <f>IFERROR(KH_26_OPT4_KTQT_v4[[#This Row],[DT-EXW-12]]*KH_26_OPT4_KTQT_v4[[#This Row],[%CPDP]],0)</f>
        <v>0</v>
      </c>
      <c r="ED148" s="131">
        <f ca="1">SUM(KH_26_OPT4_KTQT_v4[[#This Row],[CPDP-01]:[CPDP-12]])</f>
        <v>0</v>
      </c>
    </row>
    <row r="149" spans="1:134" ht="14.65" hidden="1" customHeight="1" x14ac:dyDescent="0.35">
      <c r="A149" s="18">
        <v>144</v>
      </c>
      <c r="B149" s="71" t="s">
        <v>115</v>
      </c>
      <c r="C149" s="18" t="str">
        <f>IFERROR(_xlfn.XLOOKUP(KH_26_OPT4_KTQT_v4[[#This Row],[Salesman]],MD_Salesman[Salesman],MD_Salesman[SalesManager]),"")</f>
        <v>Quốc Anh</v>
      </c>
      <c r="D149" s="72" t="str">
        <f>IFERROR(INDEX(MD_Customer[Mã khách],MATCH(KH_26_OPT4_KTQT_v4[[#This Row],[Tên khách]],MD_Customer[Tên khách-rút gọn],0)),"")</f>
        <v>105329</v>
      </c>
      <c r="E149" s="7" t="str">
        <f>IFERROR(INDEX(MD_Customer[Parent Account],MATCH(KH_26_OPT4_KTQT_v4[[#This Row],[Tên khách]],MD_Customer[Tên khách-rút gọn],0)),"")</f>
        <v>DUROCOLOUR</v>
      </c>
      <c r="F149" s="35" t="s">
        <v>69</v>
      </c>
      <c r="G149" s="7" t="str">
        <f>IFERROR(INDEX(MD_Customer[Phân loại],MATCH(KH_26_OPT4_KTQT_v4[[#This Row],[Tên khách]],MD_Customer[Tên khách-rút gọn],0)),"")</f>
        <v>Mới</v>
      </c>
      <c r="H149" s="7" t="str">
        <f>IFERROR(INDEX(MD_Customer[Kênh bán hàng],MATCH(KH_26_OPT4_KTQT_v4[[#This Row],[Tên khách]],MD_Customer[Tên khách-rút gọn],0)),"")</f>
        <v>Nội địa</v>
      </c>
      <c r="I149" s="35" t="s">
        <v>268</v>
      </c>
      <c r="J149" s="7" t="str">
        <f>IFERROR(INDEX(MD_Destination[Nước],MATCH(KH_26_OPT4_KTQT_v4[[#This Row],[Địa điểm đến]],MD_Destination[Địa điểm đến],0)),"")</f>
        <v>Việt Nam</v>
      </c>
      <c r="K149" s="7" t="str">
        <f>IFERROR(INDEX(MD_Destination[Khu vực],MATCH(KH_26_OPT4_KTQT_v4[[#This Row],[Địa điểm đến]],MD_Destination[Địa điểm đến],0)),"")</f>
        <v>Châu Á</v>
      </c>
      <c r="L149" s="35" t="s">
        <v>262</v>
      </c>
      <c r="M149" s="7" t="str">
        <f>IFERROR(INDEX(MD_SKU[Mã SKU],MATCH(KH_26_OPT4_KTQT_v4[[#This Row],[Tên sản phẩm]],MD_SKU[Tên SKU-rút gọn],0)),"")</f>
        <v>110000392</v>
      </c>
      <c r="N149" s="35" t="s">
        <v>485</v>
      </c>
      <c r="O149" s="7" t="str">
        <f>IFERROR(INDEX(MD_SKU[Ngành hàng],MATCH(KH_26_OPT4_KTQT_v4[[#This Row],[Tên sản phẩm]],MD_SKU[Tên SKU-rút gọn],0)),"")</f>
        <v>rPP</v>
      </c>
      <c r="P149" s="7" t="str">
        <f>IFERROR(INDEX(MD_SKU[Nhóm ngành],MATCH(KH_26_OPT4_KTQT_v4[[#This Row],[Tên sản phẩm]],MD_SKU[Tên SKU-rút gọn],0)),"")</f>
        <v>Hạt PP</v>
      </c>
      <c r="Q149" s="7" t="str">
        <f>IFERROR(
   IF(INDEX(MD_SKU[IV/IM],MATCH(KH_26_OPT4_KTQT_v4[[#This Row],[Tên sản phẩm]],MD_SKU[Tên SKU-rút gọn],0))=0,
      "",
      INDEX(MD_SKU[IV/IM],MATCH(KH_26_OPT4_KTQT_v4[[#This Row],[Tên sản phẩm]],MD_SKU[Tên SKU-rút gọn],0))
   ),
"")</f>
        <v/>
      </c>
      <c r="R149" s="44">
        <f>IFERROR(INDEX(MD_SKU[Application],MATCH(KH_26_OPT4_KTQT_v4[[#This Row],[Tên sản phẩm]],MD_SKU[Tên SKU-rút gọn],0)),"")</f>
        <v>0</v>
      </c>
      <c r="S149" s="7" t="str">
        <f>IFERROR(INDEX(MD_SKU[Phân loại],MATCH(KH_26_OPT4_KTQT_v4[[#This Row],[Tên sản phẩm]],MD_SKU[Tên SKU-rút gọn],0)),"")</f>
        <v>Cũ</v>
      </c>
      <c r="T149" s="7" t="s">
        <v>542</v>
      </c>
      <c r="U149" s="7"/>
      <c r="V149" s="70">
        <v>0.8</v>
      </c>
      <c r="W149" s="33"/>
      <c r="X149" s="33"/>
      <c r="Y149" s="33"/>
      <c r="Z149" s="33"/>
      <c r="AA149" s="33"/>
      <c r="AB149" s="33"/>
      <c r="AC149" s="33"/>
      <c r="AD149" s="33"/>
      <c r="AE149" s="33"/>
      <c r="AF149" s="33"/>
      <c r="AG149" s="33"/>
      <c r="AH149" s="33"/>
      <c r="AI149" s="47">
        <f ca="1">SUM(KH_26_OPT4_KTQT_v4[[#This Row],[SL-01]:[SL-12]])</f>
        <v>0</v>
      </c>
      <c r="AJ149" s="47">
        <f ca="1">SUMIFS(DB_25[SL-DB25],DB_25[Mã khách],KH_26_OPT4_KTQT_v4[[#This Row],[Mã khách]],DB_25[Mã sản phẩm],KH_26_OPT4_KTQT_v4[[#This Row],[Mã sản phẩm]])</f>
        <v>0.1</v>
      </c>
      <c r="AK149" s="20">
        <f ca="1">KH_26_OPT4_KTQT_v4[[#This Row],[SL-KH26]]-KH_26_OPT4_KTQT_v4[[#This Row],[SL-DB25]]</f>
        <v>-0.1</v>
      </c>
      <c r="AL149" s="21">
        <f ca="1">IFERROR(KH_26_OPT4_KTQT_v4[[#This Row],[SL-+/-]]/KH_26_OPT4_KTQT_v4[[#This Row],[SL-DB25]],0)</f>
        <v>-1</v>
      </c>
      <c r="AM149" s="51">
        <v>825</v>
      </c>
      <c r="AN149" s="51">
        <v>825</v>
      </c>
      <c r="AO149" s="51">
        <v>825</v>
      </c>
      <c r="AP149" s="51">
        <v>825</v>
      </c>
      <c r="AQ149" s="51">
        <v>825</v>
      </c>
      <c r="AR149" s="51">
        <v>825</v>
      </c>
      <c r="AS149" s="51">
        <v>825</v>
      </c>
      <c r="AT149" s="51">
        <v>825</v>
      </c>
      <c r="AU149" s="51">
        <v>825</v>
      </c>
      <c r="AV149" s="51">
        <v>825</v>
      </c>
      <c r="AW149" s="51">
        <v>825</v>
      </c>
      <c r="AX149" s="51">
        <v>825</v>
      </c>
      <c r="AY149" s="23">
        <v>825</v>
      </c>
      <c r="AZ149" s="7"/>
      <c r="BA149" s="24">
        <f>KH_26_OPT4_KTQT_v4[[#This Row],[GB-DB25]]-KH_26_OPT4_KTQT_v4[[#This Row],[GB-KH25]]</f>
        <v>825</v>
      </c>
      <c r="BB149" s="21">
        <f>IFERROR(KH_26_OPT4_KTQT_v4[[#This Row],[GB-+/-]]/KH_26_OPT4_KTQT_v4[[#This Row],[GB-KH25]],0)</f>
        <v>0</v>
      </c>
      <c r="BC149" s="21"/>
      <c r="BD149" s="47">
        <f>KH_26_OPT4_KTQT_v4[[#This Row],[SL-01]]*KH_26_OPT4_KTQT_v4[[#This Row],[GB-01]]*EXR</f>
        <v>0</v>
      </c>
      <c r="BE149" s="47">
        <f>KH_26_OPT4_KTQT_v4[[#This Row],[SL-02]]*KH_26_OPT4_KTQT_v4[[#This Row],[GB-02]]*EXR</f>
        <v>0</v>
      </c>
      <c r="BF149" s="47">
        <f>KH_26_OPT4_KTQT_v4[[#This Row],[SL-03]]*KH_26_OPT4_KTQT_v4[[#This Row],[GB-03]]*EXR</f>
        <v>0</v>
      </c>
      <c r="BG149" s="47">
        <f>KH_26_OPT4_KTQT_v4[[#This Row],[SL-04]]*KH_26_OPT4_KTQT_v4[[#This Row],[GB-04]]*EXR</f>
        <v>0</v>
      </c>
      <c r="BH149" s="47">
        <f>KH_26_OPT4_KTQT_v4[[#This Row],[SL-05]]*KH_26_OPT4_KTQT_v4[[#This Row],[GB-05]]*EXR</f>
        <v>0</v>
      </c>
      <c r="BI149" s="47">
        <f>KH_26_OPT4_KTQT_v4[[#This Row],[SL-06]]*KH_26_OPT4_KTQT_v4[[#This Row],[GB-06]]*EXR</f>
        <v>0</v>
      </c>
      <c r="BJ149" s="47">
        <f>KH_26_OPT4_KTQT_v4[[#This Row],[SL-07]]*KH_26_OPT4_KTQT_v4[[#This Row],[GB-07]]*EXR</f>
        <v>0</v>
      </c>
      <c r="BK149" s="47">
        <f>KH_26_OPT4_KTQT_v4[[#This Row],[SL-08]]*KH_26_OPT4_KTQT_v4[[#This Row],[GB-08]]*EXR</f>
        <v>0</v>
      </c>
      <c r="BL149" s="47">
        <f>KH_26_OPT4_KTQT_v4[[#This Row],[SL-09]]*KH_26_OPT4_KTQT_v4[[#This Row],[GB-09]]*EXR</f>
        <v>0</v>
      </c>
      <c r="BM149" s="47">
        <f>KH_26_OPT4_KTQT_v4[[#This Row],[SL-10]]*KH_26_OPT4_KTQT_v4[[#This Row],[GB-10]]*EXR</f>
        <v>0</v>
      </c>
      <c r="BN149" s="47">
        <f>KH_26_OPT4_KTQT_v4[[#This Row],[SL-11]]*KH_26_OPT4_KTQT_v4[[#This Row],[GB-11]]*EXR</f>
        <v>0</v>
      </c>
      <c r="BO149" s="47">
        <f>KH_26_OPT4_KTQT_v4[[#This Row],[SL-12]]*KH_26_OPT4_KTQT_v4[[#This Row],[GB-12]]*EXR</f>
        <v>0</v>
      </c>
      <c r="BP149" s="47">
        <f ca="1">SUM(KH_26_OPT4_KTQT_v4[[#This Row],[DT-EXW-01]:[DT-EXW-12]])</f>
        <v>0</v>
      </c>
      <c r="BQ149" s="47">
        <f ca="1">SUMIFS(DB_25[DT-DB25],DB_25[Mã khách],KH_26_OPT4_KTQT_v4[[#This Row],[Mã khách]],DB_25[Mã sản phẩm],KH_26_OPT4_KTQT_v4[[#This Row],[Mã sản phẩm]])</f>
        <v>1955000</v>
      </c>
      <c r="BR149" s="47">
        <f ca="1">KH_26_OPT4_KTQT_v4[[#This Row],[DT-EXW-KH26]]-KH_26_OPT4_KTQT_v4[[#This Row],[DT-EXW-DB25]]</f>
        <v>-1955000</v>
      </c>
      <c r="BS149" s="21">
        <f ca="1">IFERROR(KH_26_OPT4_KTQT_v4[[#This Row],[DT-EXW-+/-]]/KH_26_OPT4_KTQT_v4[[#This Row],[DT-EXW-DB25]],0)</f>
        <v>-1</v>
      </c>
      <c r="BT149" s="139"/>
      <c r="BU149" s="57"/>
      <c r="BV149" s="51"/>
      <c r="BW149" s="47">
        <f>IF(KH_26_OPT4_KTQT_v4[[#This Row],[CPHH-%-SL]]="Dthu",KH_26_OPT4_KTQT_v4[[#This Row],[%HH]]*KH_26_OPT4_KTQT_v4[[#This Row],[DT-EXW-01]],KH_26_OPT4_KTQT_v4[[#This Row],[HH-SL]]*KH_26_OPT4_KTQT_v4[[#This Row],[SL-01]])</f>
        <v>0</v>
      </c>
      <c r="BX149" s="47">
        <f>IF(KH_26_OPT4_KTQT_v4[[#This Row],[CPHH-%-SL]]="Dthu",KH_26_OPT4_KTQT_v4[[#This Row],[%HH]]*KH_26_OPT4_KTQT_v4[[#This Row],[DT-EXW-02]],KH_26_OPT4_KTQT_v4[[#This Row],[HH-SL]]*KH_26_OPT4_KTQT_v4[[#This Row],[SL-02]])</f>
        <v>0</v>
      </c>
      <c r="BY149" s="47">
        <f>IF(KH_26_OPT4_KTQT_v4[[#This Row],[CPHH-%-SL]]="Dthu",KH_26_OPT4_KTQT_v4[[#This Row],[%HH]]*KH_26_OPT4_KTQT_v4[[#This Row],[DT-EXW-03]],KH_26_OPT4_KTQT_v4[[#This Row],[HH-SL]]*KH_26_OPT4_KTQT_v4[[#This Row],[SL-03]])</f>
        <v>0</v>
      </c>
      <c r="BZ149" s="47">
        <f>IF(KH_26_OPT4_KTQT_v4[[#This Row],[CPHH-%-SL]]="Dthu",KH_26_OPT4_KTQT_v4[[#This Row],[%HH]]*KH_26_OPT4_KTQT_v4[[#This Row],[DT-EXW-04]],KH_26_OPT4_KTQT_v4[[#This Row],[HH-SL]]*KH_26_OPT4_KTQT_v4[[#This Row],[SL-04]])</f>
        <v>0</v>
      </c>
      <c r="CA149" s="47">
        <f>IF(KH_26_OPT4_KTQT_v4[[#This Row],[CPHH-%-SL]]="Dthu",KH_26_OPT4_KTQT_v4[[#This Row],[%HH]]*KH_26_OPT4_KTQT_v4[[#This Row],[DT-EXW-05]],KH_26_OPT4_KTQT_v4[[#This Row],[HH-SL]]*KH_26_OPT4_KTQT_v4[[#This Row],[SL-05]])</f>
        <v>0</v>
      </c>
      <c r="CB149" s="47">
        <f>IF(KH_26_OPT4_KTQT_v4[[#This Row],[CPHH-%-SL]]="Dthu",KH_26_OPT4_KTQT_v4[[#This Row],[%HH]]*KH_26_OPT4_KTQT_v4[[#This Row],[DT-EXW-06]],KH_26_OPT4_KTQT_v4[[#This Row],[HH-SL]]*KH_26_OPT4_KTQT_v4[[#This Row],[SL-06]])</f>
        <v>0</v>
      </c>
      <c r="CC149" s="47">
        <f>IF(KH_26_OPT4_KTQT_v4[[#This Row],[CPHH-%-SL]]="Dthu",KH_26_OPT4_KTQT_v4[[#This Row],[%HH]]*KH_26_OPT4_KTQT_v4[[#This Row],[DT-EXW-07]],KH_26_OPT4_KTQT_v4[[#This Row],[HH-SL]]*KH_26_OPT4_KTQT_v4[[#This Row],[SL-07]])</f>
        <v>0</v>
      </c>
      <c r="CD149" s="47">
        <f>IF(KH_26_OPT4_KTQT_v4[[#This Row],[CPHH-%-SL]]="Dthu",KH_26_OPT4_KTQT_v4[[#This Row],[%HH]]*KH_26_OPT4_KTQT_v4[[#This Row],[DT-EXW-08]],KH_26_OPT4_KTQT_v4[[#This Row],[HH-SL]]*KH_26_OPT4_KTQT_v4[[#This Row],[SL-08]])</f>
        <v>0</v>
      </c>
      <c r="CE149" s="47">
        <f>IF(KH_26_OPT4_KTQT_v4[[#This Row],[CPHH-%-SL]]="Dthu",KH_26_OPT4_KTQT_v4[[#This Row],[%HH]]*KH_26_OPT4_KTQT_v4[[#This Row],[DT-EXW-09]],KH_26_OPT4_KTQT_v4[[#This Row],[HH-SL]]*KH_26_OPT4_KTQT_v4[[#This Row],[SL-09]])</f>
        <v>0</v>
      </c>
      <c r="CF149" s="47">
        <f>IF(KH_26_OPT4_KTQT_v4[[#This Row],[CPHH-%-SL]]="Dthu",KH_26_OPT4_KTQT_v4[[#This Row],[%HH]]*KH_26_OPT4_KTQT_v4[[#This Row],[DT-EXW-10]],KH_26_OPT4_KTQT_v4[[#This Row],[HH-SL]]*KH_26_OPT4_KTQT_v4[[#This Row],[SL-10]])</f>
        <v>0</v>
      </c>
      <c r="CG149" s="47">
        <f>IF(KH_26_OPT4_KTQT_v4[[#This Row],[CPHH-%-SL]]="Dthu",KH_26_OPT4_KTQT_v4[[#This Row],[%HH]]*KH_26_OPT4_KTQT_v4[[#This Row],[DT-EXW-11]],KH_26_OPT4_KTQT_v4[[#This Row],[HH-SL]]*KH_26_OPT4_KTQT_v4[[#This Row],[SL-11]])</f>
        <v>0</v>
      </c>
      <c r="CH149" s="47">
        <f>IF(KH_26_OPT4_KTQT_v4[[#This Row],[CPHH-%-SL]]="Dthu",KH_26_OPT4_KTQT_v4[[#This Row],[%HH]]*KH_26_OPT4_KTQT_v4[[#This Row],[DT-EXW-12]],KH_26_OPT4_KTQT_v4[[#This Row],[HH-SL]]*KH_26_OPT4_KTQT_v4[[#This Row],[SL-12]])</f>
        <v>0</v>
      </c>
      <c r="CI149" s="47">
        <f ca="1">SUM(KH_26_OPT4_KTQT_v4[[#This Row],[CPHH-01]:[CPHH-12]])</f>
        <v>0</v>
      </c>
      <c r="CJ149" s="47" cm="1">
        <f t="array" ref="CJ149">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49" s="19">
        <f ca="1">SUM(KH_26_OPT4_KTQT_v4[[#This Row],[ĐGVCNĐ-KXK]:[ĐGVCCT-KXK]])</f>
        <v>0</v>
      </c>
      <c r="CL149" s="47" cm="1">
        <f t="array" ref="CL149">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149" s="47" cm="1">
        <f t="array" ref="CM149">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49" s="47">
        <f ca="1">(KH_26_OPT4_KTQT_v4[[#This Row],[ĐGVC-KNĐ]]+KH_26_OPT4_KTQT_v4[[#This Row],[ĐGVC-KXK]])*KH_26_OPT4_KTQT_v4[[#This Row],[SL-01]]</f>
        <v>0</v>
      </c>
      <c r="CO149" s="47">
        <f ca="1">(KH_26_OPT4_KTQT_v4[[#This Row],[ĐGVC-KNĐ]]+KH_26_OPT4_KTQT_v4[[#This Row],[ĐGVC-KXK]])*KH_26_OPT4_KTQT_v4[[#This Row],[SL-02]]</f>
        <v>0</v>
      </c>
      <c r="CP149" s="47">
        <f ca="1">(KH_26_OPT4_KTQT_v4[[#This Row],[ĐGVC-KNĐ]]+KH_26_OPT4_KTQT_v4[[#This Row],[ĐGVC-KXK]])*KH_26_OPT4_KTQT_v4[[#This Row],[SL-03]]</f>
        <v>0</v>
      </c>
      <c r="CQ149" s="47">
        <f ca="1">(KH_26_OPT4_KTQT_v4[[#This Row],[ĐGVC-KNĐ]]+KH_26_OPT4_KTQT_v4[[#This Row],[ĐGVC-KXK]])*KH_26_OPT4_KTQT_v4[[#This Row],[SL-04]]</f>
        <v>0</v>
      </c>
      <c r="CR149" s="47">
        <f ca="1">(KH_26_OPT4_KTQT_v4[[#This Row],[ĐGVC-KNĐ]]+KH_26_OPT4_KTQT_v4[[#This Row],[ĐGVC-KXK]])*KH_26_OPT4_KTQT_v4[[#This Row],[SL-05]]</f>
        <v>0</v>
      </c>
      <c r="CS149" s="47">
        <f ca="1">(KH_26_OPT4_KTQT_v4[[#This Row],[ĐGVC-KNĐ]]+KH_26_OPT4_KTQT_v4[[#This Row],[ĐGVC-KXK]])*KH_26_OPT4_KTQT_v4[[#This Row],[SL-06]]</f>
        <v>0</v>
      </c>
      <c r="CT149" s="47">
        <f ca="1">(KH_26_OPT4_KTQT_v4[[#This Row],[ĐGVC-KNĐ]]+KH_26_OPT4_KTQT_v4[[#This Row],[ĐGVC-KXK]])*KH_26_OPT4_KTQT_v4[[#This Row],[SL-07]]</f>
        <v>0</v>
      </c>
      <c r="CU149" s="47">
        <f ca="1">(KH_26_OPT4_KTQT_v4[[#This Row],[ĐGVC-KNĐ]]+KH_26_OPT4_KTQT_v4[[#This Row],[ĐGVC-KXK]])*KH_26_OPT4_KTQT_v4[[#This Row],[SL-08]]</f>
        <v>0</v>
      </c>
      <c r="CV149" s="47">
        <f ca="1">(KH_26_OPT4_KTQT_v4[[#This Row],[ĐGVC-KNĐ]]+KH_26_OPT4_KTQT_v4[[#This Row],[ĐGVC-KXK]])*KH_26_OPT4_KTQT_v4[[#This Row],[SL-09]]</f>
        <v>0</v>
      </c>
      <c r="CW149" s="47">
        <f ca="1">(KH_26_OPT4_KTQT_v4[[#This Row],[ĐGVC-KNĐ]]+KH_26_OPT4_KTQT_v4[[#This Row],[ĐGVC-KXK]])*KH_26_OPT4_KTQT_v4[[#This Row],[SL-10]]</f>
        <v>0</v>
      </c>
      <c r="CX149" s="47">
        <f ca="1">(KH_26_OPT4_KTQT_v4[[#This Row],[ĐGVC-KNĐ]]+KH_26_OPT4_KTQT_v4[[#This Row],[ĐGVC-KXK]])*KH_26_OPT4_KTQT_v4[[#This Row],[SL-11]]</f>
        <v>0</v>
      </c>
      <c r="CY149" s="47">
        <f ca="1">(KH_26_OPT4_KTQT_v4[[#This Row],[ĐGVC-KNĐ]]+KH_26_OPT4_KTQT_v4[[#This Row],[ĐGVC-KXK]])*KH_26_OPT4_KTQT_v4[[#This Row],[SL-12]]</f>
        <v>0</v>
      </c>
      <c r="CZ149" s="47">
        <f ca="1">SUM(KH_26_OPT4_KTQT_v4[[#This Row],[CPVC-01]:[CPVC-12]])</f>
        <v>0</v>
      </c>
      <c r="DA149" s="124">
        <f ca="1">KH_26_OPT4_KTQT_v4[[#This Row],[DT-EXW-01]]+KH_26_OPT4_KTQT_v4[[#This Row],[CPVC-01]]+KH_26_OPT4_KTQT_v4[[#This Row],[CPHH-01]]</f>
        <v>0</v>
      </c>
      <c r="DB149" s="47">
        <f ca="1">KH_26_OPT4_KTQT_v4[[#This Row],[DT-EXW-02]]+KH_26_OPT4_KTQT_v4[[#This Row],[CPVC-02]]+KH_26_OPT4_KTQT_v4[[#This Row],[CPHH-02]]</f>
        <v>0</v>
      </c>
      <c r="DC149" s="47">
        <f ca="1">KH_26_OPT4_KTQT_v4[[#This Row],[DT-EXW-03]]+KH_26_OPT4_KTQT_v4[[#This Row],[CPVC-03]]+KH_26_OPT4_KTQT_v4[[#This Row],[CPHH-03]]</f>
        <v>0</v>
      </c>
      <c r="DD149" s="47">
        <f ca="1">KH_26_OPT4_KTQT_v4[[#This Row],[DT-EXW-04]]+KH_26_OPT4_KTQT_v4[[#This Row],[CPVC-04]]+KH_26_OPT4_KTQT_v4[[#This Row],[CPHH-04]]</f>
        <v>0</v>
      </c>
      <c r="DE149" s="47">
        <f ca="1">KH_26_OPT4_KTQT_v4[[#This Row],[DT-EXW-05]]+KH_26_OPT4_KTQT_v4[[#This Row],[CPVC-05]]+KH_26_OPT4_KTQT_v4[[#This Row],[CPHH-05]]</f>
        <v>0</v>
      </c>
      <c r="DF149" s="47">
        <f ca="1">KH_26_OPT4_KTQT_v4[[#This Row],[DT-EXW-06]]+KH_26_OPT4_KTQT_v4[[#This Row],[CPVC-06]]+KH_26_OPT4_KTQT_v4[[#This Row],[CPHH-06]]</f>
        <v>0</v>
      </c>
      <c r="DG149" s="47">
        <f ca="1">KH_26_OPT4_KTQT_v4[[#This Row],[DT-EXW-07]]+KH_26_OPT4_KTQT_v4[[#This Row],[CPVC-07]]+KH_26_OPT4_KTQT_v4[[#This Row],[CPHH-07]]</f>
        <v>0</v>
      </c>
      <c r="DH149" s="47">
        <f ca="1">KH_26_OPT4_KTQT_v4[[#This Row],[DT-EXW-08]]+KH_26_OPT4_KTQT_v4[[#This Row],[CPVC-08]]+KH_26_OPT4_KTQT_v4[[#This Row],[CPHH-08]]</f>
        <v>0</v>
      </c>
      <c r="DI149" s="47">
        <f ca="1">KH_26_OPT4_KTQT_v4[[#This Row],[DT-EXW-09]]+KH_26_OPT4_KTQT_v4[[#This Row],[CPVC-09]]+KH_26_OPT4_KTQT_v4[[#This Row],[CPHH-09]]</f>
        <v>0</v>
      </c>
      <c r="DJ149" s="47">
        <f ca="1">KH_26_OPT4_KTQT_v4[[#This Row],[DT-EXW-10]]+KH_26_OPT4_KTQT_v4[[#This Row],[CPVC-10]]+KH_26_OPT4_KTQT_v4[[#This Row],[CPHH-10]]</f>
        <v>0</v>
      </c>
      <c r="DK149" s="47">
        <f ca="1">KH_26_OPT4_KTQT_v4[[#This Row],[DT-EXW-11]]+KH_26_OPT4_KTQT_v4[[#This Row],[CPVC-11]]+KH_26_OPT4_KTQT_v4[[#This Row],[CPHH-11]]</f>
        <v>0</v>
      </c>
      <c r="DL149" s="47">
        <f ca="1">KH_26_OPT4_KTQT_v4[[#This Row],[DT-EXW-12]]+KH_26_OPT4_KTQT_v4[[#This Row],[CPVC-12]]+KH_26_OPT4_KTQT_v4[[#This Row],[CPHH-12]]</f>
        <v>0</v>
      </c>
      <c r="DM149" s="47">
        <f ca="1">SUM(KH_26_OPT4_KTQT_v4[[#This Row],[DT-01]:[DT-12]])</f>
        <v>0</v>
      </c>
      <c r="DN149" s="7"/>
      <c r="DO149" s="7"/>
      <c r="DP149" s="125"/>
      <c r="DQ149" s="136"/>
      <c r="DR149" s="132">
        <f>IFERROR(KH_26_OPT4_KTQT_v4[[#This Row],[DT-EXW-01]]*KH_26_OPT4_KTQT_v4[[#This Row],[%CPDP]],0)</f>
        <v>0</v>
      </c>
      <c r="DS149" s="132">
        <f>IFERROR(KH_26_OPT4_KTQT_v4[[#This Row],[DT-EXW-02]]*KH_26_OPT4_KTQT_v4[[#This Row],[%CPDP]],0)</f>
        <v>0</v>
      </c>
      <c r="DT149" s="132">
        <f>IFERROR(KH_26_OPT4_KTQT_v4[[#This Row],[DT-EXW-03]]*KH_26_OPT4_KTQT_v4[[#This Row],[%CPDP]],0)</f>
        <v>0</v>
      </c>
      <c r="DU149" s="132">
        <f>IFERROR(KH_26_OPT4_KTQT_v4[[#This Row],[DT-EXW-04]]*KH_26_OPT4_KTQT_v4[[#This Row],[%CPDP]],0)</f>
        <v>0</v>
      </c>
      <c r="DV149" s="132">
        <f>IFERROR(KH_26_OPT4_KTQT_v4[[#This Row],[DT-EXW-05]]*KH_26_OPT4_KTQT_v4[[#This Row],[%CPDP]],0)</f>
        <v>0</v>
      </c>
      <c r="DW149" s="132">
        <f>IFERROR(KH_26_OPT4_KTQT_v4[[#This Row],[DT-EXW-06]]*KH_26_OPT4_KTQT_v4[[#This Row],[%CPDP]],0)</f>
        <v>0</v>
      </c>
      <c r="DX149" s="132">
        <f>IFERROR(KH_26_OPT4_KTQT_v4[[#This Row],[DT-EXW-07]]*KH_26_OPT4_KTQT_v4[[#This Row],[%CPDP]],0)</f>
        <v>0</v>
      </c>
      <c r="DY149" s="132">
        <f>IFERROR(KH_26_OPT4_KTQT_v4[[#This Row],[DT-EXW-08]]*KH_26_OPT4_KTQT_v4[[#This Row],[%CPDP]],0)</f>
        <v>0</v>
      </c>
      <c r="DZ149" s="132">
        <f>IFERROR(KH_26_OPT4_KTQT_v4[[#This Row],[DT-EXW-09]]*KH_26_OPT4_KTQT_v4[[#This Row],[%CPDP]],0)</f>
        <v>0</v>
      </c>
      <c r="EA149" s="132">
        <f>IFERROR(KH_26_OPT4_KTQT_v4[[#This Row],[DT-EXW-10]]*KH_26_OPT4_KTQT_v4[[#This Row],[%CPDP]],0)</f>
        <v>0</v>
      </c>
      <c r="EB149" s="132">
        <f>IFERROR(KH_26_OPT4_KTQT_v4[[#This Row],[DT-EXW-11]]*KH_26_OPT4_KTQT_v4[[#This Row],[%CPDP]],0)</f>
        <v>0</v>
      </c>
      <c r="EC149" s="132">
        <f>IFERROR(KH_26_OPT4_KTQT_v4[[#This Row],[DT-EXW-12]]*KH_26_OPT4_KTQT_v4[[#This Row],[%CPDP]],0)</f>
        <v>0</v>
      </c>
      <c r="ED149" s="131">
        <f ca="1">SUM(KH_26_OPT4_KTQT_v4[[#This Row],[CPDP-01]:[CPDP-12]])</f>
        <v>0</v>
      </c>
    </row>
    <row r="150" spans="1:134" ht="14.65" hidden="1" customHeight="1" x14ac:dyDescent="0.35">
      <c r="A150" s="18">
        <v>145</v>
      </c>
      <c r="B150" s="71" t="s">
        <v>115</v>
      </c>
      <c r="C150" s="18" t="str">
        <f>IFERROR(_xlfn.XLOOKUP(KH_26_OPT4_KTQT_v4[[#This Row],[Salesman]],MD_Salesman[Salesman],MD_Salesman[SalesManager]),"")</f>
        <v>Quốc Anh</v>
      </c>
      <c r="D150" s="72" t="str">
        <f>IFERROR(INDEX(MD_Customer[Mã khách],MATCH(KH_26_OPT4_KTQT_v4[[#This Row],[Tên khách]],MD_Customer[Tên khách-rút gọn],0)),"")</f>
        <v>105330</v>
      </c>
      <c r="E150" s="7" t="str">
        <f>IFERROR(INDEX(MD_Customer[Parent Account],MATCH(KH_26_OPT4_KTQT_v4[[#This Row],[Tên khách]],MD_Customer[Tên khách-rút gọn],0)),"")</f>
        <v>Việt Thành Plast</v>
      </c>
      <c r="F150" s="35" t="s">
        <v>106</v>
      </c>
      <c r="G150" s="7" t="str">
        <f>IFERROR(INDEX(MD_Customer[Phân loại],MATCH(KH_26_OPT4_KTQT_v4[[#This Row],[Tên khách]],MD_Customer[Tên khách-rút gọn],0)),"")</f>
        <v>Hiện hữu</v>
      </c>
      <c r="H150" s="7" t="str">
        <f>IFERROR(INDEX(MD_Customer[Kênh bán hàng],MATCH(KH_26_OPT4_KTQT_v4[[#This Row],[Tên khách]],MD_Customer[Tên khách-rút gọn],0)),"")</f>
        <v>Nội địa</v>
      </c>
      <c r="I150" s="35" t="s">
        <v>258</v>
      </c>
      <c r="J150" s="7" t="str">
        <f>IFERROR(INDEX(MD_Destination[Nước],MATCH(KH_26_OPT4_KTQT_v4[[#This Row],[Địa điểm đến]],MD_Destination[Địa điểm đến],0)),"")</f>
        <v>Việt Nam</v>
      </c>
      <c r="K150" s="7" t="str">
        <f>IFERROR(INDEX(MD_Destination[Khu vực],MATCH(KH_26_OPT4_KTQT_v4[[#This Row],[Địa điểm đến]],MD_Destination[Địa điểm đến],0)),"")</f>
        <v>Châu Á</v>
      </c>
      <c r="L150" s="35" t="s">
        <v>262</v>
      </c>
      <c r="M150" s="7" t="str">
        <f>IFERROR(INDEX(MD_SKU[Mã SKU],MATCH(KH_26_OPT4_KTQT_v4[[#This Row],[Tên sản phẩm]],MD_SKU[Tên SKU-rút gọn],0)),"")</f>
        <v>110000355</v>
      </c>
      <c r="N150" s="35" t="s">
        <v>469</v>
      </c>
      <c r="O150" s="7" t="str">
        <f>IFERROR(INDEX(MD_SKU[Ngành hàng],MATCH(KH_26_OPT4_KTQT_v4[[#This Row],[Tên sản phẩm]],MD_SKU[Tên SKU-rút gọn],0)),"")</f>
        <v>rPET</v>
      </c>
      <c r="P150" s="7" t="str">
        <f>IFERROR(INDEX(MD_SKU[Nhóm ngành],MATCH(KH_26_OPT4_KTQT_v4[[#This Row],[Tên sản phẩm]],MD_SKU[Tên SKU-rút gọn],0)),"")</f>
        <v>Hạt PET</v>
      </c>
      <c r="Q150" s="7" t="str">
        <f>IFERROR(
   IF(INDEX(MD_SKU[IV/IM],MATCH(KH_26_OPT4_KTQT_v4[[#This Row],[Tên sản phẩm]],MD_SKU[Tên SKU-rút gọn],0))=0,
      "",
      INDEX(MD_SKU[IV/IM],MATCH(KH_26_OPT4_KTQT_v4[[#This Row],[Tên sản phẩm]],MD_SKU[Tên SKU-rút gọn],0))
   ),
"")</f>
        <v>0.80 ± 0.02</v>
      </c>
      <c r="R150" s="44">
        <f>IFERROR(INDEX(MD_SKU[Application],MATCH(KH_26_OPT4_KTQT_v4[[#This Row],[Tên sản phẩm]],MD_SKU[Tên SKU-rút gọn],0)),"")</f>
        <v>0</v>
      </c>
      <c r="S150" s="7" t="str">
        <f>IFERROR(INDEX(MD_SKU[Phân loại],MATCH(KH_26_OPT4_KTQT_v4[[#This Row],[Tên sản phẩm]],MD_SKU[Tên SKU-rút gọn],0)),"")</f>
        <v>Cũ</v>
      </c>
      <c r="T150" s="7" t="s">
        <v>542</v>
      </c>
      <c r="U150" s="7"/>
      <c r="V150" s="70">
        <v>0.8</v>
      </c>
      <c r="W150" s="33"/>
      <c r="X150" s="33"/>
      <c r="Y150" s="33"/>
      <c r="Z150" s="33"/>
      <c r="AA150" s="33"/>
      <c r="AB150" s="33"/>
      <c r="AC150" s="33"/>
      <c r="AD150" s="33"/>
      <c r="AE150" s="33"/>
      <c r="AF150" s="33"/>
      <c r="AG150" s="33"/>
      <c r="AH150" s="33"/>
      <c r="AI150" s="47">
        <f ca="1">SUM(KH_26_OPT4_KTQT_v4[[#This Row],[SL-01]:[SL-12]])</f>
        <v>0</v>
      </c>
      <c r="AJ150" s="47">
        <f ca="1">SUMIFS(DB_25[SL-DB25],DB_25[Mã khách],KH_26_OPT4_KTQT_v4[[#This Row],[Mã khách]],DB_25[Mã sản phẩm],KH_26_OPT4_KTQT_v4[[#This Row],[Mã sản phẩm]])</f>
        <v>5.5</v>
      </c>
      <c r="AK150" s="20">
        <f ca="1">KH_26_OPT4_KTQT_v4[[#This Row],[SL-KH26]]-KH_26_OPT4_KTQT_v4[[#This Row],[SL-DB25]]</f>
        <v>-5.5</v>
      </c>
      <c r="AL150" s="21">
        <f ca="1">IFERROR(KH_26_OPT4_KTQT_v4[[#This Row],[SL-+/-]]/KH_26_OPT4_KTQT_v4[[#This Row],[SL-DB25]],0)</f>
        <v>-1</v>
      </c>
      <c r="AM150" s="51">
        <v>1200</v>
      </c>
      <c r="AN150" s="51">
        <v>1200</v>
      </c>
      <c r="AO150" s="51">
        <v>1200</v>
      </c>
      <c r="AP150" s="51">
        <v>1200</v>
      </c>
      <c r="AQ150" s="51">
        <v>1200</v>
      </c>
      <c r="AR150" s="51">
        <v>1200</v>
      </c>
      <c r="AS150" s="51">
        <v>1200</v>
      </c>
      <c r="AT150" s="51">
        <v>1200</v>
      </c>
      <c r="AU150" s="51">
        <v>1200</v>
      </c>
      <c r="AV150" s="51">
        <v>1200</v>
      </c>
      <c r="AW150" s="51">
        <v>1200</v>
      </c>
      <c r="AX150" s="51">
        <v>1200</v>
      </c>
      <c r="AY150" s="23">
        <v>1060</v>
      </c>
      <c r="AZ150" s="7"/>
      <c r="BA150" s="24">
        <f>KH_26_OPT4_KTQT_v4[[#This Row],[GB-DB25]]-KH_26_OPT4_KTQT_v4[[#This Row],[GB-KH25]]</f>
        <v>1060</v>
      </c>
      <c r="BB150" s="21">
        <f>IFERROR(KH_26_OPT4_KTQT_v4[[#This Row],[GB-+/-]]/KH_26_OPT4_KTQT_v4[[#This Row],[GB-KH25]],0)</f>
        <v>0</v>
      </c>
      <c r="BC150" s="21"/>
      <c r="BD150" s="47">
        <f>KH_26_OPT4_KTQT_v4[[#This Row],[SL-01]]*KH_26_OPT4_KTQT_v4[[#This Row],[GB-01]]*EXR</f>
        <v>0</v>
      </c>
      <c r="BE150" s="47">
        <f>KH_26_OPT4_KTQT_v4[[#This Row],[SL-02]]*KH_26_OPT4_KTQT_v4[[#This Row],[GB-02]]*EXR</f>
        <v>0</v>
      </c>
      <c r="BF150" s="47">
        <f>KH_26_OPT4_KTQT_v4[[#This Row],[SL-03]]*KH_26_OPT4_KTQT_v4[[#This Row],[GB-03]]*EXR</f>
        <v>0</v>
      </c>
      <c r="BG150" s="47">
        <f>KH_26_OPT4_KTQT_v4[[#This Row],[SL-04]]*KH_26_OPT4_KTQT_v4[[#This Row],[GB-04]]*EXR</f>
        <v>0</v>
      </c>
      <c r="BH150" s="47">
        <f>KH_26_OPT4_KTQT_v4[[#This Row],[SL-05]]*KH_26_OPT4_KTQT_v4[[#This Row],[GB-05]]*EXR</f>
        <v>0</v>
      </c>
      <c r="BI150" s="47">
        <f>KH_26_OPT4_KTQT_v4[[#This Row],[SL-06]]*KH_26_OPT4_KTQT_v4[[#This Row],[GB-06]]*EXR</f>
        <v>0</v>
      </c>
      <c r="BJ150" s="47">
        <f>KH_26_OPT4_KTQT_v4[[#This Row],[SL-07]]*KH_26_OPT4_KTQT_v4[[#This Row],[GB-07]]*EXR</f>
        <v>0</v>
      </c>
      <c r="BK150" s="47">
        <f>KH_26_OPT4_KTQT_v4[[#This Row],[SL-08]]*KH_26_OPT4_KTQT_v4[[#This Row],[GB-08]]*EXR</f>
        <v>0</v>
      </c>
      <c r="BL150" s="47">
        <f>KH_26_OPT4_KTQT_v4[[#This Row],[SL-09]]*KH_26_OPT4_KTQT_v4[[#This Row],[GB-09]]*EXR</f>
        <v>0</v>
      </c>
      <c r="BM150" s="47">
        <f>KH_26_OPT4_KTQT_v4[[#This Row],[SL-10]]*KH_26_OPT4_KTQT_v4[[#This Row],[GB-10]]*EXR</f>
        <v>0</v>
      </c>
      <c r="BN150" s="47">
        <f>KH_26_OPT4_KTQT_v4[[#This Row],[SL-11]]*KH_26_OPT4_KTQT_v4[[#This Row],[GB-11]]*EXR</f>
        <v>0</v>
      </c>
      <c r="BO150" s="47">
        <f>KH_26_OPT4_KTQT_v4[[#This Row],[SL-12]]*KH_26_OPT4_KTQT_v4[[#This Row],[GB-12]]*EXR</f>
        <v>0</v>
      </c>
      <c r="BP150" s="47">
        <f ca="1">SUM(KH_26_OPT4_KTQT_v4[[#This Row],[DT-EXW-01]:[DT-EXW-12]])</f>
        <v>0</v>
      </c>
      <c r="BQ150" s="47">
        <f ca="1">SUMIFS(DB_25[DT-DB25],DB_25[Mã khách],KH_26_OPT4_KTQT_v4[[#This Row],[Mã khách]],DB_25[Mã sản phẩm],KH_26_OPT4_KTQT_v4[[#This Row],[Mã sản phẩm]])</f>
        <v>180486499.73312402</v>
      </c>
      <c r="BR150" s="47">
        <f ca="1">KH_26_OPT4_KTQT_v4[[#This Row],[DT-EXW-KH26]]-KH_26_OPT4_KTQT_v4[[#This Row],[DT-EXW-DB25]]</f>
        <v>-180486499.73312402</v>
      </c>
      <c r="BS150" s="21">
        <f ca="1">IFERROR(KH_26_OPT4_KTQT_v4[[#This Row],[DT-EXW-+/-]]/KH_26_OPT4_KTQT_v4[[#This Row],[DT-EXW-DB25]],0)</f>
        <v>-1</v>
      </c>
      <c r="BT150" s="139"/>
      <c r="BU150" s="57"/>
      <c r="BV150" s="51"/>
      <c r="BW150" s="47">
        <f>IF(KH_26_OPT4_KTQT_v4[[#This Row],[CPHH-%-SL]]="Dthu",KH_26_OPT4_KTQT_v4[[#This Row],[%HH]]*KH_26_OPT4_KTQT_v4[[#This Row],[DT-EXW-01]],KH_26_OPT4_KTQT_v4[[#This Row],[HH-SL]]*KH_26_OPT4_KTQT_v4[[#This Row],[SL-01]])</f>
        <v>0</v>
      </c>
      <c r="BX150" s="47">
        <f>IF(KH_26_OPT4_KTQT_v4[[#This Row],[CPHH-%-SL]]="Dthu",KH_26_OPT4_KTQT_v4[[#This Row],[%HH]]*KH_26_OPT4_KTQT_v4[[#This Row],[DT-EXW-02]],KH_26_OPT4_KTQT_v4[[#This Row],[HH-SL]]*KH_26_OPT4_KTQT_v4[[#This Row],[SL-02]])</f>
        <v>0</v>
      </c>
      <c r="BY150" s="47">
        <f>IF(KH_26_OPT4_KTQT_v4[[#This Row],[CPHH-%-SL]]="Dthu",KH_26_OPT4_KTQT_v4[[#This Row],[%HH]]*KH_26_OPT4_KTQT_v4[[#This Row],[DT-EXW-03]],KH_26_OPT4_KTQT_v4[[#This Row],[HH-SL]]*KH_26_OPT4_KTQT_v4[[#This Row],[SL-03]])</f>
        <v>0</v>
      </c>
      <c r="BZ150" s="47">
        <f>IF(KH_26_OPT4_KTQT_v4[[#This Row],[CPHH-%-SL]]="Dthu",KH_26_OPT4_KTQT_v4[[#This Row],[%HH]]*KH_26_OPT4_KTQT_v4[[#This Row],[DT-EXW-04]],KH_26_OPT4_KTQT_v4[[#This Row],[HH-SL]]*KH_26_OPT4_KTQT_v4[[#This Row],[SL-04]])</f>
        <v>0</v>
      </c>
      <c r="CA150" s="47">
        <f>IF(KH_26_OPT4_KTQT_v4[[#This Row],[CPHH-%-SL]]="Dthu",KH_26_OPT4_KTQT_v4[[#This Row],[%HH]]*KH_26_OPT4_KTQT_v4[[#This Row],[DT-EXW-05]],KH_26_OPT4_KTQT_v4[[#This Row],[HH-SL]]*KH_26_OPT4_KTQT_v4[[#This Row],[SL-05]])</f>
        <v>0</v>
      </c>
      <c r="CB150" s="47">
        <f>IF(KH_26_OPT4_KTQT_v4[[#This Row],[CPHH-%-SL]]="Dthu",KH_26_OPT4_KTQT_v4[[#This Row],[%HH]]*KH_26_OPT4_KTQT_v4[[#This Row],[DT-EXW-06]],KH_26_OPT4_KTQT_v4[[#This Row],[HH-SL]]*KH_26_OPT4_KTQT_v4[[#This Row],[SL-06]])</f>
        <v>0</v>
      </c>
      <c r="CC150" s="47">
        <f>IF(KH_26_OPT4_KTQT_v4[[#This Row],[CPHH-%-SL]]="Dthu",KH_26_OPT4_KTQT_v4[[#This Row],[%HH]]*KH_26_OPT4_KTQT_v4[[#This Row],[DT-EXW-07]],KH_26_OPT4_KTQT_v4[[#This Row],[HH-SL]]*KH_26_OPT4_KTQT_v4[[#This Row],[SL-07]])</f>
        <v>0</v>
      </c>
      <c r="CD150" s="47">
        <f>IF(KH_26_OPT4_KTQT_v4[[#This Row],[CPHH-%-SL]]="Dthu",KH_26_OPT4_KTQT_v4[[#This Row],[%HH]]*KH_26_OPT4_KTQT_v4[[#This Row],[DT-EXW-08]],KH_26_OPT4_KTQT_v4[[#This Row],[HH-SL]]*KH_26_OPT4_KTQT_v4[[#This Row],[SL-08]])</f>
        <v>0</v>
      </c>
      <c r="CE150" s="47">
        <f>IF(KH_26_OPT4_KTQT_v4[[#This Row],[CPHH-%-SL]]="Dthu",KH_26_OPT4_KTQT_v4[[#This Row],[%HH]]*KH_26_OPT4_KTQT_v4[[#This Row],[DT-EXW-09]],KH_26_OPT4_KTQT_v4[[#This Row],[HH-SL]]*KH_26_OPT4_KTQT_v4[[#This Row],[SL-09]])</f>
        <v>0</v>
      </c>
      <c r="CF150" s="47">
        <f>IF(KH_26_OPT4_KTQT_v4[[#This Row],[CPHH-%-SL]]="Dthu",KH_26_OPT4_KTQT_v4[[#This Row],[%HH]]*KH_26_OPT4_KTQT_v4[[#This Row],[DT-EXW-10]],KH_26_OPT4_KTQT_v4[[#This Row],[HH-SL]]*KH_26_OPT4_KTQT_v4[[#This Row],[SL-10]])</f>
        <v>0</v>
      </c>
      <c r="CG150" s="47">
        <f>IF(KH_26_OPT4_KTQT_v4[[#This Row],[CPHH-%-SL]]="Dthu",KH_26_OPT4_KTQT_v4[[#This Row],[%HH]]*KH_26_OPT4_KTQT_v4[[#This Row],[DT-EXW-11]],KH_26_OPT4_KTQT_v4[[#This Row],[HH-SL]]*KH_26_OPT4_KTQT_v4[[#This Row],[SL-11]])</f>
        <v>0</v>
      </c>
      <c r="CH150" s="47">
        <f>IF(KH_26_OPT4_KTQT_v4[[#This Row],[CPHH-%-SL]]="Dthu",KH_26_OPT4_KTQT_v4[[#This Row],[%HH]]*KH_26_OPT4_KTQT_v4[[#This Row],[DT-EXW-12]],KH_26_OPT4_KTQT_v4[[#This Row],[HH-SL]]*KH_26_OPT4_KTQT_v4[[#This Row],[SL-12]])</f>
        <v>0</v>
      </c>
      <c r="CI150" s="47">
        <f ca="1">SUM(KH_26_OPT4_KTQT_v4[[#This Row],[CPHH-01]:[CPHH-12]])</f>
        <v>0</v>
      </c>
      <c r="CJ150" s="47" cm="1">
        <f t="array" ref="CJ150">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50" s="19">
        <f ca="1">SUM(KH_26_OPT4_KTQT_v4[[#This Row],[ĐGVCNĐ-KXK]:[ĐGVCCT-KXK]])</f>
        <v>0</v>
      </c>
      <c r="CL150" s="47" cm="1">
        <f t="array" ref="CL150">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150" s="47" cm="1">
        <f t="array" ref="CM150">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50" s="47">
        <f ca="1">(KH_26_OPT4_KTQT_v4[[#This Row],[ĐGVC-KNĐ]]+KH_26_OPT4_KTQT_v4[[#This Row],[ĐGVC-KXK]])*KH_26_OPT4_KTQT_v4[[#This Row],[SL-01]]</f>
        <v>0</v>
      </c>
      <c r="CO150" s="47">
        <f ca="1">(KH_26_OPT4_KTQT_v4[[#This Row],[ĐGVC-KNĐ]]+KH_26_OPT4_KTQT_v4[[#This Row],[ĐGVC-KXK]])*KH_26_OPT4_KTQT_v4[[#This Row],[SL-02]]</f>
        <v>0</v>
      </c>
      <c r="CP150" s="47">
        <f ca="1">(KH_26_OPT4_KTQT_v4[[#This Row],[ĐGVC-KNĐ]]+KH_26_OPT4_KTQT_v4[[#This Row],[ĐGVC-KXK]])*KH_26_OPT4_KTQT_v4[[#This Row],[SL-03]]</f>
        <v>0</v>
      </c>
      <c r="CQ150" s="47">
        <f ca="1">(KH_26_OPT4_KTQT_v4[[#This Row],[ĐGVC-KNĐ]]+KH_26_OPT4_KTQT_v4[[#This Row],[ĐGVC-KXK]])*KH_26_OPT4_KTQT_v4[[#This Row],[SL-04]]</f>
        <v>0</v>
      </c>
      <c r="CR150" s="47">
        <f ca="1">(KH_26_OPT4_KTQT_v4[[#This Row],[ĐGVC-KNĐ]]+KH_26_OPT4_KTQT_v4[[#This Row],[ĐGVC-KXK]])*KH_26_OPT4_KTQT_v4[[#This Row],[SL-05]]</f>
        <v>0</v>
      </c>
      <c r="CS150" s="47">
        <f ca="1">(KH_26_OPT4_KTQT_v4[[#This Row],[ĐGVC-KNĐ]]+KH_26_OPT4_KTQT_v4[[#This Row],[ĐGVC-KXK]])*KH_26_OPT4_KTQT_v4[[#This Row],[SL-06]]</f>
        <v>0</v>
      </c>
      <c r="CT150" s="47">
        <f ca="1">(KH_26_OPT4_KTQT_v4[[#This Row],[ĐGVC-KNĐ]]+KH_26_OPT4_KTQT_v4[[#This Row],[ĐGVC-KXK]])*KH_26_OPT4_KTQT_v4[[#This Row],[SL-07]]</f>
        <v>0</v>
      </c>
      <c r="CU150" s="47">
        <f ca="1">(KH_26_OPT4_KTQT_v4[[#This Row],[ĐGVC-KNĐ]]+KH_26_OPT4_KTQT_v4[[#This Row],[ĐGVC-KXK]])*KH_26_OPT4_KTQT_v4[[#This Row],[SL-08]]</f>
        <v>0</v>
      </c>
      <c r="CV150" s="47">
        <f ca="1">(KH_26_OPT4_KTQT_v4[[#This Row],[ĐGVC-KNĐ]]+KH_26_OPT4_KTQT_v4[[#This Row],[ĐGVC-KXK]])*KH_26_OPT4_KTQT_v4[[#This Row],[SL-09]]</f>
        <v>0</v>
      </c>
      <c r="CW150" s="47">
        <f ca="1">(KH_26_OPT4_KTQT_v4[[#This Row],[ĐGVC-KNĐ]]+KH_26_OPT4_KTQT_v4[[#This Row],[ĐGVC-KXK]])*KH_26_OPT4_KTQT_v4[[#This Row],[SL-10]]</f>
        <v>0</v>
      </c>
      <c r="CX150" s="47">
        <f ca="1">(KH_26_OPT4_KTQT_v4[[#This Row],[ĐGVC-KNĐ]]+KH_26_OPT4_KTQT_v4[[#This Row],[ĐGVC-KXK]])*KH_26_OPT4_KTQT_v4[[#This Row],[SL-11]]</f>
        <v>0</v>
      </c>
      <c r="CY150" s="47">
        <f ca="1">(KH_26_OPT4_KTQT_v4[[#This Row],[ĐGVC-KNĐ]]+KH_26_OPT4_KTQT_v4[[#This Row],[ĐGVC-KXK]])*KH_26_OPT4_KTQT_v4[[#This Row],[SL-12]]</f>
        <v>0</v>
      </c>
      <c r="CZ150" s="47">
        <f ca="1">SUM(KH_26_OPT4_KTQT_v4[[#This Row],[CPVC-01]:[CPVC-12]])</f>
        <v>0</v>
      </c>
      <c r="DA150" s="124">
        <f ca="1">KH_26_OPT4_KTQT_v4[[#This Row],[DT-EXW-01]]+KH_26_OPT4_KTQT_v4[[#This Row],[CPVC-01]]+KH_26_OPT4_KTQT_v4[[#This Row],[CPHH-01]]</f>
        <v>0</v>
      </c>
      <c r="DB150" s="47">
        <f ca="1">KH_26_OPT4_KTQT_v4[[#This Row],[DT-EXW-02]]+KH_26_OPT4_KTQT_v4[[#This Row],[CPVC-02]]+KH_26_OPT4_KTQT_v4[[#This Row],[CPHH-02]]</f>
        <v>0</v>
      </c>
      <c r="DC150" s="47">
        <f ca="1">KH_26_OPT4_KTQT_v4[[#This Row],[DT-EXW-03]]+KH_26_OPT4_KTQT_v4[[#This Row],[CPVC-03]]+KH_26_OPT4_KTQT_v4[[#This Row],[CPHH-03]]</f>
        <v>0</v>
      </c>
      <c r="DD150" s="47">
        <f ca="1">KH_26_OPT4_KTQT_v4[[#This Row],[DT-EXW-04]]+KH_26_OPT4_KTQT_v4[[#This Row],[CPVC-04]]+KH_26_OPT4_KTQT_v4[[#This Row],[CPHH-04]]</f>
        <v>0</v>
      </c>
      <c r="DE150" s="47">
        <f ca="1">KH_26_OPT4_KTQT_v4[[#This Row],[DT-EXW-05]]+KH_26_OPT4_KTQT_v4[[#This Row],[CPVC-05]]+KH_26_OPT4_KTQT_v4[[#This Row],[CPHH-05]]</f>
        <v>0</v>
      </c>
      <c r="DF150" s="47">
        <f ca="1">KH_26_OPT4_KTQT_v4[[#This Row],[DT-EXW-06]]+KH_26_OPT4_KTQT_v4[[#This Row],[CPVC-06]]+KH_26_OPT4_KTQT_v4[[#This Row],[CPHH-06]]</f>
        <v>0</v>
      </c>
      <c r="DG150" s="47">
        <f ca="1">KH_26_OPT4_KTQT_v4[[#This Row],[DT-EXW-07]]+KH_26_OPT4_KTQT_v4[[#This Row],[CPVC-07]]+KH_26_OPT4_KTQT_v4[[#This Row],[CPHH-07]]</f>
        <v>0</v>
      </c>
      <c r="DH150" s="47">
        <f ca="1">KH_26_OPT4_KTQT_v4[[#This Row],[DT-EXW-08]]+KH_26_OPT4_KTQT_v4[[#This Row],[CPVC-08]]+KH_26_OPT4_KTQT_v4[[#This Row],[CPHH-08]]</f>
        <v>0</v>
      </c>
      <c r="DI150" s="47">
        <f ca="1">KH_26_OPT4_KTQT_v4[[#This Row],[DT-EXW-09]]+KH_26_OPT4_KTQT_v4[[#This Row],[CPVC-09]]+KH_26_OPT4_KTQT_v4[[#This Row],[CPHH-09]]</f>
        <v>0</v>
      </c>
      <c r="DJ150" s="47">
        <f ca="1">KH_26_OPT4_KTQT_v4[[#This Row],[DT-EXW-10]]+KH_26_OPT4_KTQT_v4[[#This Row],[CPVC-10]]+KH_26_OPT4_KTQT_v4[[#This Row],[CPHH-10]]</f>
        <v>0</v>
      </c>
      <c r="DK150" s="47">
        <f ca="1">KH_26_OPT4_KTQT_v4[[#This Row],[DT-EXW-11]]+KH_26_OPT4_KTQT_v4[[#This Row],[CPVC-11]]+KH_26_OPT4_KTQT_v4[[#This Row],[CPHH-11]]</f>
        <v>0</v>
      </c>
      <c r="DL150" s="47">
        <f ca="1">KH_26_OPT4_KTQT_v4[[#This Row],[DT-EXW-12]]+KH_26_OPT4_KTQT_v4[[#This Row],[CPVC-12]]+KH_26_OPT4_KTQT_v4[[#This Row],[CPHH-12]]</f>
        <v>0</v>
      </c>
      <c r="DM150" s="47">
        <f ca="1">SUM(KH_26_OPT4_KTQT_v4[[#This Row],[DT-01]:[DT-12]])</f>
        <v>0</v>
      </c>
      <c r="DN150" s="7"/>
      <c r="DO150" s="7"/>
      <c r="DP150" s="125"/>
      <c r="DQ150" s="136"/>
      <c r="DR150" s="132">
        <f>IFERROR(KH_26_OPT4_KTQT_v4[[#This Row],[DT-EXW-01]]*KH_26_OPT4_KTQT_v4[[#This Row],[%CPDP]],0)</f>
        <v>0</v>
      </c>
      <c r="DS150" s="132">
        <f>IFERROR(KH_26_OPT4_KTQT_v4[[#This Row],[DT-EXW-02]]*KH_26_OPT4_KTQT_v4[[#This Row],[%CPDP]],0)</f>
        <v>0</v>
      </c>
      <c r="DT150" s="132">
        <f>IFERROR(KH_26_OPT4_KTQT_v4[[#This Row],[DT-EXW-03]]*KH_26_OPT4_KTQT_v4[[#This Row],[%CPDP]],0)</f>
        <v>0</v>
      </c>
      <c r="DU150" s="132">
        <f>IFERROR(KH_26_OPT4_KTQT_v4[[#This Row],[DT-EXW-04]]*KH_26_OPT4_KTQT_v4[[#This Row],[%CPDP]],0)</f>
        <v>0</v>
      </c>
      <c r="DV150" s="132">
        <f>IFERROR(KH_26_OPT4_KTQT_v4[[#This Row],[DT-EXW-05]]*KH_26_OPT4_KTQT_v4[[#This Row],[%CPDP]],0)</f>
        <v>0</v>
      </c>
      <c r="DW150" s="132">
        <f>IFERROR(KH_26_OPT4_KTQT_v4[[#This Row],[DT-EXW-06]]*KH_26_OPT4_KTQT_v4[[#This Row],[%CPDP]],0)</f>
        <v>0</v>
      </c>
      <c r="DX150" s="132">
        <f>IFERROR(KH_26_OPT4_KTQT_v4[[#This Row],[DT-EXW-07]]*KH_26_OPT4_KTQT_v4[[#This Row],[%CPDP]],0)</f>
        <v>0</v>
      </c>
      <c r="DY150" s="132">
        <f>IFERROR(KH_26_OPT4_KTQT_v4[[#This Row],[DT-EXW-08]]*KH_26_OPT4_KTQT_v4[[#This Row],[%CPDP]],0)</f>
        <v>0</v>
      </c>
      <c r="DZ150" s="132">
        <f>IFERROR(KH_26_OPT4_KTQT_v4[[#This Row],[DT-EXW-09]]*KH_26_OPT4_KTQT_v4[[#This Row],[%CPDP]],0)</f>
        <v>0</v>
      </c>
      <c r="EA150" s="132">
        <f>IFERROR(KH_26_OPT4_KTQT_v4[[#This Row],[DT-EXW-10]]*KH_26_OPT4_KTQT_v4[[#This Row],[%CPDP]],0)</f>
        <v>0</v>
      </c>
      <c r="EB150" s="132">
        <f>IFERROR(KH_26_OPT4_KTQT_v4[[#This Row],[DT-EXW-11]]*KH_26_OPT4_KTQT_v4[[#This Row],[%CPDP]],0)</f>
        <v>0</v>
      </c>
      <c r="EC150" s="132">
        <f>IFERROR(KH_26_OPT4_KTQT_v4[[#This Row],[DT-EXW-12]]*KH_26_OPT4_KTQT_v4[[#This Row],[%CPDP]],0)</f>
        <v>0</v>
      </c>
      <c r="ED150" s="131">
        <f ca="1">SUM(KH_26_OPT4_KTQT_v4[[#This Row],[CPDP-01]:[CPDP-12]])</f>
        <v>0</v>
      </c>
    </row>
    <row r="151" spans="1:134" ht="14.65" hidden="1" customHeight="1" x14ac:dyDescent="0.35">
      <c r="A151" s="18">
        <v>146</v>
      </c>
      <c r="B151" s="71" t="s">
        <v>115</v>
      </c>
      <c r="C151" s="18" t="str">
        <f>IFERROR(_xlfn.XLOOKUP(KH_26_OPT4_KTQT_v4[[#This Row],[Salesman]],MD_Salesman[Salesman],MD_Salesman[SalesManager]),"")</f>
        <v>Quốc Anh</v>
      </c>
      <c r="D151" s="72" t="str">
        <f>IFERROR(INDEX(MD_Customer[Mã khách],MATCH(KH_26_OPT4_KTQT_v4[[#This Row],[Tên khách]],MD_Customer[Tên khách-rút gọn],0)),"")</f>
        <v>105334</v>
      </c>
      <c r="E151" s="7" t="str">
        <f>IFERROR(INDEX(MD_Customer[Parent Account],MATCH(KH_26_OPT4_KTQT_v4[[#This Row],[Tên khách]],MD_Customer[Tên khách-rút gọn],0)),"")</f>
        <v>NHỰA BUYO</v>
      </c>
      <c r="F151" s="35" t="s">
        <v>68</v>
      </c>
      <c r="G151" s="7" t="str">
        <f>IFERROR(INDEX(MD_Customer[Phân loại],MATCH(KH_26_OPT4_KTQT_v4[[#This Row],[Tên khách]],MD_Customer[Tên khách-rút gọn],0)),"")</f>
        <v>Mới</v>
      </c>
      <c r="H151" s="7" t="str">
        <f>IFERROR(INDEX(MD_Customer[Kênh bán hàng],MATCH(KH_26_OPT4_KTQT_v4[[#This Row],[Tên khách]],MD_Customer[Tên khách-rút gọn],0)),"")</f>
        <v>Nội địa</v>
      </c>
      <c r="I151" s="35" t="s">
        <v>274</v>
      </c>
      <c r="J151" s="7" t="str">
        <f>IFERROR(INDEX(MD_Destination[Nước],MATCH(KH_26_OPT4_KTQT_v4[[#This Row],[Địa điểm đến]],MD_Destination[Địa điểm đến],0)),"")</f>
        <v>Việt Nam</v>
      </c>
      <c r="K151" s="7" t="str">
        <f>IFERROR(INDEX(MD_Destination[Khu vực],MATCH(KH_26_OPT4_KTQT_v4[[#This Row],[Địa điểm đến]],MD_Destination[Địa điểm đến],0)),"")</f>
        <v>Châu Á</v>
      </c>
      <c r="L151" s="35" t="s">
        <v>262</v>
      </c>
      <c r="M151" s="7" t="str">
        <f>IFERROR(INDEX(MD_SKU[Mã SKU],MATCH(KH_26_OPT4_KTQT_v4[[#This Row],[Tên sản phẩm]],MD_SKU[Tên SKU-rút gọn],0)),"")</f>
        <v>110000472</v>
      </c>
      <c r="N151" s="35" t="s">
        <v>490</v>
      </c>
      <c r="O151" s="7" t="str">
        <f>IFERROR(INDEX(MD_SKU[Ngành hàng],MATCH(KH_26_OPT4_KTQT_v4[[#This Row],[Tên sản phẩm]],MD_SKU[Tên SKU-rút gọn],0)),"")</f>
        <v>rPP</v>
      </c>
      <c r="P151" s="7" t="str">
        <f>IFERROR(INDEX(MD_SKU[Nhóm ngành],MATCH(KH_26_OPT4_KTQT_v4[[#This Row],[Tên sản phẩm]],MD_SKU[Tên SKU-rút gọn],0)),"")</f>
        <v>Hạt PP</v>
      </c>
      <c r="Q151" s="7" t="str">
        <f>IFERROR(
   IF(INDEX(MD_SKU[IV/IM],MATCH(KH_26_OPT4_KTQT_v4[[#This Row],[Tên sản phẩm]],MD_SKU[Tên SKU-rút gọn],0))=0,
      "",
      INDEX(MD_SKU[IV/IM],MATCH(KH_26_OPT4_KTQT_v4[[#This Row],[Tên sản phẩm]],MD_SKU[Tên SKU-rút gọn],0))
   ),
"")</f>
        <v/>
      </c>
      <c r="R151" s="44">
        <f>IFERROR(INDEX(MD_SKU[Application],MATCH(KH_26_OPT4_KTQT_v4[[#This Row],[Tên sản phẩm]],MD_SKU[Tên SKU-rút gọn],0)),"")</f>
        <v>0</v>
      </c>
      <c r="S151" s="7" t="str">
        <f>IFERROR(INDEX(MD_SKU[Phân loại],MATCH(KH_26_OPT4_KTQT_v4[[#This Row],[Tên sản phẩm]],MD_SKU[Tên SKU-rút gọn],0)),"")</f>
        <v>Cũ</v>
      </c>
      <c r="T151" s="7" t="s">
        <v>542</v>
      </c>
      <c r="U151" s="7"/>
      <c r="V151" s="70">
        <v>0.8</v>
      </c>
      <c r="W151" s="33"/>
      <c r="X151" s="33"/>
      <c r="Y151" s="33"/>
      <c r="Z151" s="33"/>
      <c r="AA151" s="33"/>
      <c r="AB151" s="33"/>
      <c r="AC151" s="33"/>
      <c r="AD151" s="33"/>
      <c r="AE151" s="33"/>
      <c r="AF151" s="33"/>
      <c r="AG151" s="33"/>
      <c r="AH151" s="33"/>
      <c r="AI151" s="47">
        <f ca="1">SUM(KH_26_OPT4_KTQT_v4[[#This Row],[SL-01]:[SL-12]])</f>
        <v>0</v>
      </c>
      <c r="AJ151" s="47">
        <f ca="1">SUMIFS(DB_25[SL-DB25],DB_25[Mã khách],KH_26_OPT4_KTQT_v4[[#This Row],[Mã khách]],DB_25[Mã sản phẩm],KH_26_OPT4_KTQT_v4[[#This Row],[Mã sản phẩm]])</f>
        <v>0.05</v>
      </c>
      <c r="AK151" s="20">
        <f ca="1">KH_26_OPT4_KTQT_v4[[#This Row],[SL-KH26]]-KH_26_OPT4_KTQT_v4[[#This Row],[SL-DB25]]</f>
        <v>-0.05</v>
      </c>
      <c r="AL151" s="21">
        <f ca="1">IFERROR(KH_26_OPT4_KTQT_v4[[#This Row],[SL-+/-]]/KH_26_OPT4_KTQT_v4[[#This Row],[SL-DB25]],0)</f>
        <v>-1</v>
      </c>
      <c r="AM151" s="51">
        <v>700</v>
      </c>
      <c r="AN151" s="51">
        <v>700</v>
      </c>
      <c r="AO151" s="51">
        <v>700</v>
      </c>
      <c r="AP151" s="51">
        <v>700</v>
      </c>
      <c r="AQ151" s="51">
        <v>700</v>
      </c>
      <c r="AR151" s="51">
        <v>700</v>
      </c>
      <c r="AS151" s="51">
        <v>700</v>
      </c>
      <c r="AT151" s="51">
        <v>700</v>
      </c>
      <c r="AU151" s="51">
        <v>700</v>
      </c>
      <c r="AV151" s="51">
        <v>700</v>
      </c>
      <c r="AW151" s="51">
        <v>700</v>
      </c>
      <c r="AX151" s="51">
        <v>700</v>
      </c>
      <c r="AY151" s="23">
        <v>700</v>
      </c>
      <c r="AZ151" s="7"/>
      <c r="BA151" s="24">
        <f>KH_26_OPT4_KTQT_v4[[#This Row],[GB-DB25]]-KH_26_OPT4_KTQT_v4[[#This Row],[GB-KH25]]</f>
        <v>700</v>
      </c>
      <c r="BB151" s="21">
        <f>IFERROR(KH_26_OPT4_KTQT_v4[[#This Row],[GB-+/-]]/KH_26_OPT4_KTQT_v4[[#This Row],[GB-KH25]],0)</f>
        <v>0</v>
      </c>
      <c r="BC151" s="21"/>
      <c r="BD151" s="47">
        <f>KH_26_OPT4_KTQT_v4[[#This Row],[SL-01]]*KH_26_OPT4_KTQT_v4[[#This Row],[GB-01]]*EXR</f>
        <v>0</v>
      </c>
      <c r="BE151" s="47">
        <f>KH_26_OPT4_KTQT_v4[[#This Row],[SL-02]]*KH_26_OPT4_KTQT_v4[[#This Row],[GB-02]]*EXR</f>
        <v>0</v>
      </c>
      <c r="BF151" s="47">
        <f>KH_26_OPT4_KTQT_v4[[#This Row],[SL-03]]*KH_26_OPT4_KTQT_v4[[#This Row],[GB-03]]*EXR</f>
        <v>0</v>
      </c>
      <c r="BG151" s="47">
        <f>KH_26_OPT4_KTQT_v4[[#This Row],[SL-04]]*KH_26_OPT4_KTQT_v4[[#This Row],[GB-04]]*EXR</f>
        <v>0</v>
      </c>
      <c r="BH151" s="47">
        <f>KH_26_OPT4_KTQT_v4[[#This Row],[SL-05]]*KH_26_OPT4_KTQT_v4[[#This Row],[GB-05]]*EXR</f>
        <v>0</v>
      </c>
      <c r="BI151" s="47">
        <f>KH_26_OPT4_KTQT_v4[[#This Row],[SL-06]]*KH_26_OPT4_KTQT_v4[[#This Row],[GB-06]]*EXR</f>
        <v>0</v>
      </c>
      <c r="BJ151" s="47">
        <f>KH_26_OPT4_KTQT_v4[[#This Row],[SL-07]]*KH_26_OPT4_KTQT_v4[[#This Row],[GB-07]]*EXR</f>
        <v>0</v>
      </c>
      <c r="BK151" s="47">
        <f>KH_26_OPT4_KTQT_v4[[#This Row],[SL-08]]*KH_26_OPT4_KTQT_v4[[#This Row],[GB-08]]*EXR</f>
        <v>0</v>
      </c>
      <c r="BL151" s="47">
        <f>KH_26_OPT4_KTQT_v4[[#This Row],[SL-09]]*KH_26_OPT4_KTQT_v4[[#This Row],[GB-09]]*EXR</f>
        <v>0</v>
      </c>
      <c r="BM151" s="47">
        <f>KH_26_OPT4_KTQT_v4[[#This Row],[SL-10]]*KH_26_OPT4_KTQT_v4[[#This Row],[GB-10]]*EXR</f>
        <v>0</v>
      </c>
      <c r="BN151" s="47">
        <f>KH_26_OPT4_KTQT_v4[[#This Row],[SL-11]]*KH_26_OPT4_KTQT_v4[[#This Row],[GB-11]]*EXR</f>
        <v>0</v>
      </c>
      <c r="BO151" s="47">
        <f>KH_26_OPT4_KTQT_v4[[#This Row],[SL-12]]*KH_26_OPT4_KTQT_v4[[#This Row],[GB-12]]*EXR</f>
        <v>0</v>
      </c>
      <c r="BP151" s="47">
        <f ca="1">SUM(KH_26_OPT4_KTQT_v4[[#This Row],[DT-EXW-01]:[DT-EXW-12]])</f>
        <v>0</v>
      </c>
      <c r="BQ151" s="47">
        <f ca="1">SUMIFS(DB_25[DT-DB25],DB_25[Mã khách],KH_26_OPT4_KTQT_v4[[#This Row],[Mã khách]],DB_25[Mã sản phẩm],KH_26_OPT4_KTQT_v4[[#This Row],[Mã sản phẩm]])</f>
        <v>1347700</v>
      </c>
      <c r="BR151" s="47">
        <f ca="1">KH_26_OPT4_KTQT_v4[[#This Row],[DT-EXW-KH26]]-KH_26_OPT4_KTQT_v4[[#This Row],[DT-EXW-DB25]]</f>
        <v>-1347700</v>
      </c>
      <c r="BS151" s="21">
        <f ca="1">IFERROR(KH_26_OPT4_KTQT_v4[[#This Row],[DT-EXW-+/-]]/KH_26_OPT4_KTQT_v4[[#This Row],[DT-EXW-DB25]],0)</f>
        <v>-1</v>
      </c>
      <c r="BT151" s="139"/>
      <c r="BU151" s="57"/>
      <c r="BV151" s="51"/>
      <c r="BW151" s="47">
        <f>IF(KH_26_OPT4_KTQT_v4[[#This Row],[CPHH-%-SL]]="Dthu",KH_26_OPT4_KTQT_v4[[#This Row],[%HH]]*KH_26_OPT4_KTQT_v4[[#This Row],[DT-EXW-01]],KH_26_OPT4_KTQT_v4[[#This Row],[HH-SL]]*KH_26_OPT4_KTQT_v4[[#This Row],[SL-01]])</f>
        <v>0</v>
      </c>
      <c r="BX151" s="47">
        <f>IF(KH_26_OPT4_KTQT_v4[[#This Row],[CPHH-%-SL]]="Dthu",KH_26_OPT4_KTQT_v4[[#This Row],[%HH]]*KH_26_OPT4_KTQT_v4[[#This Row],[DT-EXW-02]],KH_26_OPT4_KTQT_v4[[#This Row],[HH-SL]]*KH_26_OPT4_KTQT_v4[[#This Row],[SL-02]])</f>
        <v>0</v>
      </c>
      <c r="BY151" s="47">
        <f>IF(KH_26_OPT4_KTQT_v4[[#This Row],[CPHH-%-SL]]="Dthu",KH_26_OPT4_KTQT_v4[[#This Row],[%HH]]*KH_26_OPT4_KTQT_v4[[#This Row],[DT-EXW-03]],KH_26_OPT4_KTQT_v4[[#This Row],[HH-SL]]*KH_26_OPT4_KTQT_v4[[#This Row],[SL-03]])</f>
        <v>0</v>
      </c>
      <c r="BZ151" s="47">
        <f>IF(KH_26_OPT4_KTQT_v4[[#This Row],[CPHH-%-SL]]="Dthu",KH_26_OPT4_KTQT_v4[[#This Row],[%HH]]*KH_26_OPT4_KTQT_v4[[#This Row],[DT-EXW-04]],KH_26_OPT4_KTQT_v4[[#This Row],[HH-SL]]*KH_26_OPT4_KTQT_v4[[#This Row],[SL-04]])</f>
        <v>0</v>
      </c>
      <c r="CA151" s="47">
        <f>IF(KH_26_OPT4_KTQT_v4[[#This Row],[CPHH-%-SL]]="Dthu",KH_26_OPT4_KTQT_v4[[#This Row],[%HH]]*KH_26_OPT4_KTQT_v4[[#This Row],[DT-EXW-05]],KH_26_OPT4_KTQT_v4[[#This Row],[HH-SL]]*KH_26_OPT4_KTQT_v4[[#This Row],[SL-05]])</f>
        <v>0</v>
      </c>
      <c r="CB151" s="47">
        <f>IF(KH_26_OPT4_KTQT_v4[[#This Row],[CPHH-%-SL]]="Dthu",KH_26_OPT4_KTQT_v4[[#This Row],[%HH]]*KH_26_OPT4_KTQT_v4[[#This Row],[DT-EXW-06]],KH_26_OPT4_KTQT_v4[[#This Row],[HH-SL]]*KH_26_OPT4_KTQT_v4[[#This Row],[SL-06]])</f>
        <v>0</v>
      </c>
      <c r="CC151" s="47">
        <f>IF(KH_26_OPT4_KTQT_v4[[#This Row],[CPHH-%-SL]]="Dthu",KH_26_OPT4_KTQT_v4[[#This Row],[%HH]]*KH_26_OPT4_KTQT_v4[[#This Row],[DT-EXW-07]],KH_26_OPT4_KTQT_v4[[#This Row],[HH-SL]]*KH_26_OPT4_KTQT_v4[[#This Row],[SL-07]])</f>
        <v>0</v>
      </c>
      <c r="CD151" s="47">
        <f>IF(KH_26_OPT4_KTQT_v4[[#This Row],[CPHH-%-SL]]="Dthu",KH_26_OPT4_KTQT_v4[[#This Row],[%HH]]*KH_26_OPT4_KTQT_v4[[#This Row],[DT-EXW-08]],KH_26_OPT4_KTQT_v4[[#This Row],[HH-SL]]*KH_26_OPT4_KTQT_v4[[#This Row],[SL-08]])</f>
        <v>0</v>
      </c>
      <c r="CE151" s="47">
        <f>IF(KH_26_OPT4_KTQT_v4[[#This Row],[CPHH-%-SL]]="Dthu",KH_26_OPT4_KTQT_v4[[#This Row],[%HH]]*KH_26_OPT4_KTQT_v4[[#This Row],[DT-EXW-09]],KH_26_OPT4_KTQT_v4[[#This Row],[HH-SL]]*KH_26_OPT4_KTQT_v4[[#This Row],[SL-09]])</f>
        <v>0</v>
      </c>
      <c r="CF151" s="47">
        <f>IF(KH_26_OPT4_KTQT_v4[[#This Row],[CPHH-%-SL]]="Dthu",KH_26_OPT4_KTQT_v4[[#This Row],[%HH]]*KH_26_OPT4_KTQT_v4[[#This Row],[DT-EXW-10]],KH_26_OPT4_KTQT_v4[[#This Row],[HH-SL]]*KH_26_OPT4_KTQT_v4[[#This Row],[SL-10]])</f>
        <v>0</v>
      </c>
      <c r="CG151" s="47">
        <f>IF(KH_26_OPT4_KTQT_v4[[#This Row],[CPHH-%-SL]]="Dthu",KH_26_OPT4_KTQT_v4[[#This Row],[%HH]]*KH_26_OPT4_KTQT_v4[[#This Row],[DT-EXW-11]],KH_26_OPT4_KTQT_v4[[#This Row],[HH-SL]]*KH_26_OPT4_KTQT_v4[[#This Row],[SL-11]])</f>
        <v>0</v>
      </c>
      <c r="CH151" s="47">
        <f>IF(KH_26_OPT4_KTQT_v4[[#This Row],[CPHH-%-SL]]="Dthu",KH_26_OPT4_KTQT_v4[[#This Row],[%HH]]*KH_26_OPT4_KTQT_v4[[#This Row],[DT-EXW-12]],KH_26_OPT4_KTQT_v4[[#This Row],[HH-SL]]*KH_26_OPT4_KTQT_v4[[#This Row],[SL-12]])</f>
        <v>0</v>
      </c>
      <c r="CI151" s="47">
        <f ca="1">SUM(KH_26_OPT4_KTQT_v4[[#This Row],[CPHH-01]:[CPHH-12]])</f>
        <v>0</v>
      </c>
      <c r="CJ151" s="47" cm="1">
        <f t="array" ref="CJ151">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51" s="19">
        <f ca="1">SUM(KH_26_OPT4_KTQT_v4[[#This Row],[ĐGVCNĐ-KXK]:[ĐGVCCT-KXK]])</f>
        <v>0</v>
      </c>
      <c r="CL151" s="47" cm="1">
        <f t="array" ref="CL151">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151" s="47" cm="1">
        <f t="array" ref="CM151">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51" s="47">
        <f ca="1">(KH_26_OPT4_KTQT_v4[[#This Row],[ĐGVC-KNĐ]]+KH_26_OPT4_KTQT_v4[[#This Row],[ĐGVC-KXK]])*KH_26_OPT4_KTQT_v4[[#This Row],[SL-01]]</f>
        <v>0</v>
      </c>
      <c r="CO151" s="47">
        <f ca="1">(KH_26_OPT4_KTQT_v4[[#This Row],[ĐGVC-KNĐ]]+KH_26_OPT4_KTQT_v4[[#This Row],[ĐGVC-KXK]])*KH_26_OPT4_KTQT_v4[[#This Row],[SL-02]]</f>
        <v>0</v>
      </c>
      <c r="CP151" s="47">
        <f ca="1">(KH_26_OPT4_KTQT_v4[[#This Row],[ĐGVC-KNĐ]]+KH_26_OPT4_KTQT_v4[[#This Row],[ĐGVC-KXK]])*KH_26_OPT4_KTQT_v4[[#This Row],[SL-03]]</f>
        <v>0</v>
      </c>
      <c r="CQ151" s="47">
        <f ca="1">(KH_26_OPT4_KTQT_v4[[#This Row],[ĐGVC-KNĐ]]+KH_26_OPT4_KTQT_v4[[#This Row],[ĐGVC-KXK]])*KH_26_OPT4_KTQT_v4[[#This Row],[SL-04]]</f>
        <v>0</v>
      </c>
      <c r="CR151" s="47">
        <f ca="1">(KH_26_OPT4_KTQT_v4[[#This Row],[ĐGVC-KNĐ]]+KH_26_OPT4_KTQT_v4[[#This Row],[ĐGVC-KXK]])*KH_26_OPT4_KTQT_v4[[#This Row],[SL-05]]</f>
        <v>0</v>
      </c>
      <c r="CS151" s="47">
        <f ca="1">(KH_26_OPT4_KTQT_v4[[#This Row],[ĐGVC-KNĐ]]+KH_26_OPT4_KTQT_v4[[#This Row],[ĐGVC-KXK]])*KH_26_OPT4_KTQT_v4[[#This Row],[SL-06]]</f>
        <v>0</v>
      </c>
      <c r="CT151" s="47">
        <f ca="1">(KH_26_OPT4_KTQT_v4[[#This Row],[ĐGVC-KNĐ]]+KH_26_OPT4_KTQT_v4[[#This Row],[ĐGVC-KXK]])*KH_26_OPT4_KTQT_v4[[#This Row],[SL-07]]</f>
        <v>0</v>
      </c>
      <c r="CU151" s="47">
        <f ca="1">(KH_26_OPT4_KTQT_v4[[#This Row],[ĐGVC-KNĐ]]+KH_26_OPT4_KTQT_v4[[#This Row],[ĐGVC-KXK]])*KH_26_OPT4_KTQT_v4[[#This Row],[SL-08]]</f>
        <v>0</v>
      </c>
      <c r="CV151" s="47">
        <f ca="1">(KH_26_OPT4_KTQT_v4[[#This Row],[ĐGVC-KNĐ]]+KH_26_OPT4_KTQT_v4[[#This Row],[ĐGVC-KXK]])*KH_26_OPT4_KTQT_v4[[#This Row],[SL-09]]</f>
        <v>0</v>
      </c>
      <c r="CW151" s="47">
        <f ca="1">(KH_26_OPT4_KTQT_v4[[#This Row],[ĐGVC-KNĐ]]+KH_26_OPT4_KTQT_v4[[#This Row],[ĐGVC-KXK]])*KH_26_OPT4_KTQT_v4[[#This Row],[SL-10]]</f>
        <v>0</v>
      </c>
      <c r="CX151" s="47">
        <f ca="1">(KH_26_OPT4_KTQT_v4[[#This Row],[ĐGVC-KNĐ]]+KH_26_OPT4_KTQT_v4[[#This Row],[ĐGVC-KXK]])*KH_26_OPT4_KTQT_v4[[#This Row],[SL-11]]</f>
        <v>0</v>
      </c>
      <c r="CY151" s="47">
        <f ca="1">(KH_26_OPT4_KTQT_v4[[#This Row],[ĐGVC-KNĐ]]+KH_26_OPT4_KTQT_v4[[#This Row],[ĐGVC-KXK]])*KH_26_OPT4_KTQT_v4[[#This Row],[SL-12]]</f>
        <v>0</v>
      </c>
      <c r="CZ151" s="47">
        <f ca="1">SUM(KH_26_OPT4_KTQT_v4[[#This Row],[CPVC-01]:[CPVC-12]])</f>
        <v>0</v>
      </c>
      <c r="DA151" s="124">
        <f ca="1">KH_26_OPT4_KTQT_v4[[#This Row],[DT-EXW-01]]+KH_26_OPT4_KTQT_v4[[#This Row],[CPVC-01]]+KH_26_OPT4_KTQT_v4[[#This Row],[CPHH-01]]</f>
        <v>0</v>
      </c>
      <c r="DB151" s="47">
        <f ca="1">KH_26_OPT4_KTQT_v4[[#This Row],[DT-EXW-02]]+KH_26_OPT4_KTQT_v4[[#This Row],[CPVC-02]]+KH_26_OPT4_KTQT_v4[[#This Row],[CPHH-02]]</f>
        <v>0</v>
      </c>
      <c r="DC151" s="47">
        <f ca="1">KH_26_OPT4_KTQT_v4[[#This Row],[DT-EXW-03]]+KH_26_OPT4_KTQT_v4[[#This Row],[CPVC-03]]+KH_26_OPT4_KTQT_v4[[#This Row],[CPHH-03]]</f>
        <v>0</v>
      </c>
      <c r="DD151" s="47">
        <f ca="1">KH_26_OPT4_KTQT_v4[[#This Row],[DT-EXW-04]]+KH_26_OPT4_KTQT_v4[[#This Row],[CPVC-04]]+KH_26_OPT4_KTQT_v4[[#This Row],[CPHH-04]]</f>
        <v>0</v>
      </c>
      <c r="DE151" s="47">
        <f ca="1">KH_26_OPT4_KTQT_v4[[#This Row],[DT-EXW-05]]+KH_26_OPT4_KTQT_v4[[#This Row],[CPVC-05]]+KH_26_OPT4_KTQT_v4[[#This Row],[CPHH-05]]</f>
        <v>0</v>
      </c>
      <c r="DF151" s="47">
        <f ca="1">KH_26_OPT4_KTQT_v4[[#This Row],[DT-EXW-06]]+KH_26_OPT4_KTQT_v4[[#This Row],[CPVC-06]]+KH_26_OPT4_KTQT_v4[[#This Row],[CPHH-06]]</f>
        <v>0</v>
      </c>
      <c r="DG151" s="47">
        <f ca="1">KH_26_OPT4_KTQT_v4[[#This Row],[DT-EXW-07]]+KH_26_OPT4_KTQT_v4[[#This Row],[CPVC-07]]+KH_26_OPT4_KTQT_v4[[#This Row],[CPHH-07]]</f>
        <v>0</v>
      </c>
      <c r="DH151" s="47">
        <f ca="1">KH_26_OPT4_KTQT_v4[[#This Row],[DT-EXW-08]]+KH_26_OPT4_KTQT_v4[[#This Row],[CPVC-08]]+KH_26_OPT4_KTQT_v4[[#This Row],[CPHH-08]]</f>
        <v>0</v>
      </c>
      <c r="DI151" s="47">
        <f ca="1">KH_26_OPT4_KTQT_v4[[#This Row],[DT-EXW-09]]+KH_26_OPT4_KTQT_v4[[#This Row],[CPVC-09]]+KH_26_OPT4_KTQT_v4[[#This Row],[CPHH-09]]</f>
        <v>0</v>
      </c>
      <c r="DJ151" s="47">
        <f ca="1">KH_26_OPT4_KTQT_v4[[#This Row],[DT-EXW-10]]+KH_26_OPT4_KTQT_v4[[#This Row],[CPVC-10]]+KH_26_OPT4_KTQT_v4[[#This Row],[CPHH-10]]</f>
        <v>0</v>
      </c>
      <c r="DK151" s="47">
        <f ca="1">KH_26_OPT4_KTQT_v4[[#This Row],[DT-EXW-11]]+KH_26_OPT4_KTQT_v4[[#This Row],[CPVC-11]]+KH_26_OPT4_KTQT_v4[[#This Row],[CPHH-11]]</f>
        <v>0</v>
      </c>
      <c r="DL151" s="47">
        <f ca="1">KH_26_OPT4_KTQT_v4[[#This Row],[DT-EXW-12]]+KH_26_OPT4_KTQT_v4[[#This Row],[CPVC-12]]+KH_26_OPT4_KTQT_v4[[#This Row],[CPHH-12]]</f>
        <v>0</v>
      </c>
      <c r="DM151" s="47">
        <f ca="1">SUM(KH_26_OPT4_KTQT_v4[[#This Row],[DT-01]:[DT-12]])</f>
        <v>0</v>
      </c>
      <c r="DN151" s="7"/>
      <c r="DO151" s="7"/>
      <c r="DP151" s="125"/>
      <c r="DQ151" s="136"/>
      <c r="DR151" s="132">
        <f>IFERROR(KH_26_OPT4_KTQT_v4[[#This Row],[DT-EXW-01]]*KH_26_OPT4_KTQT_v4[[#This Row],[%CPDP]],0)</f>
        <v>0</v>
      </c>
      <c r="DS151" s="132">
        <f>IFERROR(KH_26_OPT4_KTQT_v4[[#This Row],[DT-EXW-02]]*KH_26_OPT4_KTQT_v4[[#This Row],[%CPDP]],0)</f>
        <v>0</v>
      </c>
      <c r="DT151" s="132">
        <f>IFERROR(KH_26_OPT4_KTQT_v4[[#This Row],[DT-EXW-03]]*KH_26_OPT4_KTQT_v4[[#This Row],[%CPDP]],0)</f>
        <v>0</v>
      </c>
      <c r="DU151" s="132">
        <f>IFERROR(KH_26_OPT4_KTQT_v4[[#This Row],[DT-EXW-04]]*KH_26_OPT4_KTQT_v4[[#This Row],[%CPDP]],0)</f>
        <v>0</v>
      </c>
      <c r="DV151" s="132">
        <f>IFERROR(KH_26_OPT4_KTQT_v4[[#This Row],[DT-EXW-05]]*KH_26_OPT4_KTQT_v4[[#This Row],[%CPDP]],0)</f>
        <v>0</v>
      </c>
      <c r="DW151" s="132">
        <f>IFERROR(KH_26_OPT4_KTQT_v4[[#This Row],[DT-EXW-06]]*KH_26_OPT4_KTQT_v4[[#This Row],[%CPDP]],0)</f>
        <v>0</v>
      </c>
      <c r="DX151" s="132">
        <f>IFERROR(KH_26_OPT4_KTQT_v4[[#This Row],[DT-EXW-07]]*KH_26_OPT4_KTQT_v4[[#This Row],[%CPDP]],0)</f>
        <v>0</v>
      </c>
      <c r="DY151" s="132">
        <f>IFERROR(KH_26_OPT4_KTQT_v4[[#This Row],[DT-EXW-08]]*KH_26_OPT4_KTQT_v4[[#This Row],[%CPDP]],0)</f>
        <v>0</v>
      </c>
      <c r="DZ151" s="132">
        <f>IFERROR(KH_26_OPT4_KTQT_v4[[#This Row],[DT-EXW-09]]*KH_26_OPT4_KTQT_v4[[#This Row],[%CPDP]],0)</f>
        <v>0</v>
      </c>
      <c r="EA151" s="132">
        <f>IFERROR(KH_26_OPT4_KTQT_v4[[#This Row],[DT-EXW-10]]*KH_26_OPT4_KTQT_v4[[#This Row],[%CPDP]],0)</f>
        <v>0</v>
      </c>
      <c r="EB151" s="132">
        <f>IFERROR(KH_26_OPT4_KTQT_v4[[#This Row],[DT-EXW-11]]*KH_26_OPT4_KTQT_v4[[#This Row],[%CPDP]],0)</f>
        <v>0</v>
      </c>
      <c r="EC151" s="132">
        <f>IFERROR(KH_26_OPT4_KTQT_v4[[#This Row],[DT-EXW-12]]*KH_26_OPT4_KTQT_v4[[#This Row],[%CPDP]],0)</f>
        <v>0</v>
      </c>
      <c r="ED151" s="131">
        <f ca="1">SUM(KH_26_OPT4_KTQT_v4[[#This Row],[CPDP-01]:[CPDP-12]])</f>
        <v>0</v>
      </c>
    </row>
    <row r="152" spans="1:134" ht="14.65" hidden="1" customHeight="1" x14ac:dyDescent="0.35">
      <c r="A152" s="18">
        <v>147</v>
      </c>
      <c r="B152" s="71" t="s">
        <v>115</v>
      </c>
      <c r="C152" s="18" t="str">
        <f>IFERROR(_xlfn.XLOOKUP(KH_26_OPT4_KTQT_v4[[#This Row],[Salesman]],MD_Salesman[Salesman],MD_Salesman[SalesManager]),"")</f>
        <v>Quốc Anh</v>
      </c>
      <c r="D152" s="72" t="str">
        <f>IFERROR(INDEX(MD_Customer[Mã khách],MATCH(KH_26_OPT4_KTQT_v4[[#This Row],[Tên khách]],MD_Customer[Tên khách-rút gọn],0)),"")</f>
        <v>105335</v>
      </c>
      <c r="E152" s="7" t="str">
        <f>IFERROR(INDEX(MD_Customer[Parent Account],MATCH(KH_26_OPT4_KTQT_v4[[#This Row],[Tên khách]],MD_Customer[Tên khách-rút gọn],0)),"")</f>
        <v>EATONE PRO</v>
      </c>
      <c r="F152" s="35" t="s">
        <v>152</v>
      </c>
      <c r="G152" s="7" t="str">
        <f>IFERROR(INDEX(MD_Customer[Phân loại],MATCH(KH_26_OPT4_KTQT_v4[[#This Row],[Tên khách]],MD_Customer[Tên khách-rút gọn],0)),"")</f>
        <v>Hiện hữu</v>
      </c>
      <c r="H152" s="7" t="str">
        <f>IFERROR(INDEX(MD_Customer[Kênh bán hàng],MATCH(KH_26_OPT4_KTQT_v4[[#This Row],[Tên khách]],MD_Customer[Tên khách-rút gọn],0)),"")</f>
        <v>Nội địa</v>
      </c>
      <c r="I152" s="35" t="s">
        <v>268</v>
      </c>
      <c r="J152" s="7" t="str">
        <f>IFERROR(INDEX(MD_Destination[Nước],MATCH(KH_26_OPT4_KTQT_v4[[#This Row],[Địa điểm đến]],MD_Destination[Địa điểm đến],0)),"")</f>
        <v>Việt Nam</v>
      </c>
      <c r="K152" s="7" t="str">
        <f>IFERROR(INDEX(MD_Destination[Khu vực],MATCH(KH_26_OPT4_KTQT_v4[[#This Row],[Địa điểm đến]],MD_Destination[Địa điểm đến],0)),"")</f>
        <v>Châu Á</v>
      </c>
      <c r="L152" s="35" t="s">
        <v>260</v>
      </c>
      <c r="M152" s="7" t="str">
        <f>IFERROR(INDEX(MD_SKU[Mã SKU],MATCH(KH_26_OPT4_KTQT_v4[[#This Row],[Tên sản phẩm]],MD_SKU[Tên SKU-rút gọn],0)),"")</f>
        <v>110000341</v>
      </c>
      <c r="N152" s="35" t="s">
        <v>486</v>
      </c>
      <c r="O152" s="7" t="str">
        <f>IFERROR(INDEX(MD_SKU[Ngành hàng],MATCH(KH_26_OPT4_KTQT_v4[[#This Row],[Tên sản phẩm]],MD_SKU[Tên SKU-rút gọn],0)),"")</f>
        <v>rHDPE thổi</v>
      </c>
      <c r="P152" s="7" t="str">
        <f>IFERROR(INDEX(MD_SKU[Nhóm ngành],MATCH(KH_26_OPT4_KTQT_v4[[#This Row],[Tên sản phẩm]],MD_SKU[Tên SKU-rút gọn],0)),"")</f>
        <v>Hạt HD thổi</v>
      </c>
      <c r="Q152" s="7" t="str">
        <f>IFERROR(
   IF(INDEX(MD_SKU[IV/IM],MATCH(KH_26_OPT4_KTQT_v4[[#This Row],[Tên sản phẩm]],MD_SKU[Tên SKU-rút gọn],0))=0,
      "",
      INDEX(MD_SKU[IV/IM],MATCH(KH_26_OPT4_KTQT_v4[[#This Row],[Tên sản phẩm]],MD_SKU[Tên SKU-rút gọn],0))
   ),
"")</f>
        <v/>
      </c>
      <c r="R152" s="44" t="str">
        <f>IFERROR(INDEX(MD_SKU[Application],MATCH(KH_26_OPT4_KTQT_v4[[#This Row],[Tên sản phẩm]],MD_SKU[Tên SKU-rút gọn],0)),"")</f>
        <v>THỔI ỐNG</v>
      </c>
      <c r="S152" s="7" t="str">
        <f>IFERROR(INDEX(MD_SKU[Phân loại],MATCH(KH_26_OPT4_KTQT_v4[[#This Row],[Tên sản phẩm]],MD_SKU[Tên SKU-rút gọn],0)),"")</f>
        <v>Cũ</v>
      </c>
      <c r="T152" s="7" t="s">
        <v>542</v>
      </c>
      <c r="U152" s="7"/>
      <c r="V152" s="70">
        <v>0.8</v>
      </c>
      <c r="W152" s="33"/>
      <c r="X152" s="33"/>
      <c r="Y152" s="33"/>
      <c r="Z152" s="33"/>
      <c r="AA152" s="33"/>
      <c r="AB152" s="33"/>
      <c r="AC152" s="33"/>
      <c r="AD152" s="33"/>
      <c r="AE152" s="33"/>
      <c r="AF152" s="33"/>
      <c r="AG152" s="33"/>
      <c r="AH152" s="33"/>
      <c r="AI152" s="47">
        <f ca="1">SUM(KH_26_OPT4_KTQT_v4[[#This Row],[SL-01]:[SL-12]])</f>
        <v>0</v>
      </c>
      <c r="AJ152" s="47">
        <f ca="1">SUMIFS(DB_25[SL-DB25],DB_25[Mã khách],KH_26_OPT4_KTQT_v4[[#This Row],[Mã khách]],DB_25[Mã sản phẩm],KH_26_OPT4_KTQT_v4[[#This Row],[Mã sản phẩm]])</f>
        <v>100.1</v>
      </c>
      <c r="AK152" s="20">
        <f ca="1">KH_26_OPT4_KTQT_v4[[#This Row],[SL-KH26]]-KH_26_OPT4_KTQT_v4[[#This Row],[SL-DB25]]</f>
        <v>-100.1</v>
      </c>
      <c r="AL152" s="21">
        <f ca="1">IFERROR(KH_26_OPT4_KTQT_v4[[#This Row],[SL-+/-]]/KH_26_OPT4_KTQT_v4[[#This Row],[SL-DB25]],0)</f>
        <v>-1</v>
      </c>
      <c r="AM152" s="51">
        <v>600</v>
      </c>
      <c r="AN152" s="51">
        <v>600</v>
      </c>
      <c r="AO152" s="51">
        <v>600</v>
      </c>
      <c r="AP152" s="51">
        <v>600</v>
      </c>
      <c r="AQ152" s="51">
        <v>600</v>
      </c>
      <c r="AR152" s="51">
        <v>600</v>
      </c>
      <c r="AS152" s="51">
        <v>600</v>
      </c>
      <c r="AT152" s="51">
        <v>600</v>
      </c>
      <c r="AU152" s="51">
        <v>600</v>
      </c>
      <c r="AV152" s="51">
        <v>600</v>
      </c>
      <c r="AW152" s="51">
        <v>600</v>
      </c>
      <c r="AX152" s="51">
        <v>600</v>
      </c>
      <c r="AY152" s="23">
        <v>600</v>
      </c>
      <c r="AZ152" s="7"/>
      <c r="BA152" s="24">
        <f>KH_26_OPT4_KTQT_v4[[#This Row],[GB-DB25]]-KH_26_OPT4_KTQT_v4[[#This Row],[GB-KH25]]</f>
        <v>600</v>
      </c>
      <c r="BB152" s="21">
        <f>IFERROR(KH_26_OPT4_KTQT_v4[[#This Row],[GB-+/-]]/KH_26_OPT4_KTQT_v4[[#This Row],[GB-KH25]],0)</f>
        <v>0</v>
      </c>
      <c r="BC152" s="21"/>
      <c r="BD152" s="47">
        <f>KH_26_OPT4_KTQT_v4[[#This Row],[SL-01]]*KH_26_OPT4_KTQT_v4[[#This Row],[GB-01]]*EXR</f>
        <v>0</v>
      </c>
      <c r="BE152" s="47">
        <f>KH_26_OPT4_KTQT_v4[[#This Row],[SL-02]]*KH_26_OPT4_KTQT_v4[[#This Row],[GB-02]]*EXR</f>
        <v>0</v>
      </c>
      <c r="BF152" s="47">
        <f>KH_26_OPT4_KTQT_v4[[#This Row],[SL-03]]*KH_26_OPT4_KTQT_v4[[#This Row],[GB-03]]*EXR</f>
        <v>0</v>
      </c>
      <c r="BG152" s="47">
        <f>KH_26_OPT4_KTQT_v4[[#This Row],[SL-04]]*KH_26_OPT4_KTQT_v4[[#This Row],[GB-04]]*EXR</f>
        <v>0</v>
      </c>
      <c r="BH152" s="47">
        <f>KH_26_OPT4_KTQT_v4[[#This Row],[SL-05]]*KH_26_OPT4_KTQT_v4[[#This Row],[GB-05]]*EXR</f>
        <v>0</v>
      </c>
      <c r="BI152" s="47">
        <f>KH_26_OPT4_KTQT_v4[[#This Row],[SL-06]]*KH_26_OPT4_KTQT_v4[[#This Row],[GB-06]]*EXR</f>
        <v>0</v>
      </c>
      <c r="BJ152" s="47">
        <f>KH_26_OPT4_KTQT_v4[[#This Row],[SL-07]]*KH_26_OPT4_KTQT_v4[[#This Row],[GB-07]]*EXR</f>
        <v>0</v>
      </c>
      <c r="BK152" s="47">
        <f>KH_26_OPT4_KTQT_v4[[#This Row],[SL-08]]*KH_26_OPT4_KTQT_v4[[#This Row],[GB-08]]*EXR</f>
        <v>0</v>
      </c>
      <c r="BL152" s="47">
        <f>KH_26_OPT4_KTQT_v4[[#This Row],[SL-09]]*KH_26_OPT4_KTQT_v4[[#This Row],[GB-09]]*EXR</f>
        <v>0</v>
      </c>
      <c r="BM152" s="47">
        <f>KH_26_OPT4_KTQT_v4[[#This Row],[SL-10]]*KH_26_OPT4_KTQT_v4[[#This Row],[GB-10]]*EXR</f>
        <v>0</v>
      </c>
      <c r="BN152" s="47">
        <f>KH_26_OPT4_KTQT_v4[[#This Row],[SL-11]]*KH_26_OPT4_KTQT_v4[[#This Row],[GB-11]]*EXR</f>
        <v>0</v>
      </c>
      <c r="BO152" s="47">
        <f>KH_26_OPT4_KTQT_v4[[#This Row],[SL-12]]*KH_26_OPT4_KTQT_v4[[#This Row],[GB-12]]*EXR</f>
        <v>0</v>
      </c>
      <c r="BP152" s="47">
        <f ca="1">SUM(KH_26_OPT4_KTQT_v4[[#This Row],[DT-EXW-01]:[DT-EXW-12]])</f>
        <v>0</v>
      </c>
      <c r="BQ152" s="47">
        <f ca="1">SUMIFS(DB_25[DT-DB25],DB_25[Mã khách],KH_26_OPT4_KTQT_v4[[#This Row],[Mã khách]],DB_25[Mã sản phẩm],KH_26_OPT4_KTQT_v4[[#This Row],[Mã sản phẩm]])</f>
        <v>20419500.179708231</v>
      </c>
      <c r="BR152" s="47">
        <f ca="1">KH_26_OPT4_KTQT_v4[[#This Row],[DT-EXW-KH26]]-KH_26_OPT4_KTQT_v4[[#This Row],[DT-EXW-DB25]]</f>
        <v>-20419500.179708231</v>
      </c>
      <c r="BS152" s="21">
        <f ca="1">IFERROR(KH_26_OPT4_KTQT_v4[[#This Row],[DT-EXW-+/-]]/KH_26_OPT4_KTQT_v4[[#This Row],[DT-EXW-DB25]],0)</f>
        <v>-1</v>
      </c>
      <c r="BT152" s="139"/>
      <c r="BU152" s="57"/>
      <c r="BV152" s="51"/>
      <c r="BW152" s="47">
        <f>IF(KH_26_OPT4_KTQT_v4[[#This Row],[CPHH-%-SL]]="Dthu",KH_26_OPT4_KTQT_v4[[#This Row],[%HH]]*KH_26_OPT4_KTQT_v4[[#This Row],[DT-EXW-01]],KH_26_OPT4_KTQT_v4[[#This Row],[HH-SL]]*KH_26_OPT4_KTQT_v4[[#This Row],[SL-01]])</f>
        <v>0</v>
      </c>
      <c r="BX152" s="47">
        <f>IF(KH_26_OPT4_KTQT_v4[[#This Row],[CPHH-%-SL]]="Dthu",KH_26_OPT4_KTQT_v4[[#This Row],[%HH]]*KH_26_OPT4_KTQT_v4[[#This Row],[DT-EXW-02]],KH_26_OPT4_KTQT_v4[[#This Row],[HH-SL]]*KH_26_OPT4_KTQT_v4[[#This Row],[SL-02]])</f>
        <v>0</v>
      </c>
      <c r="BY152" s="47">
        <f>IF(KH_26_OPT4_KTQT_v4[[#This Row],[CPHH-%-SL]]="Dthu",KH_26_OPT4_KTQT_v4[[#This Row],[%HH]]*KH_26_OPT4_KTQT_v4[[#This Row],[DT-EXW-03]],KH_26_OPT4_KTQT_v4[[#This Row],[HH-SL]]*KH_26_OPT4_KTQT_v4[[#This Row],[SL-03]])</f>
        <v>0</v>
      </c>
      <c r="BZ152" s="47">
        <f>IF(KH_26_OPT4_KTQT_v4[[#This Row],[CPHH-%-SL]]="Dthu",KH_26_OPT4_KTQT_v4[[#This Row],[%HH]]*KH_26_OPT4_KTQT_v4[[#This Row],[DT-EXW-04]],KH_26_OPT4_KTQT_v4[[#This Row],[HH-SL]]*KH_26_OPT4_KTQT_v4[[#This Row],[SL-04]])</f>
        <v>0</v>
      </c>
      <c r="CA152" s="47">
        <f>IF(KH_26_OPT4_KTQT_v4[[#This Row],[CPHH-%-SL]]="Dthu",KH_26_OPT4_KTQT_v4[[#This Row],[%HH]]*KH_26_OPT4_KTQT_v4[[#This Row],[DT-EXW-05]],KH_26_OPT4_KTQT_v4[[#This Row],[HH-SL]]*KH_26_OPT4_KTQT_v4[[#This Row],[SL-05]])</f>
        <v>0</v>
      </c>
      <c r="CB152" s="47">
        <f>IF(KH_26_OPT4_KTQT_v4[[#This Row],[CPHH-%-SL]]="Dthu",KH_26_OPT4_KTQT_v4[[#This Row],[%HH]]*KH_26_OPT4_KTQT_v4[[#This Row],[DT-EXW-06]],KH_26_OPT4_KTQT_v4[[#This Row],[HH-SL]]*KH_26_OPT4_KTQT_v4[[#This Row],[SL-06]])</f>
        <v>0</v>
      </c>
      <c r="CC152" s="47">
        <f>IF(KH_26_OPT4_KTQT_v4[[#This Row],[CPHH-%-SL]]="Dthu",KH_26_OPT4_KTQT_v4[[#This Row],[%HH]]*KH_26_OPT4_KTQT_v4[[#This Row],[DT-EXW-07]],KH_26_OPT4_KTQT_v4[[#This Row],[HH-SL]]*KH_26_OPT4_KTQT_v4[[#This Row],[SL-07]])</f>
        <v>0</v>
      </c>
      <c r="CD152" s="47">
        <f>IF(KH_26_OPT4_KTQT_v4[[#This Row],[CPHH-%-SL]]="Dthu",KH_26_OPT4_KTQT_v4[[#This Row],[%HH]]*KH_26_OPT4_KTQT_v4[[#This Row],[DT-EXW-08]],KH_26_OPT4_KTQT_v4[[#This Row],[HH-SL]]*KH_26_OPT4_KTQT_v4[[#This Row],[SL-08]])</f>
        <v>0</v>
      </c>
      <c r="CE152" s="47">
        <f>IF(KH_26_OPT4_KTQT_v4[[#This Row],[CPHH-%-SL]]="Dthu",KH_26_OPT4_KTQT_v4[[#This Row],[%HH]]*KH_26_OPT4_KTQT_v4[[#This Row],[DT-EXW-09]],KH_26_OPT4_KTQT_v4[[#This Row],[HH-SL]]*KH_26_OPT4_KTQT_v4[[#This Row],[SL-09]])</f>
        <v>0</v>
      </c>
      <c r="CF152" s="47">
        <f>IF(KH_26_OPT4_KTQT_v4[[#This Row],[CPHH-%-SL]]="Dthu",KH_26_OPT4_KTQT_v4[[#This Row],[%HH]]*KH_26_OPT4_KTQT_v4[[#This Row],[DT-EXW-10]],KH_26_OPT4_KTQT_v4[[#This Row],[HH-SL]]*KH_26_OPT4_KTQT_v4[[#This Row],[SL-10]])</f>
        <v>0</v>
      </c>
      <c r="CG152" s="47">
        <f>IF(KH_26_OPT4_KTQT_v4[[#This Row],[CPHH-%-SL]]="Dthu",KH_26_OPT4_KTQT_v4[[#This Row],[%HH]]*KH_26_OPT4_KTQT_v4[[#This Row],[DT-EXW-11]],KH_26_OPT4_KTQT_v4[[#This Row],[HH-SL]]*KH_26_OPT4_KTQT_v4[[#This Row],[SL-11]])</f>
        <v>0</v>
      </c>
      <c r="CH152" s="47">
        <f>IF(KH_26_OPT4_KTQT_v4[[#This Row],[CPHH-%-SL]]="Dthu",KH_26_OPT4_KTQT_v4[[#This Row],[%HH]]*KH_26_OPT4_KTQT_v4[[#This Row],[DT-EXW-12]],KH_26_OPT4_KTQT_v4[[#This Row],[HH-SL]]*KH_26_OPT4_KTQT_v4[[#This Row],[SL-12]])</f>
        <v>0</v>
      </c>
      <c r="CI152" s="47">
        <f ca="1">SUM(KH_26_OPT4_KTQT_v4[[#This Row],[CPHH-01]:[CPHH-12]])</f>
        <v>0</v>
      </c>
      <c r="CJ152" s="47" cm="1">
        <f t="array" ref="CJ152">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52" s="19">
        <f ca="1">SUM(KH_26_OPT4_KTQT_v4[[#This Row],[ĐGVCNĐ-KXK]:[ĐGVCCT-KXK]])</f>
        <v>0</v>
      </c>
      <c r="CL152" s="47" cm="1">
        <f t="array" ref="CL152">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152" s="47" cm="1">
        <f t="array" ref="CM152">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52" s="47">
        <f ca="1">(KH_26_OPT4_KTQT_v4[[#This Row],[ĐGVC-KNĐ]]+KH_26_OPT4_KTQT_v4[[#This Row],[ĐGVC-KXK]])*KH_26_OPT4_KTQT_v4[[#This Row],[SL-01]]</f>
        <v>0</v>
      </c>
      <c r="CO152" s="47">
        <f ca="1">(KH_26_OPT4_KTQT_v4[[#This Row],[ĐGVC-KNĐ]]+KH_26_OPT4_KTQT_v4[[#This Row],[ĐGVC-KXK]])*KH_26_OPT4_KTQT_v4[[#This Row],[SL-02]]</f>
        <v>0</v>
      </c>
      <c r="CP152" s="47">
        <f ca="1">(KH_26_OPT4_KTQT_v4[[#This Row],[ĐGVC-KNĐ]]+KH_26_OPT4_KTQT_v4[[#This Row],[ĐGVC-KXK]])*KH_26_OPT4_KTQT_v4[[#This Row],[SL-03]]</f>
        <v>0</v>
      </c>
      <c r="CQ152" s="47">
        <f ca="1">(KH_26_OPT4_KTQT_v4[[#This Row],[ĐGVC-KNĐ]]+KH_26_OPT4_KTQT_v4[[#This Row],[ĐGVC-KXK]])*KH_26_OPT4_KTQT_v4[[#This Row],[SL-04]]</f>
        <v>0</v>
      </c>
      <c r="CR152" s="47">
        <f ca="1">(KH_26_OPT4_KTQT_v4[[#This Row],[ĐGVC-KNĐ]]+KH_26_OPT4_KTQT_v4[[#This Row],[ĐGVC-KXK]])*KH_26_OPT4_KTQT_v4[[#This Row],[SL-05]]</f>
        <v>0</v>
      </c>
      <c r="CS152" s="47">
        <f ca="1">(KH_26_OPT4_KTQT_v4[[#This Row],[ĐGVC-KNĐ]]+KH_26_OPT4_KTQT_v4[[#This Row],[ĐGVC-KXK]])*KH_26_OPT4_KTQT_v4[[#This Row],[SL-06]]</f>
        <v>0</v>
      </c>
      <c r="CT152" s="47">
        <f ca="1">(KH_26_OPT4_KTQT_v4[[#This Row],[ĐGVC-KNĐ]]+KH_26_OPT4_KTQT_v4[[#This Row],[ĐGVC-KXK]])*KH_26_OPT4_KTQT_v4[[#This Row],[SL-07]]</f>
        <v>0</v>
      </c>
      <c r="CU152" s="47">
        <f ca="1">(KH_26_OPT4_KTQT_v4[[#This Row],[ĐGVC-KNĐ]]+KH_26_OPT4_KTQT_v4[[#This Row],[ĐGVC-KXK]])*KH_26_OPT4_KTQT_v4[[#This Row],[SL-08]]</f>
        <v>0</v>
      </c>
      <c r="CV152" s="47">
        <f ca="1">(KH_26_OPT4_KTQT_v4[[#This Row],[ĐGVC-KNĐ]]+KH_26_OPT4_KTQT_v4[[#This Row],[ĐGVC-KXK]])*KH_26_OPT4_KTQT_v4[[#This Row],[SL-09]]</f>
        <v>0</v>
      </c>
      <c r="CW152" s="47">
        <f ca="1">(KH_26_OPT4_KTQT_v4[[#This Row],[ĐGVC-KNĐ]]+KH_26_OPT4_KTQT_v4[[#This Row],[ĐGVC-KXK]])*KH_26_OPT4_KTQT_v4[[#This Row],[SL-10]]</f>
        <v>0</v>
      </c>
      <c r="CX152" s="47">
        <f ca="1">(KH_26_OPT4_KTQT_v4[[#This Row],[ĐGVC-KNĐ]]+KH_26_OPT4_KTQT_v4[[#This Row],[ĐGVC-KXK]])*KH_26_OPT4_KTQT_v4[[#This Row],[SL-11]]</f>
        <v>0</v>
      </c>
      <c r="CY152" s="47">
        <f ca="1">(KH_26_OPT4_KTQT_v4[[#This Row],[ĐGVC-KNĐ]]+KH_26_OPT4_KTQT_v4[[#This Row],[ĐGVC-KXK]])*KH_26_OPT4_KTQT_v4[[#This Row],[SL-12]]</f>
        <v>0</v>
      </c>
      <c r="CZ152" s="47">
        <f ca="1">SUM(KH_26_OPT4_KTQT_v4[[#This Row],[CPVC-01]:[CPVC-12]])</f>
        <v>0</v>
      </c>
      <c r="DA152" s="124">
        <f ca="1">KH_26_OPT4_KTQT_v4[[#This Row],[DT-EXW-01]]+KH_26_OPT4_KTQT_v4[[#This Row],[CPVC-01]]+KH_26_OPT4_KTQT_v4[[#This Row],[CPHH-01]]</f>
        <v>0</v>
      </c>
      <c r="DB152" s="47">
        <f ca="1">KH_26_OPT4_KTQT_v4[[#This Row],[DT-EXW-02]]+KH_26_OPT4_KTQT_v4[[#This Row],[CPVC-02]]+KH_26_OPT4_KTQT_v4[[#This Row],[CPHH-02]]</f>
        <v>0</v>
      </c>
      <c r="DC152" s="47">
        <f ca="1">KH_26_OPT4_KTQT_v4[[#This Row],[DT-EXW-03]]+KH_26_OPT4_KTQT_v4[[#This Row],[CPVC-03]]+KH_26_OPT4_KTQT_v4[[#This Row],[CPHH-03]]</f>
        <v>0</v>
      </c>
      <c r="DD152" s="47">
        <f ca="1">KH_26_OPT4_KTQT_v4[[#This Row],[DT-EXW-04]]+KH_26_OPT4_KTQT_v4[[#This Row],[CPVC-04]]+KH_26_OPT4_KTQT_v4[[#This Row],[CPHH-04]]</f>
        <v>0</v>
      </c>
      <c r="DE152" s="47">
        <f ca="1">KH_26_OPT4_KTQT_v4[[#This Row],[DT-EXW-05]]+KH_26_OPT4_KTQT_v4[[#This Row],[CPVC-05]]+KH_26_OPT4_KTQT_v4[[#This Row],[CPHH-05]]</f>
        <v>0</v>
      </c>
      <c r="DF152" s="47">
        <f ca="1">KH_26_OPT4_KTQT_v4[[#This Row],[DT-EXW-06]]+KH_26_OPT4_KTQT_v4[[#This Row],[CPVC-06]]+KH_26_OPT4_KTQT_v4[[#This Row],[CPHH-06]]</f>
        <v>0</v>
      </c>
      <c r="DG152" s="47">
        <f ca="1">KH_26_OPT4_KTQT_v4[[#This Row],[DT-EXW-07]]+KH_26_OPT4_KTQT_v4[[#This Row],[CPVC-07]]+KH_26_OPT4_KTQT_v4[[#This Row],[CPHH-07]]</f>
        <v>0</v>
      </c>
      <c r="DH152" s="47">
        <f ca="1">KH_26_OPT4_KTQT_v4[[#This Row],[DT-EXW-08]]+KH_26_OPT4_KTQT_v4[[#This Row],[CPVC-08]]+KH_26_OPT4_KTQT_v4[[#This Row],[CPHH-08]]</f>
        <v>0</v>
      </c>
      <c r="DI152" s="47">
        <f ca="1">KH_26_OPT4_KTQT_v4[[#This Row],[DT-EXW-09]]+KH_26_OPT4_KTQT_v4[[#This Row],[CPVC-09]]+KH_26_OPT4_KTQT_v4[[#This Row],[CPHH-09]]</f>
        <v>0</v>
      </c>
      <c r="DJ152" s="47">
        <f ca="1">KH_26_OPT4_KTQT_v4[[#This Row],[DT-EXW-10]]+KH_26_OPT4_KTQT_v4[[#This Row],[CPVC-10]]+KH_26_OPT4_KTQT_v4[[#This Row],[CPHH-10]]</f>
        <v>0</v>
      </c>
      <c r="DK152" s="47">
        <f ca="1">KH_26_OPT4_KTQT_v4[[#This Row],[DT-EXW-11]]+KH_26_OPT4_KTQT_v4[[#This Row],[CPVC-11]]+KH_26_OPT4_KTQT_v4[[#This Row],[CPHH-11]]</f>
        <v>0</v>
      </c>
      <c r="DL152" s="47">
        <f ca="1">KH_26_OPT4_KTQT_v4[[#This Row],[DT-EXW-12]]+KH_26_OPT4_KTQT_v4[[#This Row],[CPVC-12]]+KH_26_OPT4_KTQT_v4[[#This Row],[CPHH-12]]</f>
        <v>0</v>
      </c>
      <c r="DM152" s="47">
        <f ca="1">SUM(KH_26_OPT4_KTQT_v4[[#This Row],[DT-01]:[DT-12]])</f>
        <v>0</v>
      </c>
      <c r="DN152" s="7"/>
      <c r="DO152" s="7"/>
      <c r="DP152" s="125"/>
      <c r="DQ152" s="136"/>
      <c r="DR152" s="132">
        <f>IFERROR(KH_26_OPT4_KTQT_v4[[#This Row],[DT-EXW-01]]*KH_26_OPT4_KTQT_v4[[#This Row],[%CPDP]],0)</f>
        <v>0</v>
      </c>
      <c r="DS152" s="132">
        <f>IFERROR(KH_26_OPT4_KTQT_v4[[#This Row],[DT-EXW-02]]*KH_26_OPT4_KTQT_v4[[#This Row],[%CPDP]],0)</f>
        <v>0</v>
      </c>
      <c r="DT152" s="132">
        <f>IFERROR(KH_26_OPT4_KTQT_v4[[#This Row],[DT-EXW-03]]*KH_26_OPT4_KTQT_v4[[#This Row],[%CPDP]],0)</f>
        <v>0</v>
      </c>
      <c r="DU152" s="132">
        <f>IFERROR(KH_26_OPT4_KTQT_v4[[#This Row],[DT-EXW-04]]*KH_26_OPT4_KTQT_v4[[#This Row],[%CPDP]],0)</f>
        <v>0</v>
      </c>
      <c r="DV152" s="132">
        <f>IFERROR(KH_26_OPT4_KTQT_v4[[#This Row],[DT-EXW-05]]*KH_26_OPT4_KTQT_v4[[#This Row],[%CPDP]],0)</f>
        <v>0</v>
      </c>
      <c r="DW152" s="132">
        <f>IFERROR(KH_26_OPT4_KTQT_v4[[#This Row],[DT-EXW-06]]*KH_26_OPT4_KTQT_v4[[#This Row],[%CPDP]],0)</f>
        <v>0</v>
      </c>
      <c r="DX152" s="132">
        <f>IFERROR(KH_26_OPT4_KTQT_v4[[#This Row],[DT-EXW-07]]*KH_26_OPT4_KTQT_v4[[#This Row],[%CPDP]],0)</f>
        <v>0</v>
      </c>
      <c r="DY152" s="132">
        <f>IFERROR(KH_26_OPT4_KTQT_v4[[#This Row],[DT-EXW-08]]*KH_26_OPT4_KTQT_v4[[#This Row],[%CPDP]],0)</f>
        <v>0</v>
      </c>
      <c r="DZ152" s="132">
        <f>IFERROR(KH_26_OPT4_KTQT_v4[[#This Row],[DT-EXW-09]]*KH_26_OPT4_KTQT_v4[[#This Row],[%CPDP]],0)</f>
        <v>0</v>
      </c>
      <c r="EA152" s="132">
        <f>IFERROR(KH_26_OPT4_KTQT_v4[[#This Row],[DT-EXW-10]]*KH_26_OPT4_KTQT_v4[[#This Row],[%CPDP]],0)</f>
        <v>0</v>
      </c>
      <c r="EB152" s="132">
        <f>IFERROR(KH_26_OPT4_KTQT_v4[[#This Row],[DT-EXW-11]]*KH_26_OPT4_KTQT_v4[[#This Row],[%CPDP]],0)</f>
        <v>0</v>
      </c>
      <c r="EC152" s="132">
        <f>IFERROR(KH_26_OPT4_KTQT_v4[[#This Row],[DT-EXW-12]]*KH_26_OPT4_KTQT_v4[[#This Row],[%CPDP]],0)</f>
        <v>0</v>
      </c>
      <c r="ED152" s="131">
        <f ca="1">SUM(KH_26_OPT4_KTQT_v4[[#This Row],[CPDP-01]:[CPDP-12]])</f>
        <v>0</v>
      </c>
    </row>
    <row r="153" spans="1:134" ht="14.65" hidden="1" customHeight="1" x14ac:dyDescent="0.35">
      <c r="A153" s="18">
        <v>148</v>
      </c>
      <c r="B153" s="71" t="s">
        <v>115</v>
      </c>
      <c r="C153" s="18" t="str">
        <f>IFERROR(_xlfn.XLOOKUP(KH_26_OPT4_KTQT_v4[[#This Row],[Salesman]],MD_Salesman[Salesman],MD_Salesman[SalesManager]),"")</f>
        <v>Quốc Anh</v>
      </c>
      <c r="D153" s="72" t="str">
        <f>IFERROR(INDEX(MD_Customer[Mã khách],MATCH(KH_26_OPT4_KTQT_v4[[#This Row],[Tên khách]],MD_Customer[Tên khách-rút gọn],0)),"")</f>
        <v>105336</v>
      </c>
      <c r="E153" s="7" t="str">
        <f>IFERROR(INDEX(MD_Customer[Parent Account],MATCH(KH_26_OPT4_KTQT_v4[[#This Row],[Tên khách]],MD_Customer[Tên khách-rút gọn],0)),"")</f>
        <v>Hailide Việt Nam</v>
      </c>
      <c r="F153" s="35" t="s">
        <v>149</v>
      </c>
      <c r="G153" s="7" t="str">
        <f>IFERROR(INDEX(MD_Customer[Phân loại],MATCH(KH_26_OPT4_KTQT_v4[[#This Row],[Tên khách]],MD_Customer[Tên khách-rút gọn],0)),"")</f>
        <v>Hiện hữu</v>
      </c>
      <c r="H153" s="7" t="str">
        <f>IFERROR(INDEX(MD_Customer[Kênh bán hàng],MATCH(KH_26_OPT4_KTQT_v4[[#This Row],[Tên khách]],MD_Customer[Tên khách-rút gọn],0)),"")</f>
        <v>Nội địa</v>
      </c>
      <c r="I153" s="35" t="s">
        <v>258</v>
      </c>
      <c r="J153" s="7" t="str">
        <f>IFERROR(INDEX(MD_Destination[Nước],MATCH(KH_26_OPT4_KTQT_v4[[#This Row],[Địa điểm đến]],MD_Destination[Địa điểm đến],0)),"")</f>
        <v>Việt Nam</v>
      </c>
      <c r="K153" s="7" t="str">
        <f>IFERROR(INDEX(MD_Destination[Khu vực],MATCH(KH_26_OPT4_KTQT_v4[[#This Row],[Địa điểm đến]],MD_Destination[Địa điểm đến],0)),"")</f>
        <v>Châu Á</v>
      </c>
      <c r="L153" s="35" t="s">
        <v>262</v>
      </c>
      <c r="M153" s="7" t="str">
        <f>IFERROR(INDEX(MD_SKU[Mã SKU],MATCH(KH_26_OPT4_KTQT_v4[[#This Row],[Tên sản phẩm]],MD_SKU[Tên SKU-rút gọn],0)),"")</f>
        <v>110000382</v>
      </c>
      <c r="N153" s="35" t="s">
        <v>492</v>
      </c>
      <c r="O153" s="7" t="str">
        <f>IFERROR(INDEX(MD_SKU[Ngành hàng],MATCH(KH_26_OPT4_KTQT_v4[[#This Row],[Tên sản phẩm]],MD_SKU[Tên SKU-rút gọn],0)),"")</f>
        <v>Xơ sợi</v>
      </c>
      <c r="P153" s="7" t="str">
        <f>IFERROR(INDEX(MD_SKU[Nhóm ngành],MATCH(KH_26_OPT4_KTQT_v4[[#This Row],[Tên sản phẩm]],MD_SKU[Tên SKU-rút gọn],0)),"")</f>
        <v>Hạt Xơ sợi</v>
      </c>
      <c r="Q153" s="7" t="str">
        <f>IFERROR(
   IF(INDEX(MD_SKU[IV/IM],MATCH(KH_26_OPT4_KTQT_v4[[#This Row],[Tên sản phẩm]],MD_SKU[Tên SKU-rút gọn],0))=0,
      "",
      INDEX(MD_SKU[IV/IM],MATCH(KH_26_OPT4_KTQT_v4[[#This Row],[Tên sản phẩm]],MD_SKU[Tên SKU-rút gọn],0))
   ),
"")</f>
        <v>0.65 ± 0.03</v>
      </c>
      <c r="R153" s="44">
        <f>IFERROR(INDEX(MD_SKU[Application],MATCH(KH_26_OPT4_KTQT_v4[[#This Row],[Tên sản phẩm]],MD_SKU[Tên SKU-rút gọn],0)),"")</f>
        <v>0</v>
      </c>
      <c r="S153" s="7" t="str">
        <f>IFERROR(INDEX(MD_SKU[Phân loại],MATCH(KH_26_OPT4_KTQT_v4[[#This Row],[Tên sản phẩm]],MD_SKU[Tên SKU-rút gọn],0)),"")</f>
        <v>Cũ</v>
      </c>
      <c r="T153" s="7"/>
      <c r="U153" s="7"/>
      <c r="V153" s="70">
        <v>0.8</v>
      </c>
      <c r="W153" s="33"/>
      <c r="X153" s="33"/>
      <c r="Y153" s="33"/>
      <c r="Z153" s="33"/>
      <c r="AA153" s="33"/>
      <c r="AB153" s="33"/>
      <c r="AC153" s="33"/>
      <c r="AD153" s="33"/>
      <c r="AE153" s="33"/>
      <c r="AF153" s="33"/>
      <c r="AG153" s="33"/>
      <c r="AH153" s="33"/>
      <c r="AI153" s="47">
        <f ca="1">SUM(KH_26_OPT4_KTQT_v4[[#This Row],[SL-01]:[SL-12]])</f>
        <v>0</v>
      </c>
      <c r="AJ153" s="47">
        <f ca="1">SUMIFS(DB_25[SL-DB25],DB_25[Mã khách],KH_26_OPT4_KTQT_v4[[#This Row],[Mã khách]],DB_25[Mã sản phẩm],KH_26_OPT4_KTQT_v4[[#This Row],[Mã sản phẩm]])</f>
        <v>1</v>
      </c>
      <c r="AK153" s="20">
        <f ca="1">KH_26_OPT4_KTQT_v4[[#This Row],[SL-KH26]]-KH_26_OPT4_KTQT_v4[[#This Row],[SL-DB25]]</f>
        <v>-1</v>
      </c>
      <c r="AL153" s="21">
        <f ca="1">IFERROR(KH_26_OPT4_KTQT_v4[[#This Row],[SL-+/-]]/KH_26_OPT4_KTQT_v4[[#This Row],[SL-DB25]],0)</f>
        <v>-1</v>
      </c>
      <c r="AM153" s="51">
        <v>550</v>
      </c>
      <c r="AN153" s="51">
        <v>550</v>
      </c>
      <c r="AO153" s="51">
        <v>550</v>
      </c>
      <c r="AP153" s="51">
        <v>550</v>
      </c>
      <c r="AQ153" s="51">
        <v>550</v>
      </c>
      <c r="AR153" s="51">
        <v>550</v>
      </c>
      <c r="AS153" s="51">
        <v>550</v>
      </c>
      <c r="AT153" s="51">
        <v>550</v>
      </c>
      <c r="AU153" s="51">
        <v>550</v>
      </c>
      <c r="AV153" s="51">
        <v>550</v>
      </c>
      <c r="AW153" s="51">
        <v>550</v>
      </c>
      <c r="AX153" s="51">
        <v>550</v>
      </c>
      <c r="AY153" s="23">
        <v>550</v>
      </c>
      <c r="AZ153" s="7"/>
      <c r="BA153" s="24">
        <f>KH_26_OPT4_KTQT_v4[[#This Row],[GB-DB25]]-KH_26_OPT4_KTQT_v4[[#This Row],[GB-KH25]]</f>
        <v>550</v>
      </c>
      <c r="BB153" s="21">
        <f>IFERROR(KH_26_OPT4_KTQT_v4[[#This Row],[GB-+/-]]/KH_26_OPT4_KTQT_v4[[#This Row],[GB-KH25]],0)</f>
        <v>0</v>
      </c>
      <c r="BC153" s="21"/>
      <c r="BD153" s="47">
        <f>KH_26_OPT4_KTQT_v4[[#This Row],[SL-01]]*KH_26_OPT4_KTQT_v4[[#This Row],[GB-01]]*EXR</f>
        <v>0</v>
      </c>
      <c r="BE153" s="47">
        <f>KH_26_OPT4_KTQT_v4[[#This Row],[SL-02]]*KH_26_OPT4_KTQT_v4[[#This Row],[GB-02]]*EXR</f>
        <v>0</v>
      </c>
      <c r="BF153" s="47">
        <f>KH_26_OPT4_KTQT_v4[[#This Row],[SL-03]]*KH_26_OPT4_KTQT_v4[[#This Row],[GB-03]]*EXR</f>
        <v>0</v>
      </c>
      <c r="BG153" s="47">
        <f>KH_26_OPT4_KTQT_v4[[#This Row],[SL-04]]*KH_26_OPT4_KTQT_v4[[#This Row],[GB-04]]*EXR</f>
        <v>0</v>
      </c>
      <c r="BH153" s="47">
        <f>KH_26_OPT4_KTQT_v4[[#This Row],[SL-05]]*KH_26_OPT4_KTQT_v4[[#This Row],[GB-05]]*EXR</f>
        <v>0</v>
      </c>
      <c r="BI153" s="47">
        <f>KH_26_OPT4_KTQT_v4[[#This Row],[SL-06]]*KH_26_OPT4_KTQT_v4[[#This Row],[GB-06]]*EXR</f>
        <v>0</v>
      </c>
      <c r="BJ153" s="47">
        <f>KH_26_OPT4_KTQT_v4[[#This Row],[SL-07]]*KH_26_OPT4_KTQT_v4[[#This Row],[GB-07]]*EXR</f>
        <v>0</v>
      </c>
      <c r="BK153" s="47">
        <f>KH_26_OPT4_KTQT_v4[[#This Row],[SL-08]]*KH_26_OPT4_KTQT_v4[[#This Row],[GB-08]]*EXR</f>
        <v>0</v>
      </c>
      <c r="BL153" s="47">
        <f>KH_26_OPT4_KTQT_v4[[#This Row],[SL-09]]*KH_26_OPT4_KTQT_v4[[#This Row],[GB-09]]*EXR</f>
        <v>0</v>
      </c>
      <c r="BM153" s="47">
        <f>KH_26_OPT4_KTQT_v4[[#This Row],[SL-10]]*KH_26_OPT4_KTQT_v4[[#This Row],[GB-10]]*EXR</f>
        <v>0</v>
      </c>
      <c r="BN153" s="47">
        <f>KH_26_OPT4_KTQT_v4[[#This Row],[SL-11]]*KH_26_OPT4_KTQT_v4[[#This Row],[GB-11]]*EXR</f>
        <v>0</v>
      </c>
      <c r="BO153" s="47">
        <f>KH_26_OPT4_KTQT_v4[[#This Row],[SL-12]]*KH_26_OPT4_KTQT_v4[[#This Row],[GB-12]]*EXR</f>
        <v>0</v>
      </c>
      <c r="BP153" s="47">
        <f ca="1">SUM(KH_26_OPT4_KTQT_v4[[#This Row],[DT-EXW-01]:[DT-EXW-12]])</f>
        <v>0</v>
      </c>
      <c r="BQ153" s="47">
        <f ca="1">SUMIFS(DB_25[DT-DB25],DB_25[Mã khách],KH_26_OPT4_KTQT_v4[[#This Row],[Mã khách]],DB_25[Mã sản phẩm],KH_26_OPT4_KTQT_v4[[#This Row],[Mã sản phẩm]])</f>
        <v>26819401.781321179</v>
      </c>
      <c r="BR153" s="47">
        <f ca="1">KH_26_OPT4_KTQT_v4[[#This Row],[DT-EXW-KH26]]-KH_26_OPT4_KTQT_v4[[#This Row],[DT-EXW-DB25]]</f>
        <v>-26819401.781321179</v>
      </c>
      <c r="BS153" s="21">
        <f ca="1">IFERROR(KH_26_OPT4_KTQT_v4[[#This Row],[DT-EXW-+/-]]/KH_26_OPT4_KTQT_v4[[#This Row],[DT-EXW-DB25]],0)</f>
        <v>-1</v>
      </c>
      <c r="BT153" s="139"/>
      <c r="BU153" s="57"/>
      <c r="BV153" s="51"/>
      <c r="BW153" s="47">
        <f>IF(KH_26_OPT4_KTQT_v4[[#This Row],[CPHH-%-SL]]="Dthu",KH_26_OPT4_KTQT_v4[[#This Row],[%HH]]*KH_26_OPT4_KTQT_v4[[#This Row],[DT-EXW-01]],KH_26_OPT4_KTQT_v4[[#This Row],[HH-SL]]*KH_26_OPT4_KTQT_v4[[#This Row],[SL-01]])</f>
        <v>0</v>
      </c>
      <c r="BX153" s="47">
        <f>IF(KH_26_OPT4_KTQT_v4[[#This Row],[CPHH-%-SL]]="Dthu",KH_26_OPT4_KTQT_v4[[#This Row],[%HH]]*KH_26_OPT4_KTQT_v4[[#This Row],[DT-EXW-02]],KH_26_OPT4_KTQT_v4[[#This Row],[HH-SL]]*KH_26_OPT4_KTQT_v4[[#This Row],[SL-02]])</f>
        <v>0</v>
      </c>
      <c r="BY153" s="47">
        <f>IF(KH_26_OPT4_KTQT_v4[[#This Row],[CPHH-%-SL]]="Dthu",KH_26_OPT4_KTQT_v4[[#This Row],[%HH]]*KH_26_OPT4_KTQT_v4[[#This Row],[DT-EXW-03]],KH_26_OPT4_KTQT_v4[[#This Row],[HH-SL]]*KH_26_OPT4_KTQT_v4[[#This Row],[SL-03]])</f>
        <v>0</v>
      </c>
      <c r="BZ153" s="47">
        <f>IF(KH_26_OPT4_KTQT_v4[[#This Row],[CPHH-%-SL]]="Dthu",KH_26_OPT4_KTQT_v4[[#This Row],[%HH]]*KH_26_OPT4_KTQT_v4[[#This Row],[DT-EXW-04]],KH_26_OPT4_KTQT_v4[[#This Row],[HH-SL]]*KH_26_OPT4_KTQT_v4[[#This Row],[SL-04]])</f>
        <v>0</v>
      </c>
      <c r="CA153" s="47">
        <f>IF(KH_26_OPT4_KTQT_v4[[#This Row],[CPHH-%-SL]]="Dthu",KH_26_OPT4_KTQT_v4[[#This Row],[%HH]]*KH_26_OPT4_KTQT_v4[[#This Row],[DT-EXW-05]],KH_26_OPT4_KTQT_v4[[#This Row],[HH-SL]]*KH_26_OPT4_KTQT_v4[[#This Row],[SL-05]])</f>
        <v>0</v>
      </c>
      <c r="CB153" s="47">
        <f>IF(KH_26_OPT4_KTQT_v4[[#This Row],[CPHH-%-SL]]="Dthu",KH_26_OPT4_KTQT_v4[[#This Row],[%HH]]*KH_26_OPT4_KTQT_v4[[#This Row],[DT-EXW-06]],KH_26_OPT4_KTQT_v4[[#This Row],[HH-SL]]*KH_26_OPT4_KTQT_v4[[#This Row],[SL-06]])</f>
        <v>0</v>
      </c>
      <c r="CC153" s="47">
        <f>IF(KH_26_OPT4_KTQT_v4[[#This Row],[CPHH-%-SL]]="Dthu",KH_26_OPT4_KTQT_v4[[#This Row],[%HH]]*KH_26_OPT4_KTQT_v4[[#This Row],[DT-EXW-07]],KH_26_OPT4_KTQT_v4[[#This Row],[HH-SL]]*KH_26_OPT4_KTQT_v4[[#This Row],[SL-07]])</f>
        <v>0</v>
      </c>
      <c r="CD153" s="47">
        <f>IF(KH_26_OPT4_KTQT_v4[[#This Row],[CPHH-%-SL]]="Dthu",KH_26_OPT4_KTQT_v4[[#This Row],[%HH]]*KH_26_OPT4_KTQT_v4[[#This Row],[DT-EXW-08]],KH_26_OPT4_KTQT_v4[[#This Row],[HH-SL]]*KH_26_OPT4_KTQT_v4[[#This Row],[SL-08]])</f>
        <v>0</v>
      </c>
      <c r="CE153" s="47">
        <f>IF(KH_26_OPT4_KTQT_v4[[#This Row],[CPHH-%-SL]]="Dthu",KH_26_OPT4_KTQT_v4[[#This Row],[%HH]]*KH_26_OPT4_KTQT_v4[[#This Row],[DT-EXW-09]],KH_26_OPT4_KTQT_v4[[#This Row],[HH-SL]]*KH_26_OPT4_KTQT_v4[[#This Row],[SL-09]])</f>
        <v>0</v>
      </c>
      <c r="CF153" s="47">
        <f>IF(KH_26_OPT4_KTQT_v4[[#This Row],[CPHH-%-SL]]="Dthu",KH_26_OPT4_KTQT_v4[[#This Row],[%HH]]*KH_26_OPT4_KTQT_v4[[#This Row],[DT-EXW-10]],KH_26_OPT4_KTQT_v4[[#This Row],[HH-SL]]*KH_26_OPT4_KTQT_v4[[#This Row],[SL-10]])</f>
        <v>0</v>
      </c>
      <c r="CG153" s="47">
        <f>IF(KH_26_OPT4_KTQT_v4[[#This Row],[CPHH-%-SL]]="Dthu",KH_26_OPT4_KTQT_v4[[#This Row],[%HH]]*KH_26_OPT4_KTQT_v4[[#This Row],[DT-EXW-11]],KH_26_OPT4_KTQT_v4[[#This Row],[HH-SL]]*KH_26_OPT4_KTQT_v4[[#This Row],[SL-11]])</f>
        <v>0</v>
      </c>
      <c r="CH153" s="47">
        <f>IF(KH_26_OPT4_KTQT_v4[[#This Row],[CPHH-%-SL]]="Dthu",KH_26_OPT4_KTQT_v4[[#This Row],[%HH]]*KH_26_OPT4_KTQT_v4[[#This Row],[DT-EXW-12]],KH_26_OPT4_KTQT_v4[[#This Row],[HH-SL]]*KH_26_OPT4_KTQT_v4[[#This Row],[SL-12]])</f>
        <v>0</v>
      </c>
      <c r="CI153" s="47">
        <f ca="1">SUM(KH_26_OPT4_KTQT_v4[[#This Row],[CPHH-01]:[CPHH-12]])</f>
        <v>0</v>
      </c>
      <c r="CJ153" s="47" cm="1">
        <f t="array" ref="CJ153">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53" s="19">
        <f ca="1">SUM(KH_26_OPT4_KTQT_v4[[#This Row],[ĐGVCNĐ-KXK]:[ĐGVCCT-KXK]])</f>
        <v>0</v>
      </c>
      <c r="CL153" s="47" cm="1">
        <f t="array" ref="CL153">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153" s="47" cm="1">
        <f t="array" ref="CM153">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53" s="47">
        <f ca="1">(KH_26_OPT4_KTQT_v4[[#This Row],[ĐGVC-KNĐ]]+KH_26_OPT4_KTQT_v4[[#This Row],[ĐGVC-KXK]])*KH_26_OPT4_KTQT_v4[[#This Row],[SL-01]]</f>
        <v>0</v>
      </c>
      <c r="CO153" s="47">
        <f ca="1">(KH_26_OPT4_KTQT_v4[[#This Row],[ĐGVC-KNĐ]]+KH_26_OPT4_KTQT_v4[[#This Row],[ĐGVC-KXK]])*KH_26_OPT4_KTQT_v4[[#This Row],[SL-02]]</f>
        <v>0</v>
      </c>
      <c r="CP153" s="47">
        <f ca="1">(KH_26_OPT4_KTQT_v4[[#This Row],[ĐGVC-KNĐ]]+KH_26_OPT4_KTQT_v4[[#This Row],[ĐGVC-KXK]])*KH_26_OPT4_KTQT_v4[[#This Row],[SL-03]]</f>
        <v>0</v>
      </c>
      <c r="CQ153" s="47">
        <f ca="1">(KH_26_OPT4_KTQT_v4[[#This Row],[ĐGVC-KNĐ]]+KH_26_OPT4_KTQT_v4[[#This Row],[ĐGVC-KXK]])*KH_26_OPT4_KTQT_v4[[#This Row],[SL-04]]</f>
        <v>0</v>
      </c>
      <c r="CR153" s="47">
        <f ca="1">(KH_26_OPT4_KTQT_v4[[#This Row],[ĐGVC-KNĐ]]+KH_26_OPT4_KTQT_v4[[#This Row],[ĐGVC-KXK]])*KH_26_OPT4_KTQT_v4[[#This Row],[SL-05]]</f>
        <v>0</v>
      </c>
      <c r="CS153" s="47">
        <f ca="1">(KH_26_OPT4_KTQT_v4[[#This Row],[ĐGVC-KNĐ]]+KH_26_OPT4_KTQT_v4[[#This Row],[ĐGVC-KXK]])*KH_26_OPT4_KTQT_v4[[#This Row],[SL-06]]</f>
        <v>0</v>
      </c>
      <c r="CT153" s="47">
        <f ca="1">(KH_26_OPT4_KTQT_v4[[#This Row],[ĐGVC-KNĐ]]+KH_26_OPT4_KTQT_v4[[#This Row],[ĐGVC-KXK]])*KH_26_OPT4_KTQT_v4[[#This Row],[SL-07]]</f>
        <v>0</v>
      </c>
      <c r="CU153" s="47">
        <f ca="1">(KH_26_OPT4_KTQT_v4[[#This Row],[ĐGVC-KNĐ]]+KH_26_OPT4_KTQT_v4[[#This Row],[ĐGVC-KXK]])*KH_26_OPT4_KTQT_v4[[#This Row],[SL-08]]</f>
        <v>0</v>
      </c>
      <c r="CV153" s="47">
        <f ca="1">(KH_26_OPT4_KTQT_v4[[#This Row],[ĐGVC-KNĐ]]+KH_26_OPT4_KTQT_v4[[#This Row],[ĐGVC-KXK]])*KH_26_OPT4_KTQT_v4[[#This Row],[SL-09]]</f>
        <v>0</v>
      </c>
      <c r="CW153" s="47">
        <f ca="1">(KH_26_OPT4_KTQT_v4[[#This Row],[ĐGVC-KNĐ]]+KH_26_OPT4_KTQT_v4[[#This Row],[ĐGVC-KXK]])*KH_26_OPT4_KTQT_v4[[#This Row],[SL-10]]</f>
        <v>0</v>
      </c>
      <c r="CX153" s="47">
        <f ca="1">(KH_26_OPT4_KTQT_v4[[#This Row],[ĐGVC-KNĐ]]+KH_26_OPT4_KTQT_v4[[#This Row],[ĐGVC-KXK]])*KH_26_OPT4_KTQT_v4[[#This Row],[SL-11]]</f>
        <v>0</v>
      </c>
      <c r="CY153" s="47">
        <f ca="1">(KH_26_OPT4_KTQT_v4[[#This Row],[ĐGVC-KNĐ]]+KH_26_OPT4_KTQT_v4[[#This Row],[ĐGVC-KXK]])*KH_26_OPT4_KTQT_v4[[#This Row],[SL-12]]</f>
        <v>0</v>
      </c>
      <c r="CZ153" s="47">
        <f ca="1">SUM(KH_26_OPT4_KTQT_v4[[#This Row],[CPVC-01]:[CPVC-12]])</f>
        <v>0</v>
      </c>
      <c r="DA153" s="124">
        <f ca="1">KH_26_OPT4_KTQT_v4[[#This Row],[DT-EXW-01]]+KH_26_OPT4_KTQT_v4[[#This Row],[CPVC-01]]+KH_26_OPT4_KTQT_v4[[#This Row],[CPHH-01]]</f>
        <v>0</v>
      </c>
      <c r="DB153" s="47">
        <f ca="1">KH_26_OPT4_KTQT_v4[[#This Row],[DT-EXW-02]]+KH_26_OPT4_KTQT_v4[[#This Row],[CPVC-02]]+KH_26_OPT4_KTQT_v4[[#This Row],[CPHH-02]]</f>
        <v>0</v>
      </c>
      <c r="DC153" s="47">
        <f ca="1">KH_26_OPT4_KTQT_v4[[#This Row],[DT-EXW-03]]+KH_26_OPT4_KTQT_v4[[#This Row],[CPVC-03]]+KH_26_OPT4_KTQT_v4[[#This Row],[CPHH-03]]</f>
        <v>0</v>
      </c>
      <c r="DD153" s="47">
        <f ca="1">KH_26_OPT4_KTQT_v4[[#This Row],[DT-EXW-04]]+KH_26_OPT4_KTQT_v4[[#This Row],[CPVC-04]]+KH_26_OPT4_KTQT_v4[[#This Row],[CPHH-04]]</f>
        <v>0</v>
      </c>
      <c r="DE153" s="47">
        <f ca="1">KH_26_OPT4_KTQT_v4[[#This Row],[DT-EXW-05]]+KH_26_OPT4_KTQT_v4[[#This Row],[CPVC-05]]+KH_26_OPT4_KTQT_v4[[#This Row],[CPHH-05]]</f>
        <v>0</v>
      </c>
      <c r="DF153" s="47">
        <f ca="1">KH_26_OPT4_KTQT_v4[[#This Row],[DT-EXW-06]]+KH_26_OPT4_KTQT_v4[[#This Row],[CPVC-06]]+KH_26_OPT4_KTQT_v4[[#This Row],[CPHH-06]]</f>
        <v>0</v>
      </c>
      <c r="DG153" s="47">
        <f ca="1">KH_26_OPT4_KTQT_v4[[#This Row],[DT-EXW-07]]+KH_26_OPT4_KTQT_v4[[#This Row],[CPVC-07]]+KH_26_OPT4_KTQT_v4[[#This Row],[CPHH-07]]</f>
        <v>0</v>
      </c>
      <c r="DH153" s="47">
        <f ca="1">KH_26_OPT4_KTQT_v4[[#This Row],[DT-EXW-08]]+KH_26_OPT4_KTQT_v4[[#This Row],[CPVC-08]]+KH_26_OPT4_KTQT_v4[[#This Row],[CPHH-08]]</f>
        <v>0</v>
      </c>
      <c r="DI153" s="47">
        <f ca="1">KH_26_OPT4_KTQT_v4[[#This Row],[DT-EXW-09]]+KH_26_OPT4_KTQT_v4[[#This Row],[CPVC-09]]+KH_26_OPT4_KTQT_v4[[#This Row],[CPHH-09]]</f>
        <v>0</v>
      </c>
      <c r="DJ153" s="47">
        <f ca="1">KH_26_OPT4_KTQT_v4[[#This Row],[DT-EXW-10]]+KH_26_OPT4_KTQT_v4[[#This Row],[CPVC-10]]+KH_26_OPT4_KTQT_v4[[#This Row],[CPHH-10]]</f>
        <v>0</v>
      </c>
      <c r="DK153" s="47">
        <f ca="1">KH_26_OPT4_KTQT_v4[[#This Row],[DT-EXW-11]]+KH_26_OPT4_KTQT_v4[[#This Row],[CPVC-11]]+KH_26_OPT4_KTQT_v4[[#This Row],[CPHH-11]]</f>
        <v>0</v>
      </c>
      <c r="DL153" s="47">
        <f ca="1">KH_26_OPT4_KTQT_v4[[#This Row],[DT-EXW-12]]+KH_26_OPT4_KTQT_v4[[#This Row],[CPVC-12]]+KH_26_OPT4_KTQT_v4[[#This Row],[CPHH-12]]</f>
        <v>0</v>
      </c>
      <c r="DM153" s="47">
        <f ca="1">SUM(KH_26_OPT4_KTQT_v4[[#This Row],[DT-01]:[DT-12]])</f>
        <v>0</v>
      </c>
      <c r="DN153" s="7"/>
      <c r="DO153" s="7"/>
      <c r="DP153" s="125"/>
      <c r="DQ153" s="136"/>
      <c r="DR153" s="132">
        <f>IFERROR(KH_26_OPT4_KTQT_v4[[#This Row],[DT-EXW-01]]*KH_26_OPT4_KTQT_v4[[#This Row],[%CPDP]],0)</f>
        <v>0</v>
      </c>
      <c r="DS153" s="132">
        <f>IFERROR(KH_26_OPT4_KTQT_v4[[#This Row],[DT-EXW-02]]*KH_26_OPT4_KTQT_v4[[#This Row],[%CPDP]],0)</f>
        <v>0</v>
      </c>
      <c r="DT153" s="132">
        <f>IFERROR(KH_26_OPT4_KTQT_v4[[#This Row],[DT-EXW-03]]*KH_26_OPT4_KTQT_v4[[#This Row],[%CPDP]],0)</f>
        <v>0</v>
      </c>
      <c r="DU153" s="132">
        <f>IFERROR(KH_26_OPT4_KTQT_v4[[#This Row],[DT-EXW-04]]*KH_26_OPT4_KTQT_v4[[#This Row],[%CPDP]],0)</f>
        <v>0</v>
      </c>
      <c r="DV153" s="132">
        <f>IFERROR(KH_26_OPT4_KTQT_v4[[#This Row],[DT-EXW-05]]*KH_26_OPT4_KTQT_v4[[#This Row],[%CPDP]],0)</f>
        <v>0</v>
      </c>
      <c r="DW153" s="132">
        <f>IFERROR(KH_26_OPT4_KTQT_v4[[#This Row],[DT-EXW-06]]*KH_26_OPT4_KTQT_v4[[#This Row],[%CPDP]],0)</f>
        <v>0</v>
      </c>
      <c r="DX153" s="132">
        <f>IFERROR(KH_26_OPT4_KTQT_v4[[#This Row],[DT-EXW-07]]*KH_26_OPT4_KTQT_v4[[#This Row],[%CPDP]],0)</f>
        <v>0</v>
      </c>
      <c r="DY153" s="132">
        <f>IFERROR(KH_26_OPT4_KTQT_v4[[#This Row],[DT-EXW-08]]*KH_26_OPT4_KTQT_v4[[#This Row],[%CPDP]],0)</f>
        <v>0</v>
      </c>
      <c r="DZ153" s="132">
        <f>IFERROR(KH_26_OPT4_KTQT_v4[[#This Row],[DT-EXW-09]]*KH_26_OPT4_KTQT_v4[[#This Row],[%CPDP]],0)</f>
        <v>0</v>
      </c>
      <c r="EA153" s="132">
        <f>IFERROR(KH_26_OPT4_KTQT_v4[[#This Row],[DT-EXW-10]]*KH_26_OPT4_KTQT_v4[[#This Row],[%CPDP]],0)</f>
        <v>0</v>
      </c>
      <c r="EB153" s="132">
        <f>IFERROR(KH_26_OPT4_KTQT_v4[[#This Row],[DT-EXW-11]]*KH_26_OPT4_KTQT_v4[[#This Row],[%CPDP]],0)</f>
        <v>0</v>
      </c>
      <c r="EC153" s="132">
        <f>IFERROR(KH_26_OPT4_KTQT_v4[[#This Row],[DT-EXW-12]]*KH_26_OPT4_KTQT_v4[[#This Row],[%CPDP]],0)</f>
        <v>0</v>
      </c>
      <c r="ED153" s="131">
        <f ca="1">SUM(KH_26_OPT4_KTQT_v4[[#This Row],[CPDP-01]:[CPDP-12]])</f>
        <v>0</v>
      </c>
    </row>
    <row r="154" spans="1:134" ht="14.65" hidden="1" customHeight="1" x14ac:dyDescent="0.35">
      <c r="A154" s="18">
        <v>149</v>
      </c>
      <c r="B154" s="71" t="s">
        <v>115</v>
      </c>
      <c r="C154" s="18" t="str">
        <f>IFERROR(_xlfn.XLOOKUP(KH_26_OPT4_KTQT_v4[[#This Row],[Salesman]],MD_Salesman[Salesman],MD_Salesman[SalesManager]),"")</f>
        <v>Quốc Anh</v>
      </c>
      <c r="D154" s="72" t="str">
        <f>IFERROR(INDEX(MD_Customer[Mã khách],MATCH(KH_26_OPT4_KTQT_v4[[#This Row],[Tên khách]],MD_Customer[Tên khách-rút gọn],0)),"")</f>
        <v>105339</v>
      </c>
      <c r="E154" s="7" t="str">
        <f>IFERROR(INDEX(MD_Customer[Parent Account],MATCH(KH_26_OPT4_KTQT_v4[[#This Row],[Tên khách]],MD_Customer[Tên khách-rút gọn],0)),"")</f>
        <v>HUY THÀNH</v>
      </c>
      <c r="F154" s="35" t="s">
        <v>57</v>
      </c>
      <c r="G154" s="7" t="str">
        <f>IFERROR(INDEX(MD_Customer[Phân loại],MATCH(KH_26_OPT4_KTQT_v4[[#This Row],[Tên khách]],MD_Customer[Tên khách-rút gọn],0)),"")</f>
        <v>Hiện hữu</v>
      </c>
      <c r="H154" s="7" t="str">
        <f>IFERROR(INDEX(MD_Customer[Kênh bán hàng],MATCH(KH_26_OPT4_KTQT_v4[[#This Row],[Tên khách]],MD_Customer[Tên khách-rút gọn],0)),"")</f>
        <v>Nội địa</v>
      </c>
      <c r="I154" s="35" t="s">
        <v>258</v>
      </c>
      <c r="J154" s="7" t="str">
        <f>IFERROR(INDEX(MD_Destination[Nước],MATCH(KH_26_OPT4_KTQT_v4[[#This Row],[Địa điểm đến]],MD_Destination[Địa điểm đến],0)),"")</f>
        <v>Việt Nam</v>
      </c>
      <c r="K154" s="7" t="str">
        <f>IFERROR(INDEX(MD_Destination[Khu vực],MATCH(KH_26_OPT4_KTQT_v4[[#This Row],[Địa điểm đến]],MD_Destination[Địa điểm đến],0)),"")</f>
        <v>Châu Á</v>
      </c>
      <c r="L154" s="35" t="s">
        <v>262</v>
      </c>
      <c r="M154" s="7" t="str">
        <f>IFERROR(INDEX(MD_SKU[Mã SKU],MATCH(KH_26_OPT4_KTQT_v4[[#This Row],[Tên sản phẩm]],MD_SKU[Tên SKU-rút gọn],0)),"")</f>
        <v>110000363</v>
      </c>
      <c r="N154" s="35" t="s">
        <v>459</v>
      </c>
      <c r="O154" s="7" t="str">
        <f>IFERROR(INDEX(MD_SKU[Ngành hàng],MATCH(KH_26_OPT4_KTQT_v4[[#This Row],[Tên sản phẩm]],MD_SKU[Tên SKU-rút gọn],0)),"")</f>
        <v>rHDPE ép</v>
      </c>
      <c r="P154" s="7" t="str">
        <f>IFERROR(INDEX(MD_SKU[Nhóm ngành],MATCH(KH_26_OPT4_KTQT_v4[[#This Row],[Tên sản phẩm]],MD_SKU[Tên SKU-rút gọn],0)),"")</f>
        <v>Hạt HD ép</v>
      </c>
      <c r="Q154" s="7" t="str">
        <f>IFERROR(
   IF(INDEX(MD_SKU[IV/IM],MATCH(KH_26_OPT4_KTQT_v4[[#This Row],[Tên sản phẩm]],MD_SKU[Tên SKU-rút gọn],0))=0,
      "",
      INDEX(MD_SKU[IV/IM],MATCH(KH_26_OPT4_KTQT_v4[[#This Row],[Tên sản phẩm]],MD_SKU[Tên SKU-rút gọn],0))
   ),
"")</f>
        <v/>
      </c>
      <c r="R154" s="44">
        <f>IFERROR(INDEX(MD_SKU[Application],MATCH(KH_26_OPT4_KTQT_v4[[#This Row],[Tên sản phẩm]],MD_SKU[Tên SKU-rút gọn],0)),"")</f>
        <v>0</v>
      </c>
      <c r="S154" s="7" t="str">
        <f>IFERROR(INDEX(MD_SKU[Phân loại],MATCH(KH_26_OPT4_KTQT_v4[[#This Row],[Tên sản phẩm]],MD_SKU[Tên SKU-rút gọn],0)),"")</f>
        <v>Cũ</v>
      </c>
      <c r="T154" s="7"/>
      <c r="U154" s="7"/>
      <c r="V154" s="70">
        <v>0.8</v>
      </c>
      <c r="W154" s="33"/>
      <c r="X154" s="33"/>
      <c r="Y154" s="33"/>
      <c r="Z154" s="33"/>
      <c r="AA154" s="33"/>
      <c r="AB154" s="33"/>
      <c r="AC154" s="33"/>
      <c r="AD154" s="33"/>
      <c r="AE154" s="33"/>
      <c r="AF154" s="33"/>
      <c r="AG154" s="33"/>
      <c r="AH154" s="33"/>
      <c r="AI154" s="47">
        <f ca="1">SUM(KH_26_OPT4_KTQT_v4[[#This Row],[SL-01]:[SL-12]])</f>
        <v>0</v>
      </c>
      <c r="AJ154" s="47">
        <f ca="1">SUMIFS(DB_25[SL-DB25],DB_25[Mã khách],KH_26_OPT4_KTQT_v4[[#This Row],[Mã khách]],DB_25[Mã sản phẩm],KH_26_OPT4_KTQT_v4[[#This Row],[Mã sản phẩm]])</f>
        <v>0.3</v>
      </c>
      <c r="AK154" s="20">
        <f ca="1">KH_26_OPT4_KTQT_v4[[#This Row],[SL-KH26]]-KH_26_OPT4_KTQT_v4[[#This Row],[SL-DB25]]</f>
        <v>-0.3</v>
      </c>
      <c r="AL154" s="21">
        <f ca="1">IFERROR(KH_26_OPT4_KTQT_v4[[#This Row],[SL-+/-]]/KH_26_OPT4_KTQT_v4[[#This Row],[SL-DB25]],0)</f>
        <v>-1</v>
      </c>
      <c r="AM154" s="51">
        <v>695</v>
      </c>
      <c r="AN154" s="51">
        <v>695</v>
      </c>
      <c r="AO154" s="51">
        <v>695</v>
      </c>
      <c r="AP154" s="51">
        <v>695</v>
      </c>
      <c r="AQ154" s="51">
        <v>695</v>
      </c>
      <c r="AR154" s="51">
        <v>695</v>
      </c>
      <c r="AS154" s="51">
        <v>695</v>
      </c>
      <c r="AT154" s="51">
        <v>695</v>
      </c>
      <c r="AU154" s="51">
        <v>695</v>
      </c>
      <c r="AV154" s="51">
        <v>695</v>
      </c>
      <c r="AW154" s="51">
        <v>695</v>
      </c>
      <c r="AX154" s="51">
        <v>695</v>
      </c>
      <c r="AY154" s="23">
        <v>695</v>
      </c>
      <c r="AZ154" s="7"/>
      <c r="BA154" s="24">
        <f>KH_26_OPT4_KTQT_v4[[#This Row],[GB-DB25]]-KH_26_OPT4_KTQT_v4[[#This Row],[GB-KH25]]</f>
        <v>695</v>
      </c>
      <c r="BB154" s="21">
        <f>IFERROR(KH_26_OPT4_KTQT_v4[[#This Row],[GB-+/-]]/KH_26_OPT4_KTQT_v4[[#This Row],[GB-KH25]],0)</f>
        <v>0</v>
      </c>
      <c r="BC154" s="21"/>
      <c r="BD154" s="47">
        <f>KH_26_OPT4_KTQT_v4[[#This Row],[SL-01]]*KH_26_OPT4_KTQT_v4[[#This Row],[GB-01]]*EXR</f>
        <v>0</v>
      </c>
      <c r="BE154" s="47">
        <f>KH_26_OPT4_KTQT_v4[[#This Row],[SL-02]]*KH_26_OPT4_KTQT_v4[[#This Row],[GB-02]]*EXR</f>
        <v>0</v>
      </c>
      <c r="BF154" s="47">
        <f>KH_26_OPT4_KTQT_v4[[#This Row],[SL-03]]*KH_26_OPT4_KTQT_v4[[#This Row],[GB-03]]*EXR</f>
        <v>0</v>
      </c>
      <c r="BG154" s="47">
        <f>KH_26_OPT4_KTQT_v4[[#This Row],[SL-04]]*KH_26_OPT4_KTQT_v4[[#This Row],[GB-04]]*EXR</f>
        <v>0</v>
      </c>
      <c r="BH154" s="47">
        <f>KH_26_OPT4_KTQT_v4[[#This Row],[SL-05]]*KH_26_OPT4_KTQT_v4[[#This Row],[GB-05]]*EXR</f>
        <v>0</v>
      </c>
      <c r="BI154" s="47">
        <f>KH_26_OPT4_KTQT_v4[[#This Row],[SL-06]]*KH_26_OPT4_KTQT_v4[[#This Row],[GB-06]]*EXR</f>
        <v>0</v>
      </c>
      <c r="BJ154" s="47">
        <f>KH_26_OPT4_KTQT_v4[[#This Row],[SL-07]]*KH_26_OPT4_KTQT_v4[[#This Row],[GB-07]]*EXR</f>
        <v>0</v>
      </c>
      <c r="BK154" s="47">
        <f>KH_26_OPT4_KTQT_v4[[#This Row],[SL-08]]*KH_26_OPT4_KTQT_v4[[#This Row],[GB-08]]*EXR</f>
        <v>0</v>
      </c>
      <c r="BL154" s="47">
        <f>KH_26_OPT4_KTQT_v4[[#This Row],[SL-09]]*KH_26_OPT4_KTQT_v4[[#This Row],[GB-09]]*EXR</f>
        <v>0</v>
      </c>
      <c r="BM154" s="47">
        <f>KH_26_OPT4_KTQT_v4[[#This Row],[SL-10]]*KH_26_OPT4_KTQT_v4[[#This Row],[GB-10]]*EXR</f>
        <v>0</v>
      </c>
      <c r="BN154" s="47">
        <f>KH_26_OPT4_KTQT_v4[[#This Row],[SL-11]]*KH_26_OPT4_KTQT_v4[[#This Row],[GB-11]]*EXR</f>
        <v>0</v>
      </c>
      <c r="BO154" s="47">
        <f>KH_26_OPT4_KTQT_v4[[#This Row],[SL-12]]*KH_26_OPT4_KTQT_v4[[#This Row],[GB-12]]*EXR</f>
        <v>0</v>
      </c>
      <c r="BP154" s="47">
        <f ca="1">SUM(KH_26_OPT4_KTQT_v4[[#This Row],[DT-EXW-01]:[DT-EXW-12]])</f>
        <v>0</v>
      </c>
      <c r="BQ154" s="47">
        <f ca="1">SUMIFS(DB_25[DT-DB25],DB_25[Mã khách],KH_26_OPT4_KTQT_v4[[#This Row],[Mã khách]],DB_25[Mã sản phẩm],KH_26_OPT4_KTQT_v4[[#This Row],[Mã sản phẩm]])</f>
        <v>4518579.5451085102</v>
      </c>
      <c r="BR154" s="47">
        <f ca="1">KH_26_OPT4_KTQT_v4[[#This Row],[DT-EXW-KH26]]-KH_26_OPT4_KTQT_v4[[#This Row],[DT-EXW-DB25]]</f>
        <v>-4518579.5451085102</v>
      </c>
      <c r="BS154" s="21">
        <f ca="1">IFERROR(KH_26_OPT4_KTQT_v4[[#This Row],[DT-EXW-+/-]]/KH_26_OPT4_KTQT_v4[[#This Row],[DT-EXW-DB25]],0)</f>
        <v>-1</v>
      </c>
      <c r="BT154" s="139"/>
      <c r="BU154" s="57"/>
      <c r="BV154" s="51"/>
      <c r="BW154" s="47">
        <f>IF(KH_26_OPT4_KTQT_v4[[#This Row],[CPHH-%-SL]]="Dthu",KH_26_OPT4_KTQT_v4[[#This Row],[%HH]]*KH_26_OPT4_KTQT_v4[[#This Row],[DT-EXW-01]],KH_26_OPT4_KTQT_v4[[#This Row],[HH-SL]]*KH_26_OPT4_KTQT_v4[[#This Row],[SL-01]])</f>
        <v>0</v>
      </c>
      <c r="BX154" s="47">
        <f>IF(KH_26_OPT4_KTQT_v4[[#This Row],[CPHH-%-SL]]="Dthu",KH_26_OPT4_KTQT_v4[[#This Row],[%HH]]*KH_26_OPT4_KTQT_v4[[#This Row],[DT-EXW-02]],KH_26_OPT4_KTQT_v4[[#This Row],[HH-SL]]*KH_26_OPT4_KTQT_v4[[#This Row],[SL-02]])</f>
        <v>0</v>
      </c>
      <c r="BY154" s="47">
        <f>IF(KH_26_OPT4_KTQT_v4[[#This Row],[CPHH-%-SL]]="Dthu",KH_26_OPT4_KTQT_v4[[#This Row],[%HH]]*KH_26_OPT4_KTQT_v4[[#This Row],[DT-EXW-03]],KH_26_OPT4_KTQT_v4[[#This Row],[HH-SL]]*KH_26_OPT4_KTQT_v4[[#This Row],[SL-03]])</f>
        <v>0</v>
      </c>
      <c r="BZ154" s="47">
        <f>IF(KH_26_OPT4_KTQT_v4[[#This Row],[CPHH-%-SL]]="Dthu",KH_26_OPT4_KTQT_v4[[#This Row],[%HH]]*KH_26_OPT4_KTQT_v4[[#This Row],[DT-EXW-04]],KH_26_OPT4_KTQT_v4[[#This Row],[HH-SL]]*KH_26_OPT4_KTQT_v4[[#This Row],[SL-04]])</f>
        <v>0</v>
      </c>
      <c r="CA154" s="47">
        <f>IF(KH_26_OPT4_KTQT_v4[[#This Row],[CPHH-%-SL]]="Dthu",KH_26_OPT4_KTQT_v4[[#This Row],[%HH]]*KH_26_OPT4_KTQT_v4[[#This Row],[DT-EXW-05]],KH_26_OPT4_KTQT_v4[[#This Row],[HH-SL]]*KH_26_OPT4_KTQT_v4[[#This Row],[SL-05]])</f>
        <v>0</v>
      </c>
      <c r="CB154" s="47">
        <f>IF(KH_26_OPT4_KTQT_v4[[#This Row],[CPHH-%-SL]]="Dthu",KH_26_OPT4_KTQT_v4[[#This Row],[%HH]]*KH_26_OPT4_KTQT_v4[[#This Row],[DT-EXW-06]],KH_26_OPT4_KTQT_v4[[#This Row],[HH-SL]]*KH_26_OPT4_KTQT_v4[[#This Row],[SL-06]])</f>
        <v>0</v>
      </c>
      <c r="CC154" s="47">
        <f>IF(KH_26_OPT4_KTQT_v4[[#This Row],[CPHH-%-SL]]="Dthu",KH_26_OPT4_KTQT_v4[[#This Row],[%HH]]*KH_26_OPT4_KTQT_v4[[#This Row],[DT-EXW-07]],KH_26_OPT4_KTQT_v4[[#This Row],[HH-SL]]*KH_26_OPT4_KTQT_v4[[#This Row],[SL-07]])</f>
        <v>0</v>
      </c>
      <c r="CD154" s="47">
        <f>IF(KH_26_OPT4_KTQT_v4[[#This Row],[CPHH-%-SL]]="Dthu",KH_26_OPT4_KTQT_v4[[#This Row],[%HH]]*KH_26_OPT4_KTQT_v4[[#This Row],[DT-EXW-08]],KH_26_OPT4_KTQT_v4[[#This Row],[HH-SL]]*KH_26_OPT4_KTQT_v4[[#This Row],[SL-08]])</f>
        <v>0</v>
      </c>
      <c r="CE154" s="47">
        <f>IF(KH_26_OPT4_KTQT_v4[[#This Row],[CPHH-%-SL]]="Dthu",KH_26_OPT4_KTQT_v4[[#This Row],[%HH]]*KH_26_OPT4_KTQT_v4[[#This Row],[DT-EXW-09]],KH_26_OPT4_KTQT_v4[[#This Row],[HH-SL]]*KH_26_OPT4_KTQT_v4[[#This Row],[SL-09]])</f>
        <v>0</v>
      </c>
      <c r="CF154" s="47">
        <f>IF(KH_26_OPT4_KTQT_v4[[#This Row],[CPHH-%-SL]]="Dthu",KH_26_OPT4_KTQT_v4[[#This Row],[%HH]]*KH_26_OPT4_KTQT_v4[[#This Row],[DT-EXW-10]],KH_26_OPT4_KTQT_v4[[#This Row],[HH-SL]]*KH_26_OPT4_KTQT_v4[[#This Row],[SL-10]])</f>
        <v>0</v>
      </c>
      <c r="CG154" s="47">
        <f>IF(KH_26_OPT4_KTQT_v4[[#This Row],[CPHH-%-SL]]="Dthu",KH_26_OPT4_KTQT_v4[[#This Row],[%HH]]*KH_26_OPT4_KTQT_v4[[#This Row],[DT-EXW-11]],KH_26_OPT4_KTQT_v4[[#This Row],[HH-SL]]*KH_26_OPT4_KTQT_v4[[#This Row],[SL-11]])</f>
        <v>0</v>
      </c>
      <c r="CH154" s="47">
        <f>IF(KH_26_OPT4_KTQT_v4[[#This Row],[CPHH-%-SL]]="Dthu",KH_26_OPT4_KTQT_v4[[#This Row],[%HH]]*KH_26_OPT4_KTQT_v4[[#This Row],[DT-EXW-12]],KH_26_OPT4_KTQT_v4[[#This Row],[HH-SL]]*KH_26_OPT4_KTQT_v4[[#This Row],[SL-12]])</f>
        <v>0</v>
      </c>
      <c r="CI154" s="47">
        <f ca="1">SUM(KH_26_OPT4_KTQT_v4[[#This Row],[CPHH-01]:[CPHH-12]])</f>
        <v>0</v>
      </c>
      <c r="CJ154" s="47" cm="1">
        <f t="array" ref="CJ154">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54" s="19">
        <f ca="1">SUM(KH_26_OPT4_KTQT_v4[[#This Row],[ĐGVCNĐ-KXK]:[ĐGVCCT-KXK]])</f>
        <v>0</v>
      </c>
      <c r="CL154" s="47" cm="1">
        <f t="array" ref="CL154">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154" s="47" cm="1">
        <f t="array" ref="CM154">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54" s="47">
        <f ca="1">(KH_26_OPT4_KTQT_v4[[#This Row],[ĐGVC-KNĐ]]+KH_26_OPT4_KTQT_v4[[#This Row],[ĐGVC-KXK]])*KH_26_OPT4_KTQT_v4[[#This Row],[SL-01]]</f>
        <v>0</v>
      </c>
      <c r="CO154" s="47">
        <f ca="1">(KH_26_OPT4_KTQT_v4[[#This Row],[ĐGVC-KNĐ]]+KH_26_OPT4_KTQT_v4[[#This Row],[ĐGVC-KXK]])*KH_26_OPT4_KTQT_v4[[#This Row],[SL-02]]</f>
        <v>0</v>
      </c>
      <c r="CP154" s="47">
        <f ca="1">(KH_26_OPT4_KTQT_v4[[#This Row],[ĐGVC-KNĐ]]+KH_26_OPT4_KTQT_v4[[#This Row],[ĐGVC-KXK]])*KH_26_OPT4_KTQT_v4[[#This Row],[SL-03]]</f>
        <v>0</v>
      </c>
      <c r="CQ154" s="47">
        <f ca="1">(KH_26_OPT4_KTQT_v4[[#This Row],[ĐGVC-KNĐ]]+KH_26_OPT4_KTQT_v4[[#This Row],[ĐGVC-KXK]])*KH_26_OPT4_KTQT_v4[[#This Row],[SL-04]]</f>
        <v>0</v>
      </c>
      <c r="CR154" s="47">
        <f ca="1">(KH_26_OPT4_KTQT_v4[[#This Row],[ĐGVC-KNĐ]]+KH_26_OPT4_KTQT_v4[[#This Row],[ĐGVC-KXK]])*KH_26_OPT4_KTQT_v4[[#This Row],[SL-05]]</f>
        <v>0</v>
      </c>
      <c r="CS154" s="47">
        <f ca="1">(KH_26_OPT4_KTQT_v4[[#This Row],[ĐGVC-KNĐ]]+KH_26_OPT4_KTQT_v4[[#This Row],[ĐGVC-KXK]])*KH_26_OPT4_KTQT_v4[[#This Row],[SL-06]]</f>
        <v>0</v>
      </c>
      <c r="CT154" s="47">
        <f ca="1">(KH_26_OPT4_KTQT_v4[[#This Row],[ĐGVC-KNĐ]]+KH_26_OPT4_KTQT_v4[[#This Row],[ĐGVC-KXK]])*KH_26_OPT4_KTQT_v4[[#This Row],[SL-07]]</f>
        <v>0</v>
      </c>
      <c r="CU154" s="47">
        <f ca="1">(KH_26_OPT4_KTQT_v4[[#This Row],[ĐGVC-KNĐ]]+KH_26_OPT4_KTQT_v4[[#This Row],[ĐGVC-KXK]])*KH_26_OPT4_KTQT_v4[[#This Row],[SL-08]]</f>
        <v>0</v>
      </c>
      <c r="CV154" s="47">
        <f ca="1">(KH_26_OPT4_KTQT_v4[[#This Row],[ĐGVC-KNĐ]]+KH_26_OPT4_KTQT_v4[[#This Row],[ĐGVC-KXK]])*KH_26_OPT4_KTQT_v4[[#This Row],[SL-09]]</f>
        <v>0</v>
      </c>
      <c r="CW154" s="47">
        <f ca="1">(KH_26_OPT4_KTQT_v4[[#This Row],[ĐGVC-KNĐ]]+KH_26_OPT4_KTQT_v4[[#This Row],[ĐGVC-KXK]])*KH_26_OPT4_KTQT_v4[[#This Row],[SL-10]]</f>
        <v>0</v>
      </c>
      <c r="CX154" s="47">
        <f ca="1">(KH_26_OPT4_KTQT_v4[[#This Row],[ĐGVC-KNĐ]]+KH_26_OPT4_KTQT_v4[[#This Row],[ĐGVC-KXK]])*KH_26_OPT4_KTQT_v4[[#This Row],[SL-11]]</f>
        <v>0</v>
      </c>
      <c r="CY154" s="47">
        <f ca="1">(KH_26_OPT4_KTQT_v4[[#This Row],[ĐGVC-KNĐ]]+KH_26_OPT4_KTQT_v4[[#This Row],[ĐGVC-KXK]])*KH_26_OPT4_KTQT_v4[[#This Row],[SL-12]]</f>
        <v>0</v>
      </c>
      <c r="CZ154" s="47">
        <f ca="1">SUM(KH_26_OPT4_KTQT_v4[[#This Row],[CPVC-01]:[CPVC-12]])</f>
        <v>0</v>
      </c>
      <c r="DA154" s="124">
        <f ca="1">KH_26_OPT4_KTQT_v4[[#This Row],[DT-EXW-01]]+KH_26_OPT4_KTQT_v4[[#This Row],[CPVC-01]]+KH_26_OPT4_KTQT_v4[[#This Row],[CPHH-01]]</f>
        <v>0</v>
      </c>
      <c r="DB154" s="47">
        <f ca="1">KH_26_OPT4_KTQT_v4[[#This Row],[DT-EXW-02]]+KH_26_OPT4_KTQT_v4[[#This Row],[CPVC-02]]+KH_26_OPT4_KTQT_v4[[#This Row],[CPHH-02]]</f>
        <v>0</v>
      </c>
      <c r="DC154" s="47">
        <f ca="1">KH_26_OPT4_KTQT_v4[[#This Row],[DT-EXW-03]]+KH_26_OPT4_KTQT_v4[[#This Row],[CPVC-03]]+KH_26_OPT4_KTQT_v4[[#This Row],[CPHH-03]]</f>
        <v>0</v>
      </c>
      <c r="DD154" s="47">
        <f ca="1">KH_26_OPT4_KTQT_v4[[#This Row],[DT-EXW-04]]+KH_26_OPT4_KTQT_v4[[#This Row],[CPVC-04]]+KH_26_OPT4_KTQT_v4[[#This Row],[CPHH-04]]</f>
        <v>0</v>
      </c>
      <c r="DE154" s="47">
        <f ca="1">KH_26_OPT4_KTQT_v4[[#This Row],[DT-EXW-05]]+KH_26_OPT4_KTQT_v4[[#This Row],[CPVC-05]]+KH_26_OPT4_KTQT_v4[[#This Row],[CPHH-05]]</f>
        <v>0</v>
      </c>
      <c r="DF154" s="47">
        <f ca="1">KH_26_OPT4_KTQT_v4[[#This Row],[DT-EXW-06]]+KH_26_OPT4_KTQT_v4[[#This Row],[CPVC-06]]+KH_26_OPT4_KTQT_v4[[#This Row],[CPHH-06]]</f>
        <v>0</v>
      </c>
      <c r="DG154" s="47">
        <f ca="1">KH_26_OPT4_KTQT_v4[[#This Row],[DT-EXW-07]]+KH_26_OPT4_KTQT_v4[[#This Row],[CPVC-07]]+KH_26_OPT4_KTQT_v4[[#This Row],[CPHH-07]]</f>
        <v>0</v>
      </c>
      <c r="DH154" s="47">
        <f ca="1">KH_26_OPT4_KTQT_v4[[#This Row],[DT-EXW-08]]+KH_26_OPT4_KTQT_v4[[#This Row],[CPVC-08]]+KH_26_OPT4_KTQT_v4[[#This Row],[CPHH-08]]</f>
        <v>0</v>
      </c>
      <c r="DI154" s="47">
        <f ca="1">KH_26_OPT4_KTQT_v4[[#This Row],[DT-EXW-09]]+KH_26_OPT4_KTQT_v4[[#This Row],[CPVC-09]]+KH_26_OPT4_KTQT_v4[[#This Row],[CPHH-09]]</f>
        <v>0</v>
      </c>
      <c r="DJ154" s="47">
        <f ca="1">KH_26_OPT4_KTQT_v4[[#This Row],[DT-EXW-10]]+KH_26_OPT4_KTQT_v4[[#This Row],[CPVC-10]]+KH_26_OPT4_KTQT_v4[[#This Row],[CPHH-10]]</f>
        <v>0</v>
      </c>
      <c r="DK154" s="47">
        <f ca="1">KH_26_OPT4_KTQT_v4[[#This Row],[DT-EXW-11]]+KH_26_OPT4_KTQT_v4[[#This Row],[CPVC-11]]+KH_26_OPT4_KTQT_v4[[#This Row],[CPHH-11]]</f>
        <v>0</v>
      </c>
      <c r="DL154" s="47">
        <f ca="1">KH_26_OPT4_KTQT_v4[[#This Row],[DT-EXW-12]]+KH_26_OPT4_KTQT_v4[[#This Row],[CPVC-12]]+KH_26_OPT4_KTQT_v4[[#This Row],[CPHH-12]]</f>
        <v>0</v>
      </c>
      <c r="DM154" s="47">
        <f ca="1">SUM(KH_26_OPT4_KTQT_v4[[#This Row],[DT-01]:[DT-12]])</f>
        <v>0</v>
      </c>
      <c r="DN154" s="7"/>
      <c r="DO154" s="7"/>
      <c r="DP154" s="125"/>
      <c r="DQ154" s="136"/>
      <c r="DR154" s="132">
        <f>IFERROR(KH_26_OPT4_KTQT_v4[[#This Row],[DT-EXW-01]]*KH_26_OPT4_KTQT_v4[[#This Row],[%CPDP]],0)</f>
        <v>0</v>
      </c>
      <c r="DS154" s="132">
        <f>IFERROR(KH_26_OPT4_KTQT_v4[[#This Row],[DT-EXW-02]]*KH_26_OPT4_KTQT_v4[[#This Row],[%CPDP]],0)</f>
        <v>0</v>
      </c>
      <c r="DT154" s="132">
        <f>IFERROR(KH_26_OPT4_KTQT_v4[[#This Row],[DT-EXW-03]]*KH_26_OPT4_KTQT_v4[[#This Row],[%CPDP]],0)</f>
        <v>0</v>
      </c>
      <c r="DU154" s="132">
        <f>IFERROR(KH_26_OPT4_KTQT_v4[[#This Row],[DT-EXW-04]]*KH_26_OPT4_KTQT_v4[[#This Row],[%CPDP]],0)</f>
        <v>0</v>
      </c>
      <c r="DV154" s="132">
        <f>IFERROR(KH_26_OPT4_KTQT_v4[[#This Row],[DT-EXW-05]]*KH_26_OPT4_KTQT_v4[[#This Row],[%CPDP]],0)</f>
        <v>0</v>
      </c>
      <c r="DW154" s="132">
        <f>IFERROR(KH_26_OPT4_KTQT_v4[[#This Row],[DT-EXW-06]]*KH_26_OPT4_KTQT_v4[[#This Row],[%CPDP]],0)</f>
        <v>0</v>
      </c>
      <c r="DX154" s="132">
        <f>IFERROR(KH_26_OPT4_KTQT_v4[[#This Row],[DT-EXW-07]]*KH_26_OPT4_KTQT_v4[[#This Row],[%CPDP]],0)</f>
        <v>0</v>
      </c>
      <c r="DY154" s="132">
        <f>IFERROR(KH_26_OPT4_KTQT_v4[[#This Row],[DT-EXW-08]]*KH_26_OPT4_KTQT_v4[[#This Row],[%CPDP]],0)</f>
        <v>0</v>
      </c>
      <c r="DZ154" s="132">
        <f>IFERROR(KH_26_OPT4_KTQT_v4[[#This Row],[DT-EXW-09]]*KH_26_OPT4_KTQT_v4[[#This Row],[%CPDP]],0)</f>
        <v>0</v>
      </c>
      <c r="EA154" s="132">
        <f>IFERROR(KH_26_OPT4_KTQT_v4[[#This Row],[DT-EXW-10]]*KH_26_OPT4_KTQT_v4[[#This Row],[%CPDP]],0)</f>
        <v>0</v>
      </c>
      <c r="EB154" s="132">
        <f>IFERROR(KH_26_OPT4_KTQT_v4[[#This Row],[DT-EXW-11]]*KH_26_OPT4_KTQT_v4[[#This Row],[%CPDP]],0)</f>
        <v>0</v>
      </c>
      <c r="EC154" s="132">
        <f>IFERROR(KH_26_OPT4_KTQT_v4[[#This Row],[DT-EXW-12]]*KH_26_OPT4_KTQT_v4[[#This Row],[%CPDP]],0)</f>
        <v>0</v>
      </c>
      <c r="ED154" s="131">
        <f ca="1">SUM(KH_26_OPT4_KTQT_v4[[#This Row],[CPDP-01]:[CPDP-12]])</f>
        <v>0</v>
      </c>
    </row>
    <row r="155" spans="1:134" ht="14.65" hidden="1" customHeight="1" x14ac:dyDescent="0.35">
      <c r="A155" s="18">
        <v>150</v>
      </c>
      <c r="B155" s="71" t="s">
        <v>115</v>
      </c>
      <c r="C155" s="18" t="str">
        <f>IFERROR(_xlfn.XLOOKUP(KH_26_OPT4_KTQT_v4[[#This Row],[Salesman]],MD_Salesman[Salesman],MD_Salesman[SalesManager]),"")</f>
        <v>Quốc Anh</v>
      </c>
      <c r="D155" s="72" t="str">
        <f>IFERROR(INDEX(MD_Customer[Mã khách],MATCH(KH_26_OPT4_KTQT_v4[[#This Row],[Tên khách]],MD_Customer[Tên khách-rút gọn],0)),"")</f>
        <v>105339</v>
      </c>
      <c r="E155" s="7" t="str">
        <f>IFERROR(INDEX(MD_Customer[Parent Account],MATCH(KH_26_OPT4_KTQT_v4[[#This Row],[Tên khách]],MD_Customer[Tên khách-rút gọn],0)),"")</f>
        <v>HUY THÀNH</v>
      </c>
      <c r="F155" s="35" t="s">
        <v>57</v>
      </c>
      <c r="G155" s="7" t="str">
        <f>IFERROR(INDEX(MD_Customer[Phân loại],MATCH(KH_26_OPT4_KTQT_v4[[#This Row],[Tên khách]],MD_Customer[Tên khách-rút gọn],0)),"")</f>
        <v>Hiện hữu</v>
      </c>
      <c r="H155" s="7" t="str">
        <f>IFERROR(INDEX(MD_Customer[Kênh bán hàng],MATCH(KH_26_OPT4_KTQT_v4[[#This Row],[Tên khách]],MD_Customer[Tên khách-rút gọn],0)),"")</f>
        <v>Nội địa</v>
      </c>
      <c r="I155" s="35" t="s">
        <v>258</v>
      </c>
      <c r="J155" s="7" t="str">
        <f>IFERROR(INDEX(MD_Destination[Nước],MATCH(KH_26_OPT4_KTQT_v4[[#This Row],[Địa điểm đến]],MD_Destination[Địa điểm đến],0)),"")</f>
        <v>Việt Nam</v>
      </c>
      <c r="K155" s="7" t="str">
        <f>IFERROR(INDEX(MD_Destination[Khu vực],MATCH(KH_26_OPT4_KTQT_v4[[#This Row],[Địa điểm đến]],MD_Destination[Địa điểm đến],0)),"")</f>
        <v>Châu Á</v>
      </c>
      <c r="L155" s="35" t="s">
        <v>262</v>
      </c>
      <c r="M155" s="7" t="str">
        <f>IFERROR(INDEX(MD_SKU[Mã SKU],MATCH(KH_26_OPT4_KTQT_v4[[#This Row],[Tên sản phẩm]],MD_SKU[Tên SKU-rút gọn],0)),"")</f>
        <v>110000408</v>
      </c>
      <c r="N155" s="35" t="s">
        <v>471</v>
      </c>
      <c r="O155" s="7" t="str">
        <f>IFERROR(INDEX(MD_SKU[Ngành hàng],MATCH(KH_26_OPT4_KTQT_v4[[#This Row],[Tên sản phẩm]],MD_SKU[Tên SKU-rút gọn],0)),"")</f>
        <v>rHDPE ép</v>
      </c>
      <c r="P155" s="7" t="str">
        <f>IFERROR(INDEX(MD_SKU[Nhóm ngành],MATCH(KH_26_OPT4_KTQT_v4[[#This Row],[Tên sản phẩm]],MD_SKU[Tên SKU-rút gọn],0)),"")</f>
        <v>Vảy HD ép</v>
      </c>
      <c r="Q155" s="7" t="str">
        <f>IFERROR(
   IF(INDEX(MD_SKU[IV/IM],MATCH(KH_26_OPT4_KTQT_v4[[#This Row],[Tên sản phẩm]],MD_SKU[Tên SKU-rút gọn],0))=0,
      "",
      INDEX(MD_SKU[IV/IM],MATCH(KH_26_OPT4_KTQT_v4[[#This Row],[Tên sản phẩm]],MD_SKU[Tên SKU-rút gọn],0))
   ),
"")</f>
        <v/>
      </c>
      <c r="R155" s="44">
        <f>IFERROR(INDEX(MD_SKU[Application],MATCH(KH_26_OPT4_KTQT_v4[[#This Row],[Tên sản phẩm]],MD_SKU[Tên SKU-rút gọn],0)),"")</f>
        <v>0</v>
      </c>
      <c r="S155" s="7" t="str">
        <f>IFERROR(INDEX(MD_SKU[Phân loại],MATCH(KH_26_OPT4_KTQT_v4[[#This Row],[Tên sản phẩm]],MD_SKU[Tên SKU-rút gọn],0)),"")</f>
        <v>Cũ</v>
      </c>
      <c r="T155" s="7" t="s">
        <v>542</v>
      </c>
      <c r="U155" s="7"/>
      <c r="V155" s="70">
        <v>0.8</v>
      </c>
      <c r="W155" s="33"/>
      <c r="X155" s="33"/>
      <c r="Y155" s="33"/>
      <c r="Z155" s="33"/>
      <c r="AA155" s="33"/>
      <c r="AB155" s="33"/>
      <c r="AC155" s="33"/>
      <c r="AD155" s="33"/>
      <c r="AE155" s="33"/>
      <c r="AF155" s="33"/>
      <c r="AG155" s="33"/>
      <c r="AH155" s="33"/>
      <c r="AI155" s="47">
        <f ca="1">SUM(KH_26_OPT4_KTQT_v4[[#This Row],[SL-01]:[SL-12]])</f>
        <v>0</v>
      </c>
      <c r="AJ155" s="47">
        <f ca="1">SUMIFS(DB_25[SL-DB25],DB_25[Mã khách],KH_26_OPT4_KTQT_v4[[#This Row],[Mã khách]],DB_25[Mã sản phẩm],KH_26_OPT4_KTQT_v4[[#This Row],[Mã sản phẩm]])</f>
        <v>0.05</v>
      </c>
      <c r="AK155" s="20">
        <f ca="1">KH_26_OPT4_KTQT_v4[[#This Row],[SL-KH26]]-KH_26_OPT4_KTQT_v4[[#This Row],[SL-DB25]]</f>
        <v>-0.05</v>
      </c>
      <c r="AL155" s="21">
        <f ca="1">IFERROR(KH_26_OPT4_KTQT_v4[[#This Row],[SL-+/-]]/KH_26_OPT4_KTQT_v4[[#This Row],[SL-DB25]],0)</f>
        <v>-1</v>
      </c>
      <c r="AM155" s="51">
        <v>560</v>
      </c>
      <c r="AN155" s="51">
        <v>560</v>
      </c>
      <c r="AO155" s="51">
        <v>560</v>
      </c>
      <c r="AP155" s="51">
        <v>560</v>
      </c>
      <c r="AQ155" s="51">
        <v>560</v>
      </c>
      <c r="AR155" s="51">
        <v>560</v>
      </c>
      <c r="AS155" s="51">
        <v>560</v>
      </c>
      <c r="AT155" s="51">
        <v>560</v>
      </c>
      <c r="AU155" s="51">
        <v>560</v>
      </c>
      <c r="AV155" s="51">
        <v>560</v>
      </c>
      <c r="AW155" s="51">
        <v>560</v>
      </c>
      <c r="AX155" s="51">
        <v>560</v>
      </c>
      <c r="AY155" s="23">
        <v>560</v>
      </c>
      <c r="AZ155" s="7"/>
      <c r="BA155" s="24">
        <f>KH_26_OPT4_KTQT_v4[[#This Row],[GB-DB25]]-KH_26_OPT4_KTQT_v4[[#This Row],[GB-KH25]]</f>
        <v>560</v>
      </c>
      <c r="BB155" s="21">
        <f>IFERROR(KH_26_OPT4_KTQT_v4[[#This Row],[GB-+/-]]/KH_26_OPT4_KTQT_v4[[#This Row],[GB-KH25]],0)</f>
        <v>0</v>
      </c>
      <c r="BC155" s="21"/>
      <c r="BD155" s="47">
        <f>KH_26_OPT4_KTQT_v4[[#This Row],[SL-01]]*KH_26_OPT4_KTQT_v4[[#This Row],[GB-01]]*EXR</f>
        <v>0</v>
      </c>
      <c r="BE155" s="47">
        <f>KH_26_OPT4_KTQT_v4[[#This Row],[SL-02]]*KH_26_OPT4_KTQT_v4[[#This Row],[GB-02]]*EXR</f>
        <v>0</v>
      </c>
      <c r="BF155" s="47">
        <f>KH_26_OPT4_KTQT_v4[[#This Row],[SL-03]]*KH_26_OPT4_KTQT_v4[[#This Row],[GB-03]]*EXR</f>
        <v>0</v>
      </c>
      <c r="BG155" s="47">
        <f>KH_26_OPT4_KTQT_v4[[#This Row],[SL-04]]*KH_26_OPT4_KTQT_v4[[#This Row],[GB-04]]*EXR</f>
        <v>0</v>
      </c>
      <c r="BH155" s="47">
        <f>KH_26_OPT4_KTQT_v4[[#This Row],[SL-05]]*KH_26_OPT4_KTQT_v4[[#This Row],[GB-05]]*EXR</f>
        <v>0</v>
      </c>
      <c r="BI155" s="47">
        <f>KH_26_OPT4_KTQT_v4[[#This Row],[SL-06]]*KH_26_OPT4_KTQT_v4[[#This Row],[GB-06]]*EXR</f>
        <v>0</v>
      </c>
      <c r="BJ155" s="47">
        <f>KH_26_OPT4_KTQT_v4[[#This Row],[SL-07]]*KH_26_OPT4_KTQT_v4[[#This Row],[GB-07]]*EXR</f>
        <v>0</v>
      </c>
      <c r="BK155" s="47">
        <f>KH_26_OPT4_KTQT_v4[[#This Row],[SL-08]]*KH_26_OPT4_KTQT_v4[[#This Row],[GB-08]]*EXR</f>
        <v>0</v>
      </c>
      <c r="BL155" s="47">
        <f>KH_26_OPT4_KTQT_v4[[#This Row],[SL-09]]*KH_26_OPT4_KTQT_v4[[#This Row],[GB-09]]*EXR</f>
        <v>0</v>
      </c>
      <c r="BM155" s="47">
        <f>KH_26_OPT4_KTQT_v4[[#This Row],[SL-10]]*KH_26_OPT4_KTQT_v4[[#This Row],[GB-10]]*EXR</f>
        <v>0</v>
      </c>
      <c r="BN155" s="47">
        <f>KH_26_OPT4_KTQT_v4[[#This Row],[SL-11]]*KH_26_OPT4_KTQT_v4[[#This Row],[GB-11]]*EXR</f>
        <v>0</v>
      </c>
      <c r="BO155" s="47">
        <f>KH_26_OPT4_KTQT_v4[[#This Row],[SL-12]]*KH_26_OPT4_KTQT_v4[[#This Row],[GB-12]]*EXR</f>
        <v>0</v>
      </c>
      <c r="BP155" s="47">
        <f ca="1">SUM(KH_26_OPT4_KTQT_v4[[#This Row],[DT-EXW-01]:[DT-EXW-12]])</f>
        <v>0</v>
      </c>
      <c r="BQ155" s="47">
        <f ca="1">SUMIFS(DB_25[DT-DB25],DB_25[Mã khách],KH_26_OPT4_KTQT_v4[[#This Row],[Mã khách]],DB_25[Mã sản phẩm],KH_26_OPT4_KTQT_v4[[#This Row],[Mã sản phẩm]])</f>
        <v>856482</v>
      </c>
      <c r="BR155" s="47">
        <f ca="1">KH_26_OPT4_KTQT_v4[[#This Row],[DT-EXW-KH26]]-KH_26_OPT4_KTQT_v4[[#This Row],[DT-EXW-DB25]]</f>
        <v>-856482</v>
      </c>
      <c r="BS155" s="21">
        <f ca="1">IFERROR(KH_26_OPT4_KTQT_v4[[#This Row],[DT-EXW-+/-]]/KH_26_OPT4_KTQT_v4[[#This Row],[DT-EXW-DB25]],0)</f>
        <v>-1</v>
      </c>
      <c r="BT155" s="139"/>
      <c r="BU155" s="57"/>
      <c r="BV155" s="51"/>
      <c r="BW155" s="47">
        <f>IF(KH_26_OPT4_KTQT_v4[[#This Row],[CPHH-%-SL]]="Dthu",KH_26_OPT4_KTQT_v4[[#This Row],[%HH]]*KH_26_OPT4_KTQT_v4[[#This Row],[DT-EXW-01]],KH_26_OPT4_KTQT_v4[[#This Row],[HH-SL]]*KH_26_OPT4_KTQT_v4[[#This Row],[SL-01]])</f>
        <v>0</v>
      </c>
      <c r="BX155" s="47">
        <f>IF(KH_26_OPT4_KTQT_v4[[#This Row],[CPHH-%-SL]]="Dthu",KH_26_OPT4_KTQT_v4[[#This Row],[%HH]]*KH_26_OPT4_KTQT_v4[[#This Row],[DT-EXW-02]],KH_26_OPT4_KTQT_v4[[#This Row],[HH-SL]]*KH_26_OPT4_KTQT_v4[[#This Row],[SL-02]])</f>
        <v>0</v>
      </c>
      <c r="BY155" s="47">
        <f>IF(KH_26_OPT4_KTQT_v4[[#This Row],[CPHH-%-SL]]="Dthu",KH_26_OPT4_KTQT_v4[[#This Row],[%HH]]*KH_26_OPT4_KTQT_v4[[#This Row],[DT-EXW-03]],KH_26_OPT4_KTQT_v4[[#This Row],[HH-SL]]*KH_26_OPT4_KTQT_v4[[#This Row],[SL-03]])</f>
        <v>0</v>
      </c>
      <c r="BZ155" s="47">
        <f>IF(KH_26_OPT4_KTQT_v4[[#This Row],[CPHH-%-SL]]="Dthu",KH_26_OPT4_KTQT_v4[[#This Row],[%HH]]*KH_26_OPT4_KTQT_v4[[#This Row],[DT-EXW-04]],KH_26_OPT4_KTQT_v4[[#This Row],[HH-SL]]*KH_26_OPT4_KTQT_v4[[#This Row],[SL-04]])</f>
        <v>0</v>
      </c>
      <c r="CA155" s="47">
        <f>IF(KH_26_OPT4_KTQT_v4[[#This Row],[CPHH-%-SL]]="Dthu",KH_26_OPT4_KTQT_v4[[#This Row],[%HH]]*KH_26_OPT4_KTQT_v4[[#This Row],[DT-EXW-05]],KH_26_OPT4_KTQT_v4[[#This Row],[HH-SL]]*KH_26_OPT4_KTQT_v4[[#This Row],[SL-05]])</f>
        <v>0</v>
      </c>
      <c r="CB155" s="47">
        <f>IF(KH_26_OPT4_KTQT_v4[[#This Row],[CPHH-%-SL]]="Dthu",KH_26_OPT4_KTQT_v4[[#This Row],[%HH]]*KH_26_OPT4_KTQT_v4[[#This Row],[DT-EXW-06]],KH_26_OPT4_KTQT_v4[[#This Row],[HH-SL]]*KH_26_OPT4_KTQT_v4[[#This Row],[SL-06]])</f>
        <v>0</v>
      </c>
      <c r="CC155" s="47">
        <f>IF(KH_26_OPT4_KTQT_v4[[#This Row],[CPHH-%-SL]]="Dthu",KH_26_OPT4_KTQT_v4[[#This Row],[%HH]]*KH_26_OPT4_KTQT_v4[[#This Row],[DT-EXW-07]],KH_26_OPT4_KTQT_v4[[#This Row],[HH-SL]]*KH_26_OPT4_KTQT_v4[[#This Row],[SL-07]])</f>
        <v>0</v>
      </c>
      <c r="CD155" s="47">
        <f>IF(KH_26_OPT4_KTQT_v4[[#This Row],[CPHH-%-SL]]="Dthu",KH_26_OPT4_KTQT_v4[[#This Row],[%HH]]*KH_26_OPT4_KTQT_v4[[#This Row],[DT-EXW-08]],KH_26_OPT4_KTQT_v4[[#This Row],[HH-SL]]*KH_26_OPT4_KTQT_v4[[#This Row],[SL-08]])</f>
        <v>0</v>
      </c>
      <c r="CE155" s="47">
        <f>IF(KH_26_OPT4_KTQT_v4[[#This Row],[CPHH-%-SL]]="Dthu",KH_26_OPT4_KTQT_v4[[#This Row],[%HH]]*KH_26_OPT4_KTQT_v4[[#This Row],[DT-EXW-09]],KH_26_OPT4_KTQT_v4[[#This Row],[HH-SL]]*KH_26_OPT4_KTQT_v4[[#This Row],[SL-09]])</f>
        <v>0</v>
      </c>
      <c r="CF155" s="47">
        <f>IF(KH_26_OPT4_KTQT_v4[[#This Row],[CPHH-%-SL]]="Dthu",KH_26_OPT4_KTQT_v4[[#This Row],[%HH]]*KH_26_OPT4_KTQT_v4[[#This Row],[DT-EXW-10]],KH_26_OPT4_KTQT_v4[[#This Row],[HH-SL]]*KH_26_OPT4_KTQT_v4[[#This Row],[SL-10]])</f>
        <v>0</v>
      </c>
      <c r="CG155" s="47">
        <f>IF(KH_26_OPT4_KTQT_v4[[#This Row],[CPHH-%-SL]]="Dthu",KH_26_OPT4_KTQT_v4[[#This Row],[%HH]]*KH_26_OPT4_KTQT_v4[[#This Row],[DT-EXW-11]],KH_26_OPT4_KTQT_v4[[#This Row],[HH-SL]]*KH_26_OPT4_KTQT_v4[[#This Row],[SL-11]])</f>
        <v>0</v>
      </c>
      <c r="CH155" s="47">
        <f>IF(KH_26_OPT4_KTQT_v4[[#This Row],[CPHH-%-SL]]="Dthu",KH_26_OPT4_KTQT_v4[[#This Row],[%HH]]*KH_26_OPT4_KTQT_v4[[#This Row],[DT-EXW-12]],KH_26_OPT4_KTQT_v4[[#This Row],[HH-SL]]*KH_26_OPT4_KTQT_v4[[#This Row],[SL-12]])</f>
        <v>0</v>
      </c>
      <c r="CI155" s="47">
        <f ca="1">SUM(KH_26_OPT4_KTQT_v4[[#This Row],[CPHH-01]:[CPHH-12]])</f>
        <v>0</v>
      </c>
      <c r="CJ155" s="47" cm="1">
        <f t="array" ref="CJ155">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55" s="19">
        <f ca="1">SUM(KH_26_OPT4_KTQT_v4[[#This Row],[ĐGVCNĐ-KXK]:[ĐGVCCT-KXK]])</f>
        <v>0</v>
      </c>
      <c r="CL155" s="47" cm="1">
        <f t="array" ref="CL155">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155" s="47" cm="1">
        <f t="array" ref="CM155">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55" s="47">
        <f ca="1">(KH_26_OPT4_KTQT_v4[[#This Row],[ĐGVC-KNĐ]]+KH_26_OPT4_KTQT_v4[[#This Row],[ĐGVC-KXK]])*KH_26_OPT4_KTQT_v4[[#This Row],[SL-01]]</f>
        <v>0</v>
      </c>
      <c r="CO155" s="47">
        <f ca="1">(KH_26_OPT4_KTQT_v4[[#This Row],[ĐGVC-KNĐ]]+KH_26_OPT4_KTQT_v4[[#This Row],[ĐGVC-KXK]])*KH_26_OPT4_KTQT_v4[[#This Row],[SL-02]]</f>
        <v>0</v>
      </c>
      <c r="CP155" s="47">
        <f ca="1">(KH_26_OPT4_KTQT_v4[[#This Row],[ĐGVC-KNĐ]]+KH_26_OPT4_KTQT_v4[[#This Row],[ĐGVC-KXK]])*KH_26_OPT4_KTQT_v4[[#This Row],[SL-03]]</f>
        <v>0</v>
      </c>
      <c r="CQ155" s="47">
        <f ca="1">(KH_26_OPT4_KTQT_v4[[#This Row],[ĐGVC-KNĐ]]+KH_26_OPT4_KTQT_v4[[#This Row],[ĐGVC-KXK]])*KH_26_OPT4_KTQT_v4[[#This Row],[SL-04]]</f>
        <v>0</v>
      </c>
      <c r="CR155" s="47">
        <f ca="1">(KH_26_OPT4_KTQT_v4[[#This Row],[ĐGVC-KNĐ]]+KH_26_OPT4_KTQT_v4[[#This Row],[ĐGVC-KXK]])*KH_26_OPT4_KTQT_v4[[#This Row],[SL-05]]</f>
        <v>0</v>
      </c>
      <c r="CS155" s="47">
        <f ca="1">(KH_26_OPT4_KTQT_v4[[#This Row],[ĐGVC-KNĐ]]+KH_26_OPT4_KTQT_v4[[#This Row],[ĐGVC-KXK]])*KH_26_OPT4_KTQT_v4[[#This Row],[SL-06]]</f>
        <v>0</v>
      </c>
      <c r="CT155" s="47">
        <f ca="1">(KH_26_OPT4_KTQT_v4[[#This Row],[ĐGVC-KNĐ]]+KH_26_OPT4_KTQT_v4[[#This Row],[ĐGVC-KXK]])*KH_26_OPT4_KTQT_v4[[#This Row],[SL-07]]</f>
        <v>0</v>
      </c>
      <c r="CU155" s="47">
        <f ca="1">(KH_26_OPT4_KTQT_v4[[#This Row],[ĐGVC-KNĐ]]+KH_26_OPT4_KTQT_v4[[#This Row],[ĐGVC-KXK]])*KH_26_OPT4_KTQT_v4[[#This Row],[SL-08]]</f>
        <v>0</v>
      </c>
      <c r="CV155" s="47">
        <f ca="1">(KH_26_OPT4_KTQT_v4[[#This Row],[ĐGVC-KNĐ]]+KH_26_OPT4_KTQT_v4[[#This Row],[ĐGVC-KXK]])*KH_26_OPT4_KTQT_v4[[#This Row],[SL-09]]</f>
        <v>0</v>
      </c>
      <c r="CW155" s="47">
        <f ca="1">(KH_26_OPT4_KTQT_v4[[#This Row],[ĐGVC-KNĐ]]+KH_26_OPT4_KTQT_v4[[#This Row],[ĐGVC-KXK]])*KH_26_OPT4_KTQT_v4[[#This Row],[SL-10]]</f>
        <v>0</v>
      </c>
      <c r="CX155" s="47">
        <f ca="1">(KH_26_OPT4_KTQT_v4[[#This Row],[ĐGVC-KNĐ]]+KH_26_OPT4_KTQT_v4[[#This Row],[ĐGVC-KXK]])*KH_26_OPT4_KTQT_v4[[#This Row],[SL-11]]</f>
        <v>0</v>
      </c>
      <c r="CY155" s="47">
        <f ca="1">(KH_26_OPT4_KTQT_v4[[#This Row],[ĐGVC-KNĐ]]+KH_26_OPT4_KTQT_v4[[#This Row],[ĐGVC-KXK]])*KH_26_OPT4_KTQT_v4[[#This Row],[SL-12]]</f>
        <v>0</v>
      </c>
      <c r="CZ155" s="47">
        <f ca="1">SUM(KH_26_OPT4_KTQT_v4[[#This Row],[CPVC-01]:[CPVC-12]])</f>
        <v>0</v>
      </c>
      <c r="DA155" s="124">
        <f ca="1">KH_26_OPT4_KTQT_v4[[#This Row],[DT-EXW-01]]+KH_26_OPT4_KTQT_v4[[#This Row],[CPVC-01]]+KH_26_OPT4_KTQT_v4[[#This Row],[CPHH-01]]</f>
        <v>0</v>
      </c>
      <c r="DB155" s="47">
        <f ca="1">KH_26_OPT4_KTQT_v4[[#This Row],[DT-EXW-02]]+KH_26_OPT4_KTQT_v4[[#This Row],[CPVC-02]]+KH_26_OPT4_KTQT_v4[[#This Row],[CPHH-02]]</f>
        <v>0</v>
      </c>
      <c r="DC155" s="47">
        <f ca="1">KH_26_OPT4_KTQT_v4[[#This Row],[DT-EXW-03]]+KH_26_OPT4_KTQT_v4[[#This Row],[CPVC-03]]+KH_26_OPT4_KTQT_v4[[#This Row],[CPHH-03]]</f>
        <v>0</v>
      </c>
      <c r="DD155" s="47">
        <f ca="1">KH_26_OPT4_KTQT_v4[[#This Row],[DT-EXW-04]]+KH_26_OPT4_KTQT_v4[[#This Row],[CPVC-04]]+KH_26_OPT4_KTQT_v4[[#This Row],[CPHH-04]]</f>
        <v>0</v>
      </c>
      <c r="DE155" s="47">
        <f ca="1">KH_26_OPT4_KTQT_v4[[#This Row],[DT-EXW-05]]+KH_26_OPT4_KTQT_v4[[#This Row],[CPVC-05]]+KH_26_OPT4_KTQT_v4[[#This Row],[CPHH-05]]</f>
        <v>0</v>
      </c>
      <c r="DF155" s="47">
        <f ca="1">KH_26_OPT4_KTQT_v4[[#This Row],[DT-EXW-06]]+KH_26_OPT4_KTQT_v4[[#This Row],[CPVC-06]]+KH_26_OPT4_KTQT_v4[[#This Row],[CPHH-06]]</f>
        <v>0</v>
      </c>
      <c r="DG155" s="47">
        <f ca="1">KH_26_OPT4_KTQT_v4[[#This Row],[DT-EXW-07]]+KH_26_OPT4_KTQT_v4[[#This Row],[CPVC-07]]+KH_26_OPT4_KTQT_v4[[#This Row],[CPHH-07]]</f>
        <v>0</v>
      </c>
      <c r="DH155" s="47">
        <f ca="1">KH_26_OPT4_KTQT_v4[[#This Row],[DT-EXW-08]]+KH_26_OPT4_KTQT_v4[[#This Row],[CPVC-08]]+KH_26_OPT4_KTQT_v4[[#This Row],[CPHH-08]]</f>
        <v>0</v>
      </c>
      <c r="DI155" s="47">
        <f ca="1">KH_26_OPT4_KTQT_v4[[#This Row],[DT-EXW-09]]+KH_26_OPT4_KTQT_v4[[#This Row],[CPVC-09]]+KH_26_OPT4_KTQT_v4[[#This Row],[CPHH-09]]</f>
        <v>0</v>
      </c>
      <c r="DJ155" s="47">
        <f ca="1">KH_26_OPT4_KTQT_v4[[#This Row],[DT-EXW-10]]+KH_26_OPT4_KTQT_v4[[#This Row],[CPVC-10]]+KH_26_OPT4_KTQT_v4[[#This Row],[CPHH-10]]</f>
        <v>0</v>
      </c>
      <c r="DK155" s="47">
        <f ca="1">KH_26_OPT4_KTQT_v4[[#This Row],[DT-EXW-11]]+KH_26_OPT4_KTQT_v4[[#This Row],[CPVC-11]]+KH_26_OPT4_KTQT_v4[[#This Row],[CPHH-11]]</f>
        <v>0</v>
      </c>
      <c r="DL155" s="47">
        <f ca="1">KH_26_OPT4_KTQT_v4[[#This Row],[DT-EXW-12]]+KH_26_OPT4_KTQT_v4[[#This Row],[CPVC-12]]+KH_26_OPT4_KTQT_v4[[#This Row],[CPHH-12]]</f>
        <v>0</v>
      </c>
      <c r="DM155" s="47">
        <f ca="1">SUM(KH_26_OPT4_KTQT_v4[[#This Row],[DT-01]:[DT-12]])</f>
        <v>0</v>
      </c>
      <c r="DN155" s="7"/>
      <c r="DO155" s="7"/>
      <c r="DP155" s="125"/>
      <c r="DQ155" s="136"/>
      <c r="DR155" s="132">
        <f>IFERROR(KH_26_OPT4_KTQT_v4[[#This Row],[DT-EXW-01]]*KH_26_OPT4_KTQT_v4[[#This Row],[%CPDP]],0)</f>
        <v>0</v>
      </c>
      <c r="DS155" s="132">
        <f>IFERROR(KH_26_OPT4_KTQT_v4[[#This Row],[DT-EXW-02]]*KH_26_OPT4_KTQT_v4[[#This Row],[%CPDP]],0)</f>
        <v>0</v>
      </c>
      <c r="DT155" s="132">
        <f>IFERROR(KH_26_OPT4_KTQT_v4[[#This Row],[DT-EXW-03]]*KH_26_OPT4_KTQT_v4[[#This Row],[%CPDP]],0)</f>
        <v>0</v>
      </c>
      <c r="DU155" s="132">
        <f>IFERROR(KH_26_OPT4_KTQT_v4[[#This Row],[DT-EXW-04]]*KH_26_OPT4_KTQT_v4[[#This Row],[%CPDP]],0)</f>
        <v>0</v>
      </c>
      <c r="DV155" s="132">
        <f>IFERROR(KH_26_OPT4_KTQT_v4[[#This Row],[DT-EXW-05]]*KH_26_OPT4_KTQT_v4[[#This Row],[%CPDP]],0)</f>
        <v>0</v>
      </c>
      <c r="DW155" s="132">
        <f>IFERROR(KH_26_OPT4_KTQT_v4[[#This Row],[DT-EXW-06]]*KH_26_OPT4_KTQT_v4[[#This Row],[%CPDP]],0)</f>
        <v>0</v>
      </c>
      <c r="DX155" s="132">
        <f>IFERROR(KH_26_OPT4_KTQT_v4[[#This Row],[DT-EXW-07]]*KH_26_OPT4_KTQT_v4[[#This Row],[%CPDP]],0)</f>
        <v>0</v>
      </c>
      <c r="DY155" s="132">
        <f>IFERROR(KH_26_OPT4_KTQT_v4[[#This Row],[DT-EXW-08]]*KH_26_OPT4_KTQT_v4[[#This Row],[%CPDP]],0)</f>
        <v>0</v>
      </c>
      <c r="DZ155" s="132">
        <f>IFERROR(KH_26_OPT4_KTQT_v4[[#This Row],[DT-EXW-09]]*KH_26_OPT4_KTQT_v4[[#This Row],[%CPDP]],0)</f>
        <v>0</v>
      </c>
      <c r="EA155" s="132">
        <f>IFERROR(KH_26_OPT4_KTQT_v4[[#This Row],[DT-EXW-10]]*KH_26_OPT4_KTQT_v4[[#This Row],[%CPDP]],0)</f>
        <v>0</v>
      </c>
      <c r="EB155" s="132">
        <f>IFERROR(KH_26_OPT4_KTQT_v4[[#This Row],[DT-EXW-11]]*KH_26_OPT4_KTQT_v4[[#This Row],[%CPDP]],0)</f>
        <v>0</v>
      </c>
      <c r="EC155" s="132">
        <f>IFERROR(KH_26_OPT4_KTQT_v4[[#This Row],[DT-EXW-12]]*KH_26_OPT4_KTQT_v4[[#This Row],[%CPDP]],0)</f>
        <v>0</v>
      </c>
      <c r="ED155" s="131">
        <f ca="1">SUM(KH_26_OPT4_KTQT_v4[[#This Row],[CPDP-01]:[CPDP-12]])</f>
        <v>0</v>
      </c>
    </row>
    <row r="156" spans="1:134" ht="14.65" hidden="1" customHeight="1" x14ac:dyDescent="0.35">
      <c r="A156" s="18">
        <v>151</v>
      </c>
      <c r="B156" s="71" t="s">
        <v>115</v>
      </c>
      <c r="C156" s="18" t="str">
        <f>IFERROR(_xlfn.XLOOKUP(KH_26_OPT4_KTQT_v4[[#This Row],[Salesman]],MD_Salesman[Salesman],MD_Salesman[SalesManager]),"")</f>
        <v>Quốc Anh</v>
      </c>
      <c r="D156" s="72" t="str">
        <f>IFERROR(INDEX(MD_Customer[Mã khách],MATCH(KH_26_OPT4_KTQT_v4[[#This Row],[Tên khách]],MD_Customer[Tên khách-rút gọn],0)),"")</f>
        <v>105339</v>
      </c>
      <c r="E156" s="7" t="str">
        <f>IFERROR(INDEX(MD_Customer[Parent Account],MATCH(KH_26_OPT4_KTQT_v4[[#This Row],[Tên khách]],MD_Customer[Tên khách-rút gọn],0)),"")</f>
        <v>HUY THÀNH</v>
      </c>
      <c r="F156" s="35" t="s">
        <v>57</v>
      </c>
      <c r="G156" s="7" t="str">
        <f>IFERROR(INDEX(MD_Customer[Phân loại],MATCH(KH_26_OPT4_KTQT_v4[[#This Row],[Tên khách]],MD_Customer[Tên khách-rút gọn],0)),"")</f>
        <v>Hiện hữu</v>
      </c>
      <c r="H156" s="7" t="str">
        <f>IFERROR(INDEX(MD_Customer[Kênh bán hàng],MATCH(KH_26_OPT4_KTQT_v4[[#This Row],[Tên khách]],MD_Customer[Tên khách-rút gọn],0)),"")</f>
        <v>Nội địa</v>
      </c>
      <c r="I156" s="35" t="s">
        <v>258</v>
      </c>
      <c r="J156" s="7" t="str">
        <f>IFERROR(INDEX(MD_Destination[Nước],MATCH(KH_26_OPT4_KTQT_v4[[#This Row],[Địa điểm đến]],MD_Destination[Địa điểm đến],0)),"")</f>
        <v>Việt Nam</v>
      </c>
      <c r="K156" s="7" t="str">
        <f>IFERROR(INDEX(MD_Destination[Khu vực],MATCH(KH_26_OPT4_KTQT_v4[[#This Row],[Địa điểm đến]],MD_Destination[Địa điểm đến],0)),"")</f>
        <v>Châu Á</v>
      </c>
      <c r="L156" s="35" t="s">
        <v>262</v>
      </c>
      <c r="M156" s="7" t="str">
        <f>IFERROR(INDEX(MD_SKU[Mã SKU],MATCH(KH_26_OPT4_KTQT_v4[[#This Row],[Tên sản phẩm]],MD_SKU[Tên SKU-rút gọn],0)),"")</f>
        <v>110000410</v>
      </c>
      <c r="N156" s="35" t="s">
        <v>472</v>
      </c>
      <c r="O156" s="7" t="str">
        <f>IFERROR(INDEX(MD_SKU[Ngành hàng],MATCH(KH_26_OPT4_KTQT_v4[[#This Row],[Tên sản phẩm]],MD_SKU[Tên SKU-rút gọn],0)),"")</f>
        <v>rHDPE ép</v>
      </c>
      <c r="P156" s="7" t="str">
        <f>IFERROR(INDEX(MD_SKU[Nhóm ngành],MATCH(KH_26_OPT4_KTQT_v4[[#This Row],[Tên sản phẩm]],MD_SKU[Tên SKU-rút gọn],0)),"")</f>
        <v>Vảy HD ép</v>
      </c>
      <c r="Q156" s="7" t="str">
        <f>IFERROR(
   IF(INDEX(MD_SKU[IV/IM],MATCH(KH_26_OPT4_KTQT_v4[[#This Row],[Tên sản phẩm]],MD_SKU[Tên SKU-rút gọn],0))=0,
      "",
      INDEX(MD_SKU[IV/IM],MATCH(KH_26_OPT4_KTQT_v4[[#This Row],[Tên sản phẩm]],MD_SKU[Tên SKU-rút gọn],0))
   ),
"")</f>
        <v/>
      </c>
      <c r="R156" s="44">
        <f>IFERROR(INDEX(MD_SKU[Application],MATCH(KH_26_OPT4_KTQT_v4[[#This Row],[Tên sản phẩm]],MD_SKU[Tên SKU-rút gọn],0)),"")</f>
        <v>0</v>
      </c>
      <c r="S156" s="7" t="str">
        <f>IFERROR(INDEX(MD_SKU[Phân loại],MATCH(KH_26_OPT4_KTQT_v4[[#This Row],[Tên sản phẩm]],MD_SKU[Tên SKU-rút gọn],0)),"")</f>
        <v>Cũ</v>
      </c>
      <c r="T156" s="7" t="s">
        <v>542</v>
      </c>
      <c r="U156" s="7"/>
      <c r="V156" s="70">
        <v>0.8</v>
      </c>
      <c r="W156" s="33"/>
      <c r="X156" s="33"/>
      <c r="Y156" s="33"/>
      <c r="Z156" s="33"/>
      <c r="AA156" s="33"/>
      <c r="AB156" s="33"/>
      <c r="AC156" s="33"/>
      <c r="AD156" s="33"/>
      <c r="AE156" s="33"/>
      <c r="AF156" s="33"/>
      <c r="AG156" s="33"/>
      <c r="AH156" s="33"/>
      <c r="AI156" s="47">
        <f ca="1">SUM(KH_26_OPT4_KTQT_v4[[#This Row],[SL-01]:[SL-12]])</f>
        <v>0</v>
      </c>
      <c r="AJ156" s="47">
        <f ca="1">SUMIFS(DB_25[SL-DB25],DB_25[Mã khách],KH_26_OPT4_KTQT_v4[[#This Row],[Mã khách]],DB_25[Mã sản phẩm],KH_26_OPT4_KTQT_v4[[#This Row],[Mã sản phẩm]])</f>
        <v>0.05</v>
      </c>
      <c r="AK156" s="20">
        <f ca="1">KH_26_OPT4_KTQT_v4[[#This Row],[SL-KH26]]-KH_26_OPT4_KTQT_v4[[#This Row],[SL-DB25]]</f>
        <v>-0.05</v>
      </c>
      <c r="AL156" s="21">
        <f ca="1">IFERROR(KH_26_OPT4_KTQT_v4[[#This Row],[SL-+/-]]/KH_26_OPT4_KTQT_v4[[#This Row],[SL-DB25]],0)</f>
        <v>-1</v>
      </c>
      <c r="AM156" s="51">
        <v>560</v>
      </c>
      <c r="AN156" s="51">
        <v>560</v>
      </c>
      <c r="AO156" s="51">
        <v>560</v>
      </c>
      <c r="AP156" s="51">
        <v>560</v>
      </c>
      <c r="AQ156" s="51">
        <v>560</v>
      </c>
      <c r="AR156" s="51">
        <v>560</v>
      </c>
      <c r="AS156" s="51">
        <v>560</v>
      </c>
      <c r="AT156" s="51">
        <v>560</v>
      </c>
      <c r="AU156" s="51">
        <v>560</v>
      </c>
      <c r="AV156" s="51">
        <v>560</v>
      </c>
      <c r="AW156" s="51">
        <v>560</v>
      </c>
      <c r="AX156" s="51">
        <v>560</v>
      </c>
      <c r="AY156" s="23">
        <v>560</v>
      </c>
      <c r="AZ156" s="7"/>
      <c r="BA156" s="24">
        <f>KH_26_OPT4_KTQT_v4[[#This Row],[GB-DB25]]-KH_26_OPT4_KTQT_v4[[#This Row],[GB-KH25]]</f>
        <v>560</v>
      </c>
      <c r="BB156" s="21">
        <f>IFERROR(KH_26_OPT4_KTQT_v4[[#This Row],[GB-+/-]]/KH_26_OPT4_KTQT_v4[[#This Row],[GB-KH25]],0)</f>
        <v>0</v>
      </c>
      <c r="BC156" s="21"/>
      <c r="BD156" s="47">
        <f>KH_26_OPT4_KTQT_v4[[#This Row],[SL-01]]*KH_26_OPT4_KTQT_v4[[#This Row],[GB-01]]*EXR</f>
        <v>0</v>
      </c>
      <c r="BE156" s="47">
        <f>KH_26_OPT4_KTQT_v4[[#This Row],[SL-02]]*KH_26_OPT4_KTQT_v4[[#This Row],[GB-02]]*EXR</f>
        <v>0</v>
      </c>
      <c r="BF156" s="47">
        <f>KH_26_OPT4_KTQT_v4[[#This Row],[SL-03]]*KH_26_OPT4_KTQT_v4[[#This Row],[GB-03]]*EXR</f>
        <v>0</v>
      </c>
      <c r="BG156" s="47">
        <f>KH_26_OPT4_KTQT_v4[[#This Row],[SL-04]]*KH_26_OPT4_KTQT_v4[[#This Row],[GB-04]]*EXR</f>
        <v>0</v>
      </c>
      <c r="BH156" s="47">
        <f>KH_26_OPT4_KTQT_v4[[#This Row],[SL-05]]*KH_26_OPT4_KTQT_v4[[#This Row],[GB-05]]*EXR</f>
        <v>0</v>
      </c>
      <c r="BI156" s="47">
        <f>KH_26_OPT4_KTQT_v4[[#This Row],[SL-06]]*KH_26_OPT4_KTQT_v4[[#This Row],[GB-06]]*EXR</f>
        <v>0</v>
      </c>
      <c r="BJ156" s="47">
        <f>KH_26_OPT4_KTQT_v4[[#This Row],[SL-07]]*KH_26_OPT4_KTQT_v4[[#This Row],[GB-07]]*EXR</f>
        <v>0</v>
      </c>
      <c r="BK156" s="47">
        <f>KH_26_OPT4_KTQT_v4[[#This Row],[SL-08]]*KH_26_OPT4_KTQT_v4[[#This Row],[GB-08]]*EXR</f>
        <v>0</v>
      </c>
      <c r="BL156" s="47">
        <f>KH_26_OPT4_KTQT_v4[[#This Row],[SL-09]]*KH_26_OPT4_KTQT_v4[[#This Row],[GB-09]]*EXR</f>
        <v>0</v>
      </c>
      <c r="BM156" s="47">
        <f>KH_26_OPT4_KTQT_v4[[#This Row],[SL-10]]*KH_26_OPT4_KTQT_v4[[#This Row],[GB-10]]*EXR</f>
        <v>0</v>
      </c>
      <c r="BN156" s="47">
        <f>KH_26_OPT4_KTQT_v4[[#This Row],[SL-11]]*KH_26_OPT4_KTQT_v4[[#This Row],[GB-11]]*EXR</f>
        <v>0</v>
      </c>
      <c r="BO156" s="47">
        <f>KH_26_OPT4_KTQT_v4[[#This Row],[SL-12]]*KH_26_OPT4_KTQT_v4[[#This Row],[GB-12]]*EXR</f>
        <v>0</v>
      </c>
      <c r="BP156" s="47">
        <f ca="1">SUM(KH_26_OPT4_KTQT_v4[[#This Row],[DT-EXW-01]:[DT-EXW-12]])</f>
        <v>0</v>
      </c>
      <c r="BQ156" s="47">
        <f ca="1">SUMIFS(DB_25[DT-DB25],DB_25[Mã khách],KH_26_OPT4_KTQT_v4[[#This Row],[Mã khách]],DB_25[Mã sản phẩm],KH_26_OPT4_KTQT_v4[[#This Row],[Mã sản phẩm]])</f>
        <v>856482</v>
      </c>
      <c r="BR156" s="47">
        <f ca="1">KH_26_OPT4_KTQT_v4[[#This Row],[DT-EXW-KH26]]-KH_26_OPT4_KTQT_v4[[#This Row],[DT-EXW-DB25]]</f>
        <v>-856482</v>
      </c>
      <c r="BS156" s="21">
        <f ca="1">IFERROR(KH_26_OPT4_KTQT_v4[[#This Row],[DT-EXW-+/-]]/KH_26_OPT4_KTQT_v4[[#This Row],[DT-EXW-DB25]],0)</f>
        <v>-1</v>
      </c>
      <c r="BT156" s="139"/>
      <c r="BU156" s="57"/>
      <c r="BV156" s="51"/>
      <c r="BW156" s="47">
        <f>IF(KH_26_OPT4_KTQT_v4[[#This Row],[CPHH-%-SL]]="Dthu",KH_26_OPT4_KTQT_v4[[#This Row],[%HH]]*KH_26_OPT4_KTQT_v4[[#This Row],[DT-EXW-01]],KH_26_OPT4_KTQT_v4[[#This Row],[HH-SL]]*KH_26_OPT4_KTQT_v4[[#This Row],[SL-01]])</f>
        <v>0</v>
      </c>
      <c r="BX156" s="47">
        <f>IF(KH_26_OPT4_KTQT_v4[[#This Row],[CPHH-%-SL]]="Dthu",KH_26_OPT4_KTQT_v4[[#This Row],[%HH]]*KH_26_OPT4_KTQT_v4[[#This Row],[DT-EXW-02]],KH_26_OPT4_KTQT_v4[[#This Row],[HH-SL]]*KH_26_OPT4_KTQT_v4[[#This Row],[SL-02]])</f>
        <v>0</v>
      </c>
      <c r="BY156" s="47">
        <f>IF(KH_26_OPT4_KTQT_v4[[#This Row],[CPHH-%-SL]]="Dthu",KH_26_OPT4_KTQT_v4[[#This Row],[%HH]]*KH_26_OPT4_KTQT_v4[[#This Row],[DT-EXW-03]],KH_26_OPT4_KTQT_v4[[#This Row],[HH-SL]]*KH_26_OPT4_KTQT_v4[[#This Row],[SL-03]])</f>
        <v>0</v>
      </c>
      <c r="BZ156" s="47">
        <f>IF(KH_26_OPT4_KTQT_v4[[#This Row],[CPHH-%-SL]]="Dthu",KH_26_OPT4_KTQT_v4[[#This Row],[%HH]]*KH_26_OPT4_KTQT_v4[[#This Row],[DT-EXW-04]],KH_26_OPT4_KTQT_v4[[#This Row],[HH-SL]]*KH_26_OPT4_KTQT_v4[[#This Row],[SL-04]])</f>
        <v>0</v>
      </c>
      <c r="CA156" s="47">
        <f>IF(KH_26_OPT4_KTQT_v4[[#This Row],[CPHH-%-SL]]="Dthu",KH_26_OPT4_KTQT_v4[[#This Row],[%HH]]*KH_26_OPT4_KTQT_v4[[#This Row],[DT-EXW-05]],KH_26_OPT4_KTQT_v4[[#This Row],[HH-SL]]*KH_26_OPT4_KTQT_v4[[#This Row],[SL-05]])</f>
        <v>0</v>
      </c>
      <c r="CB156" s="47">
        <f>IF(KH_26_OPT4_KTQT_v4[[#This Row],[CPHH-%-SL]]="Dthu",KH_26_OPT4_KTQT_v4[[#This Row],[%HH]]*KH_26_OPT4_KTQT_v4[[#This Row],[DT-EXW-06]],KH_26_OPT4_KTQT_v4[[#This Row],[HH-SL]]*KH_26_OPT4_KTQT_v4[[#This Row],[SL-06]])</f>
        <v>0</v>
      </c>
      <c r="CC156" s="47">
        <f>IF(KH_26_OPT4_KTQT_v4[[#This Row],[CPHH-%-SL]]="Dthu",KH_26_OPT4_KTQT_v4[[#This Row],[%HH]]*KH_26_OPT4_KTQT_v4[[#This Row],[DT-EXW-07]],KH_26_OPT4_KTQT_v4[[#This Row],[HH-SL]]*KH_26_OPT4_KTQT_v4[[#This Row],[SL-07]])</f>
        <v>0</v>
      </c>
      <c r="CD156" s="47">
        <f>IF(KH_26_OPT4_KTQT_v4[[#This Row],[CPHH-%-SL]]="Dthu",KH_26_OPT4_KTQT_v4[[#This Row],[%HH]]*KH_26_OPT4_KTQT_v4[[#This Row],[DT-EXW-08]],KH_26_OPT4_KTQT_v4[[#This Row],[HH-SL]]*KH_26_OPT4_KTQT_v4[[#This Row],[SL-08]])</f>
        <v>0</v>
      </c>
      <c r="CE156" s="47">
        <f>IF(KH_26_OPT4_KTQT_v4[[#This Row],[CPHH-%-SL]]="Dthu",KH_26_OPT4_KTQT_v4[[#This Row],[%HH]]*KH_26_OPT4_KTQT_v4[[#This Row],[DT-EXW-09]],KH_26_OPT4_KTQT_v4[[#This Row],[HH-SL]]*KH_26_OPT4_KTQT_v4[[#This Row],[SL-09]])</f>
        <v>0</v>
      </c>
      <c r="CF156" s="47">
        <f>IF(KH_26_OPT4_KTQT_v4[[#This Row],[CPHH-%-SL]]="Dthu",KH_26_OPT4_KTQT_v4[[#This Row],[%HH]]*KH_26_OPT4_KTQT_v4[[#This Row],[DT-EXW-10]],KH_26_OPT4_KTQT_v4[[#This Row],[HH-SL]]*KH_26_OPT4_KTQT_v4[[#This Row],[SL-10]])</f>
        <v>0</v>
      </c>
      <c r="CG156" s="47">
        <f>IF(KH_26_OPT4_KTQT_v4[[#This Row],[CPHH-%-SL]]="Dthu",KH_26_OPT4_KTQT_v4[[#This Row],[%HH]]*KH_26_OPT4_KTQT_v4[[#This Row],[DT-EXW-11]],KH_26_OPT4_KTQT_v4[[#This Row],[HH-SL]]*KH_26_OPT4_KTQT_v4[[#This Row],[SL-11]])</f>
        <v>0</v>
      </c>
      <c r="CH156" s="47">
        <f>IF(KH_26_OPT4_KTQT_v4[[#This Row],[CPHH-%-SL]]="Dthu",KH_26_OPT4_KTQT_v4[[#This Row],[%HH]]*KH_26_OPT4_KTQT_v4[[#This Row],[DT-EXW-12]],KH_26_OPT4_KTQT_v4[[#This Row],[HH-SL]]*KH_26_OPT4_KTQT_v4[[#This Row],[SL-12]])</f>
        <v>0</v>
      </c>
      <c r="CI156" s="47">
        <f ca="1">SUM(KH_26_OPT4_KTQT_v4[[#This Row],[CPHH-01]:[CPHH-12]])</f>
        <v>0</v>
      </c>
      <c r="CJ156" s="47" cm="1">
        <f t="array" ref="CJ156">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56" s="19">
        <f ca="1">SUM(KH_26_OPT4_KTQT_v4[[#This Row],[ĐGVCNĐ-KXK]:[ĐGVCCT-KXK]])</f>
        <v>0</v>
      </c>
      <c r="CL156" s="47" cm="1">
        <f t="array" ref="CL156">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156" s="47" cm="1">
        <f t="array" ref="CM156">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56" s="47">
        <f ca="1">(KH_26_OPT4_KTQT_v4[[#This Row],[ĐGVC-KNĐ]]+KH_26_OPT4_KTQT_v4[[#This Row],[ĐGVC-KXK]])*KH_26_OPT4_KTQT_v4[[#This Row],[SL-01]]</f>
        <v>0</v>
      </c>
      <c r="CO156" s="47">
        <f ca="1">(KH_26_OPT4_KTQT_v4[[#This Row],[ĐGVC-KNĐ]]+KH_26_OPT4_KTQT_v4[[#This Row],[ĐGVC-KXK]])*KH_26_OPT4_KTQT_v4[[#This Row],[SL-02]]</f>
        <v>0</v>
      </c>
      <c r="CP156" s="47">
        <f ca="1">(KH_26_OPT4_KTQT_v4[[#This Row],[ĐGVC-KNĐ]]+KH_26_OPT4_KTQT_v4[[#This Row],[ĐGVC-KXK]])*KH_26_OPT4_KTQT_v4[[#This Row],[SL-03]]</f>
        <v>0</v>
      </c>
      <c r="CQ156" s="47">
        <f ca="1">(KH_26_OPT4_KTQT_v4[[#This Row],[ĐGVC-KNĐ]]+KH_26_OPT4_KTQT_v4[[#This Row],[ĐGVC-KXK]])*KH_26_OPT4_KTQT_v4[[#This Row],[SL-04]]</f>
        <v>0</v>
      </c>
      <c r="CR156" s="47">
        <f ca="1">(KH_26_OPT4_KTQT_v4[[#This Row],[ĐGVC-KNĐ]]+KH_26_OPT4_KTQT_v4[[#This Row],[ĐGVC-KXK]])*KH_26_OPT4_KTQT_v4[[#This Row],[SL-05]]</f>
        <v>0</v>
      </c>
      <c r="CS156" s="47">
        <f ca="1">(KH_26_OPT4_KTQT_v4[[#This Row],[ĐGVC-KNĐ]]+KH_26_OPT4_KTQT_v4[[#This Row],[ĐGVC-KXK]])*KH_26_OPT4_KTQT_v4[[#This Row],[SL-06]]</f>
        <v>0</v>
      </c>
      <c r="CT156" s="47">
        <f ca="1">(KH_26_OPT4_KTQT_v4[[#This Row],[ĐGVC-KNĐ]]+KH_26_OPT4_KTQT_v4[[#This Row],[ĐGVC-KXK]])*KH_26_OPT4_KTQT_v4[[#This Row],[SL-07]]</f>
        <v>0</v>
      </c>
      <c r="CU156" s="47">
        <f ca="1">(KH_26_OPT4_KTQT_v4[[#This Row],[ĐGVC-KNĐ]]+KH_26_OPT4_KTQT_v4[[#This Row],[ĐGVC-KXK]])*KH_26_OPT4_KTQT_v4[[#This Row],[SL-08]]</f>
        <v>0</v>
      </c>
      <c r="CV156" s="47">
        <f ca="1">(KH_26_OPT4_KTQT_v4[[#This Row],[ĐGVC-KNĐ]]+KH_26_OPT4_KTQT_v4[[#This Row],[ĐGVC-KXK]])*KH_26_OPT4_KTQT_v4[[#This Row],[SL-09]]</f>
        <v>0</v>
      </c>
      <c r="CW156" s="47">
        <f ca="1">(KH_26_OPT4_KTQT_v4[[#This Row],[ĐGVC-KNĐ]]+KH_26_OPT4_KTQT_v4[[#This Row],[ĐGVC-KXK]])*KH_26_OPT4_KTQT_v4[[#This Row],[SL-10]]</f>
        <v>0</v>
      </c>
      <c r="CX156" s="47">
        <f ca="1">(KH_26_OPT4_KTQT_v4[[#This Row],[ĐGVC-KNĐ]]+KH_26_OPT4_KTQT_v4[[#This Row],[ĐGVC-KXK]])*KH_26_OPT4_KTQT_v4[[#This Row],[SL-11]]</f>
        <v>0</v>
      </c>
      <c r="CY156" s="47">
        <f ca="1">(KH_26_OPT4_KTQT_v4[[#This Row],[ĐGVC-KNĐ]]+KH_26_OPT4_KTQT_v4[[#This Row],[ĐGVC-KXK]])*KH_26_OPT4_KTQT_v4[[#This Row],[SL-12]]</f>
        <v>0</v>
      </c>
      <c r="CZ156" s="47">
        <f ca="1">SUM(KH_26_OPT4_KTQT_v4[[#This Row],[CPVC-01]:[CPVC-12]])</f>
        <v>0</v>
      </c>
      <c r="DA156" s="124">
        <f ca="1">KH_26_OPT4_KTQT_v4[[#This Row],[DT-EXW-01]]+KH_26_OPT4_KTQT_v4[[#This Row],[CPVC-01]]+KH_26_OPT4_KTQT_v4[[#This Row],[CPHH-01]]</f>
        <v>0</v>
      </c>
      <c r="DB156" s="47">
        <f ca="1">KH_26_OPT4_KTQT_v4[[#This Row],[DT-EXW-02]]+KH_26_OPT4_KTQT_v4[[#This Row],[CPVC-02]]+KH_26_OPT4_KTQT_v4[[#This Row],[CPHH-02]]</f>
        <v>0</v>
      </c>
      <c r="DC156" s="47">
        <f ca="1">KH_26_OPT4_KTQT_v4[[#This Row],[DT-EXW-03]]+KH_26_OPT4_KTQT_v4[[#This Row],[CPVC-03]]+KH_26_OPT4_KTQT_v4[[#This Row],[CPHH-03]]</f>
        <v>0</v>
      </c>
      <c r="DD156" s="47">
        <f ca="1">KH_26_OPT4_KTQT_v4[[#This Row],[DT-EXW-04]]+KH_26_OPT4_KTQT_v4[[#This Row],[CPVC-04]]+KH_26_OPT4_KTQT_v4[[#This Row],[CPHH-04]]</f>
        <v>0</v>
      </c>
      <c r="DE156" s="47">
        <f ca="1">KH_26_OPT4_KTQT_v4[[#This Row],[DT-EXW-05]]+KH_26_OPT4_KTQT_v4[[#This Row],[CPVC-05]]+KH_26_OPT4_KTQT_v4[[#This Row],[CPHH-05]]</f>
        <v>0</v>
      </c>
      <c r="DF156" s="47">
        <f ca="1">KH_26_OPT4_KTQT_v4[[#This Row],[DT-EXW-06]]+KH_26_OPT4_KTQT_v4[[#This Row],[CPVC-06]]+KH_26_OPT4_KTQT_v4[[#This Row],[CPHH-06]]</f>
        <v>0</v>
      </c>
      <c r="DG156" s="47">
        <f ca="1">KH_26_OPT4_KTQT_v4[[#This Row],[DT-EXW-07]]+KH_26_OPT4_KTQT_v4[[#This Row],[CPVC-07]]+KH_26_OPT4_KTQT_v4[[#This Row],[CPHH-07]]</f>
        <v>0</v>
      </c>
      <c r="DH156" s="47">
        <f ca="1">KH_26_OPT4_KTQT_v4[[#This Row],[DT-EXW-08]]+KH_26_OPT4_KTQT_v4[[#This Row],[CPVC-08]]+KH_26_OPT4_KTQT_v4[[#This Row],[CPHH-08]]</f>
        <v>0</v>
      </c>
      <c r="DI156" s="47">
        <f ca="1">KH_26_OPT4_KTQT_v4[[#This Row],[DT-EXW-09]]+KH_26_OPT4_KTQT_v4[[#This Row],[CPVC-09]]+KH_26_OPT4_KTQT_v4[[#This Row],[CPHH-09]]</f>
        <v>0</v>
      </c>
      <c r="DJ156" s="47">
        <f ca="1">KH_26_OPT4_KTQT_v4[[#This Row],[DT-EXW-10]]+KH_26_OPT4_KTQT_v4[[#This Row],[CPVC-10]]+KH_26_OPT4_KTQT_v4[[#This Row],[CPHH-10]]</f>
        <v>0</v>
      </c>
      <c r="DK156" s="47">
        <f ca="1">KH_26_OPT4_KTQT_v4[[#This Row],[DT-EXW-11]]+KH_26_OPT4_KTQT_v4[[#This Row],[CPVC-11]]+KH_26_OPT4_KTQT_v4[[#This Row],[CPHH-11]]</f>
        <v>0</v>
      </c>
      <c r="DL156" s="47">
        <f ca="1">KH_26_OPT4_KTQT_v4[[#This Row],[DT-EXW-12]]+KH_26_OPT4_KTQT_v4[[#This Row],[CPVC-12]]+KH_26_OPT4_KTQT_v4[[#This Row],[CPHH-12]]</f>
        <v>0</v>
      </c>
      <c r="DM156" s="47">
        <f ca="1">SUM(KH_26_OPT4_KTQT_v4[[#This Row],[DT-01]:[DT-12]])</f>
        <v>0</v>
      </c>
      <c r="DN156" s="7"/>
      <c r="DO156" s="7"/>
      <c r="DP156" s="125"/>
      <c r="DQ156" s="136"/>
      <c r="DR156" s="132">
        <f>IFERROR(KH_26_OPT4_KTQT_v4[[#This Row],[DT-EXW-01]]*KH_26_OPT4_KTQT_v4[[#This Row],[%CPDP]],0)</f>
        <v>0</v>
      </c>
      <c r="DS156" s="132">
        <f>IFERROR(KH_26_OPT4_KTQT_v4[[#This Row],[DT-EXW-02]]*KH_26_OPT4_KTQT_v4[[#This Row],[%CPDP]],0)</f>
        <v>0</v>
      </c>
      <c r="DT156" s="132">
        <f>IFERROR(KH_26_OPT4_KTQT_v4[[#This Row],[DT-EXW-03]]*KH_26_OPT4_KTQT_v4[[#This Row],[%CPDP]],0)</f>
        <v>0</v>
      </c>
      <c r="DU156" s="132">
        <f>IFERROR(KH_26_OPT4_KTQT_v4[[#This Row],[DT-EXW-04]]*KH_26_OPT4_KTQT_v4[[#This Row],[%CPDP]],0)</f>
        <v>0</v>
      </c>
      <c r="DV156" s="132">
        <f>IFERROR(KH_26_OPT4_KTQT_v4[[#This Row],[DT-EXW-05]]*KH_26_OPT4_KTQT_v4[[#This Row],[%CPDP]],0)</f>
        <v>0</v>
      </c>
      <c r="DW156" s="132">
        <f>IFERROR(KH_26_OPT4_KTQT_v4[[#This Row],[DT-EXW-06]]*KH_26_OPT4_KTQT_v4[[#This Row],[%CPDP]],0)</f>
        <v>0</v>
      </c>
      <c r="DX156" s="132">
        <f>IFERROR(KH_26_OPT4_KTQT_v4[[#This Row],[DT-EXW-07]]*KH_26_OPT4_KTQT_v4[[#This Row],[%CPDP]],0)</f>
        <v>0</v>
      </c>
      <c r="DY156" s="132">
        <f>IFERROR(KH_26_OPT4_KTQT_v4[[#This Row],[DT-EXW-08]]*KH_26_OPT4_KTQT_v4[[#This Row],[%CPDP]],0)</f>
        <v>0</v>
      </c>
      <c r="DZ156" s="132">
        <f>IFERROR(KH_26_OPT4_KTQT_v4[[#This Row],[DT-EXW-09]]*KH_26_OPT4_KTQT_v4[[#This Row],[%CPDP]],0)</f>
        <v>0</v>
      </c>
      <c r="EA156" s="132">
        <f>IFERROR(KH_26_OPT4_KTQT_v4[[#This Row],[DT-EXW-10]]*KH_26_OPT4_KTQT_v4[[#This Row],[%CPDP]],0)</f>
        <v>0</v>
      </c>
      <c r="EB156" s="132">
        <f>IFERROR(KH_26_OPT4_KTQT_v4[[#This Row],[DT-EXW-11]]*KH_26_OPT4_KTQT_v4[[#This Row],[%CPDP]],0)</f>
        <v>0</v>
      </c>
      <c r="EC156" s="132">
        <f>IFERROR(KH_26_OPT4_KTQT_v4[[#This Row],[DT-EXW-12]]*KH_26_OPT4_KTQT_v4[[#This Row],[%CPDP]],0)</f>
        <v>0</v>
      </c>
      <c r="ED156" s="131">
        <f ca="1">SUM(KH_26_OPT4_KTQT_v4[[#This Row],[CPDP-01]:[CPDP-12]])</f>
        <v>0</v>
      </c>
    </row>
    <row r="157" spans="1:134" ht="14.65" hidden="1" customHeight="1" x14ac:dyDescent="0.35">
      <c r="A157" s="18">
        <v>152</v>
      </c>
      <c r="B157" s="71" t="s">
        <v>115</v>
      </c>
      <c r="C157" s="18" t="str">
        <f>IFERROR(_xlfn.XLOOKUP(KH_26_OPT4_KTQT_v4[[#This Row],[Salesman]],MD_Salesman[Salesman],MD_Salesman[SalesManager]),"")</f>
        <v>Quốc Anh</v>
      </c>
      <c r="D157" s="72" t="str">
        <f>IFERROR(INDEX(MD_Customer[Mã khách],MATCH(KH_26_OPT4_KTQT_v4[[#This Row],[Tên khách]],MD_Customer[Tên khách-rút gọn],0)),"")</f>
        <v>105339</v>
      </c>
      <c r="E157" s="7" t="str">
        <f>IFERROR(INDEX(MD_Customer[Parent Account],MATCH(KH_26_OPT4_KTQT_v4[[#This Row],[Tên khách]],MD_Customer[Tên khách-rút gọn],0)),"")</f>
        <v>HUY THÀNH</v>
      </c>
      <c r="F157" s="35" t="s">
        <v>57</v>
      </c>
      <c r="G157" s="7" t="str">
        <f>IFERROR(INDEX(MD_Customer[Phân loại],MATCH(KH_26_OPT4_KTQT_v4[[#This Row],[Tên khách]],MD_Customer[Tên khách-rút gọn],0)),"")</f>
        <v>Hiện hữu</v>
      </c>
      <c r="H157" s="7" t="str">
        <f>IFERROR(INDEX(MD_Customer[Kênh bán hàng],MATCH(KH_26_OPT4_KTQT_v4[[#This Row],[Tên khách]],MD_Customer[Tên khách-rút gọn],0)),"")</f>
        <v>Nội địa</v>
      </c>
      <c r="I157" s="35" t="s">
        <v>258</v>
      </c>
      <c r="J157" s="7" t="str">
        <f>IFERROR(INDEX(MD_Destination[Nước],MATCH(KH_26_OPT4_KTQT_v4[[#This Row],[Địa điểm đến]],MD_Destination[Địa điểm đến],0)),"")</f>
        <v>Việt Nam</v>
      </c>
      <c r="K157" s="7" t="str">
        <f>IFERROR(INDEX(MD_Destination[Khu vực],MATCH(KH_26_OPT4_KTQT_v4[[#This Row],[Địa điểm đến]],MD_Destination[Địa điểm đến],0)),"")</f>
        <v>Châu Á</v>
      </c>
      <c r="L157" s="35" t="s">
        <v>262</v>
      </c>
      <c r="M157" s="7" t="str">
        <f>IFERROR(INDEX(MD_SKU[Mã SKU],MATCH(KH_26_OPT4_KTQT_v4[[#This Row],[Tên sản phẩm]],MD_SKU[Tên SKU-rút gọn],0)),"")</f>
        <v>110000412</v>
      </c>
      <c r="N157" s="35" t="s">
        <v>475</v>
      </c>
      <c r="O157" s="7" t="str">
        <f>IFERROR(INDEX(MD_SKU[Ngành hàng],MATCH(KH_26_OPT4_KTQT_v4[[#This Row],[Tên sản phẩm]],MD_SKU[Tên SKU-rút gọn],0)),"")</f>
        <v>rHDPE ép</v>
      </c>
      <c r="P157" s="7" t="str">
        <f>IFERROR(INDEX(MD_SKU[Nhóm ngành],MATCH(KH_26_OPT4_KTQT_v4[[#This Row],[Tên sản phẩm]],MD_SKU[Tên SKU-rút gọn],0)),"")</f>
        <v>Vảy HD ép</v>
      </c>
      <c r="Q157" s="7" t="str">
        <f>IFERROR(
   IF(INDEX(MD_SKU[IV/IM],MATCH(KH_26_OPT4_KTQT_v4[[#This Row],[Tên sản phẩm]],MD_SKU[Tên SKU-rút gọn],0))=0,
      "",
      INDEX(MD_SKU[IV/IM],MATCH(KH_26_OPT4_KTQT_v4[[#This Row],[Tên sản phẩm]],MD_SKU[Tên SKU-rút gọn],0))
   ),
"")</f>
        <v/>
      </c>
      <c r="R157" s="44">
        <f>IFERROR(INDEX(MD_SKU[Application],MATCH(KH_26_OPT4_KTQT_v4[[#This Row],[Tên sản phẩm]],MD_SKU[Tên SKU-rút gọn],0)),"")</f>
        <v>0</v>
      </c>
      <c r="S157" s="7" t="str">
        <f>IFERROR(INDEX(MD_SKU[Phân loại],MATCH(KH_26_OPT4_KTQT_v4[[#This Row],[Tên sản phẩm]],MD_SKU[Tên SKU-rút gọn],0)),"")</f>
        <v>Cũ</v>
      </c>
      <c r="T157" s="7"/>
      <c r="U157" s="7"/>
      <c r="V157" s="70">
        <v>0.8</v>
      </c>
      <c r="W157" s="33"/>
      <c r="X157" s="33"/>
      <c r="Y157" s="33"/>
      <c r="Z157" s="33"/>
      <c r="AA157" s="33"/>
      <c r="AB157" s="33"/>
      <c r="AC157" s="33"/>
      <c r="AD157" s="33"/>
      <c r="AE157" s="33"/>
      <c r="AF157" s="33"/>
      <c r="AG157" s="33"/>
      <c r="AH157" s="33"/>
      <c r="AI157" s="47">
        <f ca="1">SUM(KH_26_OPT4_KTQT_v4[[#This Row],[SL-01]:[SL-12]])</f>
        <v>0</v>
      </c>
      <c r="AJ157" s="47">
        <f ca="1">SUMIFS(DB_25[SL-DB25],DB_25[Mã khách],KH_26_OPT4_KTQT_v4[[#This Row],[Mã khách]],DB_25[Mã sản phẩm],KH_26_OPT4_KTQT_v4[[#This Row],[Mã sản phẩm]])</f>
        <v>28</v>
      </c>
      <c r="AK157" s="20">
        <f ca="1">KH_26_OPT4_KTQT_v4[[#This Row],[SL-KH26]]-KH_26_OPT4_KTQT_v4[[#This Row],[SL-DB25]]</f>
        <v>-28</v>
      </c>
      <c r="AL157" s="21">
        <f ca="1">IFERROR(KH_26_OPT4_KTQT_v4[[#This Row],[SL-+/-]]/KH_26_OPT4_KTQT_v4[[#This Row],[SL-DB25]],0)</f>
        <v>-1</v>
      </c>
      <c r="AM157" s="51">
        <v>560</v>
      </c>
      <c r="AN157" s="51">
        <v>560</v>
      </c>
      <c r="AO157" s="51">
        <v>560</v>
      </c>
      <c r="AP157" s="51">
        <v>560</v>
      </c>
      <c r="AQ157" s="51">
        <v>560</v>
      </c>
      <c r="AR157" s="51">
        <v>560</v>
      </c>
      <c r="AS157" s="51">
        <v>560</v>
      </c>
      <c r="AT157" s="51">
        <v>560</v>
      </c>
      <c r="AU157" s="51">
        <v>560</v>
      </c>
      <c r="AV157" s="51">
        <v>560</v>
      </c>
      <c r="AW157" s="51">
        <v>560</v>
      </c>
      <c r="AX157" s="51">
        <v>560</v>
      </c>
      <c r="AY157" s="23">
        <v>560</v>
      </c>
      <c r="AZ157" s="7"/>
      <c r="BA157" s="24">
        <f>KH_26_OPT4_KTQT_v4[[#This Row],[GB-DB25]]-KH_26_OPT4_KTQT_v4[[#This Row],[GB-KH25]]</f>
        <v>560</v>
      </c>
      <c r="BB157" s="21">
        <f>IFERROR(KH_26_OPT4_KTQT_v4[[#This Row],[GB-+/-]]/KH_26_OPT4_KTQT_v4[[#This Row],[GB-KH25]],0)</f>
        <v>0</v>
      </c>
      <c r="BC157" s="21"/>
      <c r="BD157" s="47">
        <f>KH_26_OPT4_KTQT_v4[[#This Row],[SL-01]]*KH_26_OPT4_KTQT_v4[[#This Row],[GB-01]]*EXR</f>
        <v>0</v>
      </c>
      <c r="BE157" s="47">
        <f>KH_26_OPT4_KTQT_v4[[#This Row],[SL-02]]*KH_26_OPT4_KTQT_v4[[#This Row],[GB-02]]*EXR</f>
        <v>0</v>
      </c>
      <c r="BF157" s="47">
        <f>KH_26_OPT4_KTQT_v4[[#This Row],[SL-03]]*KH_26_OPT4_KTQT_v4[[#This Row],[GB-03]]*EXR</f>
        <v>0</v>
      </c>
      <c r="BG157" s="47">
        <f>KH_26_OPT4_KTQT_v4[[#This Row],[SL-04]]*KH_26_OPT4_KTQT_v4[[#This Row],[GB-04]]*EXR</f>
        <v>0</v>
      </c>
      <c r="BH157" s="47">
        <f>KH_26_OPT4_KTQT_v4[[#This Row],[SL-05]]*KH_26_OPT4_KTQT_v4[[#This Row],[GB-05]]*EXR</f>
        <v>0</v>
      </c>
      <c r="BI157" s="47">
        <f>KH_26_OPT4_KTQT_v4[[#This Row],[SL-06]]*KH_26_OPT4_KTQT_v4[[#This Row],[GB-06]]*EXR</f>
        <v>0</v>
      </c>
      <c r="BJ157" s="47">
        <f>KH_26_OPT4_KTQT_v4[[#This Row],[SL-07]]*KH_26_OPT4_KTQT_v4[[#This Row],[GB-07]]*EXR</f>
        <v>0</v>
      </c>
      <c r="BK157" s="47">
        <f>KH_26_OPT4_KTQT_v4[[#This Row],[SL-08]]*KH_26_OPT4_KTQT_v4[[#This Row],[GB-08]]*EXR</f>
        <v>0</v>
      </c>
      <c r="BL157" s="47">
        <f>KH_26_OPT4_KTQT_v4[[#This Row],[SL-09]]*KH_26_OPT4_KTQT_v4[[#This Row],[GB-09]]*EXR</f>
        <v>0</v>
      </c>
      <c r="BM157" s="47">
        <f>KH_26_OPT4_KTQT_v4[[#This Row],[SL-10]]*KH_26_OPT4_KTQT_v4[[#This Row],[GB-10]]*EXR</f>
        <v>0</v>
      </c>
      <c r="BN157" s="47">
        <f>KH_26_OPT4_KTQT_v4[[#This Row],[SL-11]]*KH_26_OPT4_KTQT_v4[[#This Row],[GB-11]]*EXR</f>
        <v>0</v>
      </c>
      <c r="BO157" s="47">
        <f>KH_26_OPT4_KTQT_v4[[#This Row],[SL-12]]*KH_26_OPT4_KTQT_v4[[#This Row],[GB-12]]*EXR</f>
        <v>0</v>
      </c>
      <c r="BP157" s="47">
        <f ca="1">SUM(KH_26_OPT4_KTQT_v4[[#This Row],[DT-EXW-01]:[DT-EXW-12]])</f>
        <v>0</v>
      </c>
      <c r="BQ157" s="47">
        <f ca="1">SUMIFS(DB_25[DT-DB25],DB_25[Mã khách],KH_26_OPT4_KTQT_v4[[#This Row],[Mã khách]],DB_25[Mã sản phẩm],KH_26_OPT4_KTQT_v4[[#This Row],[Mã sản phẩm]])</f>
        <v>312018439.04914623</v>
      </c>
      <c r="BR157" s="47">
        <f ca="1">KH_26_OPT4_KTQT_v4[[#This Row],[DT-EXW-KH26]]-KH_26_OPT4_KTQT_v4[[#This Row],[DT-EXW-DB25]]</f>
        <v>-312018439.04914623</v>
      </c>
      <c r="BS157" s="21">
        <f ca="1">IFERROR(KH_26_OPT4_KTQT_v4[[#This Row],[DT-EXW-+/-]]/KH_26_OPT4_KTQT_v4[[#This Row],[DT-EXW-DB25]],0)</f>
        <v>-1</v>
      </c>
      <c r="BT157" s="139"/>
      <c r="BU157" s="57"/>
      <c r="BV157" s="51"/>
      <c r="BW157" s="47">
        <f>IF(KH_26_OPT4_KTQT_v4[[#This Row],[CPHH-%-SL]]="Dthu",KH_26_OPT4_KTQT_v4[[#This Row],[%HH]]*KH_26_OPT4_KTQT_v4[[#This Row],[DT-EXW-01]],KH_26_OPT4_KTQT_v4[[#This Row],[HH-SL]]*KH_26_OPT4_KTQT_v4[[#This Row],[SL-01]])</f>
        <v>0</v>
      </c>
      <c r="BX157" s="47">
        <f>IF(KH_26_OPT4_KTQT_v4[[#This Row],[CPHH-%-SL]]="Dthu",KH_26_OPT4_KTQT_v4[[#This Row],[%HH]]*KH_26_OPT4_KTQT_v4[[#This Row],[DT-EXW-02]],KH_26_OPT4_KTQT_v4[[#This Row],[HH-SL]]*KH_26_OPT4_KTQT_v4[[#This Row],[SL-02]])</f>
        <v>0</v>
      </c>
      <c r="BY157" s="47">
        <f>IF(KH_26_OPT4_KTQT_v4[[#This Row],[CPHH-%-SL]]="Dthu",KH_26_OPT4_KTQT_v4[[#This Row],[%HH]]*KH_26_OPT4_KTQT_v4[[#This Row],[DT-EXW-03]],KH_26_OPT4_KTQT_v4[[#This Row],[HH-SL]]*KH_26_OPT4_KTQT_v4[[#This Row],[SL-03]])</f>
        <v>0</v>
      </c>
      <c r="BZ157" s="47">
        <f>IF(KH_26_OPT4_KTQT_v4[[#This Row],[CPHH-%-SL]]="Dthu",KH_26_OPT4_KTQT_v4[[#This Row],[%HH]]*KH_26_OPT4_KTQT_v4[[#This Row],[DT-EXW-04]],KH_26_OPT4_KTQT_v4[[#This Row],[HH-SL]]*KH_26_OPT4_KTQT_v4[[#This Row],[SL-04]])</f>
        <v>0</v>
      </c>
      <c r="CA157" s="47">
        <f>IF(KH_26_OPT4_KTQT_v4[[#This Row],[CPHH-%-SL]]="Dthu",KH_26_OPT4_KTQT_v4[[#This Row],[%HH]]*KH_26_OPT4_KTQT_v4[[#This Row],[DT-EXW-05]],KH_26_OPT4_KTQT_v4[[#This Row],[HH-SL]]*KH_26_OPT4_KTQT_v4[[#This Row],[SL-05]])</f>
        <v>0</v>
      </c>
      <c r="CB157" s="47">
        <f>IF(KH_26_OPT4_KTQT_v4[[#This Row],[CPHH-%-SL]]="Dthu",KH_26_OPT4_KTQT_v4[[#This Row],[%HH]]*KH_26_OPT4_KTQT_v4[[#This Row],[DT-EXW-06]],KH_26_OPT4_KTQT_v4[[#This Row],[HH-SL]]*KH_26_OPT4_KTQT_v4[[#This Row],[SL-06]])</f>
        <v>0</v>
      </c>
      <c r="CC157" s="47">
        <f>IF(KH_26_OPT4_KTQT_v4[[#This Row],[CPHH-%-SL]]="Dthu",KH_26_OPT4_KTQT_v4[[#This Row],[%HH]]*KH_26_OPT4_KTQT_v4[[#This Row],[DT-EXW-07]],KH_26_OPT4_KTQT_v4[[#This Row],[HH-SL]]*KH_26_OPT4_KTQT_v4[[#This Row],[SL-07]])</f>
        <v>0</v>
      </c>
      <c r="CD157" s="47">
        <f>IF(KH_26_OPT4_KTQT_v4[[#This Row],[CPHH-%-SL]]="Dthu",KH_26_OPT4_KTQT_v4[[#This Row],[%HH]]*KH_26_OPT4_KTQT_v4[[#This Row],[DT-EXW-08]],KH_26_OPT4_KTQT_v4[[#This Row],[HH-SL]]*KH_26_OPT4_KTQT_v4[[#This Row],[SL-08]])</f>
        <v>0</v>
      </c>
      <c r="CE157" s="47">
        <f>IF(KH_26_OPT4_KTQT_v4[[#This Row],[CPHH-%-SL]]="Dthu",KH_26_OPT4_KTQT_v4[[#This Row],[%HH]]*KH_26_OPT4_KTQT_v4[[#This Row],[DT-EXW-09]],KH_26_OPT4_KTQT_v4[[#This Row],[HH-SL]]*KH_26_OPT4_KTQT_v4[[#This Row],[SL-09]])</f>
        <v>0</v>
      </c>
      <c r="CF157" s="47">
        <f>IF(KH_26_OPT4_KTQT_v4[[#This Row],[CPHH-%-SL]]="Dthu",KH_26_OPT4_KTQT_v4[[#This Row],[%HH]]*KH_26_OPT4_KTQT_v4[[#This Row],[DT-EXW-10]],KH_26_OPT4_KTQT_v4[[#This Row],[HH-SL]]*KH_26_OPT4_KTQT_v4[[#This Row],[SL-10]])</f>
        <v>0</v>
      </c>
      <c r="CG157" s="47">
        <f>IF(KH_26_OPT4_KTQT_v4[[#This Row],[CPHH-%-SL]]="Dthu",KH_26_OPT4_KTQT_v4[[#This Row],[%HH]]*KH_26_OPT4_KTQT_v4[[#This Row],[DT-EXW-11]],KH_26_OPT4_KTQT_v4[[#This Row],[HH-SL]]*KH_26_OPT4_KTQT_v4[[#This Row],[SL-11]])</f>
        <v>0</v>
      </c>
      <c r="CH157" s="47">
        <f>IF(KH_26_OPT4_KTQT_v4[[#This Row],[CPHH-%-SL]]="Dthu",KH_26_OPT4_KTQT_v4[[#This Row],[%HH]]*KH_26_OPT4_KTQT_v4[[#This Row],[DT-EXW-12]],KH_26_OPT4_KTQT_v4[[#This Row],[HH-SL]]*KH_26_OPT4_KTQT_v4[[#This Row],[SL-12]])</f>
        <v>0</v>
      </c>
      <c r="CI157" s="47">
        <f ca="1">SUM(KH_26_OPT4_KTQT_v4[[#This Row],[CPHH-01]:[CPHH-12]])</f>
        <v>0</v>
      </c>
      <c r="CJ157" s="47" cm="1">
        <f t="array" ref="CJ157">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57" s="19">
        <f ca="1">SUM(KH_26_OPT4_KTQT_v4[[#This Row],[ĐGVCNĐ-KXK]:[ĐGVCCT-KXK]])</f>
        <v>0</v>
      </c>
      <c r="CL157" s="47" cm="1">
        <f t="array" ref="CL157">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157" s="47" cm="1">
        <f t="array" ref="CM157">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57" s="47">
        <f ca="1">(KH_26_OPT4_KTQT_v4[[#This Row],[ĐGVC-KNĐ]]+KH_26_OPT4_KTQT_v4[[#This Row],[ĐGVC-KXK]])*KH_26_OPT4_KTQT_v4[[#This Row],[SL-01]]</f>
        <v>0</v>
      </c>
      <c r="CO157" s="47">
        <f ca="1">(KH_26_OPT4_KTQT_v4[[#This Row],[ĐGVC-KNĐ]]+KH_26_OPT4_KTQT_v4[[#This Row],[ĐGVC-KXK]])*KH_26_OPT4_KTQT_v4[[#This Row],[SL-02]]</f>
        <v>0</v>
      </c>
      <c r="CP157" s="47">
        <f ca="1">(KH_26_OPT4_KTQT_v4[[#This Row],[ĐGVC-KNĐ]]+KH_26_OPT4_KTQT_v4[[#This Row],[ĐGVC-KXK]])*KH_26_OPT4_KTQT_v4[[#This Row],[SL-03]]</f>
        <v>0</v>
      </c>
      <c r="CQ157" s="47">
        <f ca="1">(KH_26_OPT4_KTQT_v4[[#This Row],[ĐGVC-KNĐ]]+KH_26_OPT4_KTQT_v4[[#This Row],[ĐGVC-KXK]])*KH_26_OPT4_KTQT_v4[[#This Row],[SL-04]]</f>
        <v>0</v>
      </c>
      <c r="CR157" s="47">
        <f ca="1">(KH_26_OPT4_KTQT_v4[[#This Row],[ĐGVC-KNĐ]]+KH_26_OPT4_KTQT_v4[[#This Row],[ĐGVC-KXK]])*KH_26_OPT4_KTQT_v4[[#This Row],[SL-05]]</f>
        <v>0</v>
      </c>
      <c r="CS157" s="47">
        <f ca="1">(KH_26_OPT4_KTQT_v4[[#This Row],[ĐGVC-KNĐ]]+KH_26_OPT4_KTQT_v4[[#This Row],[ĐGVC-KXK]])*KH_26_OPT4_KTQT_v4[[#This Row],[SL-06]]</f>
        <v>0</v>
      </c>
      <c r="CT157" s="47">
        <f ca="1">(KH_26_OPT4_KTQT_v4[[#This Row],[ĐGVC-KNĐ]]+KH_26_OPT4_KTQT_v4[[#This Row],[ĐGVC-KXK]])*KH_26_OPT4_KTQT_v4[[#This Row],[SL-07]]</f>
        <v>0</v>
      </c>
      <c r="CU157" s="47">
        <f ca="1">(KH_26_OPT4_KTQT_v4[[#This Row],[ĐGVC-KNĐ]]+KH_26_OPT4_KTQT_v4[[#This Row],[ĐGVC-KXK]])*KH_26_OPT4_KTQT_v4[[#This Row],[SL-08]]</f>
        <v>0</v>
      </c>
      <c r="CV157" s="47">
        <f ca="1">(KH_26_OPT4_KTQT_v4[[#This Row],[ĐGVC-KNĐ]]+KH_26_OPT4_KTQT_v4[[#This Row],[ĐGVC-KXK]])*KH_26_OPT4_KTQT_v4[[#This Row],[SL-09]]</f>
        <v>0</v>
      </c>
      <c r="CW157" s="47">
        <f ca="1">(KH_26_OPT4_KTQT_v4[[#This Row],[ĐGVC-KNĐ]]+KH_26_OPT4_KTQT_v4[[#This Row],[ĐGVC-KXK]])*KH_26_OPT4_KTQT_v4[[#This Row],[SL-10]]</f>
        <v>0</v>
      </c>
      <c r="CX157" s="47">
        <f ca="1">(KH_26_OPT4_KTQT_v4[[#This Row],[ĐGVC-KNĐ]]+KH_26_OPT4_KTQT_v4[[#This Row],[ĐGVC-KXK]])*KH_26_OPT4_KTQT_v4[[#This Row],[SL-11]]</f>
        <v>0</v>
      </c>
      <c r="CY157" s="47">
        <f ca="1">(KH_26_OPT4_KTQT_v4[[#This Row],[ĐGVC-KNĐ]]+KH_26_OPT4_KTQT_v4[[#This Row],[ĐGVC-KXK]])*KH_26_OPT4_KTQT_v4[[#This Row],[SL-12]]</f>
        <v>0</v>
      </c>
      <c r="CZ157" s="47">
        <f ca="1">SUM(KH_26_OPT4_KTQT_v4[[#This Row],[CPVC-01]:[CPVC-12]])</f>
        <v>0</v>
      </c>
      <c r="DA157" s="124">
        <f ca="1">KH_26_OPT4_KTQT_v4[[#This Row],[DT-EXW-01]]+KH_26_OPT4_KTQT_v4[[#This Row],[CPVC-01]]+KH_26_OPT4_KTQT_v4[[#This Row],[CPHH-01]]</f>
        <v>0</v>
      </c>
      <c r="DB157" s="47">
        <f ca="1">KH_26_OPT4_KTQT_v4[[#This Row],[DT-EXW-02]]+KH_26_OPT4_KTQT_v4[[#This Row],[CPVC-02]]+KH_26_OPT4_KTQT_v4[[#This Row],[CPHH-02]]</f>
        <v>0</v>
      </c>
      <c r="DC157" s="47">
        <f ca="1">KH_26_OPT4_KTQT_v4[[#This Row],[DT-EXW-03]]+KH_26_OPT4_KTQT_v4[[#This Row],[CPVC-03]]+KH_26_OPT4_KTQT_v4[[#This Row],[CPHH-03]]</f>
        <v>0</v>
      </c>
      <c r="DD157" s="47">
        <f ca="1">KH_26_OPT4_KTQT_v4[[#This Row],[DT-EXW-04]]+KH_26_OPT4_KTQT_v4[[#This Row],[CPVC-04]]+KH_26_OPT4_KTQT_v4[[#This Row],[CPHH-04]]</f>
        <v>0</v>
      </c>
      <c r="DE157" s="47">
        <f ca="1">KH_26_OPT4_KTQT_v4[[#This Row],[DT-EXW-05]]+KH_26_OPT4_KTQT_v4[[#This Row],[CPVC-05]]+KH_26_OPT4_KTQT_v4[[#This Row],[CPHH-05]]</f>
        <v>0</v>
      </c>
      <c r="DF157" s="47">
        <f ca="1">KH_26_OPT4_KTQT_v4[[#This Row],[DT-EXW-06]]+KH_26_OPT4_KTQT_v4[[#This Row],[CPVC-06]]+KH_26_OPT4_KTQT_v4[[#This Row],[CPHH-06]]</f>
        <v>0</v>
      </c>
      <c r="DG157" s="47">
        <f ca="1">KH_26_OPT4_KTQT_v4[[#This Row],[DT-EXW-07]]+KH_26_OPT4_KTQT_v4[[#This Row],[CPVC-07]]+KH_26_OPT4_KTQT_v4[[#This Row],[CPHH-07]]</f>
        <v>0</v>
      </c>
      <c r="DH157" s="47">
        <f ca="1">KH_26_OPT4_KTQT_v4[[#This Row],[DT-EXW-08]]+KH_26_OPT4_KTQT_v4[[#This Row],[CPVC-08]]+KH_26_OPT4_KTQT_v4[[#This Row],[CPHH-08]]</f>
        <v>0</v>
      </c>
      <c r="DI157" s="47">
        <f ca="1">KH_26_OPT4_KTQT_v4[[#This Row],[DT-EXW-09]]+KH_26_OPT4_KTQT_v4[[#This Row],[CPVC-09]]+KH_26_OPT4_KTQT_v4[[#This Row],[CPHH-09]]</f>
        <v>0</v>
      </c>
      <c r="DJ157" s="47">
        <f ca="1">KH_26_OPT4_KTQT_v4[[#This Row],[DT-EXW-10]]+KH_26_OPT4_KTQT_v4[[#This Row],[CPVC-10]]+KH_26_OPT4_KTQT_v4[[#This Row],[CPHH-10]]</f>
        <v>0</v>
      </c>
      <c r="DK157" s="47">
        <f ca="1">KH_26_OPT4_KTQT_v4[[#This Row],[DT-EXW-11]]+KH_26_OPT4_KTQT_v4[[#This Row],[CPVC-11]]+KH_26_OPT4_KTQT_v4[[#This Row],[CPHH-11]]</f>
        <v>0</v>
      </c>
      <c r="DL157" s="47">
        <f ca="1">KH_26_OPT4_KTQT_v4[[#This Row],[DT-EXW-12]]+KH_26_OPT4_KTQT_v4[[#This Row],[CPVC-12]]+KH_26_OPT4_KTQT_v4[[#This Row],[CPHH-12]]</f>
        <v>0</v>
      </c>
      <c r="DM157" s="47">
        <f ca="1">SUM(KH_26_OPT4_KTQT_v4[[#This Row],[DT-01]:[DT-12]])</f>
        <v>0</v>
      </c>
      <c r="DN157" s="7"/>
      <c r="DO157" s="7"/>
      <c r="DP157" s="125"/>
      <c r="DQ157" s="136"/>
      <c r="DR157" s="132">
        <f>IFERROR(KH_26_OPT4_KTQT_v4[[#This Row],[DT-EXW-01]]*KH_26_OPT4_KTQT_v4[[#This Row],[%CPDP]],0)</f>
        <v>0</v>
      </c>
      <c r="DS157" s="132">
        <f>IFERROR(KH_26_OPT4_KTQT_v4[[#This Row],[DT-EXW-02]]*KH_26_OPT4_KTQT_v4[[#This Row],[%CPDP]],0)</f>
        <v>0</v>
      </c>
      <c r="DT157" s="132">
        <f>IFERROR(KH_26_OPT4_KTQT_v4[[#This Row],[DT-EXW-03]]*KH_26_OPT4_KTQT_v4[[#This Row],[%CPDP]],0)</f>
        <v>0</v>
      </c>
      <c r="DU157" s="132">
        <f>IFERROR(KH_26_OPT4_KTQT_v4[[#This Row],[DT-EXW-04]]*KH_26_OPT4_KTQT_v4[[#This Row],[%CPDP]],0)</f>
        <v>0</v>
      </c>
      <c r="DV157" s="132">
        <f>IFERROR(KH_26_OPT4_KTQT_v4[[#This Row],[DT-EXW-05]]*KH_26_OPT4_KTQT_v4[[#This Row],[%CPDP]],0)</f>
        <v>0</v>
      </c>
      <c r="DW157" s="132">
        <f>IFERROR(KH_26_OPT4_KTQT_v4[[#This Row],[DT-EXW-06]]*KH_26_OPT4_KTQT_v4[[#This Row],[%CPDP]],0)</f>
        <v>0</v>
      </c>
      <c r="DX157" s="132">
        <f>IFERROR(KH_26_OPT4_KTQT_v4[[#This Row],[DT-EXW-07]]*KH_26_OPT4_KTQT_v4[[#This Row],[%CPDP]],0)</f>
        <v>0</v>
      </c>
      <c r="DY157" s="132">
        <f>IFERROR(KH_26_OPT4_KTQT_v4[[#This Row],[DT-EXW-08]]*KH_26_OPT4_KTQT_v4[[#This Row],[%CPDP]],0)</f>
        <v>0</v>
      </c>
      <c r="DZ157" s="132">
        <f>IFERROR(KH_26_OPT4_KTQT_v4[[#This Row],[DT-EXW-09]]*KH_26_OPT4_KTQT_v4[[#This Row],[%CPDP]],0)</f>
        <v>0</v>
      </c>
      <c r="EA157" s="132">
        <f>IFERROR(KH_26_OPT4_KTQT_v4[[#This Row],[DT-EXW-10]]*KH_26_OPT4_KTQT_v4[[#This Row],[%CPDP]],0)</f>
        <v>0</v>
      </c>
      <c r="EB157" s="132">
        <f>IFERROR(KH_26_OPT4_KTQT_v4[[#This Row],[DT-EXW-11]]*KH_26_OPT4_KTQT_v4[[#This Row],[%CPDP]],0)</f>
        <v>0</v>
      </c>
      <c r="EC157" s="132">
        <f>IFERROR(KH_26_OPT4_KTQT_v4[[#This Row],[DT-EXW-12]]*KH_26_OPT4_KTQT_v4[[#This Row],[%CPDP]],0)</f>
        <v>0</v>
      </c>
      <c r="ED157" s="131">
        <f ca="1">SUM(KH_26_OPT4_KTQT_v4[[#This Row],[CPDP-01]:[CPDP-12]])</f>
        <v>0</v>
      </c>
    </row>
    <row r="158" spans="1:134" ht="14.65" hidden="1" customHeight="1" x14ac:dyDescent="0.35">
      <c r="A158" s="18">
        <v>153</v>
      </c>
      <c r="B158" s="71" t="s">
        <v>115</v>
      </c>
      <c r="C158" s="18" t="str">
        <f>IFERROR(_xlfn.XLOOKUP(KH_26_OPT4_KTQT_v4[[#This Row],[Salesman]],MD_Salesman[Salesman],MD_Salesman[SalesManager]),"")</f>
        <v>Quốc Anh</v>
      </c>
      <c r="D158" s="72" t="str">
        <f>IFERROR(INDEX(MD_Customer[Mã khách],MATCH(KH_26_OPT4_KTQT_v4[[#This Row],[Tên khách]],MD_Customer[Tên khách-rút gọn],0)),"")</f>
        <v>105339</v>
      </c>
      <c r="E158" s="7" t="str">
        <f>IFERROR(INDEX(MD_Customer[Parent Account],MATCH(KH_26_OPT4_KTQT_v4[[#This Row],[Tên khách]],MD_Customer[Tên khách-rút gọn],0)),"")</f>
        <v>HUY THÀNH</v>
      </c>
      <c r="F158" s="35" t="s">
        <v>57</v>
      </c>
      <c r="G158" s="7" t="str">
        <f>IFERROR(INDEX(MD_Customer[Phân loại],MATCH(KH_26_OPT4_KTQT_v4[[#This Row],[Tên khách]],MD_Customer[Tên khách-rút gọn],0)),"")</f>
        <v>Hiện hữu</v>
      </c>
      <c r="H158" s="7" t="str">
        <f>IFERROR(INDEX(MD_Customer[Kênh bán hàng],MATCH(KH_26_OPT4_KTQT_v4[[#This Row],[Tên khách]],MD_Customer[Tên khách-rút gọn],0)),"")</f>
        <v>Nội địa</v>
      </c>
      <c r="I158" s="35" t="s">
        <v>258</v>
      </c>
      <c r="J158" s="7" t="str">
        <f>IFERROR(INDEX(MD_Destination[Nước],MATCH(KH_26_OPT4_KTQT_v4[[#This Row],[Địa điểm đến]],MD_Destination[Địa điểm đến],0)),"")</f>
        <v>Việt Nam</v>
      </c>
      <c r="K158" s="7" t="str">
        <f>IFERROR(INDEX(MD_Destination[Khu vực],MATCH(KH_26_OPT4_KTQT_v4[[#This Row],[Địa điểm đến]],MD_Destination[Địa điểm đến],0)),"")</f>
        <v>Châu Á</v>
      </c>
      <c r="L158" s="35" t="s">
        <v>262</v>
      </c>
      <c r="M158" s="7" t="str">
        <f>IFERROR(INDEX(MD_SKU[Mã SKU],MATCH(KH_26_OPT4_KTQT_v4[[#This Row],[Tên sản phẩm]],MD_SKU[Tên SKU-rút gọn],0)),"")</f>
        <v>110000413</v>
      </c>
      <c r="N158" s="35" t="s">
        <v>476</v>
      </c>
      <c r="O158" s="7" t="str">
        <f>IFERROR(INDEX(MD_SKU[Ngành hàng],MATCH(KH_26_OPT4_KTQT_v4[[#This Row],[Tên sản phẩm]],MD_SKU[Tên SKU-rút gọn],0)),"")</f>
        <v>rHDPE ép</v>
      </c>
      <c r="P158" s="7" t="str">
        <f>IFERROR(INDEX(MD_SKU[Nhóm ngành],MATCH(KH_26_OPT4_KTQT_v4[[#This Row],[Tên sản phẩm]],MD_SKU[Tên SKU-rút gọn],0)),"")</f>
        <v>Vảy HD ép</v>
      </c>
      <c r="Q158" s="7" t="str">
        <f>IFERROR(
   IF(INDEX(MD_SKU[IV/IM],MATCH(KH_26_OPT4_KTQT_v4[[#This Row],[Tên sản phẩm]],MD_SKU[Tên SKU-rút gọn],0))=0,
      "",
      INDEX(MD_SKU[IV/IM],MATCH(KH_26_OPT4_KTQT_v4[[#This Row],[Tên sản phẩm]],MD_SKU[Tên SKU-rút gọn],0))
   ),
"")</f>
        <v/>
      </c>
      <c r="R158" s="44">
        <f>IFERROR(INDEX(MD_SKU[Application],MATCH(KH_26_OPT4_KTQT_v4[[#This Row],[Tên sản phẩm]],MD_SKU[Tên SKU-rút gọn],0)),"")</f>
        <v>0</v>
      </c>
      <c r="S158" s="7" t="str">
        <f>IFERROR(INDEX(MD_SKU[Phân loại],MATCH(KH_26_OPT4_KTQT_v4[[#This Row],[Tên sản phẩm]],MD_SKU[Tên SKU-rút gọn],0)),"")</f>
        <v>Cũ</v>
      </c>
      <c r="T158" s="7"/>
      <c r="U158" s="7"/>
      <c r="V158" s="70">
        <v>0.8</v>
      </c>
      <c r="W158" s="33"/>
      <c r="X158" s="33"/>
      <c r="Y158" s="33"/>
      <c r="Z158" s="33"/>
      <c r="AA158" s="33"/>
      <c r="AB158" s="33"/>
      <c r="AC158" s="33"/>
      <c r="AD158" s="33"/>
      <c r="AE158" s="33"/>
      <c r="AF158" s="33"/>
      <c r="AG158" s="33"/>
      <c r="AH158" s="33"/>
      <c r="AI158" s="47">
        <f ca="1">SUM(KH_26_OPT4_KTQT_v4[[#This Row],[SL-01]:[SL-12]])</f>
        <v>0</v>
      </c>
      <c r="AJ158" s="47">
        <f ca="1">SUMIFS(DB_25[SL-DB25],DB_25[Mã khách],KH_26_OPT4_KTQT_v4[[#This Row],[Mã khách]],DB_25[Mã sản phẩm],KH_26_OPT4_KTQT_v4[[#This Row],[Mã sản phẩm]])</f>
        <v>0.05</v>
      </c>
      <c r="AK158" s="20">
        <f ca="1">KH_26_OPT4_KTQT_v4[[#This Row],[SL-KH26]]-KH_26_OPT4_KTQT_v4[[#This Row],[SL-DB25]]</f>
        <v>-0.05</v>
      </c>
      <c r="AL158" s="21">
        <f ca="1">IFERROR(KH_26_OPT4_KTQT_v4[[#This Row],[SL-+/-]]/KH_26_OPT4_KTQT_v4[[#This Row],[SL-DB25]],0)</f>
        <v>-1</v>
      </c>
      <c r="AM158" s="51">
        <v>560</v>
      </c>
      <c r="AN158" s="51">
        <v>560</v>
      </c>
      <c r="AO158" s="51">
        <v>560</v>
      </c>
      <c r="AP158" s="51">
        <v>560</v>
      </c>
      <c r="AQ158" s="51">
        <v>560</v>
      </c>
      <c r="AR158" s="51">
        <v>560</v>
      </c>
      <c r="AS158" s="51">
        <v>560</v>
      </c>
      <c r="AT158" s="51">
        <v>560</v>
      </c>
      <c r="AU158" s="51">
        <v>560</v>
      </c>
      <c r="AV158" s="51">
        <v>560</v>
      </c>
      <c r="AW158" s="51">
        <v>560</v>
      </c>
      <c r="AX158" s="51">
        <v>560</v>
      </c>
      <c r="AY158" s="23">
        <v>560</v>
      </c>
      <c r="AZ158" s="7"/>
      <c r="BA158" s="24">
        <f>KH_26_OPT4_KTQT_v4[[#This Row],[GB-DB25]]-KH_26_OPT4_KTQT_v4[[#This Row],[GB-KH25]]</f>
        <v>560</v>
      </c>
      <c r="BB158" s="21">
        <f>IFERROR(KH_26_OPT4_KTQT_v4[[#This Row],[GB-+/-]]/KH_26_OPT4_KTQT_v4[[#This Row],[GB-KH25]],0)</f>
        <v>0</v>
      </c>
      <c r="BC158" s="21"/>
      <c r="BD158" s="47">
        <f>KH_26_OPT4_KTQT_v4[[#This Row],[SL-01]]*KH_26_OPT4_KTQT_v4[[#This Row],[GB-01]]*EXR</f>
        <v>0</v>
      </c>
      <c r="BE158" s="47">
        <f>KH_26_OPT4_KTQT_v4[[#This Row],[SL-02]]*KH_26_OPT4_KTQT_v4[[#This Row],[GB-02]]*EXR</f>
        <v>0</v>
      </c>
      <c r="BF158" s="47">
        <f>KH_26_OPT4_KTQT_v4[[#This Row],[SL-03]]*KH_26_OPT4_KTQT_v4[[#This Row],[GB-03]]*EXR</f>
        <v>0</v>
      </c>
      <c r="BG158" s="47">
        <f>KH_26_OPT4_KTQT_v4[[#This Row],[SL-04]]*KH_26_OPT4_KTQT_v4[[#This Row],[GB-04]]*EXR</f>
        <v>0</v>
      </c>
      <c r="BH158" s="47">
        <f>KH_26_OPT4_KTQT_v4[[#This Row],[SL-05]]*KH_26_OPT4_KTQT_v4[[#This Row],[GB-05]]*EXR</f>
        <v>0</v>
      </c>
      <c r="BI158" s="47">
        <f>KH_26_OPT4_KTQT_v4[[#This Row],[SL-06]]*KH_26_OPT4_KTQT_v4[[#This Row],[GB-06]]*EXR</f>
        <v>0</v>
      </c>
      <c r="BJ158" s="47">
        <f>KH_26_OPT4_KTQT_v4[[#This Row],[SL-07]]*KH_26_OPT4_KTQT_v4[[#This Row],[GB-07]]*EXR</f>
        <v>0</v>
      </c>
      <c r="BK158" s="47">
        <f>KH_26_OPT4_KTQT_v4[[#This Row],[SL-08]]*KH_26_OPT4_KTQT_v4[[#This Row],[GB-08]]*EXR</f>
        <v>0</v>
      </c>
      <c r="BL158" s="47">
        <f>KH_26_OPT4_KTQT_v4[[#This Row],[SL-09]]*KH_26_OPT4_KTQT_v4[[#This Row],[GB-09]]*EXR</f>
        <v>0</v>
      </c>
      <c r="BM158" s="47">
        <f>KH_26_OPT4_KTQT_v4[[#This Row],[SL-10]]*KH_26_OPT4_KTQT_v4[[#This Row],[GB-10]]*EXR</f>
        <v>0</v>
      </c>
      <c r="BN158" s="47">
        <f>KH_26_OPT4_KTQT_v4[[#This Row],[SL-11]]*KH_26_OPT4_KTQT_v4[[#This Row],[GB-11]]*EXR</f>
        <v>0</v>
      </c>
      <c r="BO158" s="47">
        <f>KH_26_OPT4_KTQT_v4[[#This Row],[SL-12]]*KH_26_OPT4_KTQT_v4[[#This Row],[GB-12]]*EXR</f>
        <v>0</v>
      </c>
      <c r="BP158" s="47">
        <f ca="1">SUM(KH_26_OPT4_KTQT_v4[[#This Row],[DT-EXW-01]:[DT-EXW-12]])</f>
        <v>0</v>
      </c>
      <c r="BQ158" s="47">
        <f ca="1">SUMIFS(DB_25[DT-DB25],DB_25[Mã khách],KH_26_OPT4_KTQT_v4[[#This Row],[Mã khách]],DB_25[Mã sản phẩm],KH_26_OPT4_KTQT_v4[[#This Row],[Mã sản phẩm]])</f>
        <v>833331</v>
      </c>
      <c r="BR158" s="47">
        <f ca="1">KH_26_OPT4_KTQT_v4[[#This Row],[DT-EXW-KH26]]-KH_26_OPT4_KTQT_v4[[#This Row],[DT-EXW-DB25]]</f>
        <v>-833331</v>
      </c>
      <c r="BS158" s="21">
        <f ca="1">IFERROR(KH_26_OPT4_KTQT_v4[[#This Row],[DT-EXW-+/-]]/KH_26_OPT4_KTQT_v4[[#This Row],[DT-EXW-DB25]],0)</f>
        <v>-1</v>
      </c>
      <c r="BT158" s="139"/>
      <c r="BU158" s="57"/>
      <c r="BV158" s="51"/>
      <c r="BW158" s="47">
        <f>IF(KH_26_OPT4_KTQT_v4[[#This Row],[CPHH-%-SL]]="Dthu",KH_26_OPT4_KTQT_v4[[#This Row],[%HH]]*KH_26_OPT4_KTQT_v4[[#This Row],[DT-EXW-01]],KH_26_OPT4_KTQT_v4[[#This Row],[HH-SL]]*KH_26_OPT4_KTQT_v4[[#This Row],[SL-01]])</f>
        <v>0</v>
      </c>
      <c r="BX158" s="47">
        <f>IF(KH_26_OPT4_KTQT_v4[[#This Row],[CPHH-%-SL]]="Dthu",KH_26_OPT4_KTQT_v4[[#This Row],[%HH]]*KH_26_OPT4_KTQT_v4[[#This Row],[DT-EXW-02]],KH_26_OPT4_KTQT_v4[[#This Row],[HH-SL]]*KH_26_OPT4_KTQT_v4[[#This Row],[SL-02]])</f>
        <v>0</v>
      </c>
      <c r="BY158" s="47">
        <f>IF(KH_26_OPT4_KTQT_v4[[#This Row],[CPHH-%-SL]]="Dthu",KH_26_OPT4_KTQT_v4[[#This Row],[%HH]]*KH_26_OPT4_KTQT_v4[[#This Row],[DT-EXW-03]],KH_26_OPT4_KTQT_v4[[#This Row],[HH-SL]]*KH_26_OPT4_KTQT_v4[[#This Row],[SL-03]])</f>
        <v>0</v>
      </c>
      <c r="BZ158" s="47">
        <f>IF(KH_26_OPT4_KTQT_v4[[#This Row],[CPHH-%-SL]]="Dthu",KH_26_OPT4_KTQT_v4[[#This Row],[%HH]]*KH_26_OPT4_KTQT_v4[[#This Row],[DT-EXW-04]],KH_26_OPT4_KTQT_v4[[#This Row],[HH-SL]]*KH_26_OPT4_KTQT_v4[[#This Row],[SL-04]])</f>
        <v>0</v>
      </c>
      <c r="CA158" s="47">
        <f>IF(KH_26_OPT4_KTQT_v4[[#This Row],[CPHH-%-SL]]="Dthu",KH_26_OPT4_KTQT_v4[[#This Row],[%HH]]*KH_26_OPT4_KTQT_v4[[#This Row],[DT-EXW-05]],KH_26_OPT4_KTQT_v4[[#This Row],[HH-SL]]*KH_26_OPT4_KTQT_v4[[#This Row],[SL-05]])</f>
        <v>0</v>
      </c>
      <c r="CB158" s="47">
        <f>IF(KH_26_OPT4_KTQT_v4[[#This Row],[CPHH-%-SL]]="Dthu",KH_26_OPT4_KTQT_v4[[#This Row],[%HH]]*KH_26_OPT4_KTQT_v4[[#This Row],[DT-EXW-06]],KH_26_OPT4_KTQT_v4[[#This Row],[HH-SL]]*KH_26_OPT4_KTQT_v4[[#This Row],[SL-06]])</f>
        <v>0</v>
      </c>
      <c r="CC158" s="47">
        <f>IF(KH_26_OPT4_KTQT_v4[[#This Row],[CPHH-%-SL]]="Dthu",KH_26_OPT4_KTQT_v4[[#This Row],[%HH]]*KH_26_OPT4_KTQT_v4[[#This Row],[DT-EXW-07]],KH_26_OPT4_KTQT_v4[[#This Row],[HH-SL]]*KH_26_OPT4_KTQT_v4[[#This Row],[SL-07]])</f>
        <v>0</v>
      </c>
      <c r="CD158" s="47">
        <f>IF(KH_26_OPT4_KTQT_v4[[#This Row],[CPHH-%-SL]]="Dthu",KH_26_OPT4_KTQT_v4[[#This Row],[%HH]]*KH_26_OPT4_KTQT_v4[[#This Row],[DT-EXW-08]],KH_26_OPT4_KTQT_v4[[#This Row],[HH-SL]]*KH_26_OPT4_KTQT_v4[[#This Row],[SL-08]])</f>
        <v>0</v>
      </c>
      <c r="CE158" s="47">
        <f>IF(KH_26_OPT4_KTQT_v4[[#This Row],[CPHH-%-SL]]="Dthu",KH_26_OPT4_KTQT_v4[[#This Row],[%HH]]*KH_26_OPT4_KTQT_v4[[#This Row],[DT-EXW-09]],KH_26_OPT4_KTQT_v4[[#This Row],[HH-SL]]*KH_26_OPT4_KTQT_v4[[#This Row],[SL-09]])</f>
        <v>0</v>
      </c>
      <c r="CF158" s="47">
        <f>IF(KH_26_OPT4_KTQT_v4[[#This Row],[CPHH-%-SL]]="Dthu",KH_26_OPT4_KTQT_v4[[#This Row],[%HH]]*KH_26_OPT4_KTQT_v4[[#This Row],[DT-EXW-10]],KH_26_OPT4_KTQT_v4[[#This Row],[HH-SL]]*KH_26_OPT4_KTQT_v4[[#This Row],[SL-10]])</f>
        <v>0</v>
      </c>
      <c r="CG158" s="47">
        <f>IF(KH_26_OPT4_KTQT_v4[[#This Row],[CPHH-%-SL]]="Dthu",KH_26_OPT4_KTQT_v4[[#This Row],[%HH]]*KH_26_OPT4_KTQT_v4[[#This Row],[DT-EXW-11]],KH_26_OPT4_KTQT_v4[[#This Row],[HH-SL]]*KH_26_OPT4_KTQT_v4[[#This Row],[SL-11]])</f>
        <v>0</v>
      </c>
      <c r="CH158" s="47">
        <f>IF(KH_26_OPT4_KTQT_v4[[#This Row],[CPHH-%-SL]]="Dthu",KH_26_OPT4_KTQT_v4[[#This Row],[%HH]]*KH_26_OPT4_KTQT_v4[[#This Row],[DT-EXW-12]],KH_26_OPT4_KTQT_v4[[#This Row],[HH-SL]]*KH_26_OPT4_KTQT_v4[[#This Row],[SL-12]])</f>
        <v>0</v>
      </c>
      <c r="CI158" s="47">
        <f ca="1">SUM(KH_26_OPT4_KTQT_v4[[#This Row],[CPHH-01]:[CPHH-12]])</f>
        <v>0</v>
      </c>
      <c r="CJ158" s="47" cm="1">
        <f t="array" ref="CJ158">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58" s="19">
        <f ca="1">SUM(KH_26_OPT4_KTQT_v4[[#This Row],[ĐGVCNĐ-KXK]:[ĐGVCCT-KXK]])</f>
        <v>0</v>
      </c>
      <c r="CL158" s="47" cm="1">
        <f t="array" ref="CL158">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158" s="47" cm="1">
        <f t="array" ref="CM158">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58" s="47">
        <f ca="1">(KH_26_OPT4_KTQT_v4[[#This Row],[ĐGVC-KNĐ]]+KH_26_OPT4_KTQT_v4[[#This Row],[ĐGVC-KXK]])*KH_26_OPT4_KTQT_v4[[#This Row],[SL-01]]</f>
        <v>0</v>
      </c>
      <c r="CO158" s="47">
        <f ca="1">(KH_26_OPT4_KTQT_v4[[#This Row],[ĐGVC-KNĐ]]+KH_26_OPT4_KTQT_v4[[#This Row],[ĐGVC-KXK]])*KH_26_OPT4_KTQT_v4[[#This Row],[SL-02]]</f>
        <v>0</v>
      </c>
      <c r="CP158" s="47">
        <f ca="1">(KH_26_OPT4_KTQT_v4[[#This Row],[ĐGVC-KNĐ]]+KH_26_OPT4_KTQT_v4[[#This Row],[ĐGVC-KXK]])*KH_26_OPT4_KTQT_v4[[#This Row],[SL-03]]</f>
        <v>0</v>
      </c>
      <c r="CQ158" s="47">
        <f ca="1">(KH_26_OPT4_KTQT_v4[[#This Row],[ĐGVC-KNĐ]]+KH_26_OPT4_KTQT_v4[[#This Row],[ĐGVC-KXK]])*KH_26_OPT4_KTQT_v4[[#This Row],[SL-04]]</f>
        <v>0</v>
      </c>
      <c r="CR158" s="47">
        <f ca="1">(KH_26_OPT4_KTQT_v4[[#This Row],[ĐGVC-KNĐ]]+KH_26_OPT4_KTQT_v4[[#This Row],[ĐGVC-KXK]])*KH_26_OPT4_KTQT_v4[[#This Row],[SL-05]]</f>
        <v>0</v>
      </c>
      <c r="CS158" s="47">
        <f ca="1">(KH_26_OPT4_KTQT_v4[[#This Row],[ĐGVC-KNĐ]]+KH_26_OPT4_KTQT_v4[[#This Row],[ĐGVC-KXK]])*KH_26_OPT4_KTQT_v4[[#This Row],[SL-06]]</f>
        <v>0</v>
      </c>
      <c r="CT158" s="47">
        <f ca="1">(KH_26_OPT4_KTQT_v4[[#This Row],[ĐGVC-KNĐ]]+KH_26_OPT4_KTQT_v4[[#This Row],[ĐGVC-KXK]])*KH_26_OPT4_KTQT_v4[[#This Row],[SL-07]]</f>
        <v>0</v>
      </c>
      <c r="CU158" s="47">
        <f ca="1">(KH_26_OPT4_KTQT_v4[[#This Row],[ĐGVC-KNĐ]]+KH_26_OPT4_KTQT_v4[[#This Row],[ĐGVC-KXK]])*KH_26_OPT4_KTQT_v4[[#This Row],[SL-08]]</f>
        <v>0</v>
      </c>
      <c r="CV158" s="47">
        <f ca="1">(KH_26_OPT4_KTQT_v4[[#This Row],[ĐGVC-KNĐ]]+KH_26_OPT4_KTQT_v4[[#This Row],[ĐGVC-KXK]])*KH_26_OPT4_KTQT_v4[[#This Row],[SL-09]]</f>
        <v>0</v>
      </c>
      <c r="CW158" s="47">
        <f ca="1">(KH_26_OPT4_KTQT_v4[[#This Row],[ĐGVC-KNĐ]]+KH_26_OPT4_KTQT_v4[[#This Row],[ĐGVC-KXK]])*KH_26_OPT4_KTQT_v4[[#This Row],[SL-10]]</f>
        <v>0</v>
      </c>
      <c r="CX158" s="47">
        <f ca="1">(KH_26_OPT4_KTQT_v4[[#This Row],[ĐGVC-KNĐ]]+KH_26_OPT4_KTQT_v4[[#This Row],[ĐGVC-KXK]])*KH_26_OPT4_KTQT_v4[[#This Row],[SL-11]]</f>
        <v>0</v>
      </c>
      <c r="CY158" s="47">
        <f ca="1">(KH_26_OPT4_KTQT_v4[[#This Row],[ĐGVC-KNĐ]]+KH_26_OPT4_KTQT_v4[[#This Row],[ĐGVC-KXK]])*KH_26_OPT4_KTQT_v4[[#This Row],[SL-12]]</f>
        <v>0</v>
      </c>
      <c r="CZ158" s="47">
        <f ca="1">SUM(KH_26_OPT4_KTQT_v4[[#This Row],[CPVC-01]:[CPVC-12]])</f>
        <v>0</v>
      </c>
      <c r="DA158" s="124">
        <f ca="1">KH_26_OPT4_KTQT_v4[[#This Row],[DT-EXW-01]]+KH_26_OPT4_KTQT_v4[[#This Row],[CPVC-01]]+KH_26_OPT4_KTQT_v4[[#This Row],[CPHH-01]]</f>
        <v>0</v>
      </c>
      <c r="DB158" s="47">
        <f ca="1">KH_26_OPT4_KTQT_v4[[#This Row],[DT-EXW-02]]+KH_26_OPT4_KTQT_v4[[#This Row],[CPVC-02]]+KH_26_OPT4_KTQT_v4[[#This Row],[CPHH-02]]</f>
        <v>0</v>
      </c>
      <c r="DC158" s="47">
        <f ca="1">KH_26_OPT4_KTQT_v4[[#This Row],[DT-EXW-03]]+KH_26_OPT4_KTQT_v4[[#This Row],[CPVC-03]]+KH_26_OPT4_KTQT_v4[[#This Row],[CPHH-03]]</f>
        <v>0</v>
      </c>
      <c r="DD158" s="47">
        <f ca="1">KH_26_OPT4_KTQT_v4[[#This Row],[DT-EXW-04]]+KH_26_OPT4_KTQT_v4[[#This Row],[CPVC-04]]+KH_26_OPT4_KTQT_v4[[#This Row],[CPHH-04]]</f>
        <v>0</v>
      </c>
      <c r="DE158" s="47">
        <f ca="1">KH_26_OPT4_KTQT_v4[[#This Row],[DT-EXW-05]]+KH_26_OPT4_KTQT_v4[[#This Row],[CPVC-05]]+KH_26_OPT4_KTQT_v4[[#This Row],[CPHH-05]]</f>
        <v>0</v>
      </c>
      <c r="DF158" s="47">
        <f ca="1">KH_26_OPT4_KTQT_v4[[#This Row],[DT-EXW-06]]+KH_26_OPT4_KTQT_v4[[#This Row],[CPVC-06]]+KH_26_OPT4_KTQT_v4[[#This Row],[CPHH-06]]</f>
        <v>0</v>
      </c>
      <c r="DG158" s="47">
        <f ca="1">KH_26_OPT4_KTQT_v4[[#This Row],[DT-EXW-07]]+KH_26_OPT4_KTQT_v4[[#This Row],[CPVC-07]]+KH_26_OPT4_KTQT_v4[[#This Row],[CPHH-07]]</f>
        <v>0</v>
      </c>
      <c r="DH158" s="47">
        <f ca="1">KH_26_OPT4_KTQT_v4[[#This Row],[DT-EXW-08]]+KH_26_OPT4_KTQT_v4[[#This Row],[CPVC-08]]+KH_26_OPT4_KTQT_v4[[#This Row],[CPHH-08]]</f>
        <v>0</v>
      </c>
      <c r="DI158" s="47">
        <f ca="1">KH_26_OPT4_KTQT_v4[[#This Row],[DT-EXW-09]]+KH_26_OPT4_KTQT_v4[[#This Row],[CPVC-09]]+KH_26_OPT4_KTQT_v4[[#This Row],[CPHH-09]]</f>
        <v>0</v>
      </c>
      <c r="DJ158" s="47">
        <f ca="1">KH_26_OPT4_KTQT_v4[[#This Row],[DT-EXW-10]]+KH_26_OPT4_KTQT_v4[[#This Row],[CPVC-10]]+KH_26_OPT4_KTQT_v4[[#This Row],[CPHH-10]]</f>
        <v>0</v>
      </c>
      <c r="DK158" s="47">
        <f ca="1">KH_26_OPT4_KTQT_v4[[#This Row],[DT-EXW-11]]+KH_26_OPT4_KTQT_v4[[#This Row],[CPVC-11]]+KH_26_OPT4_KTQT_v4[[#This Row],[CPHH-11]]</f>
        <v>0</v>
      </c>
      <c r="DL158" s="47">
        <f ca="1">KH_26_OPT4_KTQT_v4[[#This Row],[DT-EXW-12]]+KH_26_OPT4_KTQT_v4[[#This Row],[CPVC-12]]+KH_26_OPT4_KTQT_v4[[#This Row],[CPHH-12]]</f>
        <v>0</v>
      </c>
      <c r="DM158" s="47">
        <f ca="1">SUM(KH_26_OPT4_KTQT_v4[[#This Row],[DT-01]:[DT-12]])</f>
        <v>0</v>
      </c>
      <c r="DN158" s="7"/>
      <c r="DO158" s="7"/>
      <c r="DP158" s="125"/>
      <c r="DQ158" s="136"/>
      <c r="DR158" s="132">
        <f>IFERROR(KH_26_OPT4_KTQT_v4[[#This Row],[DT-EXW-01]]*KH_26_OPT4_KTQT_v4[[#This Row],[%CPDP]],0)</f>
        <v>0</v>
      </c>
      <c r="DS158" s="132">
        <f>IFERROR(KH_26_OPT4_KTQT_v4[[#This Row],[DT-EXW-02]]*KH_26_OPT4_KTQT_v4[[#This Row],[%CPDP]],0)</f>
        <v>0</v>
      </c>
      <c r="DT158" s="132">
        <f>IFERROR(KH_26_OPT4_KTQT_v4[[#This Row],[DT-EXW-03]]*KH_26_OPT4_KTQT_v4[[#This Row],[%CPDP]],0)</f>
        <v>0</v>
      </c>
      <c r="DU158" s="132">
        <f>IFERROR(KH_26_OPT4_KTQT_v4[[#This Row],[DT-EXW-04]]*KH_26_OPT4_KTQT_v4[[#This Row],[%CPDP]],0)</f>
        <v>0</v>
      </c>
      <c r="DV158" s="132">
        <f>IFERROR(KH_26_OPT4_KTQT_v4[[#This Row],[DT-EXW-05]]*KH_26_OPT4_KTQT_v4[[#This Row],[%CPDP]],0)</f>
        <v>0</v>
      </c>
      <c r="DW158" s="132">
        <f>IFERROR(KH_26_OPT4_KTQT_v4[[#This Row],[DT-EXW-06]]*KH_26_OPT4_KTQT_v4[[#This Row],[%CPDP]],0)</f>
        <v>0</v>
      </c>
      <c r="DX158" s="132">
        <f>IFERROR(KH_26_OPT4_KTQT_v4[[#This Row],[DT-EXW-07]]*KH_26_OPT4_KTQT_v4[[#This Row],[%CPDP]],0)</f>
        <v>0</v>
      </c>
      <c r="DY158" s="132">
        <f>IFERROR(KH_26_OPT4_KTQT_v4[[#This Row],[DT-EXW-08]]*KH_26_OPT4_KTQT_v4[[#This Row],[%CPDP]],0)</f>
        <v>0</v>
      </c>
      <c r="DZ158" s="132">
        <f>IFERROR(KH_26_OPT4_KTQT_v4[[#This Row],[DT-EXW-09]]*KH_26_OPT4_KTQT_v4[[#This Row],[%CPDP]],0)</f>
        <v>0</v>
      </c>
      <c r="EA158" s="132">
        <f>IFERROR(KH_26_OPT4_KTQT_v4[[#This Row],[DT-EXW-10]]*KH_26_OPT4_KTQT_v4[[#This Row],[%CPDP]],0)</f>
        <v>0</v>
      </c>
      <c r="EB158" s="132">
        <f>IFERROR(KH_26_OPT4_KTQT_v4[[#This Row],[DT-EXW-11]]*KH_26_OPT4_KTQT_v4[[#This Row],[%CPDP]],0)</f>
        <v>0</v>
      </c>
      <c r="EC158" s="132">
        <f>IFERROR(KH_26_OPT4_KTQT_v4[[#This Row],[DT-EXW-12]]*KH_26_OPT4_KTQT_v4[[#This Row],[%CPDP]],0)</f>
        <v>0</v>
      </c>
      <c r="ED158" s="131">
        <f ca="1">SUM(KH_26_OPT4_KTQT_v4[[#This Row],[CPDP-01]:[CPDP-12]])</f>
        <v>0</v>
      </c>
    </row>
    <row r="159" spans="1:134" ht="14.65" hidden="1" customHeight="1" x14ac:dyDescent="0.35">
      <c r="A159" s="18">
        <v>154</v>
      </c>
      <c r="B159" s="71" t="s">
        <v>115</v>
      </c>
      <c r="C159" s="18" t="str">
        <f>IFERROR(_xlfn.XLOOKUP(KH_26_OPT4_KTQT_v4[[#This Row],[Salesman]],MD_Salesman[Salesman],MD_Salesman[SalesManager]),"")</f>
        <v>Quốc Anh</v>
      </c>
      <c r="D159" s="72" t="str">
        <f>IFERROR(INDEX(MD_Customer[Mã khách],MATCH(KH_26_OPT4_KTQT_v4[[#This Row],[Tên khách]],MD_Customer[Tên khách-rút gọn],0)),"")</f>
        <v>105341</v>
      </c>
      <c r="E159" s="7" t="str">
        <f>IFERROR(INDEX(MD_Customer[Parent Account],MATCH(KH_26_OPT4_KTQT_v4[[#This Row],[Tên khách]],MD_Customer[Tên khách-rút gọn],0)),"")</f>
        <v>TÂN HOA THỊNH</v>
      </c>
      <c r="F159" s="35" t="s">
        <v>158</v>
      </c>
      <c r="G159" s="7" t="str">
        <f>IFERROR(INDEX(MD_Customer[Phân loại],MATCH(KH_26_OPT4_KTQT_v4[[#This Row],[Tên khách]],MD_Customer[Tên khách-rút gọn],0)),"")</f>
        <v>Mới</v>
      </c>
      <c r="H159" s="7" t="str">
        <f>IFERROR(INDEX(MD_Customer[Kênh bán hàng],MATCH(KH_26_OPT4_KTQT_v4[[#This Row],[Tên khách]],MD_Customer[Tên khách-rút gọn],0)),"")</f>
        <v>Nội địa</v>
      </c>
      <c r="I159" s="35" t="s">
        <v>258</v>
      </c>
      <c r="J159" s="7" t="str">
        <f>IFERROR(INDEX(MD_Destination[Nước],MATCH(KH_26_OPT4_KTQT_v4[[#This Row],[Địa điểm đến]],MD_Destination[Địa điểm đến],0)),"")</f>
        <v>Việt Nam</v>
      </c>
      <c r="K159" s="7" t="str">
        <f>IFERROR(INDEX(MD_Destination[Khu vực],MATCH(KH_26_OPT4_KTQT_v4[[#This Row],[Địa điểm đến]],MD_Destination[Địa điểm đến],0)),"")</f>
        <v>Châu Á</v>
      </c>
      <c r="L159" s="35" t="s">
        <v>262</v>
      </c>
      <c r="M159" s="7" t="str">
        <f>IFERROR(INDEX(MD_SKU[Mã SKU],MATCH(KH_26_OPT4_KTQT_v4[[#This Row],[Tên sản phẩm]],MD_SKU[Tên SKU-rút gọn],0)),"")</f>
        <v>110000409</v>
      </c>
      <c r="N159" s="35" t="s">
        <v>473</v>
      </c>
      <c r="O159" s="7" t="str">
        <f>IFERROR(INDEX(MD_SKU[Ngành hàng],MATCH(KH_26_OPT4_KTQT_v4[[#This Row],[Tên sản phẩm]],MD_SKU[Tên SKU-rút gọn],0)),"")</f>
        <v>rHDPE ép</v>
      </c>
      <c r="P159" s="7" t="str">
        <f>IFERROR(INDEX(MD_SKU[Nhóm ngành],MATCH(KH_26_OPT4_KTQT_v4[[#This Row],[Tên sản phẩm]],MD_SKU[Tên SKU-rút gọn],0)),"")</f>
        <v>Vảy HD ép</v>
      </c>
      <c r="Q159" s="7" t="str">
        <f>IFERROR(
   IF(INDEX(MD_SKU[IV/IM],MATCH(KH_26_OPT4_KTQT_v4[[#This Row],[Tên sản phẩm]],MD_SKU[Tên SKU-rút gọn],0))=0,
      "",
      INDEX(MD_SKU[IV/IM],MATCH(KH_26_OPT4_KTQT_v4[[#This Row],[Tên sản phẩm]],MD_SKU[Tên SKU-rút gọn],0))
   ),
"")</f>
        <v/>
      </c>
      <c r="R159" s="44">
        <f>IFERROR(INDEX(MD_SKU[Application],MATCH(KH_26_OPT4_KTQT_v4[[#This Row],[Tên sản phẩm]],MD_SKU[Tên SKU-rút gọn],0)),"")</f>
        <v>0</v>
      </c>
      <c r="S159" s="7" t="str">
        <f>IFERROR(INDEX(MD_SKU[Phân loại],MATCH(KH_26_OPT4_KTQT_v4[[#This Row],[Tên sản phẩm]],MD_SKU[Tên SKU-rút gọn],0)),"")</f>
        <v>Cũ</v>
      </c>
      <c r="T159" s="7" t="s">
        <v>542</v>
      </c>
      <c r="U159" s="7"/>
      <c r="V159" s="70">
        <v>0.8</v>
      </c>
      <c r="W159" s="33"/>
      <c r="X159" s="33"/>
      <c r="Y159" s="33"/>
      <c r="Z159" s="33"/>
      <c r="AA159" s="33"/>
      <c r="AB159" s="33"/>
      <c r="AC159" s="33"/>
      <c r="AD159" s="33"/>
      <c r="AE159" s="33"/>
      <c r="AF159" s="33"/>
      <c r="AG159" s="33"/>
      <c r="AH159" s="33"/>
      <c r="AI159" s="47">
        <f ca="1">SUM(KH_26_OPT4_KTQT_v4[[#This Row],[SL-01]:[SL-12]])</f>
        <v>0</v>
      </c>
      <c r="AJ159" s="47">
        <f ca="1">SUMIFS(DB_25[SL-DB25],DB_25[Mã khách],KH_26_OPT4_KTQT_v4[[#This Row],[Mã khách]],DB_25[Mã sản phẩm],KH_26_OPT4_KTQT_v4[[#This Row],[Mã sản phẩm]])</f>
        <v>10</v>
      </c>
      <c r="AK159" s="20">
        <f ca="1">KH_26_OPT4_KTQT_v4[[#This Row],[SL-KH26]]-KH_26_OPT4_KTQT_v4[[#This Row],[SL-DB25]]</f>
        <v>-10</v>
      </c>
      <c r="AL159" s="21">
        <f ca="1">IFERROR(KH_26_OPT4_KTQT_v4[[#This Row],[SL-+/-]]/KH_26_OPT4_KTQT_v4[[#This Row],[SL-DB25]],0)</f>
        <v>-1</v>
      </c>
      <c r="AM159" s="51">
        <v>560</v>
      </c>
      <c r="AN159" s="51">
        <v>560</v>
      </c>
      <c r="AO159" s="51">
        <v>560</v>
      </c>
      <c r="AP159" s="51">
        <v>560</v>
      </c>
      <c r="AQ159" s="51">
        <v>560</v>
      </c>
      <c r="AR159" s="51">
        <v>560</v>
      </c>
      <c r="AS159" s="51">
        <v>560</v>
      </c>
      <c r="AT159" s="51">
        <v>560</v>
      </c>
      <c r="AU159" s="51">
        <v>560</v>
      </c>
      <c r="AV159" s="51">
        <v>560</v>
      </c>
      <c r="AW159" s="51">
        <v>560</v>
      </c>
      <c r="AX159" s="51">
        <v>560</v>
      </c>
      <c r="AY159" s="23">
        <v>560</v>
      </c>
      <c r="AZ159" s="7"/>
      <c r="BA159" s="24">
        <f>KH_26_OPT4_KTQT_v4[[#This Row],[GB-DB25]]-KH_26_OPT4_KTQT_v4[[#This Row],[GB-KH25]]</f>
        <v>560</v>
      </c>
      <c r="BB159" s="21">
        <f>IFERROR(KH_26_OPT4_KTQT_v4[[#This Row],[GB-+/-]]/KH_26_OPT4_KTQT_v4[[#This Row],[GB-KH25]],0)</f>
        <v>0</v>
      </c>
      <c r="BC159" s="21"/>
      <c r="BD159" s="47">
        <f>KH_26_OPT4_KTQT_v4[[#This Row],[SL-01]]*KH_26_OPT4_KTQT_v4[[#This Row],[GB-01]]*EXR</f>
        <v>0</v>
      </c>
      <c r="BE159" s="47">
        <f>KH_26_OPT4_KTQT_v4[[#This Row],[SL-02]]*KH_26_OPT4_KTQT_v4[[#This Row],[GB-02]]*EXR</f>
        <v>0</v>
      </c>
      <c r="BF159" s="47">
        <f>KH_26_OPT4_KTQT_v4[[#This Row],[SL-03]]*KH_26_OPT4_KTQT_v4[[#This Row],[GB-03]]*EXR</f>
        <v>0</v>
      </c>
      <c r="BG159" s="47">
        <f>KH_26_OPT4_KTQT_v4[[#This Row],[SL-04]]*KH_26_OPT4_KTQT_v4[[#This Row],[GB-04]]*EXR</f>
        <v>0</v>
      </c>
      <c r="BH159" s="47">
        <f>KH_26_OPT4_KTQT_v4[[#This Row],[SL-05]]*KH_26_OPT4_KTQT_v4[[#This Row],[GB-05]]*EXR</f>
        <v>0</v>
      </c>
      <c r="BI159" s="47">
        <f>KH_26_OPT4_KTQT_v4[[#This Row],[SL-06]]*KH_26_OPT4_KTQT_v4[[#This Row],[GB-06]]*EXR</f>
        <v>0</v>
      </c>
      <c r="BJ159" s="47">
        <f>KH_26_OPT4_KTQT_v4[[#This Row],[SL-07]]*KH_26_OPT4_KTQT_v4[[#This Row],[GB-07]]*EXR</f>
        <v>0</v>
      </c>
      <c r="BK159" s="47">
        <f>KH_26_OPT4_KTQT_v4[[#This Row],[SL-08]]*KH_26_OPT4_KTQT_v4[[#This Row],[GB-08]]*EXR</f>
        <v>0</v>
      </c>
      <c r="BL159" s="47">
        <f>KH_26_OPT4_KTQT_v4[[#This Row],[SL-09]]*KH_26_OPT4_KTQT_v4[[#This Row],[GB-09]]*EXR</f>
        <v>0</v>
      </c>
      <c r="BM159" s="47">
        <f>KH_26_OPT4_KTQT_v4[[#This Row],[SL-10]]*KH_26_OPT4_KTQT_v4[[#This Row],[GB-10]]*EXR</f>
        <v>0</v>
      </c>
      <c r="BN159" s="47">
        <f>KH_26_OPT4_KTQT_v4[[#This Row],[SL-11]]*KH_26_OPT4_KTQT_v4[[#This Row],[GB-11]]*EXR</f>
        <v>0</v>
      </c>
      <c r="BO159" s="47">
        <f>KH_26_OPT4_KTQT_v4[[#This Row],[SL-12]]*KH_26_OPT4_KTQT_v4[[#This Row],[GB-12]]*EXR</f>
        <v>0</v>
      </c>
      <c r="BP159" s="47">
        <f ca="1">SUM(KH_26_OPT4_KTQT_v4[[#This Row],[DT-EXW-01]:[DT-EXW-12]])</f>
        <v>0</v>
      </c>
      <c r="BQ159" s="47">
        <f ca="1">SUMIFS(DB_25[DT-DB25],DB_25[Mã khách],KH_26_OPT4_KTQT_v4[[#This Row],[Mã khách]],DB_25[Mã sản phẩm],KH_26_OPT4_KTQT_v4[[#This Row],[Mã sản phẩm]])</f>
        <v>143606951.25274724</v>
      </c>
      <c r="BR159" s="47">
        <f ca="1">KH_26_OPT4_KTQT_v4[[#This Row],[DT-EXW-KH26]]-KH_26_OPT4_KTQT_v4[[#This Row],[DT-EXW-DB25]]</f>
        <v>-143606951.25274724</v>
      </c>
      <c r="BS159" s="21">
        <f ca="1">IFERROR(KH_26_OPT4_KTQT_v4[[#This Row],[DT-EXW-+/-]]/KH_26_OPT4_KTQT_v4[[#This Row],[DT-EXW-DB25]],0)</f>
        <v>-1</v>
      </c>
      <c r="BT159" s="139"/>
      <c r="BU159" s="57"/>
      <c r="BV159" s="51"/>
      <c r="BW159" s="47">
        <f>IF(KH_26_OPT4_KTQT_v4[[#This Row],[CPHH-%-SL]]="Dthu",KH_26_OPT4_KTQT_v4[[#This Row],[%HH]]*KH_26_OPT4_KTQT_v4[[#This Row],[DT-EXW-01]],KH_26_OPT4_KTQT_v4[[#This Row],[HH-SL]]*KH_26_OPT4_KTQT_v4[[#This Row],[SL-01]])</f>
        <v>0</v>
      </c>
      <c r="BX159" s="47">
        <f>IF(KH_26_OPT4_KTQT_v4[[#This Row],[CPHH-%-SL]]="Dthu",KH_26_OPT4_KTQT_v4[[#This Row],[%HH]]*KH_26_OPT4_KTQT_v4[[#This Row],[DT-EXW-02]],KH_26_OPT4_KTQT_v4[[#This Row],[HH-SL]]*KH_26_OPT4_KTQT_v4[[#This Row],[SL-02]])</f>
        <v>0</v>
      </c>
      <c r="BY159" s="47">
        <f>IF(KH_26_OPT4_KTQT_v4[[#This Row],[CPHH-%-SL]]="Dthu",KH_26_OPT4_KTQT_v4[[#This Row],[%HH]]*KH_26_OPT4_KTQT_v4[[#This Row],[DT-EXW-03]],KH_26_OPT4_KTQT_v4[[#This Row],[HH-SL]]*KH_26_OPT4_KTQT_v4[[#This Row],[SL-03]])</f>
        <v>0</v>
      </c>
      <c r="BZ159" s="47">
        <f>IF(KH_26_OPT4_KTQT_v4[[#This Row],[CPHH-%-SL]]="Dthu",KH_26_OPT4_KTQT_v4[[#This Row],[%HH]]*KH_26_OPT4_KTQT_v4[[#This Row],[DT-EXW-04]],KH_26_OPT4_KTQT_v4[[#This Row],[HH-SL]]*KH_26_OPT4_KTQT_v4[[#This Row],[SL-04]])</f>
        <v>0</v>
      </c>
      <c r="CA159" s="47">
        <f>IF(KH_26_OPT4_KTQT_v4[[#This Row],[CPHH-%-SL]]="Dthu",KH_26_OPT4_KTQT_v4[[#This Row],[%HH]]*KH_26_OPT4_KTQT_v4[[#This Row],[DT-EXW-05]],KH_26_OPT4_KTQT_v4[[#This Row],[HH-SL]]*KH_26_OPT4_KTQT_v4[[#This Row],[SL-05]])</f>
        <v>0</v>
      </c>
      <c r="CB159" s="47">
        <f>IF(KH_26_OPT4_KTQT_v4[[#This Row],[CPHH-%-SL]]="Dthu",KH_26_OPT4_KTQT_v4[[#This Row],[%HH]]*KH_26_OPT4_KTQT_v4[[#This Row],[DT-EXW-06]],KH_26_OPT4_KTQT_v4[[#This Row],[HH-SL]]*KH_26_OPT4_KTQT_v4[[#This Row],[SL-06]])</f>
        <v>0</v>
      </c>
      <c r="CC159" s="47">
        <f>IF(KH_26_OPT4_KTQT_v4[[#This Row],[CPHH-%-SL]]="Dthu",KH_26_OPT4_KTQT_v4[[#This Row],[%HH]]*KH_26_OPT4_KTQT_v4[[#This Row],[DT-EXW-07]],KH_26_OPT4_KTQT_v4[[#This Row],[HH-SL]]*KH_26_OPT4_KTQT_v4[[#This Row],[SL-07]])</f>
        <v>0</v>
      </c>
      <c r="CD159" s="47">
        <f>IF(KH_26_OPT4_KTQT_v4[[#This Row],[CPHH-%-SL]]="Dthu",KH_26_OPT4_KTQT_v4[[#This Row],[%HH]]*KH_26_OPT4_KTQT_v4[[#This Row],[DT-EXW-08]],KH_26_OPT4_KTQT_v4[[#This Row],[HH-SL]]*KH_26_OPT4_KTQT_v4[[#This Row],[SL-08]])</f>
        <v>0</v>
      </c>
      <c r="CE159" s="47">
        <f>IF(KH_26_OPT4_KTQT_v4[[#This Row],[CPHH-%-SL]]="Dthu",KH_26_OPT4_KTQT_v4[[#This Row],[%HH]]*KH_26_OPT4_KTQT_v4[[#This Row],[DT-EXW-09]],KH_26_OPT4_KTQT_v4[[#This Row],[HH-SL]]*KH_26_OPT4_KTQT_v4[[#This Row],[SL-09]])</f>
        <v>0</v>
      </c>
      <c r="CF159" s="47">
        <f>IF(KH_26_OPT4_KTQT_v4[[#This Row],[CPHH-%-SL]]="Dthu",KH_26_OPT4_KTQT_v4[[#This Row],[%HH]]*KH_26_OPT4_KTQT_v4[[#This Row],[DT-EXW-10]],KH_26_OPT4_KTQT_v4[[#This Row],[HH-SL]]*KH_26_OPT4_KTQT_v4[[#This Row],[SL-10]])</f>
        <v>0</v>
      </c>
      <c r="CG159" s="47">
        <f>IF(KH_26_OPT4_KTQT_v4[[#This Row],[CPHH-%-SL]]="Dthu",KH_26_OPT4_KTQT_v4[[#This Row],[%HH]]*KH_26_OPT4_KTQT_v4[[#This Row],[DT-EXW-11]],KH_26_OPT4_KTQT_v4[[#This Row],[HH-SL]]*KH_26_OPT4_KTQT_v4[[#This Row],[SL-11]])</f>
        <v>0</v>
      </c>
      <c r="CH159" s="47">
        <f>IF(KH_26_OPT4_KTQT_v4[[#This Row],[CPHH-%-SL]]="Dthu",KH_26_OPT4_KTQT_v4[[#This Row],[%HH]]*KH_26_OPT4_KTQT_v4[[#This Row],[DT-EXW-12]],KH_26_OPT4_KTQT_v4[[#This Row],[HH-SL]]*KH_26_OPT4_KTQT_v4[[#This Row],[SL-12]])</f>
        <v>0</v>
      </c>
      <c r="CI159" s="47">
        <f ca="1">SUM(KH_26_OPT4_KTQT_v4[[#This Row],[CPHH-01]:[CPHH-12]])</f>
        <v>0</v>
      </c>
      <c r="CJ159" s="47" cm="1">
        <f t="array" ref="CJ159">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59" s="19">
        <f ca="1">SUM(KH_26_OPT4_KTQT_v4[[#This Row],[ĐGVCNĐ-KXK]:[ĐGVCCT-KXK]])</f>
        <v>0</v>
      </c>
      <c r="CL159" s="47" cm="1">
        <f t="array" ref="CL159">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159" s="47" cm="1">
        <f t="array" ref="CM159">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59" s="47">
        <f ca="1">(KH_26_OPT4_KTQT_v4[[#This Row],[ĐGVC-KNĐ]]+KH_26_OPT4_KTQT_v4[[#This Row],[ĐGVC-KXK]])*KH_26_OPT4_KTQT_v4[[#This Row],[SL-01]]</f>
        <v>0</v>
      </c>
      <c r="CO159" s="47">
        <f ca="1">(KH_26_OPT4_KTQT_v4[[#This Row],[ĐGVC-KNĐ]]+KH_26_OPT4_KTQT_v4[[#This Row],[ĐGVC-KXK]])*KH_26_OPT4_KTQT_v4[[#This Row],[SL-02]]</f>
        <v>0</v>
      </c>
      <c r="CP159" s="47">
        <f ca="1">(KH_26_OPT4_KTQT_v4[[#This Row],[ĐGVC-KNĐ]]+KH_26_OPT4_KTQT_v4[[#This Row],[ĐGVC-KXK]])*KH_26_OPT4_KTQT_v4[[#This Row],[SL-03]]</f>
        <v>0</v>
      </c>
      <c r="CQ159" s="47">
        <f ca="1">(KH_26_OPT4_KTQT_v4[[#This Row],[ĐGVC-KNĐ]]+KH_26_OPT4_KTQT_v4[[#This Row],[ĐGVC-KXK]])*KH_26_OPT4_KTQT_v4[[#This Row],[SL-04]]</f>
        <v>0</v>
      </c>
      <c r="CR159" s="47">
        <f ca="1">(KH_26_OPT4_KTQT_v4[[#This Row],[ĐGVC-KNĐ]]+KH_26_OPT4_KTQT_v4[[#This Row],[ĐGVC-KXK]])*KH_26_OPT4_KTQT_v4[[#This Row],[SL-05]]</f>
        <v>0</v>
      </c>
      <c r="CS159" s="47">
        <f ca="1">(KH_26_OPT4_KTQT_v4[[#This Row],[ĐGVC-KNĐ]]+KH_26_OPT4_KTQT_v4[[#This Row],[ĐGVC-KXK]])*KH_26_OPT4_KTQT_v4[[#This Row],[SL-06]]</f>
        <v>0</v>
      </c>
      <c r="CT159" s="47">
        <f ca="1">(KH_26_OPT4_KTQT_v4[[#This Row],[ĐGVC-KNĐ]]+KH_26_OPT4_KTQT_v4[[#This Row],[ĐGVC-KXK]])*KH_26_OPT4_KTQT_v4[[#This Row],[SL-07]]</f>
        <v>0</v>
      </c>
      <c r="CU159" s="47">
        <f ca="1">(KH_26_OPT4_KTQT_v4[[#This Row],[ĐGVC-KNĐ]]+KH_26_OPT4_KTQT_v4[[#This Row],[ĐGVC-KXK]])*KH_26_OPT4_KTQT_v4[[#This Row],[SL-08]]</f>
        <v>0</v>
      </c>
      <c r="CV159" s="47">
        <f ca="1">(KH_26_OPT4_KTQT_v4[[#This Row],[ĐGVC-KNĐ]]+KH_26_OPT4_KTQT_v4[[#This Row],[ĐGVC-KXK]])*KH_26_OPT4_KTQT_v4[[#This Row],[SL-09]]</f>
        <v>0</v>
      </c>
      <c r="CW159" s="47">
        <f ca="1">(KH_26_OPT4_KTQT_v4[[#This Row],[ĐGVC-KNĐ]]+KH_26_OPT4_KTQT_v4[[#This Row],[ĐGVC-KXK]])*KH_26_OPT4_KTQT_v4[[#This Row],[SL-10]]</f>
        <v>0</v>
      </c>
      <c r="CX159" s="47">
        <f ca="1">(KH_26_OPT4_KTQT_v4[[#This Row],[ĐGVC-KNĐ]]+KH_26_OPT4_KTQT_v4[[#This Row],[ĐGVC-KXK]])*KH_26_OPT4_KTQT_v4[[#This Row],[SL-11]]</f>
        <v>0</v>
      </c>
      <c r="CY159" s="47">
        <f ca="1">(KH_26_OPT4_KTQT_v4[[#This Row],[ĐGVC-KNĐ]]+KH_26_OPT4_KTQT_v4[[#This Row],[ĐGVC-KXK]])*KH_26_OPT4_KTQT_v4[[#This Row],[SL-12]]</f>
        <v>0</v>
      </c>
      <c r="CZ159" s="47">
        <f ca="1">SUM(KH_26_OPT4_KTQT_v4[[#This Row],[CPVC-01]:[CPVC-12]])</f>
        <v>0</v>
      </c>
      <c r="DA159" s="124">
        <f ca="1">KH_26_OPT4_KTQT_v4[[#This Row],[DT-EXW-01]]+KH_26_OPT4_KTQT_v4[[#This Row],[CPVC-01]]+KH_26_OPT4_KTQT_v4[[#This Row],[CPHH-01]]</f>
        <v>0</v>
      </c>
      <c r="DB159" s="47">
        <f ca="1">KH_26_OPT4_KTQT_v4[[#This Row],[DT-EXW-02]]+KH_26_OPT4_KTQT_v4[[#This Row],[CPVC-02]]+KH_26_OPT4_KTQT_v4[[#This Row],[CPHH-02]]</f>
        <v>0</v>
      </c>
      <c r="DC159" s="47">
        <f ca="1">KH_26_OPT4_KTQT_v4[[#This Row],[DT-EXW-03]]+KH_26_OPT4_KTQT_v4[[#This Row],[CPVC-03]]+KH_26_OPT4_KTQT_v4[[#This Row],[CPHH-03]]</f>
        <v>0</v>
      </c>
      <c r="DD159" s="47">
        <f ca="1">KH_26_OPT4_KTQT_v4[[#This Row],[DT-EXW-04]]+KH_26_OPT4_KTQT_v4[[#This Row],[CPVC-04]]+KH_26_OPT4_KTQT_v4[[#This Row],[CPHH-04]]</f>
        <v>0</v>
      </c>
      <c r="DE159" s="47">
        <f ca="1">KH_26_OPT4_KTQT_v4[[#This Row],[DT-EXW-05]]+KH_26_OPT4_KTQT_v4[[#This Row],[CPVC-05]]+KH_26_OPT4_KTQT_v4[[#This Row],[CPHH-05]]</f>
        <v>0</v>
      </c>
      <c r="DF159" s="47">
        <f ca="1">KH_26_OPT4_KTQT_v4[[#This Row],[DT-EXW-06]]+KH_26_OPT4_KTQT_v4[[#This Row],[CPVC-06]]+KH_26_OPT4_KTQT_v4[[#This Row],[CPHH-06]]</f>
        <v>0</v>
      </c>
      <c r="DG159" s="47">
        <f ca="1">KH_26_OPT4_KTQT_v4[[#This Row],[DT-EXW-07]]+KH_26_OPT4_KTQT_v4[[#This Row],[CPVC-07]]+KH_26_OPT4_KTQT_v4[[#This Row],[CPHH-07]]</f>
        <v>0</v>
      </c>
      <c r="DH159" s="47">
        <f ca="1">KH_26_OPT4_KTQT_v4[[#This Row],[DT-EXW-08]]+KH_26_OPT4_KTQT_v4[[#This Row],[CPVC-08]]+KH_26_OPT4_KTQT_v4[[#This Row],[CPHH-08]]</f>
        <v>0</v>
      </c>
      <c r="DI159" s="47">
        <f ca="1">KH_26_OPT4_KTQT_v4[[#This Row],[DT-EXW-09]]+KH_26_OPT4_KTQT_v4[[#This Row],[CPVC-09]]+KH_26_OPT4_KTQT_v4[[#This Row],[CPHH-09]]</f>
        <v>0</v>
      </c>
      <c r="DJ159" s="47">
        <f ca="1">KH_26_OPT4_KTQT_v4[[#This Row],[DT-EXW-10]]+KH_26_OPT4_KTQT_v4[[#This Row],[CPVC-10]]+KH_26_OPT4_KTQT_v4[[#This Row],[CPHH-10]]</f>
        <v>0</v>
      </c>
      <c r="DK159" s="47">
        <f ca="1">KH_26_OPT4_KTQT_v4[[#This Row],[DT-EXW-11]]+KH_26_OPT4_KTQT_v4[[#This Row],[CPVC-11]]+KH_26_OPT4_KTQT_v4[[#This Row],[CPHH-11]]</f>
        <v>0</v>
      </c>
      <c r="DL159" s="47">
        <f ca="1">KH_26_OPT4_KTQT_v4[[#This Row],[DT-EXW-12]]+KH_26_OPT4_KTQT_v4[[#This Row],[CPVC-12]]+KH_26_OPT4_KTQT_v4[[#This Row],[CPHH-12]]</f>
        <v>0</v>
      </c>
      <c r="DM159" s="47">
        <f ca="1">SUM(KH_26_OPT4_KTQT_v4[[#This Row],[DT-01]:[DT-12]])</f>
        <v>0</v>
      </c>
      <c r="DN159" s="7"/>
      <c r="DO159" s="7"/>
      <c r="DP159" s="125"/>
      <c r="DQ159" s="136"/>
      <c r="DR159" s="132">
        <f>IFERROR(KH_26_OPT4_KTQT_v4[[#This Row],[DT-EXW-01]]*KH_26_OPT4_KTQT_v4[[#This Row],[%CPDP]],0)</f>
        <v>0</v>
      </c>
      <c r="DS159" s="132">
        <f>IFERROR(KH_26_OPT4_KTQT_v4[[#This Row],[DT-EXW-02]]*KH_26_OPT4_KTQT_v4[[#This Row],[%CPDP]],0)</f>
        <v>0</v>
      </c>
      <c r="DT159" s="132">
        <f>IFERROR(KH_26_OPT4_KTQT_v4[[#This Row],[DT-EXW-03]]*KH_26_OPT4_KTQT_v4[[#This Row],[%CPDP]],0)</f>
        <v>0</v>
      </c>
      <c r="DU159" s="132">
        <f>IFERROR(KH_26_OPT4_KTQT_v4[[#This Row],[DT-EXW-04]]*KH_26_OPT4_KTQT_v4[[#This Row],[%CPDP]],0)</f>
        <v>0</v>
      </c>
      <c r="DV159" s="132">
        <f>IFERROR(KH_26_OPT4_KTQT_v4[[#This Row],[DT-EXW-05]]*KH_26_OPT4_KTQT_v4[[#This Row],[%CPDP]],0)</f>
        <v>0</v>
      </c>
      <c r="DW159" s="132">
        <f>IFERROR(KH_26_OPT4_KTQT_v4[[#This Row],[DT-EXW-06]]*KH_26_OPT4_KTQT_v4[[#This Row],[%CPDP]],0)</f>
        <v>0</v>
      </c>
      <c r="DX159" s="132">
        <f>IFERROR(KH_26_OPT4_KTQT_v4[[#This Row],[DT-EXW-07]]*KH_26_OPT4_KTQT_v4[[#This Row],[%CPDP]],0)</f>
        <v>0</v>
      </c>
      <c r="DY159" s="132">
        <f>IFERROR(KH_26_OPT4_KTQT_v4[[#This Row],[DT-EXW-08]]*KH_26_OPT4_KTQT_v4[[#This Row],[%CPDP]],0)</f>
        <v>0</v>
      </c>
      <c r="DZ159" s="132">
        <f>IFERROR(KH_26_OPT4_KTQT_v4[[#This Row],[DT-EXW-09]]*KH_26_OPT4_KTQT_v4[[#This Row],[%CPDP]],0)</f>
        <v>0</v>
      </c>
      <c r="EA159" s="132">
        <f>IFERROR(KH_26_OPT4_KTQT_v4[[#This Row],[DT-EXW-10]]*KH_26_OPT4_KTQT_v4[[#This Row],[%CPDP]],0)</f>
        <v>0</v>
      </c>
      <c r="EB159" s="132">
        <f>IFERROR(KH_26_OPT4_KTQT_v4[[#This Row],[DT-EXW-11]]*KH_26_OPT4_KTQT_v4[[#This Row],[%CPDP]],0)</f>
        <v>0</v>
      </c>
      <c r="EC159" s="132">
        <f>IFERROR(KH_26_OPT4_KTQT_v4[[#This Row],[DT-EXW-12]]*KH_26_OPT4_KTQT_v4[[#This Row],[%CPDP]],0)</f>
        <v>0</v>
      </c>
      <c r="ED159" s="131">
        <f ca="1">SUM(KH_26_OPT4_KTQT_v4[[#This Row],[CPDP-01]:[CPDP-12]])</f>
        <v>0</v>
      </c>
    </row>
    <row r="160" spans="1:134" ht="14.65" hidden="1" customHeight="1" x14ac:dyDescent="0.35">
      <c r="A160" s="18">
        <v>155</v>
      </c>
      <c r="B160" s="71" t="s">
        <v>115</v>
      </c>
      <c r="C160" s="18" t="str">
        <f>IFERROR(_xlfn.XLOOKUP(KH_26_OPT4_KTQT_v4[[#This Row],[Salesman]],MD_Salesman[Salesman],MD_Salesman[SalesManager]),"")</f>
        <v>Quốc Anh</v>
      </c>
      <c r="D160" s="72" t="str">
        <f>IFERROR(INDEX(MD_Customer[Mã khách],MATCH(KH_26_OPT4_KTQT_v4[[#This Row],[Tên khách]],MD_Customer[Tên khách-rút gọn],0)),"")</f>
        <v>105341</v>
      </c>
      <c r="E160" s="7" t="str">
        <f>IFERROR(INDEX(MD_Customer[Parent Account],MATCH(KH_26_OPT4_KTQT_v4[[#This Row],[Tên khách]],MD_Customer[Tên khách-rút gọn],0)),"")</f>
        <v>TÂN HOA THỊNH</v>
      </c>
      <c r="F160" s="35" t="s">
        <v>158</v>
      </c>
      <c r="G160" s="7" t="str">
        <f>IFERROR(INDEX(MD_Customer[Phân loại],MATCH(KH_26_OPT4_KTQT_v4[[#This Row],[Tên khách]],MD_Customer[Tên khách-rút gọn],0)),"")</f>
        <v>Mới</v>
      </c>
      <c r="H160" s="7" t="str">
        <f>IFERROR(INDEX(MD_Customer[Kênh bán hàng],MATCH(KH_26_OPT4_KTQT_v4[[#This Row],[Tên khách]],MD_Customer[Tên khách-rút gọn],0)),"")</f>
        <v>Nội địa</v>
      </c>
      <c r="I160" s="35" t="s">
        <v>258</v>
      </c>
      <c r="J160" s="7" t="str">
        <f>IFERROR(INDEX(MD_Destination[Nước],MATCH(KH_26_OPT4_KTQT_v4[[#This Row],[Địa điểm đến]],MD_Destination[Địa điểm đến],0)),"")</f>
        <v>Việt Nam</v>
      </c>
      <c r="K160" s="7" t="str">
        <f>IFERROR(INDEX(MD_Destination[Khu vực],MATCH(KH_26_OPT4_KTQT_v4[[#This Row],[Địa điểm đến]],MD_Destination[Địa điểm đến],0)),"")</f>
        <v>Châu Á</v>
      </c>
      <c r="L160" s="35" t="s">
        <v>262</v>
      </c>
      <c r="M160" s="7" t="str">
        <f>IFERROR(INDEX(MD_SKU[Mã SKU],MATCH(KH_26_OPT4_KTQT_v4[[#This Row],[Tên sản phẩm]],MD_SKU[Tên SKU-rút gọn],0)),"")</f>
        <v>110000411</v>
      </c>
      <c r="N160" s="35" t="s">
        <v>474</v>
      </c>
      <c r="O160" s="7" t="str">
        <f>IFERROR(INDEX(MD_SKU[Ngành hàng],MATCH(KH_26_OPT4_KTQT_v4[[#This Row],[Tên sản phẩm]],MD_SKU[Tên SKU-rút gọn],0)),"")</f>
        <v>rHDPE ép</v>
      </c>
      <c r="P160" s="7" t="str">
        <f>IFERROR(INDEX(MD_SKU[Nhóm ngành],MATCH(KH_26_OPT4_KTQT_v4[[#This Row],[Tên sản phẩm]],MD_SKU[Tên SKU-rút gọn],0)),"")</f>
        <v>Vảy HD ép</v>
      </c>
      <c r="Q160" s="7" t="str">
        <f>IFERROR(
   IF(INDEX(MD_SKU[IV/IM],MATCH(KH_26_OPT4_KTQT_v4[[#This Row],[Tên sản phẩm]],MD_SKU[Tên SKU-rút gọn],0))=0,
      "",
      INDEX(MD_SKU[IV/IM],MATCH(KH_26_OPT4_KTQT_v4[[#This Row],[Tên sản phẩm]],MD_SKU[Tên SKU-rút gọn],0))
   ),
"")</f>
        <v/>
      </c>
      <c r="R160" s="44">
        <f>IFERROR(INDEX(MD_SKU[Application],MATCH(KH_26_OPT4_KTQT_v4[[#This Row],[Tên sản phẩm]],MD_SKU[Tên SKU-rút gọn],0)),"")</f>
        <v>0</v>
      </c>
      <c r="S160" s="7" t="str">
        <f>IFERROR(INDEX(MD_SKU[Phân loại],MATCH(KH_26_OPT4_KTQT_v4[[#This Row],[Tên sản phẩm]],MD_SKU[Tên SKU-rút gọn],0)),"")</f>
        <v>Cũ</v>
      </c>
      <c r="T160" s="7" t="s">
        <v>542</v>
      </c>
      <c r="U160" s="7"/>
      <c r="V160" s="70">
        <v>0.8</v>
      </c>
      <c r="W160" s="33"/>
      <c r="X160" s="33"/>
      <c r="Y160" s="33"/>
      <c r="Z160" s="33"/>
      <c r="AA160" s="33"/>
      <c r="AB160" s="33"/>
      <c r="AC160" s="33"/>
      <c r="AD160" s="33"/>
      <c r="AE160" s="33"/>
      <c r="AF160" s="33"/>
      <c r="AG160" s="33"/>
      <c r="AH160" s="33"/>
      <c r="AI160" s="47">
        <f ca="1">SUM(KH_26_OPT4_KTQT_v4[[#This Row],[SL-01]:[SL-12]])</f>
        <v>0</v>
      </c>
      <c r="AJ160" s="47">
        <f ca="1">SUMIFS(DB_25[SL-DB25],DB_25[Mã khách],KH_26_OPT4_KTQT_v4[[#This Row],[Mã khách]],DB_25[Mã sản phẩm],KH_26_OPT4_KTQT_v4[[#This Row],[Mã sản phẩm]])</f>
        <v>10</v>
      </c>
      <c r="AK160" s="20">
        <f ca="1">KH_26_OPT4_KTQT_v4[[#This Row],[SL-KH26]]-KH_26_OPT4_KTQT_v4[[#This Row],[SL-DB25]]</f>
        <v>-10</v>
      </c>
      <c r="AL160" s="21">
        <f ca="1">IFERROR(KH_26_OPT4_KTQT_v4[[#This Row],[SL-+/-]]/KH_26_OPT4_KTQT_v4[[#This Row],[SL-DB25]],0)</f>
        <v>-1</v>
      </c>
      <c r="AM160" s="51">
        <v>560</v>
      </c>
      <c r="AN160" s="51">
        <v>560</v>
      </c>
      <c r="AO160" s="51">
        <v>560</v>
      </c>
      <c r="AP160" s="51">
        <v>560</v>
      </c>
      <c r="AQ160" s="51">
        <v>560</v>
      </c>
      <c r="AR160" s="51">
        <v>560</v>
      </c>
      <c r="AS160" s="51">
        <v>560</v>
      </c>
      <c r="AT160" s="51">
        <v>560</v>
      </c>
      <c r="AU160" s="51">
        <v>560</v>
      </c>
      <c r="AV160" s="51">
        <v>560</v>
      </c>
      <c r="AW160" s="51">
        <v>560</v>
      </c>
      <c r="AX160" s="51">
        <v>560</v>
      </c>
      <c r="AY160" s="23">
        <v>560</v>
      </c>
      <c r="AZ160" s="7"/>
      <c r="BA160" s="24">
        <f>KH_26_OPT4_KTQT_v4[[#This Row],[GB-DB25]]-KH_26_OPT4_KTQT_v4[[#This Row],[GB-KH25]]</f>
        <v>560</v>
      </c>
      <c r="BB160" s="21">
        <f>IFERROR(KH_26_OPT4_KTQT_v4[[#This Row],[GB-+/-]]/KH_26_OPT4_KTQT_v4[[#This Row],[GB-KH25]],0)</f>
        <v>0</v>
      </c>
      <c r="BC160" s="21"/>
      <c r="BD160" s="47">
        <f>KH_26_OPT4_KTQT_v4[[#This Row],[SL-01]]*KH_26_OPT4_KTQT_v4[[#This Row],[GB-01]]*EXR</f>
        <v>0</v>
      </c>
      <c r="BE160" s="47">
        <f>KH_26_OPT4_KTQT_v4[[#This Row],[SL-02]]*KH_26_OPT4_KTQT_v4[[#This Row],[GB-02]]*EXR</f>
        <v>0</v>
      </c>
      <c r="BF160" s="47">
        <f>KH_26_OPT4_KTQT_v4[[#This Row],[SL-03]]*KH_26_OPT4_KTQT_v4[[#This Row],[GB-03]]*EXR</f>
        <v>0</v>
      </c>
      <c r="BG160" s="47">
        <f>KH_26_OPT4_KTQT_v4[[#This Row],[SL-04]]*KH_26_OPT4_KTQT_v4[[#This Row],[GB-04]]*EXR</f>
        <v>0</v>
      </c>
      <c r="BH160" s="47">
        <f>KH_26_OPT4_KTQT_v4[[#This Row],[SL-05]]*KH_26_OPT4_KTQT_v4[[#This Row],[GB-05]]*EXR</f>
        <v>0</v>
      </c>
      <c r="BI160" s="47">
        <f>KH_26_OPT4_KTQT_v4[[#This Row],[SL-06]]*KH_26_OPT4_KTQT_v4[[#This Row],[GB-06]]*EXR</f>
        <v>0</v>
      </c>
      <c r="BJ160" s="47">
        <f>KH_26_OPT4_KTQT_v4[[#This Row],[SL-07]]*KH_26_OPT4_KTQT_v4[[#This Row],[GB-07]]*EXR</f>
        <v>0</v>
      </c>
      <c r="BK160" s="47">
        <f>KH_26_OPT4_KTQT_v4[[#This Row],[SL-08]]*KH_26_OPT4_KTQT_v4[[#This Row],[GB-08]]*EXR</f>
        <v>0</v>
      </c>
      <c r="BL160" s="47">
        <f>KH_26_OPT4_KTQT_v4[[#This Row],[SL-09]]*KH_26_OPT4_KTQT_v4[[#This Row],[GB-09]]*EXR</f>
        <v>0</v>
      </c>
      <c r="BM160" s="47">
        <f>KH_26_OPT4_KTQT_v4[[#This Row],[SL-10]]*KH_26_OPT4_KTQT_v4[[#This Row],[GB-10]]*EXR</f>
        <v>0</v>
      </c>
      <c r="BN160" s="47">
        <f>KH_26_OPT4_KTQT_v4[[#This Row],[SL-11]]*KH_26_OPT4_KTQT_v4[[#This Row],[GB-11]]*EXR</f>
        <v>0</v>
      </c>
      <c r="BO160" s="47">
        <f>KH_26_OPT4_KTQT_v4[[#This Row],[SL-12]]*KH_26_OPT4_KTQT_v4[[#This Row],[GB-12]]*EXR</f>
        <v>0</v>
      </c>
      <c r="BP160" s="47">
        <f ca="1">SUM(KH_26_OPT4_KTQT_v4[[#This Row],[DT-EXW-01]:[DT-EXW-12]])</f>
        <v>0</v>
      </c>
      <c r="BQ160" s="47">
        <f ca="1">SUMIFS(DB_25[DT-DB25],DB_25[Mã khách],KH_26_OPT4_KTQT_v4[[#This Row],[Mã khách]],DB_25[Mã sản phẩm],KH_26_OPT4_KTQT_v4[[#This Row],[Mã sản phẩm]])</f>
        <v>143606951.25274724</v>
      </c>
      <c r="BR160" s="47">
        <f ca="1">KH_26_OPT4_KTQT_v4[[#This Row],[DT-EXW-KH26]]-KH_26_OPT4_KTQT_v4[[#This Row],[DT-EXW-DB25]]</f>
        <v>-143606951.25274724</v>
      </c>
      <c r="BS160" s="21">
        <f ca="1">IFERROR(KH_26_OPT4_KTQT_v4[[#This Row],[DT-EXW-+/-]]/KH_26_OPT4_KTQT_v4[[#This Row],[DT-EXW-DB25]],0)</f>
        <v>-1</v>
      </c>
      <c r="BT160" s="139"/>
      <c r="BU160" s="57"/>
      <c r="BV160" s="51"/>
      <c r="BW160" s="47">
        <f>IF(KH_26_OPT4_KTQT_v4[[#This Row],[CPHH-%-SL]]="Dthu",KH_26_OPT4_KTQT_v4[[#This Row],[%HH]]*KH_26_OPT4_KTQT_v4[[#This Row],[DT-EXW-01]],KH_26_OPT4_KTQT_v4[[#This Row],[HH-SL]]*KH_26_OPT4_KTQT_v4[[#This Row],[SL-01]])</f>
        <v>0</v>
      </c>
      <c r="BX160" s="47">
        <f>IF(KH_26_OPT4_KTQT_v4[[#This Row],[CPHH-%-SL]]="Dthu",KH_26_OPT4_KTQT_v4[[#This Row],[%HH]]*KH_26_OPT4_KTQT_v4[[#This Row],[DT-EXW-02]],KH_26_OPT4_KTQT_v4[[#This Row],[HH-SL]]*KH_26_OPT4_KTQT_v4[[#This Row],[SL-02]])</f>
        <v>0</v>
      </c>
      <c r="BY160" s="47">
        <f>IF(KH_26_OPT4_KTQT_v4[[#This Row],[CPHH-%-SL]]="Dthu",KH_26_OPT4_KTQT_v4[[#This Row],[%HH]]*KH_26_OPT4_KTQT_v4[[#This Row],[DT-EXW-03]],KH_26_OPT4_KTQT_v4[[#This Row],[HH-SL]]*KH_26_OPT4_KTQT_v4[[#This Row],[SL-03]])</f>
        <v>0</v>
      </c>
      <c r="BZ160" s="47">
        <f>IF(KH_26_OPT4_KTQT_v4[[#This Row],[CPHH-%-SL]]="Dthu",KH_26_OPT4_KTQT_v4[[#This Row],[%HH]]*KH_26_OPT4_KTQT_v4[[#This Row],[DT-EXW-04]],KH_26_OPT4_KTQT_v4[[#This Row],[HH-SL]]*KH_26_OPT4_KTQT_v4[[#This Row],[SL-04]])</f>
        <v>0</v>
      </c>
      <c r="CA160" s="47">
        <f>IF(KH_26_OPT4_KTQT_v4[[#This Row],[CPHH-%-SL]]="Dthu",KH_26_OPT4_KTQT_v4[[#This Row],[%HH]]*KH_26_OPT4_KTQT_v4[[#This Row],[DT-EXW-05]],KH_26_OPT4_KTQT_v4[[#This Row],[HH-SL]]*KH_26_OPT4_KTQT_v4[[#This Row],[SL-05]])</f>
        <v>0</v>
      </c>
      <c r="CB160" s="47">
        <f>IF(KH_26_OPT4_KTQT_v4[[#This Row],[CPHH-%-SL]]="Dthu",KH_26_OPT4_KTQT_v4[[#This Row],[%HH]]*KH_26_OPT4_KTQT_v4[[#This Row],[DT-EXW-06]],KH_26_OPT4_KTQT_v4[[#This Row],[HH-SL]]*KH_26_OPT4_KTQT_v4[[#This Row],[SL-06]])</f>
        <v>0</v>
      </c>
      <c r="CC160" s="47">
        <f>IF(KH_26_OPT4_KTQT_v4[[#This Row],[CPHH-%-SL]]="Dthu",KH_26_OPT4_KTQT_v4[[#This Row],[%HH]]*KH_26_OPT4_KTQT_v4[[#This Row],[DT-EXW-07]],KH_26_OPT4_KTQT_v4[[#This Row],[HH-SL]]*KH_26_OPT4_KTQT_v4[[#This Row],[SL-07]])</f>
        <v>0</v>
      </c>
      <c r="CD160" s="47">
        <f>IF(KH_26_OPT4_KTQT_v4[[#This Row],[CPHH-%-SL]]="Dthu",KH_26_OPT4_KTQT_v4[[#This Row],[%HH]]*KH_26_OPT4_KTQT_v4[[#This Row],[DT-EXW-08]],KH_26_OPT4_KTQT_v4[[#This Row],[HH-SL]]*KH_26_OPT4_KTQT_v4[[#This Row],[SL-08]])</f>
        <v>0</v>
      </c>
      <c r="CE160" s="47">
        <f>IF(KH_26_OPT4_KTQT_v4[[#This Row],[CPHH-%-SL]]="Dthu",KH_26_OPT4_KTQT_v4[[#This Row],[%HH]]*KH_26_OPT4_KTQT_v4[[#This Row],[DT-EXW-09]],KH_26_OPT4_KTQT_v4[[#This Row],[HH-SL]]*KH_26_OPT4_KTQT_v4[[#This Row],[SL-09]])</f>
        <v>0</v>
      </c>
      <c r="CF160" s="47">
        <f>IF(KH_26_OPT4_KTQT_v4[[#This Row],[CPHH-%-SL]]="Dthu",KH_26_OPT4_KTQT_v4[[#This Row],[%HH]]*KH_26_OPT4_KTQT_v4[[#This Row],[DT-EXW-10]],KH_26_OPT4_KTQT_v4[[#This Row],[HH-SL]]*KH_26_OPT4_KTQT_v4[[#This Row],[SL-10]])</f>
        <v>0</v>
      </c>
      <c r="CG160" s="47">
        <f>IF(KH_26_OPT4_KTQT_v4[[#This Row],[CPHH-%-SL]]="Dthu",KH_26_OPT4_KTQT_v4[[#This Row],[%HH]]*KH_26_OPT4_KTQT_v4[[#This Row],[DT-EXW-11]],KH_26_OPT4_KTQT_v4[[#This Row],[HH-SL]]*KH_26_OPT4_KTQT_v4[[#This Row],[SL-11]])</f>
        <v>0</v>
      </c>
      <c r="CH160" s="47">
        <f>IF(KH_26_OPT4_KTQT_v4[[#This Row],[CPHH-%-SL]]="Dthu",KH_26_OPT4_KTQT_v4[[#This Row],[%HH]]*KH_26_OPT4_KTQT_v4[[#This Row],[DT-EXW-12]],KH_26_OPT4_KTQT_v4[[#This Row],[HH-SL]]*KH_26_OPT4_KTQT_v4[[#This Row],[SL-12]])</f>
        <v>0</v>
      </c>
      <c r="CI160" s="47">
        <f ca="1">SUM(KH_26_OPT4_KTQT_v4[[#This Row],[CPHH-01]:[CPHH-12]])</f>
        <v>0</v>
      </c>
      <c r="CJ160" s="47" cm="1">
        <f t="array" ref="CJ160">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60" s="19">
        <f ca="1">SUM(KH_26_OPT4_KTQT_v4[[#This Row],[ĐGVCNĐ-KXK]:[ĐGVCCT-KXK]])</f>
        <v>0</v>
      </c>
      <c r="CL160" s="47" cm="1">
        <f t="array" ref="CL160">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160" s="47" cm="1">
        <f t="array" ref="CM160">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60" s="47">
        <f ca="1">(KH_26_OPT4_KTQT_v4[[#This Row],[ĐGVC-KNĐ]]+KH_26_OPT4_KTQT_v4[[#This Row],[ĐGVC-KXK]])*KH_26_OPT4_KTQT_v4[[#This Row],[SL-01]]</f>
        <v>0</v>
      </c>
      <c r="CO160" s="47">
        <f ca="1">(KH_26_OPT4_KTQT_v4[[#This Row],[ĐGVC-KNĐ]]+KH_26_OPT4_KTQT_v4[[#This Row],[ĐGVC-KXK]])*KH_26_OPT4_KTQT_v4[[#This Row],[SL-02]]</f>
        <v>0</v>
      </c>
      <c r="CP160" s="47">
        <f ca="1">(KH_26_OPT4_KTQT_v4[[#This Row],[ĐGVC-KNĐ]]+KH_26_OPT4_KTQT_v4[[#This Row],[ĐGVC-KXK]])*KH_26_OPT4_KTQT_v4[[#This Row],[SL-03]]</f>
        <v>0</v>
      </c>
      <c r="CQ160" s="47">
        <f ca="1">(KH_26_OPT4_KTQT_v4[[#This Row],[ĐGVC-KNĐ]]+KH_26_OPT4_KTQT_v4[[#This Row],[ĐGVC-KXK]])*KH_26_OPT4_KTQT_v4[[#This Row],[SL-04]]</f>
        <v>0</v>
      </c>
      <c r="CR160" s="47">
        <f ca="1">(KH_26_OPT4_KTQT_v4[[#This Row],[ĐGVC-KNĐ]]+KH_26_OPT4_KTQT_v4[[#This Row],[ĐGVC-KXK]])*KH_26_OPT4_KTQT_v4[[#This Row],[SL-05]]</f>
        <v>0</v>
      </c>
      <c r="CS160" s="47">
        <f ca="1">(KH_26_OPT4_KTQT_v4[[#This Row],[ĐGVC-KNĐ]]+KH_26_OPT4_KTQT_v4[[#This Row],[ĐGVC-KXK]])*KH_26_OPT4_KTQT_v4[[#This Row],[SL-06]]</f>
        <v>0</v>
      </c>
      <c r="CT160" s="47">
        <f ca="1">(KH_26_OPT4_KTQT_v4[[#This Row],[ĐGVC-KNĐ]]+KH_26_OPT4_KTQT_v4[[#This Row],[ĐGVC-KXK]])*KH_26_OPT4_KTQT_v4[[#This Row],[SL-07]]</f>
        <v>0</v>
      </c>
      <c r="CU160" s="47">
        <f ca="1">(KH_26_OPT4_KTQT_v4[[#This Row],[ĐGVC-KNĐ]]+KH_26_OPT4_KTQT_v4[[#This Row],[ĐGVC-KXK]])*KH_26_OPT4_KTQT_v4[[#This Row],[SL-08]]</f>
        <v>0</v>
      </c>
      <c r="CV160" s="47">
        <f ca="1">(KH_26_OPT4_KTQT_v4[[#This Row],[ĐGVC-KNĐ]]+KH_26_OPT4_KTQT_v4[[#This Row],[ĐGVC-KXK]])*KH_26_OPT4_KTQT_v4[[#This Row],[SL-09]]</f>
        <v>0</v>
      </c>
      <c r="CW160" s="47">
        <f ca="1">(KH_26_OPT4_KTQT_v4[[#This Row],[ĐGVC-KNĐ]]+KH_26_OPT4_KTQT_v4[[#This Row],[ĐGVC-KXK]])*KH_26_OPT4_KTQT_v4[[#This Row],[SL-10]]</f>
        <v>0</v>
      </c>
      <c r="CX160" s="47">
        <f ca="1">(KH_26_OPT4_KTQT_v4[[#This Row],[ĐGVC-KNĐ]]+KH_26_OPT4_KTQT_v4[[#This Row],[ĐGVC-KXK]])*KH_26_OPT4_KTQT_v4[[#This Row],[SL-11]]</f>
        <v>0</v>
      </c>
      <c r="CY160" s="47">
        <f ca="1">(KH_26_OPT4_KTQT_v4[[#This Row],[ĐGVC-KNĐ]]+KH_26_OPT4_KTQT_v4[[#This Row],[ĐGVC-KXK]])*KH_26_OPT4_KTQT_v4[[#This Row],[SL-12]]</f>
        <v>0</v>
      </c>
      <c r="CZ160" s="47">
        <f ca="1">SUM(KH_26_OPT4_KTQT_v4[[#This Row],[CPVC-01]:[CPVC-12]])</f>
        <v>0</v>
      </c>
      <c r="DA160" s="124">
        <f ca="1">KH_26_OPT4_KTQT_v4[[#This Row],[DT-EXW-01]]+KH_26_OPT4_KTQT_v4[[#This Row],[CPVC-01]]+KH_26_OPT4_KTQT_v4[[#This Row],[CPHH-01]]</f>
        <v>0</v>
      </c>
      <c r="DB160" s="47">
        <f ca="1">KH_26_OPT4_KTQT_v4[[#This Row],[DT-EXW-02]]+KH_26_OPT4_KTQT_v4[[#This Row],[CPVC-02]]+KH_26_OPT4_KTQT_v4[[#This Row],[CPHH-02]]</f>
        <v>0</v>
      </c>
      <c r="DC160" s="47">
        <f ca="1">KH_26_OPT4_KTQT_v4[[#This Row],[DT-EXW-03]]+KH_26_OPT4_KTQT_v4[[#This Row],[CPVC-03]]+KH_26_OPT4_KTQT_v4[[#This Row],[CPHH-03]]</f>
        <v>0</v>
      </c>
      <c r="DD160" s="47">
        <f ca="1">KH_26_OPT4_KTQT_v4[[#This Row],[DT-EXW-04]]+KH_26_OPT4_KTQT_v4[[#This Row],[CPVC-04]]+KH_26_OPT4_KTQT_v4[[#This Row],[CPHH-04]]</f>
        <v>0</v>
      </c>
      <c r="DE160" s="47">
        <f ca="1">KH_26_OPT4_KTQT_v4[[#This Row],[DT-EXW-05]]+KH_26_OPT4_KTQT_v4[[#This Row],[CPVC-05]]+KH_26_OPT4_KTQT_v4[[#This Row],[CPHH-05]]</f>
        <v>0</v>
      </c>
      <c r="DF160" s="47">
        <f ca="1">KH_26_OPT4_KTQT_v4[[#This Row],[DT-EXW-06]]+KH_26_OPT4_KTQT_v4[[#This Row],[CPVC-06]]+KH_26_OPT4_KTQT_v4[[#This Row],[CPHH-06]]</f>
        <v>0</v>
      </c>
      <c r="DG160" s="47">
        <f ca="1">KH_26_OPT4_KTQT_v4[[#This Row],[DT-EXW-07]]+KH_26_OPT4_KTQT_v4[[#This Row],[CPVC-07]]+KH_26_OPT4_KTQT_v4[[#This Row],[CPHH-07]]</f>
        <v>0</v>
      </c>
      <c r="DH160" s="47">
        <f ca="1">KH_26_OPT4_KTQT_v4[[#This Row],[DT-EXW-08]]+KH_26_OPT4_KTQT_v4[[#This Row],[CPVC-08]]+KH_26_OPT4_KTQT_v4[[#This Row],[CPHH-08]]</f>
        <v>0</v>
      </c>
      <c r="DI160" s="47">
        <f ca="1">KH_26_OPT4_KTQT_v4[[#This Row],[DT-EXW-09]]+KH_26_OPT4_KTQT_v4[[#This Row],[CPVC-09]]+KH_26_OPT4_KTQT_v4[[#This Row],[CPHH-09]]</f>
        <v>0</v>
      </c>
      <c r="DJ160" s="47">
        <f ca="1">KH_26_OPT4_KTQT_v4[[#This Row],[DT-EXW-10]]+KH_26_OPT4_KTQT_v4[[#This Row],[CPVC-10]]+KH_26_OPT4_KTQT_v4[[#This Row],[CPHH-10]]</f>
        <v>0</v>
      </c>
      <c r="DK160" s="47">
        <f ca="1">KH_26_OPT4_KTQT_v4[[#This Row],[DT-EXW-11]]+KH_26_OPT4_KTQT_v4[[#This Row],[CPVC-11]]+KH_26_OPT4_KTQT_v4[[#This Row],[CPHH-11]]</f>
        <v>0</v>
      </c>
      <c r="DL160" s="47">
        <f ca="1">KH_26_OPT4_KTQT_v4[[#This Row],[DT-EXW-12]]+KH_26_OPT4_KTQT_v4[[#This Row],[CPVC-12]]+KH_26_OPT4_KTQT_v4[[#This Row],[CPHH-12]]</f>
        <v>0</v>
      </c>
      <c r="DM160" s="47">
        <f ca="1">SUM(KH_26_OPT4_KTQT_v4[[#This Row],[DT-01]:[DT-12]])</f>
        <v>0</v>
      </c>
      <c r="DN160" s="7"/>
      <c r="DO160" s="7"/>
      <c r="DP160" s="125"/>
      <c r="DQ160" s="136"/>
      <c r="DR160" s="132">
        <f>IFERROR(KH_26_OPT4_KTQT_v4[[#This Row],[DT-EXW-01]]*KH_26_OPT4_KTQT_v4[[#This Row],[%CPDP]],0)</f>
        <v>0</v>
      </c>
      <c r="DS160" s="132">
        <f>IFERROR(KH_26_OPT4_KTQT_v4[[#This Row],[DT-EXW-02]]*KH_26_OPT4_KTQT_v4[[#This Row],[%CPDP]],0)</f>
        <v>0</v>
      </c>
      <c r="DT160" s="132">
        <f>IFERROR(KH_26_OPT4_KTQT_v4[[#This Row],[DT-EXW-03]]*KH_26_OPT4_KTQT_v4[[#This Row],[%CPDP]],0)</f>
        <v>0</v>
      </c>
      <c r="DU160" s="132">
        <f>IFERROR(KH_26_OPT4_KTQT_v4[[#This Row],[DT-EXW-04]]*KH_26_OPT4_KTQT_v4[[#This Row],[%CPDP]],0)</f>
        <v>0</v>
      </c>
      <c r="DV160" s="132">
        <f>IFERROR(KH_26_OPT4_KTQT_v4[[#This Row],[DT-EXW-05]]*KH_26_OPT4_KTQT_v4[[#This Row],[%CPDP]],0)</f>
        <v>0</v>
      </c>
      <c r="DW160" s="132">
        <f>IFERROR(KH_26_OPT4_KTQT_v4[[#This Row],[DT-EXW-06]]*KH_26_OPT4_KTQT_v4[[#This Row],[%CPDP]],0)</f>
        <v>0</v>
      </c>
      <c r="DX160" s="132">
        <f>IFERROR(KH_26_OPT4_KTQT_v4[[#This Row],[DT-EXW-07]]*KH_26_OPT4_KTQT_v4[[#This Row],[%CPDP]],0)</f>
        <v>0</v>
      </c>
      <c r="DY160" s="132">
        <f>IFERROR(KH_26_OPT4_KTQT_v4[[#This Row],[DT-EXW-08]]*KH_26_OPT4_KTQT_v4[[#This Row],[%CPDP]],0)</f>
        <v>0</v>
      </c>
      <c r="DZ160" s="132">
        <f>IFERROR(KH_26_OPT4_KTQT_v4[[#This Row],[DT-EXW-09]]*KH_26_OPT4_KTQT_v4[[#This Row],[%CPDP]],0)</f>
        <v>0</v>
      </c>
      <c r="EA160" s="132">
        <f>IFERROR(KH_26_OPT4_KTQT_v4[[#This Row],[DT-EXW-10]]*KH_26_OPT4_KTQT_v4[[#This Row],[%CPDP]],0)</f>
        <v>0</v>
      </c>
      <c r="EB160" s="132">
        <f>IFERROR(KH_26_OPT4_KTQT_v4[[#This Row],[DT-EXW-11]]*KH_26_OPT4_KTQT_v4[[#This Row],[%CPDP]],0)</f>
        <v>0</v>
      </c>
      <c r="EC160" s="132">
        <f>IFERROR(KH_26_OPT4_KTQT_v4[[#This Row],[DT-EXW-12]]*KH_26_OPT4_KTQT_v4[[#This Row],[%CPDP]],0)</f>
        <v>0</v>
      </c>
      <c r="ED160" s="131">
        <f ca="1">SUM(KH_26_OPT4_KTQT_v4[[#This Row],[CPDP-01]:[CPDP-12]])</f>
        <v>0</v>
      </c>
    </row>
    <row r="161" spans="1:134" ht="14.65" hidden="1" customHeight="1" x14ac:dyDescent="0.35">
      <c r="A161" s="18">
        <v>156</v>
      </c>
      <c r="B161" s="71" t="s">
        <v>115</v>
      </c>
      <c r="C161" s="18" t="str">
        <f>IFERROR(_xlfn.XLOOKUP(KH_26_OPT4_KTQT_v4[[#This Row],[Salesman]],MD_Salesman[Salesman],MD_Salesman[SalesManager]),"")</f>
        <v>Quốc Anh</v>
      </c>
      <c r="D161" s="72" t="str">
        <f>IFERROR(INDEX(MD_Customer[Mã khách],MATCH(KH_26_OPT4_KTQT_v4[[#This Row],[Tên khách]],MD_Customer[Tên khách-rút gọn],0)),"")</f>
        <v>105346</v>
      </c>
      <c r="E161" s="7" t="str">
        <f>IFERROR(INDEX(MD_Customer[Parent Account],MATCH(KH_26_OPT4_KTQT_v4[[#This Row],[Tên khách]],MD_Customer[Tên khách-rút gọn],0)),"")</f>
        <v>GUNICA</v>
      </c>
      <c r="F161" s="35" t="s">
        <v>70</v>
      </c>
      <c r="G161" s="7" t="str">
        <f>IFERROR(INDEX(MD_Customer[Phân loại],MATCH(KH_26_OPT4_KTQT_v4[[#This Row],[Tên khách]],MD_Customer[Tên khách-rút gọn],0)),"")</f>
        <v>Mới</v>
      </c>
      <c r="H161" s="7" t="str">
        <f>IFERROR(INDEX(MD_Customer[Kênh bán hàng],MATCH(KH_26_OPT4_KTQT_v4[[#This Row],[Tên khách]],MD_Customer[Tên khách-rút gọn],0)),"")</f>
        <v>Nội địa</v>
      </c>
      <c r="I161" s="35" t="s">
        <v>268</v>
      </c>
      <c r="J161" s="7" t="str">
        <f>IFERROR(INDEX(MD_Destination[Nước],MATCH(KH_26_OPT4_KTQT_v4[[#This Row],[Địa điểm đến]],MD_Destination[Địa điểm đến],0)),"")</f>
        <v>Việt Nam</v>
      </c>
      <c r="K161" s="7" t="str">
        <f>IFERROR(INDEX(MD_Destination[Khu vực],MATCH(KH_26_OPT4_KTQT_v4[[#This Row],[Địa điểm đến]],MD_Destination[Địa điểm đến],0)),"")</f>
        <v>Châu Á</v>
      </c>
      <c r="L161" s="35" t="s">
        <v>260</v>
      </c>
      <c r="M161" s="7" t="str">
        <f>IFERROR(INDEX(MD_SKU[Mã SKU],MATCH(KH_26_OPT4_KTQT_v4[[#This Row],[Tên sản phẩm]],MD_SKU[Tên SKU-rút gọn],0)),"")</f>
        <v>110000392</v>
      </c>
      <c r="N161" s="35" t="s">
        <v>485</v>
      </c>
      <c r="O161" s="7" t="str">
        <f>IFERROR(INDEX(MD_SKU[Ngành hàng],MATCH(KH_26_OPT4_KTQT_v4[[#This Row],[Tên sản phẩm]],MD_SKU[Tên SKU-rút gọn],0)),"")</f>
        <v>rPP</v>
      </c>
      <c r="P161" s="7" t="str">
        <f>IFERROR(INDEX(MD_SKU[Nhóm ngành],MATCH(KH_26_OPT4_KTQT_v4[[#This Row],[Tên sản phẩm]],MD_SKU[Tên SKU-rút gọn],0)),"")</f>
        <v>Hạt PP</v>
      </c>
      <c r="Q161" s="7" t="str">
        <f>IFERROR(
   IF(INDEX(MD_SKU[IV/IM],MATCH(KH_26_OPT4_KTQT_v4[[#This Row],[Tên sản phẩm]],MD_SKU[Tên SKU-rút gọn],0))=0,
      "",
      INDEX(MD_SKU[IV/IM],MATCH(KH_26_OPT4_KTQT_v4[[#This Row],[Tên sản phẩm]],MD_SKU[Tên SKU-rút gọn],0))
   ),
"")</f>
        <v/>
      </c>
      <c r="R161" s="44">
        <f>IFERROR(INDEX(MD_SKU[Application],MATCH(KH_26_OPT4_KTQT_v4[[#This Row],[Tên sản phẩm]],MD_SKU[Tên SKU-rút gọn],0)),"")</f>
        <v>0</v>
      </c>
      <c r="S161" s="7" t="str">
        <f>IFERROR(INDEX(MD_SKU[Phân loại],MATCH(KH_26_OPT4_KTQT_v4[[#This Row],[Tên sản phẩm]],MD_SKU[Tên SKU-rút gọn],0)),"")</f>
        <v>Cũ</v>
      </c>
      <c r="T161" s="7" t="s">
        <v>542</v>
      </c>
      <c r="U161" s="7"/>
      <c r="V161" s="70">
        <v>0.8</v>
      </c>
      <c r="W161" s="33"/>
      <c r="X161" s="33"/>
      <c r="Y161" s="33"/>
      <c r="Z161" s="33"/>
      <c r="AA161" s="33"/>
      <c r="AB161" s="33"/>
      <c r="AC161" s="33"/>
      <c r="AD161" s="33"/>
      <c r="AE161" s="33"/>
      <c r="AF161" s="33"/>
      <c r="AG161" s="33"/>
      <c r="AH161" s="33"/>
      <c r="AI161" s="47">
        <f ca="1">SUM(KH_26_OPT4_KTQT_v4[[#This Row],[SL-01]:[SL-12]])</f>
        <v>0</v>
      </c>
      <c r="AJ161" s="47">
        <f ca="1">SUMIFS(DB_25[SL-DB25],DB_25[Mã khách],KH_26_OPT4_KTQT_v4[[#This Row],[Mã khách]],DB_25[Mã sản phẩm],KH_26_OPT4_KTQT_v4[[#This Row],[Mã sản phẩm]])</f>
        <v>0.1</v>
      </c>
      <c r="AK161" s="20">
        <f ca="1">KH_26_OPT4_KTQT_v4[[#This Row],[SL-KH26]]-KH_26_OPT4_KTQT_v4[[#This Row],[SL-DB25]]</f>
        <v>-0.1</v>
      </c>
      <c r="AL161" s="21">
        <f ca="1">IFERROR(KH_26_OPT4_KTQT_v4[[#This Row],[SL-+/-]]/KH_26_OPT4_KTQT_v4[[#This Row],[SL-DB25]],0)</f>
        <v>-1</v>
      </c>
      <c r="AM161" s="51">
        <v>825</v>
      </c>
      <c r="AN161" s="51">
        <v>825</v>
      </c>
      <c r="AO161" s="51">
        <v>825</v>
      </c>
      <c r="AP161" s="51">
        <v>825</v>
      </c>
      <c r="AQ161" s="51">
        <v>825</v>
      </c>
      <c r="AR161" s="51">
        <v>825</v>
      </c>
      <c r="AS161" s="51">
        <v>825</v>
      </c>
      <c r="AT161" s="51">
        <v>825</v>
      </c>
      <c r="AU161" s="51">
        <v>825</v>
      </c>
      <c r="AV161" s="51">
        <v>825</v>
      </c>
      <c r="AW161" s="51">
        <v>825</v>
      </c>
      <c r="AX161" s="51">
        <v>825</v>
      </c>
      <c r="AY161" s="23">
        <v>825</v>
      </c>
      <c r="AZ161" s="7"/>
      <c r="BA161" s="24">
        <f>KH_26_OPT4_KTQT_v4[[#This Row],[GB-DB25]]-KH_26_OPT4_KTQT_v4[[#This Row],[GB-KH25]]</f>
        <v>825</v>
      </c>
      <c r="BB161" s="21">
        <f>IFERROR(KH_26_OPT4_KTQT_v4[[#This Row],[GB-+/-]]/KH_26_OPT4_KTQT_v4[[#This Row],[GB-KH25]],0)</f>
        <v>0</v>
      </c>
      <c r="BC161" s="21"/>
      <c r="BD161" s="47">
        <f>KH_26_OPT4_KTQT_v4[[#This Row],[SL-01]]*KH_26_OPT4_KTQT_v4[[#This Row],[GB-01]]*EXR</f>
        <v>0</v>
      </c>
      <c r="BE161" s="47">
        <f>KH_26_OPT4_KTQT_v4[[#This Row],[SL-02]]*KH_26_OPT4_KTQT_v4[[#This Row],[GB-02]]*EXR</f>
        <v>0</v>
      </c>
      <c r="BF161" s="47">
        <f>KH_26_OPT4_KTQT_v4[[#This Row],[SL-03]]*KH_26_OPT4_KTQT_v4[[#This Row],[GB-03]]*EXR</f>
        <v>0</v>
      </c>
      <c r="BG161" s="47">
        <f>KH_26_OPT4_KTQT_v4[[#This Row],[SL-04]]*KH_26_OPT4_KTQT_v4[[#This Row],[GB-04]]*EXR</f>
        <v>0</v>
      </c>
      <c r="BH161" s="47">
        <f>KH_26_OPT4_KTQT_v4[[#This Row],[SL-05]]*KH_26_OPT4_KTQT_v4[[#This Row],[GB-05]]*EXR</f>
        <v>0</v>
      </c>
      <c r="BI161" s="47">
        <f>KH_26_OPT4_KTQT_v4[[#This Row],[SL-06]]*KH_26_OPT4_KTQT_v4[[#This Row],[GB-06]]*EXR</f>
        <v>0</v>
      </c>
      <c r="BJ161" s="47">
        <f>KH_26_OPT4_KTQT_v4[[#This Row],[SL-07]]*KH_26_OPT4_KTQT_v4[[#This Row],[GB-07]]*EXR</f>
        <v>0</v>
      </c>
      <c r="BK161" s="47">
        <f>KH_26_OPT4_KTQT_v4[[#This Row],[SL-08]]*KH_26_OPT4_KTQT_v4[[#This Row],[GB-08]]*EXR</f>
        <v>0</v>
      </c>
      <c r="BL161" s="47">
        <f>KH_26_OPT4_KTQT_v4[[#This Row],[SL-09]]*KH_26_OPT4_KTQT_v4[[#This Row],[GB-09]]*EXR</f>
        <v>0</v>
      </c>
      <c r="BM161" s="47">
        <f>KH_26_OPT4_KTQT_v4[[#This Row],[SL-10]]*KH_26_OPT4_KTQT_v4[[#This Row],[GB-10]]*EXR</f>
        <v>0</v>
      </c>
      <c r="BN161" s="47">
        <f>KH_26_OPT4_KTQT_v4[[#This Row],[SL-11]]*KH_26_OPT4_KTQT_v4[[#This Row],[GB-11]]*EXR</f>
        <v>0</v>
      </c>
      <c r="BO161" s="47">
        <f>KH_26_OPT4_KTQT_v4[[#This Row],[SL-12]]*KH_26_OPT4_KTQT_v4[[#This Row],[GB-12]]*EXR</f>
        <v>0</v>
      </c>
      <c r="BP161" s="47">
        <f ca="1">SUM(KH_26_OPT4_KTQT_v4[[#This Row],[DT-EXW-01]:[DT-EXW-12]])</f>
        <v>0</v>
      </c>
      <c r="BQ161" s="47">
        <f ca="1">SUMIFS(DB_25[DT-DB25],DB_25[Mã khách],KH_26_OPT4_KTQT_v4[[#This Row],[Mã khách]],DB_25[Mã sản phẩm],KH_26_OPT4_KTQT_v4[[#This Row],[Mã sản phẩm]])</f>
        <v>1906240.0000000002</v>
      </c>
      <c r="BR161" s="47">
        <f ca="1">KH_26_OPT4_KTQT_v4[[#This Row],[DT-EXW-KH26]]-KH_26_OPT4_KTQT_v4[[#This Row],[DT-EXW-DB25]]</f>
        <v>-1906240.0000000002</v>
      </c>
      <c r="BS161" s="21">
        <f ca="1">IFERROR(KH_26_OPT4_KTQT_v4[[#This Row],[DT-EXW-+/-]]/KH_26_OPT4_KTQT_v4[[#This Row],[DT-EXW-DB25]],0)</f>
        <v>-1</v>
      </c>
      <c r="BT161" s="139"/>
      <c r="BU161" s="57"/>
      <c r="BV161" s="51"/>
      <c r="BW161" s="47">
        <f>IF(KH_26_OPT4_KTQT_v4[[#This Row],[CPHH-%-SL]]="Dthu",KH_26_OPT4_KTQT_v4[[#This Row],[%HH]]*KH_26_OPT4_KTQT_v4[[#This Row],[DT-EXW-01]],KH_26_OPT4_KTQT_v4[[#This Row],[HH-SL]]*KH_26_OPT4_KTQT_v4[[#This Row],[SL-01]])</f>
        <v>0</v>
      </c>
      <c r="BX161" s="47">
        <f>IF(KH_26_OPT4_KTQT_v4[[#This Row],[CPHH-%-SL]]="Dthu",KH_26_OPT4_KTQT_v4[[#This Row],[%HH]]*KH_26_OPT4_KTQT_v4[[#This Row],[DT-EXW-02]],KH_26_OPT4_KTQT_v4[[#This Row],[HH-SL]]*KH_26_OPT4_KTQT_v4[[#This Row],[SL-02]])</f>
        <v>0</v>
      </c>
      <c r="BY161" s="47">
        <f>IF(KH_26_OPT4_KTQT_v4[[#This Row],[CPHH-%-SL]]="Dthu",KH_26_OPT4_KTQT_v4[[#This Row],[%HH]]*KH_26_OPT4_KTQT_v4[[#This Row],[DT-EXW-03]],KH_26_OPT4_KTQT_v4[[#This Row],[HH-SL]]*KH_26_OPT4_KTQT_v4[[#This Row],[SL-03]])</f>
        <v>0</v>
      </c>
      <c r="BZ161" s="47">
        <f>IF(KH_26_OPT4_KTQT_v4[[#This Row],[CPHH-%-SL]]="Dthu",KH_26_OPT4_KTQT_v4[[#This Row],[%HH]]*KH_26_OPT4_KTQT_v4[[#This Row],[DT-EXW-04]],KH_26_OPT4_KTQT_v4[[#This Row],[HH-SL]]*KH_26_OPT4_KTQT_v4[[#This Row],[SL-04]])</f>
        <v>0</v>
      </c>
      <c r="CA161" s="47">
        <f>IF(KH_26_OPT4_KTQT_v4[[#This Row],[CPHH-%-SL]]="Dthu",KH_26_OPT4_KTQT_v4[[#This Row],[%HH]]*KH_26_OPT4_KTQT_v4[[#This Row],[DT-EXW-05]],KH_26_OPT4_KTQT_v4[[#This Row],[HH-SL]]*KH_26_OPT4_KTQT_v4[[#This Row],[SL-05]])</f>
        <v>0</v>
      </c>
      <c r="CB161" s="47">
        <f>IF(KH_26_OPT4_KTQT_v4[[#This Row],[CPHH-%-SL]]="Dthu",KH_26_OPT4_KTQT_v4[[#This Row],[%HH]]*KH_26_OPT4_KTQT_v4[[#This Row],[DT-EXW-06]],KH_26_OPT4_KTQT_v4[[#This Row],[HH-SL]]*KH_26_OPT4_KTQT_v4[[#This Row],[SL-06]])</f>
        <v>0</v>
      </c>
      <c r="CC161" s="47">
        <f>IF(KH_26_OPT4_KTQT_v4[[#This Row],[CPHH-%-SL]]="Dthu",KH_26_OPT4_KTQT_v4[[#This Row],[%HH]]*KH_26_OPT4_KTQT_v4[[#This Row],[DT-EXW-07]],KH_26_OPT4_KTQT_v4[[#This Row],[HH-SL]]*KH_26_OPT4_KTQT_v4[[#This Row],[SL-07]])</f>
        <v>0</v>
      </c>
      <c r="CD161" s="47">
        <f>IF(KH_26_OPT4_KTQT_v4[[#This Row],[CPHH-%-SL]]="Dthu",KH_26_OPT4_KTQT_v4[[#This Row],[%HH]]*KH_26_OPT4_KTQT_v4[[#This Row],[DT-EXW-08]],KH_26_OPT4_KTQT_v4[[#This Row],[HH-SL]]*KH_26_OPT4_KTQT_v4[[#This Row],[SL-08]])</f>
        <v>0</v>
      </c>
      <c r="CE161" s="47">
        <f>IF(KH_26_OPT4_KTQT_v4[[#This Row],[CPHH-%-SL]]="Dthu",KH_26_OPT4_KTQT_v4[[#This Row],[%HH]]*KH_26_OPT4_KTQT_v4[[#This Row],[DT-EXW-09]],KH_26_OPT4_KTQT_v4[[#This Row],[HH-SL]]*KH_26_OPT4_KTQT_v4[[#This Row],[SL-09]])</f>
        <v>0</v>
      </c>
      <c r="CF161" s="47">
        <f>IF(KH_26_OPT4_KTQT_v4[[#This Row],[CPHH-%-SL]]="Dthu",KH_26_OPT4_KTQT_v4[[#This Row],[%HH]]*KH_26_OPT4_KTQT_v4[[#This Row],[DT-EXW-10]],KH_26_OPT4_KTQT_v4[[#This Row],[HH-SL]]*KH_26_OPT4_KTQT_v4[[#This Row],[SL-10]])</f>
        <v>0</v>
      </c>
      <c r="CG161" s="47">
        <f>IF(KH_26_OPT4_KTQT_v4[[#This Row],[CPHH-%-SL]]="Dthu",KH_26_OPT4_KTQT_v4[[#This Row],[%HH]]*KH_26_OPT4_KTQT_v4[[#This Row],[DT-EXW-11]],KH_26_OPT4_KTQT_v4[[#This Row],[HH-SL]]*KH_26_OPT4_KTQT_v4[[#This Row],[SL-11]])</f>
        <v>0</v>
      </c>
      <c r="CH161" s="47">
        <f>IF(KH_26_OPT4_KTQT_v4[[#This Row],[CPHH-%-SL]]="Dthu",KH_26_OPT4_KTQT_v4[[#This Row],[%HH]]*KH_26_OPT4_KTQT_v4[[#This Row],[DT-EXW-12]],KH_26_OPT4_KTQT_v4[[#This Row],[HH-SL]]*KH_26_OPT4_KTQT_v4[[#This Row],[SL-12]])</f>
        <v>0</v>
      </c>
      <c r="CI161" s="47">
        <f ca="1">SUM(KH_26_OPT4_KTQT_v4[[#This Row],[CPHH-01]:[CPHH-12]])</f>
        <v>0</v>
      </c>
      <c r="CJ161" s="47" cm="1">
        <f t="array" ref="CJ161">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61" s="19">
        <f ca="1">SUM(KH_26_OPT4_KTQT_v4[[#This Row],[ĐGVCNĐ-KXK]:[ĐGVCCT-KXK]])</f>
        <v>0</v>
      </c>
      <c r="CL161" s="47" cm="1">
        <f t="array" ref="CL161">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161" s="47" cm="1">
        <f t="array" ref="CM161">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61" s="47">
        <f ca="1">(KH_26_OPT4_KTQT_v4[[#This Row],[ĐGVC-KNĐ]]+KH_26_OPT4_KTQT_v4[[#This Row],[ĐGVC-KXK]])*KH_26_OPT4_KTQT_v4[[#This Row],[SL-01]]</f>
        <v>0</v>
      </c>
      <c r="CO161" s="47">
        <f ca="1">(KH_26_OPT4_KTQT_v4[[#This Row],[ĐGVC-KNĐ]]+KH_26_OPT4_KTQT_v4[[#This Row],[ĐGVC-KXK]])*KH_26_OPT4_KTQT_v4[[#This Row],[SL-02]]</f>
        <v>0</v>
      </c>
      <c r="CP161" s="47">
        <f ca="1">(KH_26_OPT4_KTQT_v4[[#This Row],[ĐGVC-KNĐ]]+KH_26_OPT4_KTQT_v4[[#This Row],[ĐGVC-KXK]])*KH_26_OPT4_KTQT_v4[[#This Row],[SL-03]]</f>
        <v>0</v>
      </c>
      <c r="CQ161" s="47">
        <f ca="1">(KH_26_OPT4_KTQT_v4[[#This Row],[ĐGVC-KNĐ]]+KH_26_OPT4_KTQT_v4[[#This Row],[ĐGVC-KXK]])*KH_26_OPT4_KTQT_v4[[#This Row],[SL-04]]</f>
        <v>0</v>
      </c>
      <c r="CR161" s="47">
        <f ca="1">(KH_26_OPT4_KTQT_v4[[#This Row],[ĐGVC-KNĐ]]+KH_26_OPT4_KTQT_v4[[#This Row],[ĐGVC-KXK]])*KH_26_OPT4_KTQT_v4[[#This Row],[SL-05]]</f>
        <v>0</v>
      </c>
      <c r="CS161" s="47">
        <f ca="1">(KH_26_OPT4_KTQT_v4[[#This Row],[ĐGVC-KNĐ]]+KH_26_OPT4_KTQT_v4[[#This Row],[ĐGVC-KXK]])*KH_26_OPT4_KTQT_v4[[#This Row],[SL-06]]</f>
        <v>0</v>
      </c>
      <c r="CT161" s="47">
        <f ca="1">(KH_26_OPT4_KTQT_v4[[#This Row],[ĐGVC-KNĐ]]+KH_26_OPT4_KTQT_v4[[#This Row],[ĐGVC-KXK]])*KH_26_OPT4_KTQT_v4[[#This Row],[SL-07]]</f>
        <v>0</v>
      </c>
      <c r="CU161" s="47">
        <f ca="1">(KH_26_OPT4_KTQT_v4[[#This Row],[ĐGVC-KNĐ]]+KH_26_OPT4_KTQT_v4[[#This Row],[ĐGVC-KXK]])*KH_26_OPT4_KTQT_v4[[#This Row],[SL-08]]</f>
        <v>0</v>
      </c>
      <c r="CV161" s="47">
        <f ca="1">(KH_26_OPT4_KTQT_v4[[#This Row],[ĐGVC-KNĐ]]+KH_26_OPT4_KTQT_v4[[#This Row],[ĐGVC-KXK]])*KH_26_OPT4_KTQT_v4[[#This Row],[SL-09]]</f>
        <v>0</v>
      </c>
      <c r="CW161" s="47">
        <f ca="1">(KH_26_OPT4_KTQT_v4[[#This Row],[ĐGVC-KNĐ]]+KH_26_OPT4_KTQT_v4[[#This Row],[ĐGVC-KXK]])*KH_26_OPT4_KTQT_v4[[#This Row],[SL-10]]</f>
        <v>0</v>
      </c>
      <c r="CX161" s="47">
        <f ca="1">(KH_26_OPT4_KTQT_v4[[#This Row],[ĐGVC-KNĐ]]+KH_26_OPT4_KTQT_v4[[#This Row],[ĐGVC-KXK]])*KH_26_OPT4_KTQT_v4[[#This Row],[SL-11]]</f>
        <v>0</v>
      </c>
      <c r="CY161" s="47">
        <f ca="1">(KH_26_OPT4_KTQT_v4[[#This Row],[ĐGVC-KNĐ]]+KH_26_OPT4_KTQT_v4[[#This Row],[ĐGVC-KXK]])*KH_26_OPT4_KTQT_v4[[#This Row],[SL-12]]</f>
        <v>0</v>
      </c>
      <c r="CZ161" s="47">
        <f ca="1">SUM(KH_26_OPT4_KTQT_v4[[#This Row],[CPVC-01]:[CPVC-12]])</f>
        <v>0</v>
      </c>
      <c r="DA161" s="124">
        <f ca="1">KH_26_OPT4_KTQT_v4[[#This Row],[DT-EXW-01]]+KH_26_OPT4_KTQT_v4[[#This Row],[CPVC-01]]+KH_26_OPT4_KTQT_v4[[#This Row],[CPHH-01]]</f>
        <v>0</v>
      </c>
      <c r="DB161" s="47">
        <f ca="1">KH_26_OPT4_KTQT_v4[[#This Row],[DT-EXW-02]]+KH_26_OPT4_KTQT_v4[[#This Row],[CPVC-02]]+KH_26_OPT4_KTQT_v4[[#This Row],[CPHH-02]]</f>
        <v>0</v>
      </c>
      <c r="DC161" s="47">
        <f ca="1">KH_26_OPT4_KTQT_v4[[#This Row],[DT-EXW-03]]+KH_26_OPT4_KTQT_v4[[#This Row],[CPVC-03]]+KH_26_OPT4_KTQT_v4[[#This Row],[CPHH-03]]</f>
        <v>0</v>
      </c>
      <c r="DD161" s="47">
        <f ca="1">KH_26_OPT4_KTQT_v4[[#This Row],[DT-EXW-04]]+KH_26_OPT4_KTQT_v4[[#This Row],[CPVC-04]]+KH_26_OPT4_KTQT_v4[[#This Row],[CPHH-04]]</f>
        <v>0</v>
      </c>
      <c r="DE161" s="47">
        <f ca="1">KH_26_OPT4_KTQT_v4[[#This Row],[DT-EXW-05]]+KH_26_OPT4_KTQT_v4[[#This Row],[CPVC-05]]+KH_26_OPT4_KTQT_v4[[#This Row],[CPHH-05]]</f>
        <v>0</v>
      </c>
      <c r="DF161" s="47">
        <f ca="1">KH_26_OPT4_KTQT_v4[[#This Row],[DT-EXW-06]]+KH_26_OPT4_KTQT_v4[[#This Row],[CPVC-06]]+KH_26_OPT4_KTQT_v4[[#This Row],[CPHH-06]]</f>
        <v>0</v>
      </c>
      <c r="DG161" s="47">
        <f ca="1">KH_26_OPT4_KTQT_v4[[#This Row],[DT-EXW-07]]+KH_26_OPT4_KTQT_v4[[#This Row],[CPVC-07]]+KH_26_OPT4_KTQT_v4[[#This Row],[CPHH-07]]</f>
        <v>0</v>
      </c>
      <c r="DH161" s="47">
        <f ca="1">KH_26_OPT4_KTQT_v4[[#This Row],[DT-EXW-08]]+KH_26_OPT4_KTQT_v4[[#This Row],[CPVC-08]]+KH_26_OPT4_KTQT_v4[[#This Row],[CPHH-08]]</f>
        <v>0</v>
      </c>
      <c r="DI161" s="47">
        <f ca="1">KH_26_OPT4_KTQT_v4[[#This Row],[DT-EXW-09]]+KH_26_OPT4_KTQT_v4[[#This Row],[CPVC-09]]+KH_26_OPT4_KTQT_v4[[#This Row],[CPHH-09]]</f>
        <v>0</v>
      </c>
      <c r="DJ161" s="47">
        <f ca="1">KH_26_OPT4_KTQT_v4[[#This Row],[DT-EXW-10]]+KH_26_OPT4_KTQT_v4[[#This Row],[CPVC-10]]+KH_26_OPT4_KTQT_v4[[#This Row],[CPHH-10]]</f>
        <v>0</v>
      </c>
      <c r="DK161" s="47">
        <f ca="1">KH_26_OPT4_KTQT_v4[[#This Row],[DT-EXW-11]]+KH_26_OPT4_KTQT_v4[[#This Row],[CPVC-11]]+KH_26_OPT4_KTQT_v4[[#This Row],[CPHH-11]]</f>
        <v>0</v>
      </c>
      <c r="DL161" s="47">
        <f ca="1">KH_26_OPT4_KTQT_v4[[#This Row],[DT-EXW-12]]+KH_26_OPT4_KTQT_v4[[#This Row],[CPVC-12]]+KH_26_OPT4_KTQT_v4[[#This Row],[CPHH-12]]</f>
        <v>0</v>
      </c>
      <c r="DM161" s="47">
        <f ca="1">SUM(KH_26_OPT4_KTQT_v4[[#This Row],[DT-01]:[DT-12]])</f>
        <v>0</v>
      </c>
      <c r="DN161" s="7"/>
      <c r="DO161" s="7"/>
      <c r="DP161" s="125"/>
      <c r="DQ161" s="136"/>
      <c r="DR161" s="132">
        <f>IFERROR(KH_26_OPT4_KTQT_v4[[#This Row],[DT-EXW-01]]*KH_26_OPT4_KTQT_v4[[#This Row],[%CPDP]],0)</f>
        <v>0</v>
      </c>
      <c r="DS161" s="132">
        <f>IFERROR(KH_26_OPT4_KTQT_v4[[#This Row],[DT-EXW-02]]*KH_26_OPT4_KTQT_v4[[#This Row],[%CPDP]],0)</f>
        <v>0</v>
      </c>
      <c r="DT161" s="132">
        <f>IFERROR(KH_26_OPT4_KTQT_v4[[#This Row],[DT-EXW-03]]*KH_26_OPT4_KTQT_v4[[#This Row],[%CPDP]],0)</f>
        <v>0</v>
      </c>
      <c r="DU161" s="132">
        <f>IFERROR(KH_26_OPT4_KTQT_v4[[#This Row],[DT-EXW-04]]*KH_26_OPT4_KTQT_v4[[#This Row],[%CPDP]],0)</f>
        <v>0</v>
      </c>
      <c r="DV161" s="132">
        <f>IFERROR(KH_26_OPT4_KTQT_v4[[#This Row],[DT-EXW-05]]*KH_26_OPT4_KTQT_v4[[#This Row],[%CPDP]],0)</f>
        <v>0</v>
      </c>
      <c r="DW161" s="132">
        <f>IFERROR(KH_26_OPT4_KTQT_v4[[#This Row],[DT-EXW-06]]*KH_26_OPT4_KTQT_v4[[#This Row],[%CPDP]],0)</f>
        <v>0</v>
      </c>
      <c r="DX161" s="132">
        <f>IFERROR(KH_26_OPT4_KTQT_v4[[#This Row],[DT-EXW-07]]*KH_26_OPT4_KTQT_v4[[#This Row],[%CPDP]],0)</f>
        <v>0</v>
      </c>
      <c r="DY161" s="132">
        <f>IFERROR(KH_26_OPT4_KTQT_v4[[#This Row],[DT-EXW-08]]*KH_26_OPT4_KTQT_v4[[#This Row],[%CPDP]],0)</f>
        <v>0</v>
      </c>
      <c r="DZ161" s="132">
        <f>IFERROR(KH_26_OPT4_KTQT_v4[[#This Row],[DT-EXW-09]]*KH_26_OPT4_KTQT_v4[[#This Row],[%CPDP]],0)</f>
        <v>0</v>
      </c>
      <c r="EA161" s="132">
        <f>IFERROR(KH_26_OPT4_KTQT_v4[[#This Row],[DT-EXW-10]]*KH_26_OPT4_KTQT_v4[[#This Row],[%CPDP]],0)</f>
        <v>0</v>
      </c>
      <c r="EB161" s="132">
        <f>IFERROR(KH_26_OPT4_KTQT_v4[[#This Row],[DT-EXW-11]]*KH_26_OPT4_KTQT_v4[[#This Row],[%CPDP]],0)</f>
        <v>0</v>
      </c>
      <c r="EC161" s="132">
        <f>IFERROR(KH_26_OPT4_KTQT_v4[[#This Row],[DT-EXW-12]]*KH_26_OPT4_KTQT_v4[[#This Row],[%CPDP]],0)</f>
        <v>0</v>
      </c>
      <c r="ED161" s="131">
        <f ca="1">SUM(KH_26_OPT4_KTQT_v4[[#This Row],[CPDP-01]:[CPDP-12]])</f>
        <v>0</v>
      </c>
    </row>
    <row r="162" spans="1:134" ht="14.65" hidden="1" customHeight="1" x14ac:dyDescent="0.35">
      <c r="A162" s="18">
        <v>157</v>
      </c>
      <c r="B162" s="71" t="s">
        <v>115</v>
      </c>
      <c r="C162" s="18" t="str">
        <f>IFERROR(_xlfn.XLOOKUP(KH_26_OPT4_KTQT_v4[[#This Row],[Salesman]],MD_Salesman[Salesman],MD_Salesman[SalesManager]),"")</f>
        <v>Quốc Anh</v>
      </c>
      <c r="D162" s="72" t="str">
        <f>IFERROR(INDEX(MD_Customer[Mã khách],MATCH(KH_26_OPT4_KTQT_v4[[#This Row],[Tên khách]],MD_Customer[Tên khách-rút gọn],0)),"")</f>
        <v>105346</v>
      </c>
      <c r="E162" s="7" t="str">
        <f>IFERROR(INDEX(MD_Customer[Parent Account],MATCH(KH_26_OPT4_KTQT_v4[[#This Row],[Tên khách]],MD_Customer[Tên khách-rút gọn],0)),"")</f>
        <v>GUNICA</v>
      </c>
      <c r="F162" s="35" t="s">
        <v>70</v>
      </c>
      <c r="G162" s="7" t="str">
        <f>IFERROR(INDEX(MD_Customer[Phân loại],MATCH(KH_26_OPT4_KTQT_v4[[#This Row],[Tên khách]],MD_Customer[Tên khách-rút gọn],0)),"")</f>
        <v>Mới</v>
      </c>
      <c r="H162" s="7" t="str">
        <f>IFERROR(INDEX(MD_Customer[Kênh bán hàng],MATCH(KH_26_OPT4_KTQT_v4[[#This Row],[Tên khách]],MD_Customer[Tên khách-rút gọn],0)),"")</f>
        <v>Nội địa</v>
      </c>
      <c r="I162" s="35" t="s">
        <v>268</v>
      </c>
      <c r="J162" s="7" t="str">
        <f>IFERROR(INDEX(MD_Destination[Nước],MATCH(KH_26_OPT4_KTQT_v4[[#This Row],[Địa điểm đến]],MD_Destination[Địa điểm đến],0)),"")</f>
        <v>Việt Nam</v>
      </c>
      <c r="K162" s="7" t="str">
        <f>IFERROR(INDEX(MD_Destination[Khu vực],MATCH(KH_26_OPT4_KTQT_v4[[#This Row],[Địa điểm đến]],MD_Destination[Địa điểm đến],0)),"")</f>
        <v>Châu Á</v>
      </c>
      <c r="L162" s="35" t="s">
        <v>260</v>
      </c>
      <c r="M162" s="7" t="str">
        <f>IFERROR(INDEX(MD_SKU[Mã SKU],MATCH(KH_26_OPT4_KTQT_v4[[#This Row],[Tên sản phẩm]],MD_SKU[Tên SKU-rút gọn],0)),"")</f>
        <v>110000421</v>
      </c>
      <c r="N162" s="35" t="s">
        <v>481</v>
      </c>
      <c r="O162" s="7" t="str">
        <f>IFERROR(INDEX(MD_SKU[Ngành hàng],MATCH(KH_26_OPT4_KTQT_v4[[#This Row],[Tên sản phẩm]],MD_SKU[Tên SKU-rút gọn],0)),"")</f>
        <v>rPP</v>
      </c>
      <c r="P162" s="7" t="str">
        <f>IFERROR(INDEX(MD_SKU[Nhóm ngành],MATCH(KH_26_OPT4_KTQT_v4[[#This Row],[Tên sản phẩm]],MD_SKU[Tên SKU-rút gọn],0)),"")</f>
        <v>Vảy PP</v>
      </c>
      <c r="Q162" s="7" t="str">
        <f>IFERROR(
   IF(INDEX(MD_SKU[IV/IM],MATCH(KH_26_OPT4_KTQT_v4[[#This Row],[Tên sản phẩm]],MD_SKU[Tên SKU-rút gọn],0))=0,
      "",
      INDEX(MD_SKU[IV/IM],MATCH(KH_26_OPT4_KTQT_v4[[#This Row],[Tên sản phẩm]],MD_SKU[Tên SKU-rút gọn],0))
   ),
"")</f>
        <v/>
      </c>
      <c r="R162" s="44">
        <f>IFERROR(INDEX(MD_SKU[Application],MATCH(KH_26_OPT4_KTQT_v4[[#This Row],[Tên sản phẩm]],MD_SKU[Tên SKU-rút gọn],0)),"")</f>
        <v>0</v>
      </c>
      <c r="S162" s="7" t="str">
        <f>IFERROR(INDEX(MD_SKU[Phân loại],MATCH(KH_26_OPT4_KTQT_v4[[#This Row],[Tên sản phẩm]],MD_SKU[Tên SKU-rút gọn],0)),"")</f>
        <v>Cũ</v>
      </c>
      <c r="T162" s="7" t="s">
        <v>542</v>
      </c>
      <c r="U162" s="7"/>
      <c r="V162" s="70">
        <v>0.8</v>
      </c>
      <c r="W162" s="33"/>
      <c r="X162" s="33"/>
      <c r="Y162" s="33"/>
      <c r="Z162" s="33"/>
      <c r="AA162" s="33"/>
      <c r="AB162" s="33"/>
      <c r="AC162" s="33"/>
      <c r="AD162" s="33"/>
      <c r="AE162" s="33"/>
      <c r="AF162" s="33"/>
      <c r="AG162" s="33"/>
      <c r="AH162" s="33"/>
      <c r="AI162" s="47">
        <f ca="1">SUM(KH_26_OPT4_KTQT_v4[[#This Row],[SL-01]:[SL-12]])</f>
        <v>0</v>
      </c>
      <c r="AJ162" s="47">
        <f ca="1">SUMIFS(DB_25[SL-DB25],DB_25[Mã khách],KH_26_OPT4_KTQT_v4[[#This Row],[Mã khách]],DB_25[Mã sản phẩm],KH_26_OPT4_KTQT_v4[[#This Row],[Mã sản phẩm]])</f>
        <v>0.1</v>
      </c>
      <c r="AK162" s="20">
        <f ca="1">KH_26_OPT4_KTQT_v4[[#This Row],[SL-KH26]]-KH_26_OPT4_KTQT_v4[[#This Row],[SL-DB25]]</f>
        <v>-0.1</v>
      </c>
      <c r="AL162" s="21">
        <f ca="1">IFERROR(KH_26_OPT4_KTQT_v4[[#This Row],[SL-+/-]]/KH_26_OPT4_KTQT_v4[[#This Row],[SL-DB25]],0)</f>
        <v>-1</v>
      </c>
      <c r="AM162" s="51">
        <v>600</v>
      </c>
      <c r="AN162" s="51">
        <v>600</v>
      </c>
      <c r="AO162" s="51">
        <v>600</v>
      </c>
      <c r="AP162" s="51">
        <v>600</v>
      </c>
      <c r="AQ162" s="51">
        <v>600</v>
      </c>
      <c r="AR162" s="51">
        <v>600</v>
      </c>
      <c r="AS162" s="51">
        <v>600</v>
      </c>
      <c r="AT162" s="51">
        <v>600</v>
      </c>
      <c r="AU162" s="51">
        <v>600</v>
      </c>
      <c r="AV162" s="51">
        <v>600</v>
      </c>
      <c r="AW162" s="51">
        <v>600</v>
      </c>
      <c r="AX162" s="51">
        <v>600</v>
      </c>
      <c r="AY162" s="23">
        <v>600</v>
      </c>
      <c r="AZ162" s="7"/>
      <c r="BA162" s="24">
        <f>KH_26_OPT4_KTQT_v4[[#This Row],[GB-DB25]]-KH_26_OPT4_KTQT_v4[[#This Row],[GB-KH25]]</f>
        <v>600</v>
      </c>
      <c r="BB162" s="21">
        <f>IFERROR(KH_26_OPT4_KTQT_v4[[#This Row],[GB-+/-]]/KH_26_OPT4_KTQT_v4[[#This Row],[GB-KH25]],0)</f>
        <v>0</v>
      </c>
      <c r="BC162" s="21"/>
      <c r="BD162" s="47">
        <f>KH_26_OPT4_KTQT_v4[[#This Row],[SL-01]]*KH_26_OPT4_KTQT_v4[[#This Row],[GB-01]]*EXR</f>
        <v>0</v>
      </c>
      <c r="BE162" s="47">
        <f>KH_26_OPT4_KTQT_v4[[#This Row],[SL-02]]*KH_26_OPT4_KTQT_v4[[#This Row],[GB-02]]*EXR</f>
        <v>0</v>
      </c>
      <c r="BF162" s="47">
        <f>KH_26_OPT4_KTQT_v4[[#This Row],[SL-03]]*KH_26_OPT4_KTQT_v4[[#This Row],[GB-03]]*EXR</f>
        <v>0</v>
      </c>
      <c r="BG162" s="47">
        <f>KH_26_OPT4_KTQT_v4[[#This Row],[SL-04]]*KH_26_OPT4_KTQT_v4[[#This Row],[GB-04]]*EXR</f>
        <v>0</v>
      </c>
      <c r="BH162" s="47">
        <f>KH_26_OPT4_KTQT_v4[[#This Row],[SL-05]]*KH_26_OPT4_KTQT_v4[[#This Row],[GB-05]]*EXR</f>
        <v>0</v>
      </c>
      <c r="BI162" s="47">
        <f>KH_26_OPT4_KTQT_v4[[#This Row],[SL-06]]*KH_26_OPT4_KTQT_v4[[#This Row],[GB-06]]*EXR</f>
        <v>0</v>
      </c>
      <c r="BJ162" s="47">
        <f>KH_26_OPT4_KTQT_v4[[#This Row],[SL-07]]*KH_26_OPT4_KTQT_v4[[#This Row],[GB-07]]*EXR</f>
        <v>0</v>
      </c>
      <c r="BK162" s="47">
        <f>KH_26_OPT4_KTQT_v4[[#This Row],[SL-08]]*KH_26_OPT4_KTQT_v4[[#This Row],[GB-08]]*EXR</f>
        <v>0</v>
      </c>
      <c r="BL162" s="47">
        <f>KH_26_OPT4_KTQT_v4[[#This Row],[SL-09]]*KH_26_OPT4_KTQT_v4[[#This Row],[GB-09]]*EXR</f>
        <v>0</v>
      </c>
      <c r="BM162" s="47">
        <f>KH_26_OPT4_KTQT_v4[[#This Row],[SL-10]]*KH_26_OPT4_KTQT_v4[[#This Row],[GB-10]]*EXR</f>
        <v>0</v>
      </c>
      <c r="BN162" s="47">
        <f>KH_26_OPT4_KTQT_v4[[#This Row],[SL-11]]*KH_26_OPT4_KTQT_v4[[#This Row],[GB-11]]*EXR</f>
        <v>0</v>
      </c>
      <c r="BO162" s="47">
        <f>KH_26_OPT4_KTQT_v4[[#This Row],[SL-12]]*KH_26_OPT4_KTQT_v4[[#This Row],[GB-12]]*EXR</f>
        <v>0</v>
      </c>
      <c r="BP162" s="47">
        <f ca="1">SUM(KH_26_OPT4_KTQT_v4[[#This Row],[DT-EXW-01]:[DT-EXW-12]])</f>
        <v>0</v>
      </c>
      <c r="BQ162" s="47">
        <f ca="1">SUMIFS(DB_25[DT-DB25],DB_25[Mã khách],KH_26_OPT4_KTQT_v4[[#This Row],[Mã khách]],DB_25[Mã sản phẩm],KH_26_OPT4_KTQT_v4[[#This Row],[Mã sản phẩm]])</f>
        <v>2022159.9999999998</v>
      </c>
      <c r="BR162" s="47">
        <f ca="1">KH_26_OPT4_KTQT_v4[[#This Row],[DT-EXW-KH26]]-KH_26_OPT4_KTQT_v4[[#This Row],[DT-EXW-DB25]]</f>
        <v>-2022159.9999999998</v>
      </c>
      <c r="BS162" s="21">
        <f ca="1">IFERROR(KH_26_OPT4_KTQT_v4[[#This Row],[DT-EXW-+/-]]/KH_26_OPT4_KTQT_v4[[#This Row],[DT-EXW-DB25]],0)</f>
        <v>-1</v>
      </c>
      <c r="BT162" s="139"/>
      <c r="BU162" s="57"/>
      <c r="BV162" s="51"/>
      <c r="BW162" s="47">
        <f>IF(KH_26_OPT4_KTQT_v4[[#This Row],[CPHH-%-SL]]="Dthu",KH_26_OPT4_KTQT_v4[[#This Row],[%HH]]*KH_26_OPT4_KTQT_v4[[#This Row],[DT-EXW-01]],KH_26_OPT4_KTQT_v4[[#This Row],[HH-SL]]*KH_26_OPT4_KTQT_v4[[#This Row],[SL-01]])</f>
        <v>0</v>
      </c>
      <c r="BX162" s="47">
        <f>IF(KH_26_OPT4_KTQT_v4[[#This Row],[CPHH-%-SL]]="Dthu",KH_26_OPT4_KTQT_v4[[#This Row],[%HH]]*KH_26_OPT4_KTQT_v4[[#This Row],[DT-EXW-02]],KH_26_OPT4_KTQT_v4[[#This Row],[HH-SL]]*KH_26_OPT4_KTQT_v4[[#This Row],[SL-02]])</f>
        <v>0</v>
      </c>
      <c r="BY162" s="47">
        <f>IF(KH_26_OPT4_KTQT_v4[[#This Row],[CPHH-%-SL]]="Dthu",KH_26_OPT4_KTQT_v4[[#This Row],[%HH]]*KH_26_OPT4_KTQT_v4[[#This Row],[DT-EXW-03]],KH_26_OPT4_KTQT_v4[[#This Row],[HH-SL]]*KH_26_OPT4_KTQT_v4[[#This Row],[SL-03]])</f>
        <v>0</v>
      </c>
      <c r="BZ162" s="47">
        <f>IF(KH_26_OPT4_KTQT_v4[[#This Row],[CPHH-%-SL]]="Dthu",KH_26_OPT4_KTQT_v4[[#This Row],[%HH]]*KH_26_OPT4_KTQT_v4[[#This Row],[DT-EXW-04]],KH_26_OPT4_KTQT_v4[[#This Row],[HH-SL]]*KH_26_OPT4_KTQT_v4[[#This Row],[SL-04]])</f>
        <v>0</v>
      </c>
      <c r="CA162" s="47">
        <f>IF(KH_26_OPT4_KTQT_v4[[#This Row],[CPHH-%-SL]]="Dthu",KH_26_OPT4_KTQT_v4[[#This Row],[%HH]]*KH_26_OPT4_KTQT_v4[[#This Row],[DT-EXW-05]],KH_26_OPT4_KTQT_v4[[#This Row],[HH-SL]]*KH_26_OPT4_KTQT_v4[[#This Row],[SL-05]])</f>
        <v>0</v>
      </c>
      <c r="CB162" s="47">
        <f>IF(KH_26_OPT4_KTQT_v4[[#This Row],[CPHH-%-SL]]="Dthu",KH_26_OPT4_KTQT_v4[[#This Row],[%HH]]*KH_26_OPT4_KTQT_v4[[#This Row],[DT-EXW-06]],KH_26_OPT4_KTQT_v4[[#This Row],[HH-SL]]*KH_26_OPT4_KTQT_v4[[#This Row],[SL-06]])</f>
        <v>0</v>
      </c>
      <c r="CC162" s="47">
        <f>IF(KH_26_OPT4_KTQT_v4[[#This Row],[CPHH-%-SL]]="Dthu",KH_26_OPT4_KTQT_v4[[#This Row],[%HH]]*KH_26_OPT4_KTQT_v4[[#This Row],[DT-EXW-07]],KH_26_OPT4_KTQT_v4[[#This Row],[HH-SL]]*KH_26_OPT4_KTQT_v4[[#This Row],[SL-07]])</f>
        <v>0</v>
      </c>
      <c r="CD162" s="47">
        <f>IF(KH_26_OPT4_KTQT_v4[[#This Row],[CPHH-%-SL]]="Dthu",KH_26_OPT4_KTQT_v4[[#This Row],[%HH]]*KH_26_OPT4_KTQT_v4[[#This Row],[DT-EXW-08]],KH_26_OPT4_KTQT_v4[[#This Row],[HH-SL]]*KH_26_OPT4_KTQT_v4[[#This Row],[SL-08]])</f>
        <v>0</v>
      </c>
      <c r="CE162" s="47">
        <f>IF(KH_26_OPT4_KTQT_v4[[#This Row],[CPHH-%-SL]]="Dthu",KH_26_OPT4_KTQT_v4[[#This Row],[%HH]]*KH_26_OPT4_KTQT_v4[[#This Row],[DT-EXW-09]],KH_26_OPT4_KTQT_v4[[#This Row],[HH-SL]]*KH_26_OPT4_KTQT_v4[[#This Row],[SL-09]])</f>
        <v>0</v>
      </c>
      <c r="CF162" s="47">
        <f>IF(KH_26_OPT4_KTQT_v4[[#This Row],[CPHH-%-SL]]="Dthu",KH_26_OPT4_KTQT_v4[[#This Row],[%HH]]*KH_26_OPT4_KTQT_v4[[#This Row],[DT-EXW-10]],KH_26_OPT4_KTQT_v4[[#This Row],[HH-SL]]*KH_26_OPT4_KTQT_v4[[#This Row],[SL-10]])</f>
        <v>0</v>
      </c>
      <c r="CG162" s="47">
        <f>IF(KH_26_OPT4_KTQT_v4[[#This Row],[CPHH-%-SL]]="Dthu",KH_26_OPT4_KTQT_v4[[#This Row],[%HH]]*KH_26_OPT4_KTQT_v4[[#This Row],[DT-EXW-11]],KH_26_OPT4_KTQT_v4[[#This Row],[HH-SL]]*KH_26_OPT4_KTQT_v4[[#This Row],[SL-11]])</f>
        <v>0</v>
      </c>
      <c r="CH162" s="47">
        <f>IF(KH_26_OPT4_KTQT_v4[[#This Row],[CPHH-%-SL]]="Dthu",KH_26_OPT4_KTQT_v4[[#This Row],[%HH]]*KH_26_OPT4_KTQT_v4[[#This Row],[DT-EXW-12]],KH_26_OPT4_KTQT_v4[[#This Row],[HH-SL]]*KH_26_OPT4_KTQT_v4[[#This Row],[SL-12]])</f>
        <v>0</v>
      </c>
      <c r="CI162" s="47">
        <f ca="1">SUM(KH_26_OPT4_KTQT_v4[[#This Row],[CPHH-01]:[CPHH-12]])</f>
        <v>0</v>
      </c>
      <c r="CJ162" s="47" cm="1">
        <f t="array" ref="CJ162">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62" s="19">
        <f ca="1">SUM(KH_26_OPT4_KTQT_v4[[#This Row],[ĐGVCNĐ-KXK]:[ĐGVCCT-KXK]])</f>
        <v>0</v>
      </c>
      <c r="CL162" s="47" cm="1">
        <f t="array" ref="CL162">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162" s="47" cm="1">
        <f t="array" ref="CM162">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62" s="47">
        <f ca="1">(KH_26_OPT4_KTQT_v4[[#This Row],[ĐGVC-KNĐ]]+KH_26_OPT4_KTQT_v4[[#This Row],[ĐGVC-KXK]])*KH_26_OPT4_KTQT_v4[[#This Row],[SL-01]]</f>
        <v>0</v>
      </c>
      <c r="CO162" s="47">
        <f ca="1">(KH_26_OPT4_KTQT_v4[[#This Row],[ĐGVC-KNĐ]]+KH_26_OPT4_KTQT_v4[[#This Row],[ĐGVC-KXK]])*KH_26_OPT4_KTQT_v4[[#This Row],[SL-02]]</f>
        <v>0</v>
      </c>
      <c r="CP162" s="47">
        <f ca="1">(KH_26_OPT4_KTQT_v4[[#This Row],[ĐGVC-KNĐ]]+KH_26_OPT4_KTQT_v4[[#This Row],[ĐGVC-KXK]])*KH_26_OPT4_KTQT_v4[[#This Row],[SL-03]]</f>
        <v>0</v>
      </c>
      <c r="CQ162" s="47">
        <f ca="1">(KH_26_OPT4_KTQT_v4[[#This Row],[ĐGVC-KNĐ]]+KH_26_OPT4_KTQT_v4[[#This Row],[ĐGVC-KXK]])*KH_26_OPT4_KTQT_v4[[#This Row],[SL-04]]</f>
        <v>0</v>
      </c>
      <c r="CR162" s="47">
        <f ca="1">(KH_26_OPT4_KTQT_v4[[#This Row],[ĐGVC-KNĐ]]+KH_26_OPT4_KTQT_v4[[#This Row],[ĐGVC-KXK]])*KH_26_OPT4_KTQT_v4[[#This Row],[SL-05]]</f>
        <v>0</v>
      </c>
      <c r="CS162" s="47">
        <f ca="1">(KH_26_OPT4_KTQT_v4[[#This Row],[ĐGVC-KNĐ]]+KH_26_OPT4_KTQT_v4[[#This Row],[ĐGVC-KXK]])*KH_26_OPT4_KTQT_v4[[#This Row],[SL-06]]</f>
        <v>0</v>
      </c>
      <c r="CT162" s="47">
        <f ca="1">(KH_26_OPT4_KTQT_v4[[#This Row],[ĐGVC-KNĐ]]+KH_26_OPT4_KTQT_v4[[#This Row],[ĐGVC-KXK]])*KH_26_OPT4_KTQT_v4[[#This Row],[SL-07]]</f>
        <v>0</v>
      </c>
      <c r="CU162" s="47">
        <f ca="1">(KH_26_OPT4_KTQT_v4[[#This Row],[ĐGVC-KNĐ]]+KH_26_OPT4_KTQT_v4[[#This Row],[ĐGVC-KXK]])*KH_26_OPT4_KTQT_v4[[#This Row],[SL-08]]</f>
        <v>0</v>
      </c>
      <c r="CV162" s="47">
        <f ca="1">(KH_26_OPT4_KTQT_v4[[#This Row],[ĐGVC-KNĐ]]+KH_26_OPT4_KTQT_v4[[#This Row],[ĐGVC-KXK]])*KH_26_OPT4_KTQT_v4[[#This Row],[SL-09]]</f>
        <v>0</v>
      </c>
      <c r="CW162" s="47">
        <f ca="1">(KH_26_OPT4_KTQT_v4[[#This Row],[ĐGVC-KNĐ]]+KH_26_OPT4_KTQT_v4[[#This Row],[ĐGVC-KXK]])*KH_26_OPT4_KTQT_v4[[#This Row],[SL-10]]</f>
        <v>0</v>
      </c>
      <c r="CX162" s="47">
        <f ca="1">(KH_26_OPT4_KTQT_v4[[#This Row],[ĐGVC-KNĐ]]+KH_26_OPT4_KTQT_v4[[#This Row],[ĐGVC-KXK]])*KH_26_OPT4_KTQT_v4[[#This Row],[SL-11]]</f>
        <v>0</v>
      </c>
      <c r="CY162" s="47">
        <f ca="1">(KH_26_OPT4_KTQT_v4[[#This Row],[ĐGVC-KNĐ]]+KH_26_OPT4_KTQT_v4[[#This Row],[ĐGVC-KXK]])*KH_26_OPT4_KTQT_v4[[#This Row],[SL-12]]</f>
        <v>0</v>
      </c>
      <c r="CZ162" s="47">
        <f ca="1">SUM(KH_26_OPT4_KTQT_v4[[#This Row],[CPVC-01]:[CPVC-12]])</f>
        <v>0</v>
      </c>
      <c r="DA162" s="124">
        <f ca="1">KH_26_OPT4_KTQT_v4[[#This Row],[DT-EXW-01]]+KH_26_OPT4_KTQT_v4[[#This Row],[CPVC-01]]+KH_26_OPT4_KTQT_v4[[#This Row],[CPHH-01]]</f>
        <v>0</v>
      </c>
      <c r="DB162" s="47">
        <f ca="1">KH_26_OPT4_KTQT_v4[[#This Row],[DT-EXW-02]]+KH_26_OPT4_KTQT_v4[[#This Row],[CPVC-02]]+KH_26_OPT4_KTQT_v4[[#This Row],[CPHH-02]]</f>
        <v>0</v>
      </c>
      <c r="DC162" s="47">
        <f ca="1">KH_26_OPT4_KTQT_v4[[#This Row],[DT-EXW-03]]+KH_26_OPT4_KTQT_v4[[#This Row],[CPVC-03]]+KH_26_OPT4_KTQT_v4[[#This Row],[CPHH-03]]</f>
        <v>0</v>
      </c>
      <c r="DD162" s="47">
        <f ca="1">KH_26_OPT4_KTQT_v4[[#This Row],[DT-EXW-04]]+KH_26_OPT4_KTQT_v4[[#This Row],[CPVC-04]]+KH_26_OPT4_KTQT_v4[[#This Row],[CPHH-04]]</f>
        <v>0</v>
      </c>
      <c r="DE162" s="47">
        <f ca="1">KH_26_OPT4_KTQT_v4[[#This Row],[DT-EXW-05]]+KH_26_OPT4_KTQT_v4[[#This Row],[CPVC-05]]+KH_26_OPT4_KTQT_v4[[#This Row],[CPHH-05]]</f>
        <v>0</v>
      </c>
      <c r="DF162" s="47">
        <f ca="1">KH_26_OPT4_KTQT_v4[[#This Row],[DT-EXW-06]]+KH_26_OPT4_KTQT_v4[[#This Row],[CPVC-06]]+KH_26_OPT4_KTQT_v4[[#This Row],[CPHH-06]]</f>
        <v>0</v>
      </c>
      <c r="DG162" s="47">
        <f ca="1">KH_26_OPT4_KTQT_v4[[#This Row],[DT-EXW-07]]+KH_26_OPT4_KTQT_v4[[#This Row],[CPVC-07]]+KH_26_OPT4_KTQT_v4[[#This Row],[CPHH-07]]</f>
        <v>0</v>
      </c>
      <c r="DH162" s="47">
        <f ca="1">KH_26_OPT4_KTQT_v4[[#This Row],[DT-EXW-08]]+KH_26_OPT4_KTQT_v4[[#This Row],[CPVC-08]]+KH_26_OPT4_KTQT_v4[[#This Row],[CPHH-08]]</f>
        <v>0</v>
      </c>
      <c r="DI162" s="47">
        <f ca="1">KH_26_OPT4_KTQT_v4[[#This Row],[DT-EXW-09]]+KH_26_OPT4_KTQT_v4[[#This Row],[CPVC-09]]+KH_26_OPT4_KTQT_v4[[#This Row],[CPHH-09]]</f>
        <v>0</v>
      </c>
      <c r="DJ162" s="47">
        <f ca="1">KH_26_OPT4_KTQT_v4[[#This Row],[DT-EXW-10]]+KH_26_OPT4_KTQT_v4[[#This Row],[CPVC-10]]+KH_26_OPT4_KTQT_v4[[#This Row],[CPHH-10]]</f>
        <v>0</v>
      </c>
      <c r="DK162" s="47">
        <f ca="1">KH_26_OPT4_KTQT_v4[[#This Row],[DT-EXW-11]]+KH_26_OPT4_KTQT_v4[[#This Row],[CPVC-11]]+KH_26_OPT4_KTQT_v4[[#This Row],[CPHH-11]]</f>
        <v>0</v>
      </c>
      <c r="DL162" s="47">
        <f ca="1">KH_26_OPT4_KTQT_v4[[#This Row],[DT-EXW-12]]+KH_26_OPT4_KTQT_v4[[#This Row],[CPVC-12]]+KH_26_OPT4_KTQT_v4[[#This Row],[CPHH-12]]</f>
        <v>0</v>
      </c>
      <c r="DM162" s="47">
        <f ca="1">SUM(KH_26_OPT4_KTQT_v4[[#This Row],[DT-01]:[DT-12]])</f>
        <v>0</v>
      </c>
      <c r="DN162" s="7"/>
      <c r="DO162" s="7"/>
      <c r="DP162" s="125"/>
      <c r="DQ162" s="136"/>
      <c r="DR162" s="132">
        <f>IFERROR(KH_26_OPT4_KTQT_v4[[#This Row],[DT-EXW-01]]*KH_26_OPT4_KTQT_v4[[#This Row],[%CPDP]],0)</f>
        <v>0</v>
      </c>
      <c r="DS162" s="132">
        <f>IFERROR(KH_26_OPT4_KTQT_v4[[#This Row],[DT-EXW-02]]*KH_26_OPT4_KTQT_v4[[#This Row],[%CPDP]],0)</f>
        <v>0</v>
      </c>
      <c r="DT162" s="132">
        <f>IFERROR(KH_26_OPT4_KTQT_v4[[#This Row],[DT-EXW-03]]*KH_26_OPT4_KTQT_v4[[#This Row],[%CPDP]],0)</f>
        <v>0</v>
      </c>
      <c r="DU162" s="132">
        <f>IFERROR(KH_26_OPT4_KTQT_v4[[#This Row],[DT-EXW-04]]*KH_26_OPT4_KTQT_v4[[#This Row],[%CPDP]],0)</f>
        <v>0</v>
      </c>
      <c r="DV162" s="132">
        <f>IFERROR(KH_26_OPT4_KTQT_v4[[#This Row],[DT-EXW-05]]*KH_26_OPT4_KTQT_v4[[#This Row],[%CPDP]],0)</f>
        <v>0</v>
      </c>
      <c r="DW162" s="132">
        <f>IFERROR(KH_26_OPT4_KTQT_v4[[#This Row],[DT-EXW-06]]*KH_26_OPT4_KTQT_v4[[#This Row],[%CPDP]],0)</f>
        <v>0</v>
      </c>
      <c r="DX162" s="132">
        <f>IFERROR(KH_26_OPT4_KTQT_v4[[#This Row],[DT-EXW-07]]*KH_26_OPT4_KTQT_v4[[#This Row],[%CPDP]],0)</f>
        <v>0</v>
      </c>
      <c r="DY162" s="132">
        <f>IFERROR(KH_26_OPT4_KTQT_v4[[#This Row],[DT-EXW-08]]*KH_26_OPT4_KTQT_v4[[#This Row],[%CPDP]],0)</f>
        <v>0</v>
      </c>
      <c r="DZ162" s="132">
        <f>IFERROR(KH_26_OPT4_KTQT_v4[[#This Row],[DT-EXW-09]]*KH_26_OPT4_KTQT_v4[[#This Row],[%CPDP]],0)</f>
        <v>0</v>
      </c>
      <c r="EA162" s="132">
        <f>IFERROR(KH_26_OPT4_KTQT_v4[[#This Row],[DT-EXW-10]]*KH_26_OPT4_KTQT_v4[[#This Row],[%CPDP]],0)</f>
        <v>0</v>
      </c>
      <c r="EB162" s="132">
        <f>IFERROR(KH_26_OPT4_KTQT_v4[[#This Row],[DT-EXW-11]]*KH_26_OPT4_KTQT_v4[[#This Row],[%CPDP]],0)</f>
        <v>0</v>
      </c>
      <c r="EC162" s="132">
        <f>IFERROR(KH_26_OPT4_KTQT_v4[[#This Row],[DT-EXW-12]]*KH_26_OPT4_KTQT_v4[[#This Row],[%CPDP]],0)</f>
        <v>0</v>
      </c>
      <c r="ED162" s="131">
        <f ca="1">SUM(KH_26_OPT4_KTQT_v4[[#This Row],[CPDP-01]:[CPDP-12]])</f>
        <v>0</v>
      </c>
    </row>
    <row r="163" spans="1:134" ht="14.65" hidden="1" customHeight="1" x14ac:dyDescent="0.35">
      <c r="A163" s="18">
        <v>158</v>
      </c>
      <c r="B163" s="71" t="s">
        <v>115</v>
      </c>
      <c r="C163" s="18" t="str">
        <f>IFERROR(_xlfn.XLOOKUP(KH_26_OPT4_KTQT_v4[[#This Row],[Salesman]],MD_Salesman[Salesman],MD_Salesman[SalesManager]),"")</f>
        <v>Quốc Anh</v>
      </c>
      <c r="D163" s="72" t="str">
        <f>IFERROR(INDEX(MD_Customer[Mã khách],MATCH(KH_26_OPT4_KTQT_v4[[#This Row],[Tên khách]],MD_Customer[Tên khách-rút gọn],0)),"")</f>
        <v>105346</v>
      </c>
      <c r="E163" s="7" t="str">
        <f>IFERROR(INDEX(MD_Customer[Parent Account],MATCH(KH_26_OPT4_KTQT_v4[[#This Row],[Tên khách]],MD_Customer[Tên khách-rút gọn],0)),"")</f>
        <v>GUNICA</v>
      </c>
      <c r="F163" s="35" t="s">
        <v>70</v>
      </c>
      <c r="G163" s="7" t="str">
        <f>IFERROR(INDEX(MD_Customer[Phân loại],MATCH(KH_26_OPT4_KTQT_v4[[#This Row],[Tên khách]],MD_Customer[Tên khách-rút gọn],0)),"")</f>
        <v>Mới</v>
      </c>
      <c r="H163" s="7" t="str">
        <f>IFERROR(INDEX(MD_Customer[Kênh bán hàng],MATCH(KH_26_OPT4_KTQT_v4[[#This Row],[Tên khách]],MD_Customer[Tên khách-rút gọn],0)),"")</f>
        <v>Nội địa</v>
      </c>
      <c r="I163" s="35" t="s">
        <v>268</v>
      </c>
      <c r="J163" s="7" t="str">
        <f>IFERROR(INDEX(MD_Destination[Nước],MATCH(KH_26_OPT4_KTQT_v4[[#This Row],[Địa điểm đến]],MD_Destination[Địa điểm đến],0)),"")</f>
        <v>Việt Nam</v>
      </c>
      <c r="K163" s="7" t="str">
        <f>IFERROR(INDEX(MD_Destination[Khu vực],MATCH(KH_26_OPT4_KTQT_v4[[#This Row],[Địa điểm đến]],MD_Destination[Địa điểm đến],0)),"")</f>
        <v>Châu Á</v>
      </c>
      <c r="L163" s="35" t="s">
        <v>260</v>
      </c>
      <c r="M163" s="7" t="str">
        <f>IFERROR(INDEX(MD_SKU[Mã SKU],MATCH(KH_26_OPT4_KTQT_v4[[#This Row],[Tên sản phẩm]],MD_SKU[Tên SKU-rút gọn],0)),"")</f>
        <v>110000423</v>
      </c>
      <c r="N163" s="35" t="s">
        <v>493</v>
      </c>
      <c r="O163" s="7" t="str">
        <f>IFERROR(INDEX(MD_SKU[Ngành hàng],MATCH(KH_26_OPT4_KTQT_v4[[#This Row],[Tên sản phẩm]],MD_SKU[Tên SKU-rút gọn],0)),"")</f>
        <v>rPP</v>
      </c>
      <c r="P163" s="7" t="str">
        <f>IFERROR(INDEX(MD_SKU[Nhóm ngành],MATCH(KH_26_OPT4_KTQT_v4[[#This Row],[Tên sản phẩm]],MD_SKU[Tên SKU-rút gọn],0)),"")</f>
        <v>Vảy PP</v>
      </c>
      <c r="Q163" s="7" t="str">
        <f>IFERROR(
   IF(INDEX(MD_SKU[IV/IM],MATCH(KH_26_OPT4_KTQT_v4[[#This Row],[Tên sản phẩm]],MD_SKU[Tên SKU-rút gọn],0))=0,
      "",
      INDEX(MD_SKU[IV/IM],MATCH(KH_26_OPT4_KTQT_v4[[#This Row],[Tên sản phẩm]],MD_SKU[Tên SKU-rút gọn],0))
   ),
"")</f>
        <v/>
      </c>
      <c r="R163" s="44">
        <f>IFERROR(INDEX(MD_SKU[Application],MATCH(KH_26_OPT4_KTQT_v4[[#This Row],[Tên sản phẩm]],MD_SKU[Tên SKU-rút gọn],0)),"")</f>
        <v>0</v>
      </c>
      <c r="S163" s="7" t="str">
        <f>IFERROR(INDEX(MD_SKU[Phân loại],MATCH(KH_26_OPT4_KTQT_v4[[#This Row],[Tên sản phẩm]],MD_SKU[Tên SKU-rút gọn],0)),"")</f>
        <v>Cũ</v>
      </c>
      <c r="T163" s="7"/>
      <c r="U163" s="7"/>
      <c r="V163" s="70">
        <v>0.8</v>
      </c>
      <c r="W163" s="93"/>
      <c r="X163" s="93"/>
      <c r="Y163" s="93"/>
      <c r="Z163" s="93"/>
      <c r="AA163" s="93"/>
      <c r="AB163" s="93"/>
      <c r="AC163" s="93"/>
      <c r="AD163" s="93"/>
      <c r="AE163" s="93"/>
      <c r="AF163" s="93"/>
      <c r="AG163" s="93"/>
      <c r="AH163" s="93"/>
      <c r="AI163" s="47">
        <f ca="1">SUM(KH_26_OPT4_KTQT_v4[[#This Row],[SL-01]:[SL-12]])</f>
        <v>0</v>
      </c>
      <c r="AJ163" s="47">
        <f ca="1">SUMIFS(DB_25[SL-DB25],DB_25[Mã khách],KH_26_OPT4_KTQT_v4[[#This Row],[Mã khách]],DB_25[Mã sản phẩm],KH_26_OPT4_KTQT_v4[[#This Row],[Mã sản phẩm]])</f>
        <v>0.1</v>
      </c>
      <c r="AK163" s="20">
        <f ca="1">KH_26_OPT4_KTQT_v4[[#This Row],[SL-KH26]]-KH_26_OPT4_KTQT_v4[[#This Row],[SL-DB25]]</f>
        <v>-0.1</v>
      </c>
      <c r="AL163" s="21">
        <f ca="1">IFERROR(KH_26_OPT4_KTQT_v4[[#This Row],[SL-+/-]]/KH_26_OPT4_KTQT_v4[[#This Row],[SL-DB25]],0)</f>
        <v>-1</v>
      </c>
      <c r="AM163" s="51">
        <v>600</v>
      </c>
      <c r="AN163" s="51">
        <v>600</v>
      </c>
      <c r="AO163" s="51">
        <v>600</v>
      </c>
      <c r="AP163" s="51">
        <v>600</v>
      </c>
      <c r="AQ163" s="51">
        <v>600</v>
      </c>
      <c r="AR163" s="51">
        <v>600</v>
      </c>
      <c r="AS163" s="51">
        <v>600</v>
      </c>
      <c r="AT163" s="51">
        <v>600</v>
      </c>
      <c r="AU163" s="51">
        <v>600</v>
      </c>
      <c r="AV163" s="51">
        <v>600</v>
      </c>
      <c r="AW163" s="51">
        <v>600</v>
      </c>
      <c r="AX163" s="51">
        <v>600</v>
      </c>
      <c r="AY163" s="23">
        <v>600</v>
      </c>
      <c r="AZ163" s="7"/>
      <c r="BA163" s="24">
        <f>KH_26_OPT4_KTQT_v4[[#This Row],[GB-DB25]]-KH_26_OPT4_KTQT_v4[[#This Row],[GB-KH25]]</f>
        <v>600</v>
      </c>
      <c r="BB163" s="21">
        <f>IFERROR(KH_26_OPT4_KTQT_v4[[#This Row],[GB-+/-]]/KH_26_OPT4_KTQT_v4[[#This Row],[GB-KH25]],0)</f>
        <v>0</v>
      </c>
      <c r="BC163" s="21"/>
      <c r="BD163" s="47">
        <f>KH_26_OPT4_KTQT_v4[[#This Row],[SL-01]]*KH_26_OPT4_KTQT_v4[[#This Row],[GB-01]]*EXR</f>
        <v>0</v>
      </c>
      <c r="BE163" s="47">
        <f>KH_26_OPT4_KTQT_v4[[#This Row],[SL-02]]*KH_26_OPT4_KTQT_v4[[#This Row],[GB-02]]*EXR</f>
        <v>0</v>
      </c>
      <c r="BF163" s="47">
        <f>KH_26_OPT4_KTQT_v4[[#This Row],[SL-03]]*KH_26_OPT4_KTQT_v4[[#This Row],[GB-03]]*EXR</f>
        <v>0</v>
      </c>
      <c r="BG163" s="47">
        <f>KH_26_OPT4_KTQT_v4[[#This Row],[SL-04]]*KH_26_OPT4_KTQT_v4[[#This Row],[GB-04]]*EXR</f>
        <v>0</v>
      </c>
      <c r="BH163" s="47">
        <f>KH_26_OPT4_KTQT_v4[[#This Row],[SL-05]]*KH_26_OPT4_KTQT_v4[[#This Row],[GB-05]]*EXR</f>
        <v>0</v>
      </c>
      <c r="BI163" s="47">
        <f>KH_26_OPT4_KTQT_v4[[#This Row],[SL-06]]*KH_26_OPT4_KTQT_v4[[#This Row],[GB-06]]*EXR</f>
        <v>0</v>
      </c>
      <c r="BJ163" s="47">
        <f>KH_26_OPT4_KTQT_v4[[#This Row],[SL-07]]*KH_26_OPT4_KTQT_v4[[#This Row],[GB-07]]*EXR</f>
        <v>0</v>
      </c>
      <c r="BK163" s="47">
        <f>KH_26_OPT4_KTQT_v4[[#This Row],[SL-08]]*KH_26_OPT4_KTQT_v4[[#This Row],[GB-08]]*EXR</f>
        <v>0</v>
      </c>
      <c r="BL163" s="47">
        <f>KH_26_OPT4_KTQT_v4[[#This Row],[SL-09]]*KH_26_OPT4_KTQT_v4[[#This Row],[GB-09]]*EXR</f>
        <v>0</v>
      </c>
      <c r="BM163" s="47">
        <f>KH_26_OPT4_KTQT_v4[[#This Row],[SL-10]]*KH_26_OPT4_KTQT_v4[[#This Row],[GB-10]]*EXR</f>
        <v>0</v>
      </c>
      <c r="BN163" s="47">
        <f>KH_26_OPT4_KTQT_v4[[#This Row],[SL-11]]*KH_26_OPT4_KTQT_v4[[#This Row],[GB-11]]*EXR</f>
        <v>0</v>
      </c>
      <c r="BO163" s="47">
        <f>KH_26_OPT4_KTQT_v4[[#This Row],[SL-12]]*KH_26_OPT4_KTQT_v4[[#This Row],[GB-12]]*EXR</f>
        <v>0</v>
      </c>
      <c r="BP163" s="47">
        <f ca="1">SUM(KH_26_OPT4_KTQT_v4[[#This Row],[DT-EXW-01]:[DT-EXW-12]])</f>
        <v>0</v>
      </c>
      <c r="BQ163" s="47">
        <f ca="1">SUMIFS(DB_25[DT-DB25],DB_25[Mã khách],KH_26_OPT4_KTQT_v4[[#This Row],[Mã khách]],DB_25[Mã sản phẩm],KH_26_OPT4_KTQT_v4[[#This Row],[Mã sản phẩm]])</f>
        <v>2022159.9999999998</v>
      </c>
      <c r="BR163" s="47">
        <f ca="1">KH_26_OPT4_KTQT_v4[[#This Row],[DT-EXW-KH26]]-KH_26_OPT4_KTQT_v4[[#This Row],[DT-EXW-DB25]]</f>
        <v>-2022159.9999999998</v>
      </c>
      <c r="BS163" s="21">
        <f ca="1">IFERROR(KH_26_OPT4_KTQT_v4[[#This Row],[DT-EXW-+/-]]/KH_26_OPT4_KTQT_v4[[#This Row],[DT-EXW-DB25]],0)</f>
        <v>-1</v>
      </c>
      <c r="BT163" s="139"/>
      <c r="BU163" s="57"/>
      <c r="BV163" s="51"/>
      <c r="BW163" s="47">
        <f>IF(KH_26_OPT4_KTQT_v4[[#This Row],[CPHH-%-SL]]="Dthu",KH_26_OPT4_KTQT_v4[[#This Row],[%HH]]*KH_26_OPT4_KTQT_v4[[#This Row],[DT-EXW-01]],KH_26_OPT4_KTQT_v4[[#This Row],[HH-SL]]*KH_26_OPT4_KTQT_v4[[#This Row],[SL-01]])</f>
        <v>0</v>
      </c>
      <c r="BX163" s="47">
        <f>IF(KH_26_OPT4_KTQT_v4[[#This Row],[CPHH-%-SL]]="Dthu",KH_26_OPT4_KTQT_v4[[#This Row],[%HH]]*KH_26_OPT4_KTQT_v4[[#This Row],[DT-EXW-02]],KH_26_OPT4_KTQT_v4[[#This Row],[HH-SL]]*KH_26_OPT4_KTQT_v4[[#This Row],[SL-02]])</f>
        <v>0</v>
      </c>
      <c r="BY163" s="47">
        <f>IF(KH_26_OPT4_KTQT_v4[[#This Row],[CPHH-%-SL]]="Dthu",KH_26_OPT4_KTQT_v4[[#This Row],[%HH]]*KH_26_OPT4_KTQT_v4[[#This Row],[DT-EXW-03]],KH_26_OPT4_KTQT_v4[[#This Row],[HH-SL]]*KH_26_OPT4_KTQT_v4[[#This Row],[SL-03]])</f>
        <v>0</v>
      </c>
      <c r="BZ163" s="47">
        <f>IF(KH_26_OPT4_KTQT_v4[[#This Row],[CPHH-%-SL]]="Dthu",KH_26_OPT4_KTQT_v4[[#This Row],[%HH]]*KH_26_OPT4_KTQT_v4[[#This Row],[DT-EXW-04]],KH_26_OPT4_KTQT_v4[[#This Row],[HH-SL]]*KH_26_OPT4_KTQT_v4[[#This Row],[SL-04]])</f>
        <v>0</v>
      </c>
      <c r="CA163" s="47">
        <f>IF(KH_26_OPT4_KTQT_v4[[#This Row],[CPHH-%-SL]]="Dthu",KH_26_OPT4_KTQT_v4[[#This Row],[%HH]]*KH_26_OPT4_KTQT_v4[[#This Row],[DT-EXW-05]],KH_26_OPT4_KTQT_v4[[#This Row],[HH-SL]]*KH_26_OPT4_KTQT_v4[[#This Row],[SL-05]])</f>
        <v>0</v>
      </c>
      <c r="CB163" s="47">
        <f>IF(KH_26_OPT4_KTQT_v4[[#This Row],[CPHH-%-SL]]="Dthu",KH_26_OPT4_KTQT_v4[[#This Row],[%HH]]*KH_26_OPT4_KTQT_v4[[#This Row],[DT-EXW-06]],KH_26_OPT4_KTQT_v4[[#This Row],[HH-SL]]*KH_26_OPT4_KTQT_v4[[#This Row],[SL-06]])</f>
        <v>0</v>
      </c>
      <c r="CC163" s="47">
        <f>IF(KH_26_OPT4_KTQT_v4[[#This Row],[CPHH-%-SL]]="Dthu",KH_26_OPT4_KTQT_v4[[#This Row],[%HH]]*KH_26_OPT4_KTQT_v4[[#This Row],[DT-EXW-07]],KH_26_OPT4_KTQT_v4[[#This Row],[HH-SL]]*KH_26_OPT4_KTQT_v4[[#This Row],[SL-07]])</f>
        <v>0</v>
      </c>
      <c r="CD163" s="47">
        <f>IF(KH_26_OPT4_KTQT_v4[[#This Row],[CPHH-%-SL]]="Dthu",KH_26_OPT4_KTQT_v4[[#This Row],[%HH]]*KH_26_OPT4_KTQT_v4[[#This Row],[DT-EXW-08]],KH_26_OPT4_KTQT_v4[[#This Row],[HH-SL]]*KH_26_OPT4_KTQT_v4[[#This Row],[SL-08]])</f>
        <v>0</v>
      </c>
      <c r="CE163" s="47">
        <f>IF(KH_26_OPT4_KTQT_v4[[#This Row],[CPHH-%-SL]]="Dthu",KH_26_OPT4_KTQT_v4[[#This Row],[%HH]]*KH_26_OPT4_KTQT_v4[[#This Row],[DT-EXW-09]],KH_26_OPT4_KTQT_v4[[#This Row],[HH-SL]]*KH_26_OPT4_KTQT_v4[[#This Row],[SL-09]])</f>
        <v>0</v>
      </c>
      <c r="CF163" s="47">
        <f>IF(KH_26_OPT4_KTQT_v4[[#This Row],[CPHH-%-SL]]="Dthu",KH_26_OPT4_KTQT_v4[[#This Row],[%HH]]*KH_26_OPT4_KTQT_v4[[#This Row],[DT-EXW-10]],KH_26_OPT4_KTQT_v4[[#This Row],[HH-SL]]*KH_26_OPT4_KTQT_v4[[#This Row],[SL-10]])</f>
        <v>0</v>
      </c>
      <c r="CG163" s="47">
        <f>IF(KH_26_OPT4_KTQT_v4[[#This Row],[CPHH-%-SL]]="Dthu",KH_26_OPT4_KTQT_v4[[#This Row],[%HH]]*KH_26_OPT4_KTQT_v4[[#This Row],[DT-EXW-11]],KH_26_OPT4_KTQT_v4[[#This Row],[HH-SL]]*KH_26_OPT4_KTQT_v4[[#This Row],[SL-11]])</f>
        <v>0</v>
      </c>
      <c r="CH163" s="47">
        <f>IF(KH_26_OPT4_KTQT_v4[[#This Row],[CPHH-%-SL]]="Dthu",KH_26_OPT4_KTQT_v4[[#This Row],[%HH]]*KH_26_OPT4_KTQT_v4[[#This Row],[DT-EXW-12]],KH_26_OPT4_KTQT_v4[[#This Row],[HH-SL]]*KH_26_OPT4_KTQT_v4[[#This Row],[SL-12]])</f>
        <v>0</v>
      </c>
      <c r="CI163" s="47">
        <f ca="1">SUM(KH_26_OPT4_KTQT_v4[[#This Row],[CPHH-01]:[CPHH-12]])</f>
        <v>0</v>
      </c>
      <c r="CJ163" s="47" cm="1">
        <f t="array" ref="CJ163">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63" s="19">
        <f ca="1">SUM(KH_26_OPT4_KTQT_v4[[#This Row],[ĐGVCNĐ-KXK]:[ĐGVCCT-KXK]])</f>
        <v>0</v>
      </c>
      <c r="CL163" s="47" cm="1">
        <f t="array" ref="CL163">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163" s="47" cm="1">
        <f t="array" ref="CM163">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63" s="47">
        <f ca="1">(KH_26_OPT4_KTQT_v4[[#This Row],[ĐGVC-KNĐ]]+KH_26_OPT4_KTQT_v4[[#This Row],[ĐGVC-KXK]])*KH_26_OPT4_KTQT_v4[[#This Row],[SL-01]]</f>
        <v>0</v>
      </c>
      <c r="CO163" s="47">
        <f ca="1">(KH_26_OPT4_KTQT_v4[[#This Row],[ĐGVC-KNĐ]]+KH_26_OPT4_KTQT_v4[[#This Row],[ĐGVC-KXK]])*KH_26_OPT4_KTQT_v4[[#This Row],[SL-02]]</f>
        <v>0</v>
      </c>
      <c r="CP163" s="47">
        <f ca="1">(KH_26_OPT4_KTQT_v4[[#This Row],[ĐGVC-KNĐ]]+KH_26_OPT4_KTQT_v4[[#This Row],[ĐGVC-KXK]])*KH_26_OPT4_KTQT_v4[[#This Row],[SL-03]]</f>
        <v>0</v>
      </c>
      <c r="CQ163" s="47">
        <f ca="1">(KH_26_OPT4_KTQT_v4[[#This Row],[ĐGVC-KNĐ]]+KH_26_OPT4_KTQT_v4[[#This Row],[ĐGVC-KXK]])*KH_26_OPT4_KTQT_v4[[#This Row],[SL-04]]</f>
        <v>0</v>
      </c>
      <c r="CR163" s="47">
        <f ca="1">(KH_26_OPT4_KTQT_v4[[#This Row],[ĐGVC-KNĐ]]+KH_26_OPT4_KTQT_v4[[#This Row],[ĐGVC-KXK]])*KH_26_OPT4_KTQT_v4[[#This Row],[SL-05]]</f>
        <v>0</v>
      </c>
      <c r="CS163" s="47">
        <f ca="1">(KH_26_OPT4_KTQT_v4[[#This Row],[ĐGVC-KNĐ]]+KH_26_OPT4_KTQT_v4[[#This Row],[ĐGVC-KXK]])*KH_26_OPT4_KTQT_v4[[#This Row],[SL-06]]</f>
        <v>0</v>
      </c>
      <c r="CT163" s="47">
        <f ca="1">(KH_26_OPT4_KTQT_v4[[#This Row],[ĐGVC-KNĐ]]+KH_26_OPT4_KTQT_v4[[#This Row],[ĐGVC-KXK]])*KH_26_OPT4_KTQT_v4[[#This Row],[SL-07]]</f>
        <v>0</v>
      </c>
      <c r="CU163" s="47">
        <f ca="1">(KH_26_OPT4_KTQT_v4[[#This Row],[ĐGVC-KNĐ]]+KH_26_OPT4_KTQT_v4[[#This Row],[ĐGVC-KXK]])*KH_26_OPT4_KTQT_v4[[#This Row],[SL-08]]</f>
        <v>0</v>
      </c>
      <c r="CV163" s="47">
        <f ca="1">(KH_26_OPT4_KTQT_v4[[#This Row],[ĐGVC-KNĐ]]+KH_26_OPT4_KTQT_v4[[#This Row],[ĐGVC-KXK]])*KH_26_OPT4_KTQT_v4[[#This Row],[SL-09]]</f>
        <v>0</v>
      </c>
      <c r="CW163" s="47">
        <f ca="1">(KH_26_OPT4_KTQT_v4[[#This Row],[ĐGVC-KNĐ]]+KH_26_OPT4_KTQT_v4[[#This Row],[ĐGVC-KXK]])*KH_26_OPT4_KTQT_v4[[#This Row],[SL-10]]</f>
        <v>0</v>
      </c>
      <c r="CX163" s="47">
        <f ca="1">(KH_26_OPT4_KTQT_v4[[#This Row],[ĐGVC-KNĐ]]+KH_26_OPT4_KTQT_v4[[#This Row],[ĐGVC-KXK]])*KH_26_OPT4_KTQT_v4[[#This Row],[SL-11]]</f>
        <v>0</v>
      </c>
      <c r="CY163" s="47">
        <f ca="1">(KH_26_OPT4_KTQT_v4[[#This Row],[ĐGVC-KNĐ]]+KH_26_OPT4_KTQT_v4[[#This Row],[ĐGVC-KXK]])*KH_26_OPT4_KTQT_v4[[#This Row],[SL-12]]</f>
        <v>0</v>
      </c>
      <c r="CZ163" s="47">
        <f ca="1">SUM(KH_26_OPT4_KTQT_v4[[#This Row],[CPVC-01]:[CPVC-12]])</f>
        <v>0</v>
      </c>
      <c r="DA163" s="124">
        <f ca="1">KH_26_OPT4_KTQT_v4[[#This Row],[DT-EXW-01]]+KH_26_OPT4_KTQT_v4[[#This Row],[CPVC-01]]+KH_26_OPT4_KTQT_v4[[#This Row],[CPHH-01]]</f>
        <v>0</v>
      </c>
      <c r="DB163" s="47">
        <f ca="1">KH_26_OPT4_KTQT_v4[[#This Row],[DT-EXW-02]]+KH_26_OPT4_KTQT_v4[[#This Row],[CPVC-02]]+KH_26_OPT4_KTQT_v4[[#This Row],[CPHH-02]]</f>
        <v>0</v>
      </c>
      <c r="DC163" s="47">
        <f ca="1">KH_26_OPT4_KTQT_v4[[#This Row],[DT-EXW-03]]+KH_26_OPT4_KTQT_v4[[#This Row],[CPVC-03]]+KH_26_OPT4_KTQT_v4[[#This Row],[CPHH-03]]</f>
        <v>0</v>
      </c>
      <c r="DD163" s="47">
        <f ca="1">KH_26_OPT4_KTQT_v4[[#This Row],[DT-EXW-04]]+KH_26_OPT4_KTQT_v4[[#This Row],[CPVC-04]]+KH_26_OPT4_KTQT_v4[[#This Row],[CPHH-04]]</f>
        <v>0</v>
      </c>
      <c r="DE163" s="47">
        <f ca="1">KH_26_OPT4_KTQT_v4[[#This Row],[DT-EXW-05]]+KH_26_OPT4_KTQT_v4[[#This Row],[CPVC-05]]+KH_26_OPT4_KTQT_v4[[#This Row],[CPHH-05]]</f>
        <v>0</v>
      </c>
      <c r="DF163" s="47">
        <f ca="1">KH_26_OPT4_KTQT_v4[[#This Row],[DT-EXW-06]]+KH_26_OPT4_KTQT_v4[[#This Row],[CPVC-06]]+KH_26_OPT4_KTQT_v4[[#This Row],[CPHH-06]]</f>
        <v>0</v>
      </c>
      <c r="DG163" s="47">
        <f ca="1">KH_26_OPT4_KTQT_v4[[#This Row],[DT-EXW-07]]+KH_26_OPT4_KTQT_v4[[#This Row],[CPVC-07]]+KH_26_OPT4_KTQT_v4[[#This Row],[CPHH-07]]</f>
        <v>0</v>
      </c>
      <c r="DH163" s="47">
        <f ca="1">KH_26_OPT4_KTQT_v4[[#This Row],[DT-EXW-08]]+KH_26_OPT4_KTQT_v4[[#This Row],[CPVC-08]]+KH_26_OPT4_KTQT_v4[[#This Row],[CPHH-08]]</f>
        <v>0</v>
      </c>
      <c r="DI163" s="47">
        <f ca="1">KH_26_OPT4_KTQT_v4[[#This Row],[DT-EXW-09]]+KH_26_OPT4_KTQT_v4[[#This Row],[CPVC-09]]+KH_26_OPT4_KTQT_v4[[#This Row],[CPHH-09]]</f>
        <v>0</v>
      </c>
      <c r="DJ163" s="47">
        <f ca="1">KH_26_OPT4_KTQT_v4[[#This Row],[DT-EXW-10]]+KH_26_OPT4_KTQT_v4[[#This Row],[CPVC-10]]+KH_26_OPT4_KTQT_v4[[#This Row],[CPHH-10]]</f>
        <v>0</v>
      </c>
      <c r="DK163" s="47">
        <f ca="1">KH_26_OPT4_KTQT_v4[[#This Row],[DT-EXW-11]]+KH_26_OPT4_KTQT_v4[[#This Row],[CPVC-11]]+KH_26_OPT4_KTQT_v4[[#This Row],[CPHH-11]]</f>
        <v>0</v>
      </c>
      <c r="DL163" s="47">
        <f ca="1">KH_26_OPT4_KTQT_v4[[#This Row],[DT-EXW-12]]+KH_26_OPT4_KTQT_v4[[#This Row],[CPVC-12]]+KH_26_OPT4_KTQT_v4[[#This Row],[CPHH-12]]</f>
        <v>0</v>
      </c>
      <c r="DM163" s="47">
        <f ca="1">SUM(KH_26_OPT4_KTQT_v4[[#This Row],[DT-01]:[DT-12]])</f>
        <v>0</v>
      </c>
      <c r="DN163" s="7"/>
      <c r="DO163" s="7"/>
      <c r="DP163" s="125"/>
      <c r="DQ163" s="136"/>
      <c r="DR163" s="132">
        <f>IFERROR(KH_26_OPT4_KTQT_v4[[#This Row],[DT-EXW-01]]*KH_26_OPT4_KTQT_v4[[#This Row],[%CPDP]],0)</f>
        <v>0</v>
      </c>
      <c r="DS163" s="132">
        <f>IFERROR(KH_26_OPT4_KTQT_v4[[#This Row],[DT-EXW-02]]*KH_26_OPT4_KTQT_v4[[#This Row],[%CPDP]],0)</f>
        <v>0</v>
      </c>
      <c r="DT163" s="132">
        <f>IFERROR(KH_26_OPT4_KTQT_v4[[#This Row],[DT-EXW-03]]*KH_26_OPT4_KTQT_v4[[#This Row],[%CPDP]],0)</f>
        <v>0</v>
      </c>
      <c r="DU163" s="132">
        <f>IFERROR(KH_26_OPT4_KTQT_v4[[#This Row],[DT-EXW-04]]*KH_26_OPT4_KTQT_v4[[#This Row],[%CPDP]],0)</f>
        <v>0</v>
      </c>
      <c r="DV163" s="132">
        <f>IFERROR(KH_26_OPT4_KTQT_v4[[#This Row],[DT-EXW-05]]*KH_26_OPT4_KTQT_v4[[#This Row],[%CPDP]],0)</f>
        <v>0</v>
      </c>
      <c r="DW163" s="132">
        <f>IFERROR(KH_26_OPT4_KTQT_v4[[#This Row],[DT-EXW-06]]*KH_26_OPT4_KTQT_v4[[#This Row],[%CPDP]],0)</f>
        <v>0</v>
      </c>
      <c r="DX163" s="132">
        <f>IFERROR(KH_26_OPT4_KTQT_v4[[#This Row],[DT-EXW-07]]*KH_26_OPT4_KTQT_v4[[#This Row],[%CPDP]],0)</f>
        <v>0</v>
      </c>
      <c r="DY163" s="132">
        <f>IFERROR(KH_26_OPT4_KTQT_v4[[#This Row],[DT-EXW-08]]*KH_26_OPT4_KTQT_v4[[#This Row],[%CPDP]],0)</f>
        <v>0</v>
      </c>
      <c r="DZ163" s="132">
        <f>IFERROR(KH_26_OPT4_KTQT_v4[[#This Row],[DT-EXW-09]]*KH_26_OPT4_KTQT_v4[[#This Row],[%CPDP]],0)</f>
        <v>0</v>
      </c>
      <c r="EA163" s="132">
        <f>IFERROR(KH_26_OPT4_KTQT_v4[[#This Row],[DT-EXW-10]]*KH_26_OPT4_KTQT_v4[[#This Row],[%CPDP]],0)</f>
        <v>0</v>
      </c>
      <c r="EB163" s="132">
        <f>IFERROR(KH_26_OPT4_KTQT_v4[[#This Row],[DT-EXW-11]]*KH_26_OPT4_KTQT_v4[[#This Row],[%CPDP]],0)</f>
        <v>0</v>
      </c>
      <c r="EC163" s="132">
        <f>IFERROR(KH_26_OPT4_KTQT_v4[[#This Row],[DT-EXW-12]]*KH_26_OPT4_KTQT_v4[[#This Row],[%CPDP]],0)</f>
        <v>0</v>
      </c>
      <c r="ED163" s="131">
        <f ca="1">SUM(KH_26_OPT4_KTQT_v4[[#This Row],[CPDP-01]:[CPDP-12]])</f>
        <v>0</v>
      </c>
    </row>
    <row r="164" spans="1:134" ht="14.65" hidden="1" customHeight="1" x14ac:dyDescent="0.35">
      <c r="A164" s="18">
        <v>159</v>
      </c>
      <c r="B164" s="71" t="s">
        <v>115</v>
      </c>
      <c r="C164" s="18" t="str">
        <f>IFERROR(_xlfn.XLOOKUP(KH_26_OPT4_KTQT_v4[[#This Row],[Salesman]],MD_Salesman[Salesman],MD_Salesman[SalesManager]),"")</f>
        <v>Quốc Anh</v>
      </c>
      <c r="D164" s="72" t="str">
        <f>IFERROR(INDEX(MD_Customer[Mã khách],MATCH(KH_26_OPT4_KTQT_v4[[#This Row],[Tên khách]],MD_Customer[Tên khách-rút gọn],0)),"")</f>
        <v>105347</v>
      </c>
      <c r="E164" s="7" t="str">
        <f>IFERROR(INDEX(MD_Customer[Parent Account],MATCH(KH_26_OPT4_KTQT_v4[[#This Row],[Tên khách]],MD_Customer[Tên khách-rút gọn],0)),"")</f>
        <v>Kim Hòa</v>
      </c>
      <c r="F164" s="35" t="s">
        <v>157</v>
      </c>
      <c r="G164" s="7" t="str">
        <f>IFERROR(INDEX(MD_Customer[Phân loại],MATCH(KH_26_OPT4_KTQT_v4[[#This Row],[Tên khách]],MD_Customer[Tên khách-rút gọn],0)),"")</f>
        <v>Mới</v>
      </c>
      <c r="H164" s="7" t="str">
        <f>IFERROR(INDEX(MD_Customer[Kênh bán hàng],MATCH(KH_26_OPT4_KTQT_v4[[#This Row],[Tên khách]],MD_Customer[Tên khách-rút gọn],0)),"")</f>
        <v>Nội địa</v>
      </c>
      <c r="I164" s="35" t="s">
        <v>261</v>
      </c>
      <c r="J164" s="7" t="str">
        <f>IFERROR(INDEX(MD_Destination[Nước],MATCH(KH_26_OPT4_KTQT_v4[[#This Row],[Địa điểm đến]],MD_Destination[Địa điểm đến],0)),"")</f>
        <v>Việt Nam</v>
      </c>
      <c r="K164" s="7" t="str">
        <f>IFERROR(INDEX(MD_Destination[Khu vực],MATCH(KH_26_OPT4_KTQT_v4[[#This Row],[Địa điểm đến]],MD_Destination[Địa điểm đến],0)),"")</f>
        <v>Châu Á</v>
      </c>
      <c r="L164" s="35" t="s">
        <v>260</v>
      </c>
      <c r="M164" s="7" t="str">
        <f>IFERROR(INDEX(MD_SKU[Mã SKU],MATCH(KH_26_OPT4_KTQT_v4[[#This Row],[Tên sản phẩm]],MD_SKU[Tên SKU-rút gọn],0)),"")</f>
        <v>110000410</v>
      </c>
      <c r="N164" s="35" t="s">
        <v>472</v>
      </c>
      <c r="O164" s="7" t="str">
        <f>IFERROR(INDEX(MD_SKU[Ngành hàng],MATCH(KH_26_OPT4_KTQT_v4[[#This Row],[Tên sản phẩm]],MD_SKU[Tên SKU-rút gọn],0)),"")</f>
        <v>rHDPE ép</v>
      </c>
      <c r="P164" s="7" t="str">
        <f>IFERROR(INDEX(MD_SKU[Nhóm ngành],MATCH(KH_26_OPT4_KTQT_v4[[#This Row],[Tên sản phẩm]],MD_SKU[Tên SKU-rút gọn],0)),"")</f>
        <v>Vảy HD ép</v>
      </c>
      <c r="Q164" s="7" t="str">
        <f>IFERROR(
   IF(INDEX(MD_SKU[IV/IM],MATCH(KH_26_OPT4_KTQT_v4[[#This Row],[Tên sản phẩm]],MD_SKU[Tên SKU-rút gọn],0))=0,
      "",
      INDEX(MD_SKU[IV/IM],MATCH(KH_26_OPT4_KTQT_v4[[#This Row],[Tên sản phẩm]],MD_SKU[Tên SKU-rút gọn],0))
   ),
"")</f>
        <v/>
      </c>
      <c r="R164" s="44">
        <f>IFERROR(INDEX(MD_SKU[Application],MATCH(KH_26_OPT4_KTQT_v4[[#This Row],[Tên sản phẩm]],MD_SKU[Tên SKU-rút gọn],0)),"")</f>
        <v>0</v>
      </c>
      <c r="S164" s="7" t="str">
        <f>IFERROR(INDEX(MD_SKU[Phân loại],MATCH(KH_26_OPT4_KTQT_v4[[#This Row],[Tên sản phẩm]],MD_SKU[Tên SKU-rút gọn],0)),"")</f>
        <v>Cũ</v>
      </c>
      <c r="T164" s="7" t="s">
        <v>542</v>
      </c>
      <c r="U164" s="7"/>
      <c r="V164" s="70">
        <v>0.8</v>
      </c>
      <c r="W164" s="33"/>
      <c r="X164" s="33"/>
      <c r="Y164" s="33"/>
      <c r="Z164" s="33"/>
      <c r="AA164" s="33"/>
      <c r="AB164" s="33"/>
      <c r="AC164" s="33"/>
      <c r="AD164" s="33"/>
      <c r="AE164" s="33"/>
      <c r="AF164" s="33"/>
      <c r="AG164" s="33"/>
      <c r="AH164" s="33"/>
      <c r="AI164" s="47">
        <f ca="1">SUM(KH_26_OPT4_KTQT_v4[[#This Row],[SL-01]:[SL-12]])</f>
        <v>0</v>
      </c>
      <c r="AJ164" s="47">
        <f ca="1">SUMIFS(DB_25[SL-DB25],DB_25[Mã khách],KH_26_OPT4_KTQT_v4[[#This Row],[Mã khách]],DB_25[Mã sản phẩm],KH_26_OPT4_KTQT_v4[[#This Row],[Mã sản phẩm]])</f>
        <v>0.05</v>
      </c>
      <c r="AK164" s="20">
        <f ca="1">KH_26_OPT4_KTQT_v4[[#This Row],[SL-KH26]]-KH_26_OPT4_KTQT_v4[[#This Row],[SL-DB25]]</f>
        <v>-0.05</v>
      </c>
      <c r="AL164" s="21">
        <f ca="1">IFERROR(KH_26_OPT4_KTQT_v4[[#This Row],[SL-+/-]]/KH_26_OPT4_KTQT_v4[[#This Row],[SL-DB25]],0)</f>
        <v>-1</v>
      </c>
      <c r="AM164" s="51">
        <v>560</v>
      </c>
      <c r="AN164" s="51">
        <v>560</v>
      </c>
      <c r="AO164" s="51">
        <v>560</v>
      </c>
      <c r="AP164" s="51">
        <v>560</v>
      </c>
      <c r="AQ164" s="51">
        <v>560</v>
      </c>
      <c r="AR164" s="51">
        <v>560</v>
      </c>
      <c r="AS164" s="51">
        <v>560</v>
      </c>
      <c r="AT164" s="51">
        <v>560</v>
      </c>
      <c r="AU164" s="51">
        <v>560</v>
      </c>
      <c r="AV164" s="51">
        <v>560</v>
      </c>
      <c r="AW164" s="51">
        <v>560</v>
      </c>
      <c r="AX164" s="51">
        <v>560</v>
      </c>
      <c r="AY164" s="23">
        <v>560</v>
      </c>
      <c r="AZ164" s="7"/>
      <c r="BA164" s="24">
        <f>KH_26_OPT4_KTQT_v4[[#This Row],[GB-DB25]]-KH_26_OPT4_KTQT_v4[[#This Row],[GB-KH25]]</f>
        <v>560</v>
      </c>
      <c r="BB164" s="21">
        <f>IFERROR(KH_26_OPT4_KTQT_v4[[#This Row],[GB-+/-]]/KH_26_OPT4_KTQT_v4[[#This Row],[GB-KH25]],0)</f>
        <v>0</v>
      </c>
      <c r="BC164" s="21"/>
      <c r="BD164" s="47">
        <f>KH_26_OPT4_KTQT_v4[[#This Row],[SL-01]]*KH_26_OPT4_KTQT_v4[[#This Row],[GB-01]]*EXR</f>
        <v>0</v>
      </c>
      <c r="BE164" s="47">
        <f>KH_26_OPT4_KTQT_v4[[#This Row],[SL-02]]*KH_26_OPT4_KTQT_v4[[#This Row],[GB-02]]*EXR</f>
        <v>0</v>
      </c>
      <c r="BF164" s="47">
        <f>KH_26_OPT4_KTQT_v4[[#This Row],[SL-03]]*KH_26_OPT4_KTQT_v4[[#This Row],[GB-03]]*EXR</f>
        <v>0</v>
      </c>
      <c r="BG164" s="47">
        <f>KH_26_OPT4_KTQT_v4[[#This Row],[SL-04]]*KH_26_OPT4_KTQT_v4[[#This Row],[GB-04]]*EXR</f>
        <v>0</v>
      </c>
      <c r="BH164" s="47">
        <f>KH_26_OPT4_KTQT_v4[[#This Row],[SL-05]]*KH_26_OPT4_KTQT_v4[[#This Row],[GB-05]]*EXR</f>
        <v>0</v>
      </c>
      <c r="BI164" s="47">
        <f>KH_26_OPT4_KTQT_v4[[#This Row],[SL-06]]*KH_26_OPT4_KTQT_v4[[#This Row],[GB-06]]*EXR</f>
        <v>0</v>
      </c>
      <c r="BJ164" s="47">
        <f>KH_26_OPT4_KTQT_v4[[#This Row],[SL-07]]*KH_26_OPT4_KTQT_v4[[#This Row],[GB-07]]*EXR</f>
        <v>0</v>
      </c>
      <c r="BK164" s="47">
        <f>KH_26_OPT4_KTQT_v4[[#This Row],[SL-08]]*KH_26_OPT4_KTQT_v4[[#This Row],[GB-08]]*EXR</f>
        <v>0</v>
      </c>
      <c r="BL164" s="47">
        <f>KH_26_OPT4_KTQT_v4[[#This Row],[SL-09]]*KH_26_OPT4_KTQT_v4[[#This Row],[GB-09]]*EXR</f>
        <v>0</v>
      </c>
      <c r="BM164" s="47">
        <f>KH_26_OPT4_KTQT_v4[[#This Row],[SL-10]]*KH_26_OPT4_KTQT_v4[[#This Row],[GB-10]]*EXR</f>
        <v>0</v>
      </c>
      <c r="BN164" s="47">
        <f>KH_26_OPT4_KTQT_v4[[#This Row],[SL-11]]*KH_26_OPT4_KTQT_v4[[#This Row],[GB-11]]*EXR</f>
        <v>0</v>
      </c>
      <c r="BO164" s="47">
        <f>KH_26_OPT4_KTQT_v4[[#This Row],[SL-12]]*KH_26_OPT4_KTQT_v4[[#This Row],[GB-12]]*EXR</f>
        <v>0</v>
      </c>
      <c r="BP164" s="47">
        <f ca="1">SUM(KH_26_OPT4_KTQT_v4[[#This Row],[DT-EXW-01]:[DT-EXW-12]])</f>
        <v>0</v>
      </c>
      <c r="BQ164" s="47">
        <f ca="1">SUMIFS(DB_25[DT-DB25],DB_25[Mã khách],KH_26_OPT4_KTQT_v4[[#This Row],[Mã khách]],DB_25[Mã sản phẩm],KH_26_OPT4_KTQT_v4[[#This Row],[Mã sản phẩm]])</f>
        <v>750000</v>
      </c>
      <c r="BR164" s="47">
        <f ca="1">KH_26_OPT4_KTQT_v4[[#This Row],[DT-EXW-KH26]]-KH_26_OPT4_KTQT_v4[[#This Row],[DT-EXW-DB25]]</f>
        <v>-750000</v>
      </c>
      <c r="BS164" s="21">
        <f ca="1">IFERROR(KH_26_OPT4_KTQT_v4[[#This Row],[DT-EXW-+/-]]/KH_26_OPT4_KTQT_v4[[#This Row],[DT-EXW-DB25]],0)</f>
        <v>-1</v>
      </c>
      <c r="BT164" s="139"/>
      <c r="BU164" s="57"/>
      <c r="BV164" s="51"/>
      <c r="BW164" s="47">
        <f>IF(KH_26_OPT4_KTQT_v4[[#This Row],[CPHH-%-SL]]="Dthu",KH_26_OPT4_KTQT_v4[[#This Row],[%HH]]*KH_26_OPT4_KTQT_v4[[#This Row],[DT-EXW-01]],KH_26_OPT4_KTQT_v4[[#This Row],[HH-SL]]*KH_26_OPT4_KTQT_v4[[#This Row],[SL-01]])</f>
        <v>0</v>
      </c>
      <c r="BX164" s="47">
        <f>IF(KH_26_OPT4_KTQT_v4[[#This Row],[CPHH-%-SL]]="Dthu",KH_26_OPT4_KTQT_v4[[#This Row],[%HH]]*KH_26_OPT4_KTQT_v4[[#This Row],[DT-EXW-02]],KH_26_OPT4_KTQT_v4[[#This Row],[HH-SL]]*KH_26_OPT4_KTQT_v4[[#This Row],[SL-02]])</f>
        <v>0</v>
      </c>
      <c r="BY164" s="47">
        <f>IF(KH_26_OPT4_KTQT_v4[[#This Row],[CPHH-%-SL]]="Dthu",KH_26_OPT4_KTQT_v4[[#This Row],[%HH]]*KH_26_OPT4_KTQT_v4[[#This Row],[DT-EXW-03]],KH_26_OPT4_KTQT_v4[[#This Row],[HH-SL]]*KH_26_OPT4_KTQT_v4[[#This Row],[SL-03]])</f>
        <v>0</v>
      </c>
      <c r="BZ164" s="47">
        <f>IF(KH_26_OPT4_KTQT_v4[[#This Row],[CPHH-%-SL]]="Dthu",KH_26_OPT4_KTQT_v4[[#This Row],[%HH]]*KH_26_OPT4_KTQT_v4[[#This Row],[DT-EXW-04]],KH_26_OPT4_KTQT_v4[[#This Row],[HH-SL]]*KH_26_OPT4_KTQT_v4[[#This Row],[SL-04]])</f>
        <v>0</v>
      </c>
      <c r="CA164" s="47">
        <f>IF(KH_26_OPT4_KTQT_v4[[#This Row],[CPHH-%-SL]]="Dthu",KH_26_OPT4_KTQT_v4[[#This Row],[%HH]]*KH_26_OPT4_KTQT_v4[[#This Row],[DT-EXW-05]],KH_26_OPT4_KTQT_v4[[#This Row],[HH-SL]]*KH_26_OPT4_KTQT_v4[[#This Row],[SL-05]])</f>
        <v>0</v>
      </c>
      <c r="CB164" s="47">
        <f>IF(KH_26_OPT4_KTQT_v4[[#This Row],[CPHH-%-SL]]="Dthu",KH_26_OPT4_KTQT_v4[[#This Row],[%HH]]*KH_26_OPT4_KTQT_v4[[#This Row],[DT-EXW-06]],KH_26_OPT4_KTQT_v4[[#This Row],[HH-SL]]*KH_26_OPT4_KTQT_v4[[#This Row],[SL-06]])</f>
        <v>0</v>
      </c>
      <c r="CC164" s="47">
        <f>IF(KH_26_OPT4_KTQT_v4[[#This Row],[CPHH-%-SL]]="Dthu",KH_26_OPT4_KTQT_v4[[#This Row],[%HH]]*KH_26_OPT4_KTQT_v4[[#This Row],[DT-EXW-07]],KH_26_OPT4_KTQT_v4[[#This Row],[HH-SL]]*KH_26_OPT4_KTQT_v4[[#This Row],[SL-07]])</f>
        <v>0</v>
      </c>
      <c r="CD164" s="47">
        <f>IF(KH_26_OPT4_KTQT_v4[[#This Row],[CPHH-%-SL]]="Dthu",KH_26_OPT4_KTQT_v4[[#This Row],[%HH]]*KH_26_OPT4_KTQT_v4[[#This Row],[DT-EXW-08]],KH_26_OPT4_KTQT_v4[[#This Row],[HH-SL]]*KH_26_OPT4_KTQT_v4[[#This Row],[SL-08]])</f>
        <v>0</v>
      </c>
      <c r="CE164" s="47">
        <f>IF(KH_26_OPT4_KTQT_v4[[#This Row],[CPHH-%-SL]]="Dthu",KH_26_OPT4_KTQT_v4[[#This Row],[%HH]]*KH_26_OPT4_KTQT_v4[[#This Row],[DT-EXW-09]],KH_26_OPT4_KTQT_v4[[#This Row],[HH-SL]]*KH_26_OPT4_KTQT_v4[[#This Row],[SL-09]])</f>
        <v>0</v>
      </c>
      <c r="CF164" s="47">
        <f>IF(KH_26_OPT4_KTQT_v4[[#This Row],[CPHH-%-SL]]="Dthu",KH_26_OPT4_KTQT_v4[[#This Row],[%HH]]*KH_26_OPT4_KTQT_v4[[#This Row],[DT-EXW-10]],KH_26_OPT4_KTQT_v4[[#This Row],[HH-SL]]*KH_26_OPT4_KTQT_v4[[#This Row],[SL-10]])</f>
        <v>0</v>
      </c>
      <c r="CG164" s="47">
        <f>IF(KH_26_OPT4_KTQT_v4[[#This Row],[CPHH-%-SL]]="Dthu",KH_26_OPT4_KTQT_v4[[#This Row],[%HH]]*KH_26_OPT4_KTQT_v4[[#This Row],[DT-EXW-11]],KH_26_OPT4_KTQT_v4[[#This Row],[HH-SL]]*KH_26_OPT4_KTQT_v4[[#This Row],[SL-11]])</f>
        <v>0</v>
      </c>
      <c r="CH164" s="47">
        <f>IF(KH_26_OPT4_KTQT_v4[[#This Row],[CPHH-%-SL]]="Dthu",KH_26_OPT4_KTQT_v4[[#This Row],[%HH]]*KH_26_OPT4_KTQT_v4[[#This Row],[DT-EXW-12]],KH_26_OPT4_KTQT_v4[[#This Row],[HH-SL]]*KH_26_OPT4_KTQT_v4[[#This Row],[SL-12]])</f>
        <v>0</v>
      </c>
      <c r="CI164" s="47">
        <f ca="1">SUM(KH_26_OPT4_KTQT_v4[[#This Row],[CPHH-01]:[CPHH-12]])</f>
        <v>0</v>
      </c>
      <c r="CJ164" s="47" cm="1">
        <f t="array" ref="CJ164">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64" s="19">
        <f ca="1">SUM(KH_26_OPT4_KTQT_v4[[#This Row],[ĐGVCNĐ-KXK]:[ĐGVCCT-KXK]])</f>
        <v>0</v>
      </c>
      <c r="CL164" s="47" cm="1">
        <f t="array" ref="CL164">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164" s="47" cm="1">
        <f t="array" ref="CM164">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64" s="47">
        <f ca="1">(KH_26_OPT4_KTQT_v4[[#This Row],[ĐGVC-KNĐ]]+KH_26_OPT4_KTQT_v4[[#This Row],[ĐGVC-KXK]])*KH_26_OPT4_KTQT_v4[[#This Row],[SL-01]]</f>
        <v>0</v>
      </c>
      <c r="CO164" s="47">
        <f ca="1">(KH_26_OPT4_KTQT_v4[[#This Row],[ĐGVC-KNĐ]]+KH_26_OPT4_KTQT_v4[[#This Row],[ĐGVC-KXK]])*KH_26_OPT4_KTQT_v4[[#This Row],[SL-02]]</f>
        <v>0</v>
      </c>
      <c r="CP164" s="47">
        <f ca="1">(KH_26_OPT4_KTQT_v4[[#This Row],[ĐGVC-KNĐ]]+KH_26_OPT4_KTQT_v4[[#This Row],[ĐGVC-KXK]])*KH_26_OPT4_KTQT_v4[[#This Row],[SL-03]]</f>
        <v>0</v>
      </c>
      <c r="CQ164" s="47">
        <f ca="1">(KH_26_OPT4_KTQT_v4[[#This Row],[ĐGVC-KNĐ]]+KH_26_OPT4_KTQT_v4[[#This Row],[ĐGVC-KXK]])*KH_26_OPT4_KTQT_v4[[#This Row],[SL-04]]</f>
        <v>0</v>
      </c>
      <c r="CR164" s="47">
        <f ca="1">(KH_26_OPT4_KTQT_v4[[#This Row],[ĐGVC-KNĐ]]+KH_26_OPT4_KTQT_v4[[#This Row],[ĐGVC-KXK]])*KH_26_OPT4_KTQT_v4[[#This Row],[SL-05]]</f>
        <v>0</v>
      </c>
      <c r="CS164" s="47">
        <f ca="1">(KH_26_OPT4_KTQT_v4[[#This Row],[ĐGVC-KNĐ]]+KH_26_OPT4_KTQT_v4[[#This Row],[ĐGVC-KXK]])*KH_26_OPT4_KTQT_v4[[#This Row],[SL-06]]</f>
        <v>0</v>
      </c>
      <c r="CT164" s="47">
        <f ca="1">(KH_26_OPT4_KTQT_v4[[#This Row],[ĐGVC-KNĐ]]+KH_26_OPT4_KTQT_v4[[#This Row],[ĐGVC-KXK]])*KH_26_OPT4_KTQT_v4[[#This Row],[SL-07]]</f>
        <v>0</v>
      </c>
      <c r="CU164" s="47">
        <f ca="1">(KH_26_OPT4_KTQT_v4[[#This Row],[ĐGVC-KNĐ]]+KH_26_OPT4_KTQT_v4[[#This Row],[ĐGVC-KXK]])*KH_26_OPT4_KTQT_v4[[#This Row],[SL-08]]</f>
        <v>0</v>
      </c>
      <c r="CV164" s="47">
        <f ca="1">(KH_26_OPT4_KTQT_v4[[#This Row],[ĐGVC-KNĐ]]+KH_26_OPT4_KTQT_v4[[#This Row],[ĐGVC-KXK]])*KH_26_OPT4_KTQT_v4[[#This Row],[SL-09]]</f>
        <v>0</v>
      </c>
      <c r="CW164" s="47">
        <f ca="1">(KH_26_OPT4_KTQT_v4[[#This Row],[ĐGVC-KNĐ]]+KH_26_OPT4_KTQT_v4[[#This Row],[ĐGVC-KXK]])*KH_26_OPT4_KTQT_v4[[#This Row],[SL-10]]</f>
        <v>0</v>
      </c>
      <c r="CX164" s="47">
        <f ca="1">(KH_26_OPT4_KTQT_v4[[#This Row],[ĐGVC-KNĐ]]+KH_26_OPT4_KTQT_v4[[#This Row],[ĐGVC-KXK]])*KH_26_OPT4_KTQT_v4[[#This Row],[SL-11]]</f>
        <v>0</v>
      </c>
      <c r="CY164" s="47">
        <f ca="1">(KH_26_OPT4_KTQT_v4[[#This Row],[ĐGVC-KNĐ]]+KH_26_OPT4_KTQT_v4[[#This Row],[ĐGVC-KXK]])*KH_26_OPT4_KTQT_v4[[#This Row],[SL-12]]</f>
        <v>0</v>
      </c>
      <c r="CZ164" s="47">
        <f ca="1">SUM(KH_26_OPT4_KTQT_v4[[#This Row],[CPVC-01]:[CPVC-12]])</f>
        <v>0</v>
      </c>
      <c r="DA164" s="124">
        <f ca="1">KH_26_OPT4_KTQT_v4[[#This Row],[DT-EXW-01]]+KH_26_OPT4_KTQT_v4[[#This Row],[CPVC-01]]+KH_26_OPT4_KTQT_v4[[#This Row],[CPHH-01]]</f>
        <v>0</v>
      </c>
      <c r="DB164" s="47">
        <f ca="1">KH_26_OPT4_KTQT_v4[[#This Row],[DT-EXW-02]]+KH_26_OPT4_KTQT_v4[[#This Row],[CPVC-02]]+KH_26_OPT4_KTQT_v4[[#This Row],[CPHH-02]]</f>
        <v>0</v>
      </c>
      <c r="DC164" s="47">
        <f ca="1">KH_26_OPT4_KTQT_v4[[#This Row],[DT-EXW-03]]+KH_26_OPT4_KTQT_v4[[#This Row],[CPVC-03]]+KH_26_OPT4_KTQT_v4[[#This Row],[CPHH-03]]</f>
        <v>0</v>
      </c>
      <c r="DD164" s="47">
        <f ca="1">KH_26_OPT4_KTQT_v4[[#This Row],[DT-EXW-04]]+KH_26_OPT4_KTQT_v4[[#This Row],[CPVC-04]]+KH_26_OPT4_KTQT_v4[[#This Row],[CPHH-04]]</f>
        <v>0</v>
      </c>
      <c r="DE164" s="47">
        <f ca="1">KH_26_OPT4_KTQT_v4[[#This Row],[DT-EXW-05]]+KH_26_OPT4_KTQT_v4[[#This Row],[CPVC-05]]+KH_26_OPT4_KTQT_v4[[#This Row],[CPHH-05]]</f>
        <v>0</v>
      </c>
      <c r="DF164" s="47">
        <f ca="1">KH_26_OPT4_KTQT_v4[[#This Row],[DT-EXW-06]]+KH_26_OPT4_KTQT_v4[[#This Row],[CPVC-06]]+KH_26_OPT4_KTQT_v4[[#This Row],[CPHH-06]]</f>
        <v>0</v>
      </c>
      <c r="DG164" s="47">
        <f ca="1">KH_26_OPT4_KTQT_v4[[#This Row],[DT-EXW-07]]+KH_26_OPT4_KTQT_v4[[#This Row],[CPVC-07]]+KH_26_OPT4_KTQT_v4[[#This Row],[CPHH-07]]</f>
        <v>0</v>
      </c>
      <c r="DH164" s="47">
        <f ca="1">KH_26_OPT4_KTQT_v4[[#This Row],[DT-EXW-08]]+KH_26_OPT4_KTQT_v4[[#This Row],[CPVC-08]]+KH_26_OPT4_KTQT_v4[[#This Row],[CPHH-08]]</f>
        <v>0</v>
      </c>
      <c r="DI164" s="47">
        <f ca="1">KH_26_OPT4_KTQT_v4[[#This Row],[DT-EXW-09]]+KH_26_OPT4_KTQT_v4[[#This Row],[CPVC-09]]+KH_26_OPT4_KTQT_v4[[#This Row],[CPHH-09]]</f>
        <v>0</v>
      </c>
      <c r="DJ164" s="47">
        <f ca="1">KH_26_OPT4_KTQT_v4[[#This Row],[DT-EXW-10]]+KH_26_OPT4_KTQT_v4[[#This Row],[CPVC-10]]+KH_26_OPT4_KTQT_v4[[#This Row],[CPHH-10]]</f>
        <v>0</v>
      </c>
      <c r="DK164" s="47">
        <f ca="1">KH_26_OPT4_KTQT_v4[[#This Row],[DT-EXW-11]]+KH_26_OPT4_KTQT_v4[[#This Row],[CPVC-11]]+KH_26_OPT4_KTQT_v4[[#This Row],[CPHH-11]]</f>
        <v>0</v>
      </c>
      <c r="DL164" s="47">
        <f ca="1">KH_26_OPT4_KTQT_v4[[#This Row],[DT-EXW-12]]+KH_26_OPT4_KTQT_v4[[#This Row],[CPVC-12]]+KH_26_OPT4_KTQT_v4[[#This Row],[CPHH-12]]</f>
        <v>0</v>
      </c>
      <c r="DM164" s="47">
        <f ca="1">SUM(KH_26_OPT4_KTQT_v4[[#This Row],[DT-01]:[DT-12]])</f>
        <v>0</v>
      </c>
      <c r="DN164" s="7"/>
      <c r="DO164" s="7"/>
      <c r="DP164" s="125"/>
      <c r="DQ164" s="136"/>
      <c r="DR164" s="132">
        <f>IFERROR(KH_26_OPT4_KTQT_v4[[#This Row],[DT-EXW-01]]*KH_26_OPT4_KTQT_v4[[#This Row],[%CPDP]],0)</f>
        <v>0</v>
      </c>
      <c r="DS164" s="132">
        <f>IFERROR(KH_26_OPT4_KTQT_v4[[#This Row],[DT-EXW-02]]*KH_26_OPT4_KTQT_v4[[#This Row],[%CPDP]],0)</f>
        <v>0</v>
      </c>
      <c r="DT164" s="132">
        <f>IFERROR(KH_26_OPT4_KTQT_v4[[#This Row],[DT-EXW-03]]*KH_26_OPT4_KTQT_v4[[#This Row],[%CPDP]],0)</f>
        <v>0</v>
      </c>
      <c r="DU164" s="132">
        <f>IFERROR(KH_26_OPT4_KTQT_v4[[#This Row],[DT-EXW-04]]*KH_26_OPT4_KTQT_v4[[#This Row],[%CPDP]],0)</f>
        <v>0</v>
      </c>
      <c r="DV164" s="132">
        <f>IFERROR(KH_26_OPT4_KTQT_v4[[#This Row],[DT-EXW-05]]*KH_26_OPT4_KTQT_v4[[#This Row],[%CPDP]],0)</f>
        <v>0</v>
      </c>
      <c r="DW164" s="132">
        <f>IFERROR(KH_26_OPT4_KTQT_v4[[#This Row],[DT-EXW-06]]*KH_26_OPT4_KTQT_v4[[#This Row],[%CPDP]],0)</f>
        <v>0</v>
      </c>
      <c r="DX164" s="132">
        <f>IFERROR(KH_26_OPT4_KTQT_v4[[#This Row],[DT-EXW-07]]*KH_26_OPT4_KTQT_v4[[#This Row],[%CPDP]],0)</f>
        <v>0</v>
      </c>
      <c r="DY164" s="132">
        <f>IFERROR(KH_26_OPT4_KTQT_v4[[#This Row],[DT-EXW-08]]*KH_26_OPT4_KTQT_v4[[#This Row],[%CPDP]],0)</f>
        <v>0</v>
      </c>
      <c r="DZ164" s="132">
        <f>IFERROR(KH_26_OPT4_KTQT_v4[[#This Row],[DT-EXW-09]]*KH_26_OPT4_KTQT_v4[[#This Row],[%CPDP]],0)</f>
        <v>0</v>
      </c>
      <c r="EA164" s="132">
        <f>IFERROR(KH_26_OPT4_KTQT_v4[[#This Row],[DT-EXW-10]]*KH_26_OPT4_KTQT_v4[[#This Row],[%CPDP]],0)</f>
        <v>0</v>
      </c>
      <c r="EB164" s="132">
        <f>IFERROR(KH_26_OPT4_KTQT_v4[[#This Row],[DT-EXW-11]]*KH_26_OPT4_KTQT_v4[[#This Row],[%CPDP]],0)</f>
        <v>0</v>
      </c>
      <c r="EC164" s="132">
        <f>IFERROR(KH_26_OPT4_KTQT_v4[[#This Row],[DT-EXW-12]]*KH_26_OPT4_KTQT_v4[[#This Row],[%CPDP]],0)</f>
        <v>0</v>
      </c>
      <c r="ED164" s="131">
        <f ca="1">SUM(KH_26_OPT4_KTQT_v4[[#This Row],[CPDP-01]:[CPDP-12]])</f>
        <v>0</v>
      </c>
    </row>
    <row r="165" spans="1:134" ht="14.5" hidden="1" x14ac:dyDescent="0.35">
      <c r="A165" s="18">
        <v>160</v>
      </c>
      <c r="B165" s="71" t="s">
        <v>101</v>
      </c>
      <c r="C165" s="18" t="str">
        <f>IFERROR(_xlfn.XLOOKUP(KH_26_OPT4_KTQT_v4[[#This Row],[Salesman]],MD_Salesman[Salesman],MD_Salesman[SalesManager]),"")</f>
        <v>Cường</v>
      </c>
      <c r="D165" s="72" t="str">
        <f>IFERROR(INDEX(MD_Customer[Mã khách],MATCH(KH_26_OPT4_KTQT_v4[[#This Row],[Tên khách]],MD_Customer[Tên khách-rút gọn],0)),"")</f>
        <v>105355</v>
      </c>
      <c r="E165" s="7" t="str">
        <f>IFERROR(INDEX(MD_Customer[Parent Account],MATCH(KH_26_OPT4_KTQT_v4[[#This Row],[Tên khách]],MD_Customer[Tên khách-rút gọn],0)),"")</f>
        <v>Nhựa Âu Lạc</v>
      </c>
      <c r="F165" s="35" t="s">
        <v>114</v>
      </c>
      <c r="G165" s="7" t="str">
        <f>IFERROR(INDEX(MD_Customer[Phân loại],MATCH(KH_26_OPT4_KTQT_v4[[#This Row],[Tên khách]],MD_Customer[Tên khách-rút gọn],0)),"")</f>
        <v>Mới</v>
      </c>
      <c r="H165" s="7" t="str">
        <f>IFERROR(INDEX(MD_Customer[Kênh bán hàng],MATCH(KH_26_OPT4_KTQT_v4[[#This Row],[Tên khách]],MD_Customer[Tên khách-rút gọn],0)),"")</f>
        <v>Nội địa</v>
      </c>
      <c r="I165" s="35" t="s">
        <v>261</v>
      </c>
      <c r="J165" s="7" t="str">
        <f>IFERROR(INDEX(MD_Destination[Nước],MATCH(KH_26_OPT4_KTQT_v4[[#This Row],[Địa điểm đến]],MD_Destination[Địa điểm đến],0)),"")</f>
        <v>Việt Nam</v>
      </c>
      <c r="K165" s="7" t="str">
        <f>IFERROR(INDEX(MD_Destination[Khu vực],MATCH(KH_26_OPT4_KTQT_v4[[#This Row],[Địa điểm đến]],MD_Destination[Địa điểm đến],0)),"")</f>
        <v>Châu Á</v>
      </c>
      <c r="L165" s="35" t="s">
        <v>260</v>
      </c>
      <c r="M165" s="7" t="str">
        <f>IFERROR(INDEX(MD_SKU[Mã SKU],MATCH(KH_26_OPT4_KTQT_v4[[#This Row],[Tên sản phẩm]],MD_SKU[Tên SKU-rút gọn],0)),"")</f>
        <v>110000354</v>
      </c>
      <c r="N165" s="35" t="s">
        <v>456</v>
      </c>
      <c r="O165" s="7" t="str">
        <f>IFERROR(INDEX(MD_SKU[Ngành hàng],MATCH(KH_26_OPT4_KTQT_v4[[#This Row],[Tên sản phẩm]],MD_SKU[Tên SKU-rút gọn],0)),"")</f>
        <v>rPET</v>
      </c>
      <c r="P165" s="7" t="str">
        <f>IFERROR(INDEX(MD_SKU[Nhóm ngành],MATCH(KH_26_OPT4_KTQT_v4[[#This Row],[Tên sản phẩm]],MD_SKU[Tên SKU-rút gọn],0)),"")</f>
        <v>Hạt PET</v>
      </c>
      <c r="Q165" s="7" t="str">
        <f>IFERROR(
   IF(INDEX(MD_SKU[IV/IM],MATCH(KH_26_OPT4_KTQT_v4[[#This Row],[Tên sản phẩm]],MD_SKU[Tên SKU-rút gọn],0))=0,
      "",
      INDEX(MD_SKU[IV/IM],MATCH(KH_26_OPT4_KTQT_v4[[#This Row],[Tên sản phẩm]],MD_SKU[Tên SKU-rút gọn],0))
   ),
"")</f>
        <v>0.78 ± 0.02</v>
      </c>
      <c r="R165" s="44">
        <f>IFERROR(INDEX(MD_SKU[Application],MATCH(KH_26_OPT4_KTQT_v4[[#This Row],[Tên sản phẩm]],MD_SKU[Tên SKU-rút gọn],0)),"")</f>
        <v>0</v>
      </c>
      <c r="S165" s="7" t="str">
        <f>IFERROR(INDEX(MD_SKU[Phân loại],MATCH(KH_26_OPT4_KTQT_v4[[#This Row],[Tên sản phẩm]],MD_SKU[Tên SKU-rút gọn],0)),"")</f>
        <v>Cũ</v>
      </c>
      <c r="T165" s="7" t="s">
        <v>542</v>
      </c>
      <c r="U165" s="7"/>
      <c r="V165" s="70">
        <v>0.8</v>
      </c>
      <c r="W165" s="33"/>
      <c r="X165" s="33"/>
      <c r="Y165" s="33"/>
      <c r="Z165" s="33"/>
      <c r="AA165" s="33"/>
      <c r="AB165" s="33"/>
      <c r="AC165" s="33"/>
      <c r="AD165" s="33"/>
      <c r="AE165" s="33"/>
      <c r="AF165" s="33"/>
      <c r="AG165" s="33"/>
      <c r="AH165" s="33"/>
      <c r="AI165" s="47">
        <f ca="1">SUM(KH_26_OPT4_KTQT_v4[[#This Row],[SL-01]:[SL-12]])</f>
        <v>0</v>
      </c>
      <c r="AJ165" s="47">
        <f ca="1">SUMIFS(DB_25[SL-DB25],DB_25[Mã khách],KH_26_OPT4_KTQT_v4[[#This Row],[Mã khách]],DB_25[Mã sản phẩm],KH_26_OPT4_KTQT_v4[[#This Row],[Mã sản phẩm]])</f>
        <v>1.125</v>
      </c>
      <c r="AK165" s="20">
        <f ca="1">KH_26_OPT4_KTQT_v4[[#This Row],[SL-KH26]]-KH_26_OPT4_KTQT_v4[[#This Row],[SL-DB25]]</f>
        <v>-1.125</v>
      </c>
      <c r="AL165" s="21">
        <f ca="1">IFERROR(KH_26_OPT4_KTQT_v4[[#This Row],[SL-+/-]]/KH_26_OPT4_KTQT_v4[[#This Row],[SL-DB25]],0)</f>
        <v>-1</v>
      </c>
      <c r="AM165" s="51">
        <v>1150</v>
      </c>
      <c r="AN165" s="51">
        <v>1150</v>
      </c>
      <c r="AO165" s="51">
        <v>1150</v>
      </c>
      <c r="AP165" s="51">
        <v>1150</v>
      </c>
      <c r="AQ165" s="51">
        <v>1150</v>
      </c>
      <c r="AR165" s="51">
        <v>1150</v>
      </c>
      <c r="AS165" s="51">
        <v>1150</v>
      </c>
      <c r="AT165" s="51">
        <v>1150</v>
      </c>
      <c r="AU165" s="51">
        <v>1150</v>
      </c>
      <c r="AV165" s="51">
        <v>1150</v>
      </c>
      <c r="AW165" s="51">
        <v>1150</v>
      </c>
      <c r="AX165" s="51">
        <v>1150</v>
      </c>
      <c r="AY165" s="23">
        <v>1150</v>
      </c>
      <c r="AZ165" s="7"/>
      <c r="BA165" s="24">
        <f>KH_26_OPT4_KTQT_v4[[#This Row],[GB-DB25]]-KH_26_OPT4_KTQT_v4[[#This Row],[GB-KH25]]</f>
        <v>1150</v>
      </c>
      <c r="BB165" s="21">
        <f>IFERROR(KH_26_OPT4_KTQT_v4[[#This Row],[GB-+/-]]/KH_26_OPT4_KTQT_v4[[#This Row],[GB-KH25]],0)</f>
        <v>0</v>
      </c>
      <c r="BC165" s="21"/>
      <c r="BD165" s="47">
        <f>KH_26_OPT4_KTQT_v4[[#This Row],[SL-01]]*KH_26_OPT4_KTQT_v4[[#This Row],[GB-01]]*EXR</f>
        <v>0</v>
      </c>
      <c r="BE165" s="47">
        <f>KH_26_OPT4_KTQT_v4[[#This Row],[SL-02]]*KH_26_OPT4_KTQT_v4[[#This Row],[GB-02]]*EXR</f>
        <v>0</v>
      </c>
      <c r="BF165" s="47">
        <f>KH_26_OPT4_KTQT_v4[[#This Row],[SL-03]]*KH_26_OPT4_KTQT_v4[[#This Row],[GB-03]]*EXR</f>
        <v>0</v>
      </c>
      <c r="BG165" s="47">
        <f>KH_26_OPT4_KTQT_v4[[#This Row],[SL-04]]*KH_26_OPT4_KTQT_v4[[#This Row],[GB-04]]*EXR</f>
        <v>0</v>
      </c>
      <c r="BH165" s="47">
        <f>KH_26_OPT4_KTQT_v4[[#This Row],[SL-05]]*KH_26_OPT4_KTQT_v4[[#This Row],[GB-05]]*EXR</f>
        <v>0</v>
      </c>
      <c r="BI165" s="47">
        <f>KH_26_OPT4_KTQT_v4[[#This Row],[SL-06]]*KH_26_OPT4_KTQT_v4[[#This Row],[GB-06]]*EXR</f>
        <v>0</v>
      </c>
      <c r="BJ165" s="47">
        <f>KH_26_OPT4_KTQT_v4[[#This Row],[SL-07]]*KH_26_OPT4_KTQT_v4[[#This Row],[GB-07]]*EXR</f>
        <v>0</v>
      </c>
      <c r="BK165" s="47">
        <f>KH_26_OPT4_KTQT_v4[[#This Row],[SL-08]]*KH_26_OPT4_KTQT_v4[[#This Row],[GB-08]]*EXR</f>
        <v>0</v>
      </c>
      <c r="BL165" s="47">
        <f>KH_26_OPT4_KTQT_v4[[#This Row],[SL-09]]*KH_26_OPT4_KTQT_v4[[#This Row],[GB-09]]*EXR</f>
        <v>0</v>
      </c>
      <c r="BM165" s="47">
        <f>KH_26_OPT4_KTQT_v4[[#This Row],[SL-10]]*KH_26_OPT4_KTQT_v4[[#This Row],[GB-10]]*EXR</f>
        <v>0</v>
      </c>
      <c r="BN165" s="47">
        <f>KH_26_OPT4_KTQT_v4[[#This Row],[SL-11]]*KH_26_OPT4_KTQT_v4[[#This Row],[GB-11]]*EXR</f>
        <v>0</v>
      </c>
      <c r="BO165" s="47">
        <f>KH_26_OPT4_KTQT_v4[[#This Row],[SL-12]]*KH_26_OPT4_KTQT_v4[[#This Row],[GB-12]]*EXR</f>
        <v>0</v>
      </c>
      <c r="BP165" s="47">
        <f ca="1">SUM(KH_26_OPT4_KTQT_v4[[#This Row],[DT-EXW-01]:[DT-EXW-12]])</f>
        <v>0</v>
      </c>
      <c r="BQ165" s="47">
        <f ca="1">SUMIFS(DB_25[DT-DB25],DB_25[Mã khách],KH_26_OPT4_KTQT_v4[[#This Row],[Mã khách]],DB_25[Mã sản phẩm],KH_26_OPT4_KTQT_v4[[#This Row],[Mã sản phẩm]])</f>
        <v>37429138.417282127</v>
      </c>
      <c r="BR165" s="47">
        <f ca="1">KH_26_OPT4_KTQT_v4[[#This Row],[DT-EXW-KH26]]-KH_26_OPT4_KTQT_v4[[#This Row],[DT-EXW-DB25]]</f>
        <v>-37429138.417282127</v>
      </c>
      <c r="BS165" s="21">
        <f ca="1">IFERROR(KH_26_OPT4_KTQT_v4[[#This Row],[DT-EXW-+/-]]/KH_26_OPT4_KTQT_v4[[#This Row],[DT-EXW-DB25]],0)</f>
        <v>-1</v>
      </c>
      <c r="BT165" s="139"/>
      <c r="BU165" s="57"/>
      <c r="BV165" s="51"/>
      <c r="BW165" s="47">
        <f>IF(KH_26_OPT4_KTQT_v4[[#This Row],[CPHH-%-SL]]="Dthu",KH_26_OPT4_KTQT_v4[[#This Row],[%HH]]*KH_26_OPT4_KTQT_v4[[#This Row],[DT-EXW-01]],KH_26_OPT4_KTQT_v4[[#This Row],[HH-SL]]*KH_26_OPT4_KTQT_v4[[#This Row],[SL-01]])</f>
        <v>0</v>
      </c>
      <c r="BX165" s="47">
        <f>IF(KH_26_OPT4_KTQT_v4[[#This Row],[CPHH-%-SL]]="Dthu",KH_26_OPT4_KTQT_v4[[#This Row],[%HH]]*KH_26_OPT4_KTQT_v4[[#This Row],[DT-EXW-02]],KH_26_OPT4_KTQT_v4[[#This Row],[HH-SL]]*KH_26_OPT4_KTQT_v4[[#This Row],[SL-02]])</f>
        <v>0</v>
      </c>
      <c r="BY165" s="47">
        <f>IF(KH_26_OPT4_KTQT_v4[[#This Row],[CPHH-%-SL]]="Dthu",KH_26_OPT4_KTQT_v4[[#This Row],[%HH]]*KH_26_OPT4_KTQT_v4[[#This Row],[DT-EXW-03]],KH_26_OPT4_KTQT_v4[[#This Row],[HH-SL]]*KH_26_OPT4_KTQT_v4[[#This Row],[SL-03]])</f>
        <v>0</v>
      </c>
      <c r="BZ165" s="47">
        <f>IF(KH_26_OPT4_KTQT_v4[[#This Row],[CPHH-%-SL]]="Dthu",KH_26_OPT4_KTQT_v4[[#This Row],[%HH]]*KH_26_OPT4_KTQT_v4[[#This Row],[DT-EXW-04]],KH_26_OPT4_KTQT_v4[[#This Row],[HH-SL]]*KH_26_OPT4_KTQT_v4[[#This Row],[SL-04]])</f>
        <v>0</v>
      </c>
      <c r="CA165" s="47">
        <f>IF(KH_26_OPT4_KTQT_v4[[#This Row],[CPHH-%-SL]]="Dthu",KH_26_OPT4_KTQT_v4[[#This Row],[%HH]]*KH_26_OPT4_KTQT_v4[[#This Row],[DT-EXW-05]],KH_26_OPT4_KTQT_v4[[#This Row],[HH-SL]]*KH_26_OPT4_KTQT_v4[[#This Row],[SL-05]])</f>
        <v>0</v>
      </c>
      <c r="CB165" s="47">
        <f>IF(KH_26_OPT4_KTQT_v4[[#This Row],[CPHH-%-SL]]="Dthu",KH_26_OPT4_KTQT_v4[[#This Row],[%HH]]*KH_26_OPT4_KTQT_v4[[#This Row],[DT-EXW-06]],KH_26_OPT4_KTQT_v4[[#This Row],[HH-SL]]*KH_26_OPT4_KTQT_v4[[#This Row],[SL-06]])</f>
        <v>0</v>
      </c>
      <c r="CC165" s="47">
        <f>IF(KH_26_OPT4_KTQT_v4[[#This Row],[CPHH-%-SL]]="Dthu",KH_26_OPT4_KTQT_v4[[#This Row],[%HH]]*KH_26_OPT4_KTQT_v4[[#This Row],[DT-EXW-07]],KH_26_OPT4_KTQT_v4[[#This Row],[HH-SL]]*KH_26_OPT4_KTQT_v4[[#This Row],[SL-07]])</f>
        <v>0</v>
      </c>
      <c r="CD165" s="47">
        <f>IF(KH_26_OPT4_KTQT_v4[[#This Row],[CPHH-%-SL]]="Dthu",KH_26_OPT4_KTQT_v4[[#This Row],[%HH]]*KH_26_OPT4_KTQT_v4[[#This Row],[DT-EXW-08]],KH_26_OPT4_KTQT_v4[[#This Row],[HH-SL]]*KH_26_OPT4_KTQT_v4[[#This Row],[SL-08]])</f>
        <v>0</v>
      </c>
      <c r="CE165" s="47">
        <f>IF(KH_26_OPT4_KTQT_v4[[#This Row],[CPHH-%-SL]]="Dthu",KH_26_OPT4_KTQT_v4[[#This Row],[%HH]]*KH_26_OPT4_KTQT_v4[[#This Row],[DT-EXW-09]],KH_26_OPT4_KTQT_v4[[#This Row],[HH-SL]]*KH_26_OPT4_KTQT_v4[[#This Row],[SL-09]])</f>
        <v>0</v>
      </c>
      <c r="CF165" s="47">
        <f>IF(KH_26_OPT4_KTQT_v4[[#This Row],[CPHH-%-SL]]="Dthu",KH_26_OPT4_KTQT_v4[[#This Row],[%HH]]*KH_26_OPT4_KTQT_v4[[#This Row],[DT-EXW-10]],KH_26_OPT4_KTQT_v4[[#This Row],[HH-SL]]*KH_26_OPT4_KTQT_v4[[#This Row],[SL-10]])</f>
        <v>0</v>
      </c>
      <c r="CG165" s="47">
        <f>IF(KH_26_OPT4_KTQT_v4[[#This Row],[CPHH-%-SL]]="Dthu",KH_26_OPT4_KTQT_v4[[#This Row],[%HH]]*KH_26_OPT4_KTQT_v4[[#This Row],[DT-EXW-11]],KH_26_OPT4_KTQT_v4[[#This Row],[HH-SL]]*KH_26_OPT4_KTQT_v4[[#This Row],[SL-11]])</f>
        <v>0</v>
      </c>
      <c r="CH165" s="47">
        <f>IF(KH_26_OPT4_KTQT_v4[[#This Row],[CPHH-%-SL]]="Dthu",KH_26_OPT4_KTQT_v4[[#This Row],[%HH]]*KH_26_OPT4_KTQT_v4[[#This Row],[DT-EXW-12]],KH_26_OPT4_KTQT_v4[[#This Row],[HH-SL]]*KH_26_OPT4_KTQT_v4[[#This Row],[SL-12]])</f>
        <v>0</v>
      </c>
      <c r="CI165" s="47">
        <f ca="1">SUM(KH_26_OPT4_KTQT_v4[[#This Row],[CPHH-01]:[CPHH-12]])</f>
        <v>0</v>
      </c>
      <c r="CJ165" s="47" cm="1">
        <f t="array" ref="CJ165">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65" s="19">
        <f ca="1">SUM(KH_26_OPT4_KTQT_v4[[#This Row],[ĐGVCNĐ-KXK]:[ĐGVCCT-KXK]])</f>
        <v>0</v>
      </c>
      <c r="CL165" s="47" cm="1">
        <f t="array" ref="CL165">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165" s="47" cm="1">
        <f t="array" ref="CM165">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65" s="47">
        <f ca="1">(KH_26_OPT4_KTQT_v4[[#This Row],[ĐGVC-KNĐ]]+KH_26_OPT4_KTQT_v4[[#This Row],[ĐGVC-KXK]])*KH_26_OPT4_KTQT_v4[[#This Row],[SL-01]]</f>
        <v>0</v>
      </c>
      <c r="CO165" s="47">
        <f ca="1">(KH_26_OPT4_KTQT_v4[[#This Row],[ĐGVC-KNĐ]]+KH_26_OPT4_KTQT_v4[[#This Row],[ĐGVC-KXK]])*KH_26_OPT4_KTQT_v4[[#This Row],[SL-02]]</f>
        <v>0</v>
      </c>
      <c r="CP165" s="47">
        <f ca="1">(KH_26_OPT4_KTQT_v4[[#This Row],[ĐGVC-KNĐ]]+KH_26_OPT4_KTQT_v4[[#This Row],[ĐGVC-KXK]])*KH_26_OPT4_KTQT_v4[[#This Row],[SL-03]]</f>
        <v>0</v>
      </c>
      <c r="CQ165" s="47">
        <f ca="1">(KH_26_OPT4_KTQT_v4[[#This Row],[ĐGVC-KNĐ]]+KH_26_OPT4_KTQT_v4[[#This Row],[ĐGVC-KXK]])*KH_26_OPT4_KTQT_v4[[#This Row],[SL-04]]</f>
        <v>0</v>
      </c>
      <c r="CR165" s="47">
        <f ca="1">(KH_26_OPT4_KTQT_v4[[#This Row],[ĐGVC-KNĐ]]+KH_26_OPT4_KTQT_v4[[#This Row],[ĐGVC-KXK]])*KH_26_OPT4_KTQT_v4[[#This Row],[SL-05]]</f>
        <v>0</v>
      </c>
      <c r="CS165" s="47">
        <f ca="1">(KH_26_OPT4_KTQT_v4[[#This Row],[ĐGVC-KNĐ]]+KH_26_OPT4_KTQT_v4[[#This Row],[ĐGVC-KXK]])*KH_26_OPT4_KTQT_v4[[#This Row],[SL-06]]</f>
        <v>0</v>
      </c>
      <c r="CT165" s="47">
        <f ca="1">(KH_26_OPT4_KTQT_v4[[#This Row],[ĐGVC-KNĐ]]+KH_26_OPT4_KTQT_v4[[#This Row],[ĐGVC-KXK]])*KH_26_OPT4_KTQT_v4[[#This Row],[SL-07]]</f>
        <v>0</v>
      </c>
      <c r="CU165" s="47">
        <f ca="1">(KH_26_OPT4_KTQT_v4[[#This Row],[ĐGVC-KNĐ]]+KH_26_OPT4_KTQT_v4[[#This Row],[ĐGVC-KXK]])*KH_26_OPT4_KTQT_v4[[#This Row],[SL-08]]</f>
        <v>0</v>
      </c>
      <c r="CV165" s="47">
        <f ca="1">(KH_26_OPT4_KTQT_v4[[#This Row],[ĐGVC-KNĐ]]+KH_26_OPT4_KTQT_v4[[#This Row],[ĐGVC-KXK]])*KH_26_OPT4_KTQT_v4[[#This Row],[SL-09]]</f>
        <v>0</v>
      </c>
      <c r="CW165" s="47">
        <f ca="1">(KH_26_OPT4_KTQT_v4[[#This Row],[ĐGVC-KNĐ]]+KH_26_OPT4_KTQT_v4[[#This Row],[ĐGVC-KXK]])*KH_26_OPT4_KTQT_v4[[#This Row],[SL-10]]</f>
        <v>0</v>
      </c>
      <c r="CX165" s="47">
        <f ca="1">(KH_26_OPT4_KTQT_v4[[#This Row],[ĐGVC-KNĐ]]+KH_26_OPT4_KTQT_v4[[#This Row],[ĐGVC-KXK]])*KH_26_OPT4_KTQT_v4[[#This Row],[SL-11]]</f>
        <v>0</v>
      </c>
      <c r="CY165" s="47">
        <f ca="1">(KH_26_OPT4_KTQT_v4[[#This Row],[ĐGVC-KNĐ]]+KH_26_OPT4_KTQT_v4[[#This Row],[ĐGVC-KXK]])*KH_26_OPT4_KTQT_v4[[#This Row],[SL-12]]</f>
        <v>0</v>
      </c>
      <c r="CZ165" s="47">
        <f ca="1">SUM(KH_26_OPT4_KTQT_v4[[#This Row],[CPVC-01]:[CPVC-12]])</f>
        <v>0</v>
      </c>
      <c r="DA165" s="124">
        <f ca="1">KH_26_OPT4_KTQT_v4[[#This Row],[DT-EXW-01]]+KH_26_OPT4_KTQT_v4[[#This Row],[CPVC-01]]+KH_26_OPT4_KTQT_v4[[#This Row],[CPHH-01]]</f>
        <v>0</v>
      </c>
      <c r="DB165" s="47">
        <f ca="1">KH_26_OPT4_KTQT_v4[[#This Row],[DT-EXW-02]]+KH_26_OPT4_KTQT_v4[[#This Row],[CPVC-02]]+KH_26_OPT4_KTQT_v4[[#This Row],[CPHH-02]]</f>
        <v>0</v>
      </c>
      <c r="DC165" s="47">
        <f ca="1">KH_26_OPT4_KTQT_v4[[#This Row],[DT-EXW-03]]+KH_26_OPT4_KTQT_v4[[#This Row],[CPVC-03]]+KH_26_OPT4_KTQT_v4[[#This Row],[CPHH-03]]</f>
        <v>0</v>
      </c>
      <c r="DD165" s="47">
        <f ca="1">KH_26_OPT4_KTQT_v4[[#This Row],[DT-EXW-04]]+KH_26_OPT4_KTQT_v4[[#This Row],[CPVC-04]]+KH_26_OPT4_KTQT_v4[[#This Row],[CPHH-04]]</f>
        <v>0</v>
      </c>
      <c r="DE165" s="47">
        <f ca="1">KH_26_OPT4_KTQT_v4[[#This Row],[DT-EXW-05]]+KH_26_OPT4_KTQT_v4[[#This Row],[CPVC-05]]+KH_26_OPT4_KTQT_v4[[#This Row],[CPHH-05]]</f>
        <v>0</v>
      </c>
      <c r="DF165" s="47">
        <f ca="1">KH_26_OPT4_KTQT_v4[[#This Row],[DT-EXW-06]]+KH_26_OPT4_KTQT_v4[[#This Row],[CPVC-06]]+KH_26_OPT4_KTQT_v4[[#This Row],[CPHH-06]]</f>
        <v>0</v>
      </c>
      <c r="DG165" s="47">
        <f ca="1">KH_26_OPT4_KTQT_v4[[#This Row],[DT-EXW-07]]+KH_26_OPT4_KTQT_v4[[#This Row],[CPVC-07]]+KH_26_OPT4_KTQT_v4[[#This Row],[CPHH-07]]</f>
        <v>0</v>
      </c>
      <c r="DH165" s="47">
        <f ca="1">KH_26_OPT4_KTQT_v4[[#This Row],[DT-EXW-08]]+KH_26_OPT4_KTQT_v4[[#This Row],[CPVC-08]]+KH_26_OPT4_KTQT_v4[[#This Row],[CPHH-08]]</f>
        <v>0</v>
      </c>
      <c r="DI165" s="47">
        <f ca="1">KH_26_OPT4_KTQT_v4[[#This Row],[DT-EXW-09]]+KH_26_OPT4_KTQT_v4[[#This Row],[CPVC-09]]+KH_26_OPT4_KTQT_v4[[#This Row],[CPHH-09]]</f>
        <v>0</v>
      </c>
      <c r="DJ165" s="47">
        <f ca="1">KH_26_OPT4_KTQT_v4[[#This Row],[DT-EXW-10]]+KH_26_OPT4_KTQT_v4[[#This Row],[CPVC-10]]+KH_26_OPT4_KTQT_v4[[#This Row],[CPHH-10]]</f>
        <v>0</v>
      </c>
      <c r="DK165" s="47">
        <f ca="1">KH_26_OPT4_KTQT_v4[[#This Row],[DT-EXW-11]]+KH_26_OPT4_KTQT_v4[[#This Row],[CPVC-11]]+KH_26_OPT4_KTQT_v4[[#This Row],[CPHH-11]]</f>
        <v>0</v>
      </c>
      <c r="DL165" s="47">
        <f ca="1">KH_26_OPT4_KTQT_v4[[#This Row],[DT-EXW-12]]+KH_26_OPT4_KTQT_v4[[#This Row],[CPVC-12]]+KH_26_OPT4_KTQT_v4[[#This Row],[CPHH-12]]</f>
        <v>0</v>
      </c>
      <c r="DM165" s="47">
        <f ca="1">SUM(KH_26_OPT4_KTQT_v4[[#This Row],[DT-01]:[DT-12]])</f>
        <v>0</v>
      </c>
      <c r="DN165" s="7"/>
      <c r="DO165" s="7"/>
      <c r="DP165" s="125"/>
      <c r="DQ165" s="136"/>
      <c r="DR165" s="132">
        <f>IFERROR(KH_26_OPT4_KTQT_v4[[#This Row],[DT-EXW-01]]*KH_26_OPT4_KTQT_v4[[#This Row],[%CPDP]],0)</f>
        <v>0</v>
      </c>
      <c r="DS165" s="132">
        <f>IFERROR(KH_26_OPT4_KTQT_v4[[#This Row],[DT-EXW-02]]*KH_26_OPT4_KTQT_v4[[#This Row],[%CPDP]],0)</f>
        <v>0</v>
      </c>
      <c r="DT165" s="132">
        <f>IFERROR(KH_26_OPT4_KTQT_v4[[#This Row],[DT-EXW-03]]*KH_26_OPT4_KTQT_v4[[#This Row],[%CPDP]],0)</f>
        <v>0</v>
      </c>
      <c r="DU165" s="132">
        <f>IFERROR(KH_26_OPT4_KTQT_v4[[#This Row],[DT-EXW-04]]*KH_26_OPT4_KTQT_v4[[#This Row],[%CPDP]],0)</f>
        <v>0</v>
      </c>
      <c r="DV165" s="132">
        <f>IFERROR(KH_26_OPT4_KTQT_v4[[#This Row],[DT-EXW-05]]*KH_26_OPT4_KTQT_v4[[#This Row],[%CPDP]],0)</f>
        <v>0</v>
      </c>
      <c r="DW165" s="132">
        <f>IFERROR(KH_26_OPT4_KTQT_v4[[#This Row],[DT-EXW-06]]*KH_26_OPT4_KTQT_v4[[#This Row],[%CPDP]],0)</f>
        <v>0</v>
      </c>
      <c r="DX165" s="132">
        <f>IFERROR(KH_26_OPT4_KTQT_v4[[#This Row],[DT-EXW-07]]*KH_26_OPT4_KTQT_v4[[#This Row],[%CPDP]],0)</f>
        <v>0</v>
      </c>
      <c r="DY165" s="132">
        <f>IFERROR(KH_26_OPT4_KTQT_v4[[#This Row],[DT-EXW-08]]*KH_26_OPT4_KTQT_v4[[#This Row],[%CPDP]],0)</f>
        <v>0</v>
      </c>
      <c r="DZ165" s="132">
        <f>IFERROR(KH_26_OPT4_KTQT_v4[[#This Row],[DT-EXW-09]]*KH_26_OPT4_KTQT_v4[[#This Row],[%CPDP]],0)</f>
        <v>0</v>
      </c>
      <c r="EA165" s="132">
        <f>IFERROR(KH_26_OPT4_KTQT_v4[[#This Row],[DT-EXW-10]]*KH_26_OPT4_KTQT_v4[[#This Row],[%CPDP]],0)</f>
        <v>0</v>
      </c>
      <c r="EB165" s="132">
        <f>IFERROR(KH_26_OPT4_KTQT_v4[[#This Row],[DT-EXW-11]]*KH_26_OPT4_KTQT_v4[[#This Row],[%CPDP]],0)</f>
        <v>0</v>
      </c>
      <c r="EC165" s="132">
        <f>IFERROR(KH_26_OPT4_KTQT_v4[[#This Row],[DT-EXW-12]]*KH_26_OPT4_KTQT_v4[[#This Row],[%CPDP]],0)</f>
        <v>0</v>
      </c>
      <c r="ED165" s="131">
        <f ca="1">SUM(KH_26_OPT4_KTQT_v4[[#This Row],[CPDP-01]:[CPDP-12]])</f>
        <v>0</v>
      </c>
    </row>
    <row r="166" spans="1:134" ht="14.5" hidden="1" x14ac:dyDescent="0.35">
      <c r="A166" s="18">
        <v>161</v>
      </c>
      <c r="B166" s="71" t="s">
        <v>101</v>
      </c>
      <c r="C166" s="18" t="str">
        <f>IFERROR(_xlfn.XLOOKUP(KH_26_OPT4_KTQT_v4[[#This Row],[Salesman]],MD_Salesman[Salesman],MD_Salesman[SalesManager]),"")</f>
        <v>Cường</v>
      </c>
      <c r="D166" s="72" t="str">
        <f>IFERROR(INDEX(MD_Customer[Mã khách],MATCH(KH_26_OPT4_KTQT_v4[[#This Row],[Tên khách]],MD_Customer[Tên khách-rút gọn],0)),"")</f>
        <v>105355</v>
      </c>
      <c r="E166" s="7" t="str">
        <f>IFERROR(INDEX(MD_Customer[Parent Account],MATCH(KH_26_OPT4_KTQT_v4[[#This Row],[Tên khách]],MD_Customer[Tên khách-rút gọn],0)),"")</f>
        <v>Nhựa Âu Lạc</v>
      </c>
      <c r="F166" s="35" t="s">
        <v>114</v>
      </c>
      <c r="G166" s="7" t="str">
        <f>IFERROR(INDEX(MD_Customer[Phân loại],MATCH(KH_26_OPT4_KTQT_v4[[#This Row],[Tên khách]],MD_Customer[Tên khách-rút gọn],0)),"")</f>
        <v>Mới</v>
      </c>
      <c r="H166" s="7" t="str">
        <f>IFERROR(INDEX(MD_Customer[Kênh bán hàng],MATCH(KH_26_OPT4_KTQT_v4[[#This Row],[Tên khách]],MD_Customer[Tên khách-rút gọn],0)),"")</f>
        <v>Nội địa</v>
      </c>
      <c r="I166" s="35" t="s">
        <v>261</v>
      </c>
      <c r="J166" s="7" t="str">
        <f>IFERROR(INDEX(MD_Destination[Nước],MATCH(KH_26_OPT4_KTQT_v4[[#This Row],[Địa điểm đến]],MD_Destination[Địa điểm đến],0)),"")</f>
        <v>Việt Nam</v>
      </c>
      <c r="K166" s="7" t="str">
        <f>IFERROR(INDEX(MD_Destination[Khu vực],MATCH(KH_26_OPT4_KTQT_v4[[#This Row],[Địa điểm đến]],MD_Destination[Địa điểm đến],0)),"")</f>
        <v>Châu Á</v>
      </c>
      <c r="L166" s="35" t="s">
        <v>260</v>
      </c>
      <c r="M166" s="7" t="str">
        <f>IFERROR(INDEX(MD_SKU[Mã SKU],MATCH(KH_26_OPT4_KTQT_v4[[#This Row],[Tên sản phẩm]],MD_SKU[Tên SKU-rút gọn],0)),"")</f>
        <v>110000355</v>
      </c>
      <c r="N166" s="35" t="s">
        <v>469</v>
      </c>
      <c r="O166" s="7" t="str">
        <f>IFERROR(INDEX(MD_SKU[Ngành hàng],MATCH(KH_26_OPT4_KTQT_v4[[#This Row],[Tên sản phẩm]],MD_SKU[Tên SKU-rút gọn],0)),"")</f>
        <v>rPET</v>
      </c>
      <c r="P166" s="7" t="str">
        <f>IFERROR(INDEX(MD_SKU[Nhóm ngành],MATCH(KH_26_OPT4_KTQT_v4[[#This Row],[Tên sản phẩm]],MD_SKU[Tên SKU-rút gọn],0)),"")</f>
        <v>Hạt PET</v>
      </c>
      <c r="Q166" s="7" t="str">
        <f>IFERROR(
   IF(INDEX(MD_SKU[IV/IM],MATCH(KH_26_OPT4_KTQT_v4[[#This Row],[Tên sản phẩm]],MD_SKU[Tên SKU-rút gọn],0))=0,
      "",
      INDEX(MD_SKU[IV/IM],MATCH(KH_26_OPT4_KTQT_v4[[#This Row],[Tên sản phẩm]],MD_SKU[Tên SKU-rút gọn],0))
   ),
"")</f>
        <v>0.80 ± 0.02</v>
      </c>
      <c r="R166" s="44">
        <f>IFERROR(INDEX(MD_SKU[Application],MATCH(KH_26_OPT4_KTQT_v4[[#This Row],[Tên sản phẩm]],MD_SKU[Tên SKU-rút gọn],0)),"")</f>
        <v>0</v>
      </c>
      <c r="S166" s="7" t="str">
        <f>IFERROR(INDEX(MD_SKU[Phân loại],MATCH(KH_26_OPT4_KTQT_v4[[#This Row],[Tên sản phẩm]],MD_SKU[Tên SKU-rút gọn],0)),"")</f>
        <v>Cũ</v>
      </c>
      <c r="T166" s="7" t="s">
        <v>542</v>
      </c>
      <c r="U166" s="7"/>
      <c r="V166" s="70">
        <v>0.8</v>
      </c>
      <c r="W166" s="93"/>
      <c r="X166" s="33"/>
      <c r="Y166" s="33"/>
      <c r="Z166" s="33"/>
      <c r="AA166" s="93"/>
      <c r="AB166" s="33"/>
      <c r="AC166" s="33"/>
      <c r="AD166" s="33"/>
      <c r="AE166" s="93"/>
      <c r="AF166" s="33"/>
      <c r="AG166" s="33"/>
      <c r="AH166" s="33"/>
      <c r="AI166" s="47">
        <f ca="1">SUM(KH_26_OPT4_KTQT_v4[[#This Row],[SL-01]:[SL-12]])</f>
        <v>0</v>
      </c>
      <c r="AJ166" s="47">
        <f ca="1">SUMIFS(DB_25[SL-DB25],DB_25[Mã khách],KH_26_OPT4_KTQT_v4[[#This Row],[Mã khách]],DB_25[Mã sản phẩm],KH_26_OPT4_KTQT_v4[[#This Row],[Mã sản phẩm]])</f>
        <v>2.5000000000000001E-2</v>
      </c>
      <c r="AK166" s="20">
        <f ca="1">KH_26_OPT4_KTQT_v4[[#This Row],[SL-KH26]]-KH_26_OPT4_KTQT_v4[[#This Row],[SL-DB25]]</f>
        <v>-2.5000000000000001E-2</v>
      </c>
      <c r="AL166" s="21">
        <f ca="1">IFERROR(KH_26_OPT4_KTQT_v4[[#This Row],[SL-+/-]]/KH_26_OPT4_KTQT_v4[[#This Row],[SL-DB25]],0)</f>
        <v>-1</v>
      </c>
      <c r="AM166" s="51">
        <v>1200</v>
      </c>
      <c r="AN166" s="51">
        <v>1200</v>
      </c>
      <c r="AO166" s="51">
        <v>1200</v>
      </c>
      <c r="AP166" s="51">
        <v>1200</v>
      </c>
      <c r="AQ166" s="51">
        <v>1200</v>
      </c>
      <c r="AR166" s="51">
        <v>1200</v>
      </c>
      <c r="AS166" s="51">
        <v>1200</v>
      </c>
      <c r="AT166" s="51">
        <v>1200</v>
      </c>
      <c r="AU166" s="51">
        <v>1200</v>
      </c>
      <c r="AV166" s="51">
        <v>1200</v>
      </c>
      <c r="AW166" s="51">
        <v>1200</v>
      </c>
      <c r="AX166" s="51">
        <v>1200</v>
      </c>
      <c r="AY166" s="23">
        <v>1060</v>
      </c>
      <c r="AZ166" s="7"/>
      <c r="BA166" s="24">
        <f>KH_26_OPT4_KTQT_v4[[#This Row],[GB-DB25]]-KH_26_OPT4_KTQT_v4[[#This Row],[GB-KH25]]</f>
        <v>1060</v>
      </c>
      <c r="BB166" s="21">
        <f>IFERROR(KH_26_OPT4_KTQT_v4[[#This Row],[GB-+/-]]/KH_26_OPT4_KTQT_v4[[#This Row],[GB-KH25]],0)</f>
        <v>0</v>
      </c>
      <c r="BC166" s="21"/>
      <c r="BD166" s="47">
        <f>KH_26_OPT4_KTQT_v4[[#This Row],[SL-01]]*KH_26_OPT4_KTQT_v4[[#This Row],[GB-01]]*EXR</f>
        <v>0</v>
      </c>
      <c r="BE166" s="47">
        <f>KH_26_OPT4_KTQT_v4[[#This Row],[SL-02]]*KH_26_OPT4_KTQT_v4[[#This Row],[GB-02]]*EXR</f>
        <v>0</v>
      </c>
      <c r="BF166" s="47">
        <f>KH_26_OPT4_KTQT_v4[[#This Row],[SL-03]]*KH_26_OPT4_KTQT_v4[[#This Row],[GB-03]]*EXR</f>
        <v>0</v>
      </c>
      <c r="BG166" s="47">
        <f>KH_26_OPT4_KTQT_v4[[#This Row],[SL-04]]*KH_26_OPT4_KTQT_v4[[#This Row],[GB-04]]*EXR</f>
        <v>0</v>
      </c>
      <c r="BH166" s="47">
        <f>KH_26_OPT4_KTQT_v4[[#This Row],[SL-05]]*KH_26_OPT4_KTQT_v4[[#This Row],[GB-05]]*EXR</f>
        <v>0</v>
      </c>
      <c r="BI166" s="47">
        <f>KH_26_OPT4_KTQT_v4[[#This Row],[SL-06]]*KH_26_OPT4_KTQT_v4[[#This Row],[GB-06]]*EXR</f>
        <v>0</v>
      </c>
      <c r="BJ166" s="47">
        <f>KH_26_OPT4_KTQT_v4[[#This Row],[SL-07]]*KH_26_OPT4_KTQT_v4[[#This Row],[GB-07]]*EXR</f>
        <v>0</v>
      </c>
      <c r="BK166" s="47">
        <f>KH_26_OPT4_KTQT_v4[[#This Row],[SL-08]]*KH_26_OPT4_KTQT_v4[[#This Row],[GB-08]]*EXR</f>
        <v>0</v>
      </c>
      <c r="BL166" s="47">
        <f>KH_26_OPT4_KTQT_v4[[#This Row],[SL-09]]*KH_26_OPT4_KTQT_v4[[#This Row],[GB-09]]*EXR</f>
        <v>0</v>
      </c>
      <c r="BM166" s="47">
        <f>KH_26_OPT4_KTQT_v4[[#This Row],[SL-10]]*KH_26_OPT4_KTQT_v4[[#This Row],[GB-10]]*EXR</f>
        <v>0</v>
      </c>
      <c r="BN166" s="47">
        <f>KH_26_OPT4_KTQT_v4[[#This Row],[SL-11]]*KH_26_OPT4_KTQT_v4[[#This Row],[GB-11]]*EXR</f>
        <v>0</v>
      </c>
      <c r="BO166" s="47">
        <f>KH_26_OPT4_KTQT_v4[[#This Row],[SL-12]]*KH_26_OPT4_KTQT_v4[[#This Row],[GB-12]]*EXR</f>
        <v>0</v>
      </c>
      <c r="BP166" s="47">
        <f ca="1">SUM(KH_26_OPT4_KTQT_v4[[#This Row],[DT-EXW-01]:[DT-EXW-12]])</f>
        <v>0</v>
      </c>
      <c r="BQ166" s="47">
        <f ca="1">SUMIFS(DB_25[DT-DB25],DB_25[Mã khách],KH_26_OPT4_KTQT_v4[[#This Row],[Mã khách]],DB_25[Mã sản phẩm],KH_26_OPT4_KTQT_v4[[#This Row],[Mã sản phẩm]])</f>
        <v>855000</v>
      </c>
      <c r="BR166" s="47">
        <f ca="1">KH_26_OPT4_KTQT_v4[[#This Row],[DT-EXW-KH26]]-KH_26_OPT4_KTQT_v4[[#This Row],[DT-EXW-DB25]]</f>
        <v>-855000</v>
      </c>
      <c r="BS166" s="21">
        <f ca="1">IFERROR(KH_26_OPT4_KTQT_v4[[#This Row],[DT-EXW-+/-]]/KH_26_OPT4_KTQT_v4[[#This Row],[DT-EXW-DB25]],0)</f>
        <v>-1</v>
      </c>
      <c r="BT166" s="139"/>
      <c r="BU166" s="57"/>
      <c r="BV166" s="51"/>
      <c r="BW166" s="47">
        <f>IF(KH_26_OPT4_KTQT_v4[[#This Row],[CPHH-%-SL]]="Dthu",KH_26_OPT4_KTQT_v4[[#This Row],[%HH]]*KH_26_OPT4_KTQT_v4[[#This Row],[DT-EXW-01]],KH_26_OPT4_KTQT_v4[[#This Row],[HH-SL]]*KH_26_OPT4_KTQT_v4[[#This Row],[SL-01]])</f>
        <v>0</v>
      </c>
      <c r="BX166" s="47">
        <f>IF(KH_26_OPT4_KTQT_v4[[#This Row],[CPHH-%-SL]]="Dthu",KH_26_OPT4_KTQT_v4[[#This Row],[%HH]]*KH_26_OPT4_KTQT_v4[[#This Row],[DT-EXW-02]],KH_26_OPT4_KTQT_v4[[#This Row],[HH-SL]]*KH_26_OPT4_KTQT_v4[[#This Row],[SL-02]])</f>
        <v>0</v>
      </c>
      <c r="BY166" s="47">
        <f>IF(KH_26_OPT4_KTQT_v4[[#This Row],[CPHH-%-SL]]="Dthu",KH_26_OPT4_KTQT_v4[[#This Row],[%HH]]*KH_26_OPT4_KTQT_v4[[#This Row],[DT-EXW-03]],KH_26_OPT4_KTQT_v4[[#This Row],[HH-SL]]*KH_26_OPT4_KTQT_v4[[#This Row],[SL-03]])</f>
        <v>0</v>
      </c>
      <c r="BZ166" s="47">
        <f>IF(KH_26_OPT4_KTQT_v4[[#This Row],[CPHH-%-SL]]="Dthu",KH_26_OPT4_KTQT_v4[[#This Row],[%HH]]*KH_26_OPT4_KTQT_v4[[#This Row],[DT-EXW-04]],KH_26_OPT4_KTQT_v4[[#This Row],[HH-SL]]*KH_26_OPT4_KTQT_v4[[#This Row],[SL-04]])</f>
        <v>0</v>
      </c>
      <c r="CA166" s="47">
        <f>IF(KH_26_OPT4_KTQT_v4[[#This Row],[CPHH-%-SL]]="Dthu",KH_26_OPT4_KTQT_v4[[#This Row],[%HH]]*KH_26_OPT4_KTQT_v4[[#This Row],[DT-EXW-05]],KH_26_OPT4_KTQT_v4[[#This Row],[HH-SL]]*KH_26_OPT4_KTQT_v4[[#This Row],[SL-05]])</f>
        <v>0</v>
      </c>
      <c r="CB166" s="47">
        <f>IF(KH_26_OPT4_KTQT_v4[[#This Row],[CPHH-%-SL]]="Dthu",KH_26_OPT4_KTQT_v4[[#This Row],[%HH]]*KH_26_OPT4_KTQT_v4[[#This Row],[DT-EXW-06]],KH_26_OPT4_KTQT_v4[[#This Row],[HH-SL]]*KH_26_OPT4_KTQT_v4[[#This Row],[SL-06]])</f>
        <v>0</v>
      </c>
      <c r="CC166" s="47">
        <f>IF(KH_26_OPT4_KTQT_v4[[#This Row],[CPHH-%-SL]]="Dthu",KH_26_OPT4_KTQT_v4[[#This Row],[%HH]]*KH_26_OPT4_KTQT_v4[[#This Row],[DT-EXW-07]],KH_26_OPT4_KTQT_v4[[#This Row],[HH-SL]]*KH_26_OPT4_KTQT_v4[[#This Row],[SL-07]])</f>
        <v>0</v>
      </c>
      <c r="CD166" s="47">
        <f>IF(KH_26_OPT4_KTQT_v4[[#This Row],[CPHH-%-SL]]="Dthu",KH_26_OPT4_KTQT_v4[[#This Row],[%HH]]*KH_26_OPT4_KTQT_v4[[#This Row],[DT-EXW-08]],KH_26_OPT4_KTQT_v4[[#This Row],[HH-SL]]*KH_26_OPT4_KTQT_v4[[#This Row],[SL-08]])</f>
        <v>0</v>
      </c>
      <c r="CE166" s="47">
        <f>IF(KH_26_OPT4_KTQT_v4[[#This Row],[CPHH-%-SL]]="Dthu",KH_26_OPT4_KTQT_v4[[#This Row],[%HH]]*KH_26_OPT4_KTQT_v4[[#This Row],[DT-EXW-09]],KH_26_OPT4_KTQT_v4[[#This Row],[HH-SL]]*KH_26_OPT4_KTQT_v4[[#This Row],[SL-09]])</f>
        <v>0</v>
      </c>
      <c r="CF166" s="47">
        <f>IF(KH_26_OPT4_KTQT_v4[[#This Row],[CPHH-%-SL]]="Dthu",KH_26_OPT4_KTQT_v4[[#This Row],[%HH]]*KH_26_OPT4_KTQT_v4[[#This Row],[DT-EXW-10]],KH_26_OPT4_KTQT_v4[[#This Row],[HH-SL]]*KH_26_OPT4_KTQT_v4[[#This Row],[SL-10]])</f>
        <v>0</v>
      </c>
      <c r="CG166" s="47">
        <f>IF(KH_26_OPT4_KTQT_v4[[#This Row],[CPHH-%-SL]]="Dthu",KH_26_OPT4_KTQT_v4[[#This Row],[%HH]]*KH_26_OPT4_KTQT_v4[[#This Row],[DT-EXW-11]],KH_26_OPT4_KTQT_v4[[#This Row],[HH-SL]]*KH_26_OPT4_KTQT_v4[[#This Row],[SL-11]])</f>
        <v>0</v>
      </c>
      <c r="CH166" s="47">
        <f>IF(KH_26_OPT4_KTQT_v4[[#This Row],[CPHH-%-SL]]="Dthu",KH_26_OPT4_KTQT_v4[[#This Row],[%HH]]*KH_26_OPT4_KTQT_v4[[#This Row],[DT-EXW-12]],KH_26_OPT4_KTQT_v4[[#This Row],[HH-SL]]*KH_26_OPT4_KTQT_v4[[#This Row],[SL-12]])</f>
        <v>0</v>
      </c>
      <c r="CI166" s="47">
        <f ca="1">SUM(KH_26_OPT4_KTQT_v4[[#This Row],[CPHH-01]:[CPHH-12]])</f>
        <v>0</v>
      </c>
      <c r="CJ166" s="47" cm="1">
        <f t="array" ref="CJ166">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66" s="19">
        <f ca="1">SUM(KH_26_OPT4_KTQT_v4[[#This Row],[ĐGVCNĐ-KXK]:[ĐGVCCT-KXK]])</f>
        <v>0</v>
      </c>
      <c r="CL166" s="47" cm="1">
        <f t="array" ref="CL166">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166" s="47" cm="1">
        <f t="array" ref="CM166">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66" s="47">
        <f ca="1">(KH_26_OPT4_KTQT_v4[[#This Row],[ĐGVC-KNĐ]]+KH_26_OPT4_KTQT_v4[[#This Row],[ĐGVC-KXK]])*KH_26_OPT4_KTQT_v4[[#This Row],[SL-01]]</f>
        <v>0</v>
      </c>
      <c r="CO166" s="47">
        <f ca="1">(KH_26_OPT4_KTQT_v4[[#This Row],[ĐGVC-KNĐ]]+KH_26_OPT4_KTQT_v4[[#This Row],[ĐGVC-KXK]])*KH_26_OPT4_KTQT_v4[[#This Row],[SL-02]]</f>
        <v>0</v>
      </c>
      <c r="CP166" s="47">
        <f ca="1">(KH_26_OPT4_KTQT_v4[[#This Row],[ĐGVC-KNĐ]]+KH_26_OPT4_KTQT_v4[[#This Row],[ĐGVC-KXK]])*KH_26_OPT4_KTQT_v4[[#This Row],[SL-03]]</f>
        <v>0</v>
      </c>
      <c r="CQ166" s="47">
        <f ca="1">(KH_26_OPT4_KTQT_v4[[#This Row],[ĐGVC-KNĐ]]+KH_26_OPT4_KTQT_v4[[#This Row],[ĐGVC-KXK]])*KH_26_OPT4_KTQT_v4[[#This Row],[SL-04]]</f>
        <v>0</v>
      </c>
      <c r="CR166" s="47">
        <f ca="1">(KH_26_OPT4_KTQT_v4[[#This Row],[ĐGVC-KNĐ]]+KH_26_OPT4_KTQT_v4[[#This Row],[ĐGVC-KXK]])*KH_26_OPT4_KTQT_v4[[#This Row],[SL-05]]</f>
        <v>0</v>
      </c>
      <c r="CS166" s="47">
        <f ca="1">(KH_26_OPT4_KTQT_v4[[#This Row],[ĐGVC-KNĐ]]+KH_26_OPT4_KTQT_v4[[#This Row],[ĐGVC-KXK]])*KH_26_OPT4_KTQT_v4[[#This Row],[SL-06]]</f>
        <v>0</v>
      </c>
      <c r="CT166" s="47">
        <f ca="1">(KH_26_OPT4_KTQT_v4[[#This Row],[ĐGVC-KNĐ]]+KH_26_OPT4_KTQT_v4[[#This Row],[ĐGVC-KXK]])*KH_26_OPT4_KTQT_v4[[#This Row],[SL-07]]</f>
        <v>0</v>
      </c>
      <c r="CU166" s="47">
        <f ca="1">(KH_26_OPT4_KTQT_v4[[#This Row],[ĐGVC-KNĐ]]+KH_26_OPT4_KTQT_v4[[#This Row],[ĐGVC-KXK]])*KH_26_OPT4_KTQT_v4[[#This Row],[SL-08]]</f>
        <v>0</v>
      </c>
      <c r="CV166" s="47">
        <f ca="1">(KH_26_OPT4_KTQT_v4[[#This Row],[ĐGVC-KNĐ]]+KH_26_OPT4_KTQT_v4[[#This Row],[ĐGVC-KXK]])*KH_26_OPT4_KTQT_v4[[#This Row],[SL-09]]</f>
        <v>0</v>
      </c>
      <c r="CW166" s="47">
        <f ca="1">(KH_26_OPT4_KTQT_v4[[#This Row],[ĐGVC-KNĐ]]+KH_26_OPT4_KTQT_v4[[#This Row],[ĐGVC-KXK]])*KH_26_OPT4_KTQT_v4[[#This Row],[SL-10]]</f>
        <v>0</v>
      </c>
      <c r="CX166" s="47">
        <f ca="1">(KH_26_OPT4_KTQT_v4[[#This Row],[ĐGVC-KNĐ]]+KH_26_OPT4_KTQT_v4[[#This Row],[ĐGVC-KXK]])*KH_26_OPT4_KTQT_v4[[#This Row],[SL-11]]</f>
        <v>0</v>
      </c>
      <c r="CY166" s="47">
        <f ca="1">(KH_26_OPT4_KTQT_v4[[#This Row],[ĐGVC-KNĐ]]+KH_26_OPT4_KTQT_v4[[#This Row],[ĐGVC-KXK]])*KH_26_OPT4_KTQT_v4[[#This Row],[SL-12]]</f>
        <v>0</v>
      </c>
      <c r="CZ166" s="47">
        <f ca="1">SUM(KH_26_OPT4_KTQT_v4[[#This Row],[CPVC-01]:[CPVC-12]])</f>
        <v>0</v>
      </c>
      <c r="DA166" s="124">
        <f ca="1">KH_26_OPT4_KTQT_v4[[#This Row],[DT-EXW-01]]+KH_26_OPT4_KTQT_v4[[#This Row],[CPVC-01]]+KH_26_OPT4_KTQT_v4[[#This Row],[CPHH-01]]</f>
        <v>0</v>
      </c>
      <c r="DB166" s="47">
        <f ca="1">KH_26_OPT4_KTQT_v4[[#This Row],[DT-EXW-02]]+KH_26_OPT4_KTQT_v4[[#This Row],[CPVC-02]]+KH_26_OPT4_KTQT_v4[[#This Row],[CPHH-02]]</f>
        <v>0</v>
      </c>
      <c r="DC166" s="47">
        <f ca="1">KH_26_OPT4_KTQT_v4[[#This Row],[DT-EXW-03]]+KH_26_OPT4_KTQT_v4[[#This Row],[CPVC-03]]+KH_26_OPT4_KTQT_v4[[#This Row],[CPHH-03]]</f>
        <v>0</v>
      </c>
      <c r="DD166" s="47">
        <f ca="1">KH_26_OPT4_KTQT_v4[[#This Row],[DT-EXW-04]]+KH_26_OPT4_KTQT_v4[[#This Row],[CPVC-04]]+KH_26_OPT4_KTQT_v4[[#This Row],[CPHH-04]]</f>
        <v>0</v>
      </c>
      <c r="DE166" s="47">
        <f ca="1">KH_26_OPT4_KTQT_v4[[#This Row],[DT-EXW-05]]+KH_26_OPT4_KTQT_v4[[#This Row],[CPVC-05]]+KH_26_OPT4_KTQT_v4[[#This Row],[CPHH-05]]</f>
        <v>0</v>
      </c>
      <c r="DF166" s="47">
        <f ca="1">KH_26_OPT4_KTQT_v4[[#This Row],[DT-EXW-06]]+KH_26_OPT4_KTQT_v4[[#This Row],[CPVC-06]]+KH_26_OPT4_KTQT_v4[[#This Row],[CPHH-06]]</f>
        <v>0</v>
      </c>
      <c r="DG166" s="47">
        <f ca="1">KH_26_OPT4_KTQT_v4[[#This Row],[DT-EXW-07]]+KH_26_OPT4_KTQT_v4[[#This Row],[CPVC-07]]+KH_26_OPT4_KTQT_v4[[#This Row],[CPHH-07]]</f>
        <v>0</v>
      </c>
      <c r="DH166" s="47">
        <f ca="1">KH_26_OPT4_KTQT_v4[[#This Row],[DT-EXW-08]]+KH_26_OPT4_KTQT_v4[[#This Row],[CPVC-08]]+KH_26_OPT4_KTQT_v4[[#This Row],[CPHH-08]]</f>
        <v>0</v>
      </c>
      <c r="DI166" s="47">
        <f ca="1">KH_26_OPT4_KTQT_v4[[#This Row],[DT-EXW-09]]+KH_26_OPT4_KTQT_v4[[#This Row],[CPVC-09]]+KH_26_OPT4_KTQT_v4[[#This Row],[CPHH-09]]</f>
        <v>0</v>
      </c>
      <c r="DJ166" s="47">
        <f ca="1">KH_26_OPT4_KTQT_v4[[#This Row],[DT-EXW-10]]+KH_26_OPT4_KTQT_v4[[#This Row],[CPVC-10]]+KH_26_OPT4_KTQT_v4[[#This Row],[CPHH-10]]</f>
        <v>0</v>
      </c>
      <c r="DK166" s="47">
        <f ca="1">KH_26_OPT4_KTQT_v4[[#This Row],[DT-EXW-11]]+KH_26_OPT4_KTQT_v4[[#This Row],[CPVC-11]]+KH_26_OPT4_KTQT_v4[[#This Row],[CPHH-11]]</f>
        <v>0</v>
      </c>
      <c r="DL166" s="47">
        <f ca="1">KH_26_OPT4_KTQT_v4[[#This Row],[DT-EXW-12]]+KH_26_OPT4_KTQT_v4[[#This Row],[CPVC-12]]+KH_26_OPT4_KTQT_v4[[#This Row],[CPHH-12]]</f>
        <v>0</v>
      </c>
      <c r="DM166" s="47">
        <f ca="1">SUM(KH_26_OPT4_KTQT_v4[[#This Row],[DT-01]:[DT-12]])</f>
        <v>0</v>
      </c>
      <c r="DN166" s="7"/>
      <c r="DO166" s="7"/>
      <c r="DP166" s="125"/>
      <c r="DQ166" s="136"/>
      <c r="DR166" s="132">
        <f>IFERROR(KH_26_OPT4_KTQT_v4[[#This Row],[DT-EXW-01]]*KH_26_OPT4_KTQT_v4[[#This Row],[%CPDP]],0)</f>
        <v>0</v>
      </c>
      <c r="DS166" s="132">
        <f>IFERROR(KH_26_OPT4_KTQT_v4[[#This Row],[DT-EXW-02]]*KH_26_OPT4_KTQT_v4[[#This Row],[%CPDP]],0)</f>
        <v>0</v>
      </c>
      <c r="DT166" s="132">
        <f>IFERROR(KH_26_OPT4_KTQT_v4[[#This Row],[DT-EXW-03]]*KH_26_OPT4_KTQT_v4[[#This Row],[%CPDP]],0)</f>
        <v>0</v>
      </c>
      <c r="DU166" s="132">
        <f>IFERROR(KH_26_OPT4_KTQT_v4[[#This Row],[DT-EXW-04]]*KH_26_OPT4_KTQT_v4[[#This Row],[%CPDP]],0)</f>
        <v>0</v>
      </c>
      <c r="DV166" s="132">
        <f>IFERROR(KH_26_OPT4_KTQT_v4[[#This Row],[DT-EXW-05]]*KH_26_OPT4_KTQT_v4[[#This Row],[%CPDP]],0)</f>
        <v>0</v>
      </c>
      <c r="DW166" s="132">
        <f>IFERROR(KH_26_OPT4_KTQT_v4[[#This Row],[DT-EXW-06]]*KH_26_OPT4_KTQT_v4[[#This Row],[%CPDP]],0)</f>
        <v>0</v>
      </c>
      <c r="DX166" s="132">
        <f>IFERROR(KH_26_OPT4_KTQT_v4[[#This Row],[DT-EXW-07]]*KH_26_OPT4_KTQT_v4[[#This Row],[%CPDP]],0)</f>
        <v>0</v>
      </c>
      <c r="DY166" s="132">
        <f>IFERROR(KH_26_OPT4_KTQT_v4[[#This Row],[DT-EXW-08]]*KH_26_OPT4_KTQT_v4[[#This Row],[%CPDP]],0)</f>
        <v>0</v>
      </c>
      <c r="DZ166" s="132">
        <f>IFERROR(KH_26_OPT4_KTQT_v4[[#This Row],[DT-EXW-09]]*KH_26_OPT4_KTQT_v4[[#This Row],[%CPDP]],0)</f>
        <v>0</v>
      </c>
      <c r="EA166" s="132">
        <f>IFERROR(KH_26_OPT4_KTQT_v4[[#This Row],[DT-EXW-10]]*KH_26_OPT4_KTQT_v4[[#This Row],[%CPDP]],0)</f>
        <v>0</v>
      </c>
      <c r="EB166" s="132">
        <f>IFERROR(KH_26_OPT4_KTQT_v4[[#This Row],[DT-EXW-11]]*KH_26_OPT4_KTQT_v4[[#This Row],[%CPDP]],0)</f>
        <v>0</v>
      </c>
      <c r="EC166" s="132">
        <f>IFERROR(KH_26_OPT4_KTQT_v4[[#This Row],[DT-EXW-12]]*KH_26_OPT4_KTQT_v4[[#This Row],[%CPDP]],0)</f>
        <v>0</v>
      </c>
      <c r="ED166" s="131">
        <f ca="1">SUM(KH_26_OPT4_KTQT_v4[[#This Row],[CPDP-01]:[CPDP-12]])</f>
        <v>0</v>
      </c>
    </row>
    <row r="167" spans="1:134" ht="14.5" hidden="1" x14ac:dyDescent="0.35">
      <c r="A167" s="18">
        <v>162</v>
      </c>
      <c r="B167" s="71" t="s">
        <v>101</v>
      </c>
      <c r="C167" s="18" t="str">
        <f>IFERROR(_xlfn.XLOOKUP(KH_26_OPT4_KTQT_v4[[#This Row],[Salesman]],MD_Salesman[Salesman],MD_Salesman[SalesManager]),"")</f>
        <v>Cường</v>
      </c>
      <c r="D167" s="72" t="str">
        <f>IFERROR(INDEX(MD_Customer[Mã khách],MATCH(KH_26_OPT4_KTQT_v4[[#This Row],[Tên khách]],MD_Customer[Tên khách-rút gọn],0)),"")</f>
        <v>105357</v>
      </c>
      <c r="E167" s="7" t="str">
        <f>IFERROR(INDEX(MD_Customer[Parent Account],MATCH(KH_26_OPT4_KTQT_v4[[#This Row],[Tên khách]],MD_Customer[Tên khách-rút gọn],0)),"")</f>
        <v>Minh Thông</v>
      </c>
      <c r="F167" s="35" t="s">
        <v>108</v>
      </c>
      <c r="G167" s="7" t="str">
        <f>IFERROR(INDEX(MD_Customer[Phân loại],MATCH(KH_26_OPT4_KTQT_v4[[#This Row],[Tên khách]],MD_Customer[Tên khách-rút gọn],0)),"")</f>
        <v>Hiện hữu</v>
      </c>
      <c r="H167" s="7" t="str">
        <f>IFERROR(INDEX(MD_Customer[Kênh bán hàng],MATCH(KH_26_OPT4_KTQT_v4[[#This Row],[Tên khách]],MD_Customer[Tên khách-rút gọn],0)),"")</f>
        <v>Nội địa</v>
      </c>
      <c r="I167" s="35" t="s">
        <v>261</v>
      </c>
      <c r="J167" s="7" t="str">
        <f>IFERROR(INDEX(MD_Destination[Nước],MATCH(KH_26_OPT4_KTQT_v4[[#This Row],[Địa điểm đến]],MD_Destination[Địa điểm đến],0)),"")</f>
        <v>Việt Nam</v>
      </c>
      <c r="K167" s="7" t="str">
        <f>IFERROR(INDEX(MD_Destination[Khu vực],MATCH(KH_26_OPT4_KTQT_v4[[#This Row],[Địa điểm đến]],MD_Destination[Địa điểm đến],0)),"")</f>
        <v>Châu Á</v>
      </c>
      <c r="L167" s="35" t="s">
        <v>260</v>
      </c>
      <c r="M167" s="7" t="str">
        <f>IFERROR(INDEX(MD_SKU[Mã SKU],MATCH(KH_26_OPT4_KTQT_v4[[#This Row],[Tên sản phẩm]],MD_SKU[Tên SKU-rút gọn],0)),"")</f>
        <v>110000483</v>
      </c>
      <c r="N167" s="35" t="s">
        <v>505</v>
      </c>
      <c r="O167" s="7" t="str">
        <f>IFERROR(INDEX(MD_SKU[Ngành hàng],MATCH(KH_26_OPT4_KTQT_v4[[#This Row],[Tên sản phẩm]],MD_SKU[Tên SKU-rút gọn],0)),"")</f>
        <v>rPET</v>
      </c>
      <c r="P167" s="7" t="str">
        <f>IFERROR(INDEX(MD_SKU[Nhóm ngành],MATCH(KH_26_OPT4_KTQT_v4[[#This Row],[Tên sản phẩm]],MD_SKU[Tên SKU-rút gọn],0)),"")</f>
        <v>Hạt PET</v>
      </c>
      <c r="Q167" s="7" t="str">
        <f>IFERROR(
   IF(INDEX(MD_SKU[IV/IM],MATCH(KH_26_OPT4_KTQT_v4[[#This Row],[Tên sản phẩm]],MD_SKU[Tên SKU-rút gọn],0))=0,
      "",
      INDEX(MD_SKU[IV/IM],MATCH(KH_26_OPT4_KTQT_v4[[#This Row],[Tên sản phẩm]],MD_SKU[Tên SKU-rút gọn],0))
   ),
"")</f>
        <v>0.80 ± 0.02</v>
      </c>
      <c r="R167" s="44">
        <f>IFERROR(INDEX(MD_SKU[Application],MATCH(KH_26_OPT4_KTQT_v4[[#This Row],[Tên sản phẩm]],MD_SKU[Tên SKU-rút gọn],0)),"")</f>
        <v>0</v>
      </c>
      <c r="S167" s="7" t="str">
        <f>IFERROR(INDEX(MD_SKU[Phân loại],MATCH(KH_26_OPT4_KTQT_v4[[#This Row],[Tên sản phẩm]],MD_SKU[Tên SKU-rút gọn],0)),"")</f>
        <v>Cũ</v>
      </c>
      <c r="T167" s="7"/>
      <c r="U167" s="7"/>
      <c r="V167" s="70">
        <v>0.8</v>
      </c>
      <c r="W167" s="33"/>
      <c r="X167" s="33"/>
      <c r="Y167" s="33"/>
      <c r="Z167" s="33"/>
      <c r="AA167" s="33"/>
      <c r="AB167" s="33"/>
      <c r="AC167" s="33"/>
      <c r="AD167" s="33"/>
      <c r="AE167" s="33"/>
      <c r="AF167" s="33"/>
      <c r="AG167" s="33"/>
      <c r="AH167" s="33"/>
      <c r="AI167" s="47">
        <f ca="1">SUM(KH_26_OPT4_KTQT_v4[[#This Row],[SL-01]:[SL-12]])</f>
        <v>0</v>
      </c>
      <c r="AJ167" s="47">
        <f ca="1">SUMIFS(DB_25[SL-DB25],DB_25[Mã khách],KH_26_OPT4_KTQT_v4[[#This Row],[Mã khách]],DB_25[Mã sản phẩm],KH_26_OPT4_KTQT_v4[[#This Row],[Mã sản phẩm]])</f>
        <v>17.7</v>
      </c>
      <c r="AK167" s="20">
        <f ca="1">KH_26_OPT4_KTQT_v4[[#This Row],[SL-KH26]]-KH_26_OPT4_KTQT_v4[[#This Row],[SL-DB25]]</f>
        <v>-17.7</v>
      </c>
      <c r="AL167" s="21">
        <f ca="1">IFERROR(KH_26_OPT4_KTQT_v4[[#This Row],[SL-+/-]]/KH_26_OPT4_KTQT_v4[[#This Row],[SL-DB25]],0)</f>
        <v>-1</v>
      </c>
      <c r="AM167" s="51">
        <v>1060</v>
      </c>
      <c r="AN167" s="51">
        <v>1060</v>
      </c>
      <c r="AO167" s="51">
        <v>1060</v>
      </c>
      <c r="AP167" s="51">
        <v>1060</v>
      </c>
      <c r="AQ167" s="51">
        <v>1060</v>
      </c>
      <c r="AR167" s="51">
        <v>1060</v>
      </c>
      <c r="AS167" s="51">
        <v>1060</v>
      </c>
      <c r="AT167" s="51">
        <v>1060</v>
      </c>
      <c r="AU167" s="51">
        <v>1060</v>
      </c>
      <c r="AV167" s="51">
        <v>1060</v>
      </c>
      <c r="AW167" s="51">
        <v>1060</v>
      </c>
      <c r="AX167" s="51">
        <v>1060</v>
      </c>
      <c r="AY167" s="23">
        <v>1060</v>
      </c>
      <c r="AZ167" s="7"/>
      <c r="BA167" s="24">
        <f>KH_26_OPT4_KTQT_v4[[#This Row],[GB-DB25]]-KH_26_OPT4_KTQT_v4[[#This Row],[GB-KH25]]</f>
        <v>1060</v>
      </c>
      <c r="BB167" s="21">
        <f>IFERROR(KH_26_OPT4_KTQT_v4[[#This Row],[GB-+/-]]/KH_26_OPT4_KTQT_v4[[#This Row],[GB-KH25]],0)</f>
        <v>0</v>
      </c>
      <c r="BC167" s="21"/>
      <c r="BD167" s="47">
        <f>KH_26_OPT4_KTQT_v4[[#This Row],[SL-01]]*KH_26_OPT4_KTQT_v4[[#This Row],[GB-01]]*EXR</f>
        <v>0</v>
      </c>
      <c r="BE167" s="47">
        <f>KH_26_OPT4_KTQT_v4[[#This Row],[SL-02]]*KH_26_OPT4_KTQT_v4[[#This Row],[GB-02]]*EXR</f>
        <v>0</v>
      </c>
      <c r="BF167" s="47">
        <f>KH_26_OPT4_KTQT_v4[[#This Row],[SL-03]]*KH_26_OPT4_KTQT_v4[[#This Row],[GB-03]]*EXR</f>
        <v>0</v>
      </c>
      <c r="BG167" s="47">
        <f>KH_26_OPT4_KTQT_v4[[#This Row],[SL-04]]*KH_26_OPT4_KTQT_v4[[#This Row],[GB-04]]*EXR</f>
        <v>0</v>
      </c>
      <c r="BH167" s="47">
        <f>KH_26_OPT4_KTQT_v4[[#This Row],[SL-05]]*KH_26_OPT4_KTQT_v4[[#This Row],[GB-05]]*EXR</f>
        <v>0</v>
      </c>
      <c r="BI167" s="47">
        <f>KH_26_OPT4_KTQT_v4[[#This Row],[SL-06]]*KH_26_OPT4_KTQT_v4[[#This Row],[GB-06]]*EXR</f>
        <v>0</v>
      </c>
      <c r="BJ167" s="47">
        <f>KH_26_OPT4_KTQT_v4[[#This Row],[SL-07]]*KH_26_OPT4_KTQT_v4[[#This Row],[GB-07]]*EXR</f>
        <v>0</v>
      </c>
      <c r="BK167" s="47">
        <f>KH_26_OPT4_KTQT_v4[[#This Row],[SL-08]]*KH_26_OPT4_KTQT_v4[[#This Row],[GB-08]]*EXR</f>
        <v>0</v>
      </c>
      <c r="BL167" s="47">
        <f>KH_26_OPT4_KTQT_v4[[#This Row],[SL-09]]*KH_26_OPT4_KTQT_v4[[#This Row],[GB-09]]*EXR</f>
        <v>0</v>
      </c>
      <c r="BM167" s="47">
        <f>KH_26_OPT4_KTQT_v4[[#This Row],[SL-10]]*KH_26_OPT4_KTQT_v4[[#This Row],[GB-10]]*EXR</f>
        <v>0</v>
      </c>
      <c r="BN167" s="47">
        <f>KH_26_OPT4_KTQT_v4[[#This Row],[SL-11]]*KH_26_OPT4_KTQT_v4[[#This Row],[GB-11]]*EXR</f>
        <v>0</v>
      </c>
      <c r="BO167" s="47">
        <f>KH_26_OPT4_KTQT_v4[[#This Row],[SL-12]]*KH_26_OPT4_KTQT_v4[[#This Row],[GB-12]]*EXR</f>
        <v>0</v>
      </c>
      <c r="BP167" s="47">
        <f ca="1">SUM(KH_26_OPT4_KTQT_v4[[#This Row],[DT-EXW-01]:[DT-EXW-12]])</f>
        <v>0</v>
      </c>
      <c r="BQ167" s="47">
        <f ca="1">SUMIFS(DB_25[DT-DB25],DB_25[Mã khách],KH_26_OPT4_KTQT_v4[[#This Row],[Mã khách]],DB_25[Mã sản phẩm],KH_26_OPT4_KTQT_v4[[#This Row],[Mã sản phẩm]])</f>
        <v>90244109.140149385</v>
      </c>
      <c r="BR167" s="47">
        <f ca="1">KH_26_OPT4_KTQT_v4[[#This Row],[DT-EXW-KH26]]-KH_26_OPT4_KTQT_v4[[#This Row],[DT-EXW-DB25]]</f>
        <v>-90244109.140149385</v>
      </c>
      <c r="BS167" s="21">
        <f ca="1">IFERROR(KH_26_OPT4_KTQT_v4[[#This Row],[DT-EXW-+/-]]/KH_26_OPT4_KTQT_v4[[#This Row],[DT-EXW-DB25]],0)</f>
        <v>-1</v>
      </c>
      <c r="BT167" s="139"/>
      <c r="BU167" s="57"/>
      <c r="BV167" s="51"/>
      <c r="BW167" s="47">
        <f>IF(KH_26_OPT4_KTQT_v4[[#This Row],[CPHH-%-SL]]="Dthu",KH_26_OPT4_KTQT_v4[[#This Row],[%HH]]*KH_26_OPT4_KTQT_v4[[#This Row],[DT-EXW-01]],KH_26_OPT4_KTQT_v4[[#This Row],[HH-SL]]*KH_26_OPT4_KTQT_v4[[#This Row],[SL-01]])</f>
        <v>0</v>
      </c>
      <c r="BX167" s="47">
        <f>IF(KH_26_OPT4_KTQT_v4[[#This Row],[CPHH-%-SL]]="Dthu",KH_26_OPT4_KTQT_v4[[#This Row],[%HH]]*KH_26_OPT4_KTQT_v4[[#This Row],[DT-EXW-02]],KH_26_OPT4_KTQT_v4[[#This Row],[HH-SL]]*KH_26_OPT4_KTQT_v4[[#This Row],[SL-02]])</f>
        <v>0</v>
      </c>
      <c r="BY167" s="47">
        <f>IF(KH_26_OPT4_KTQT_v4[[#This Row],[CPHH-%-SL]]="Dthu",KH_26_OPT4_KTQT_v4[[#This Row],[%HH]]*KH_26_OPT4_KTQT_v4[[#This Row],[DT-EXW-03]],KH_26_OPT4_KTQT_v4[[#This Row],[HH-SL]]*KH_26_OPT4_KTQT_v4[[#This Row],[SL-03]])</f>
        <v>0</v>
      </c>
      <c r="BZ167" s="47">
        <f>IF(KH_26_OPT4_KTQT_v4[[#This Row],[CPHH-%-SL]]="Dthu",KH_26_OPT4_KTQT_v4[[#This Row],[%HH]]*KH_26_OPT4_KTQT_v4[[#This Row],[DT-EXW-04]],KH_26_OPT4_KTQT_v4[[#This Row],[HH-SL]]*KH_26_OPT4_KTQT_v4[[#This Row],[SL-04]])</f>
        <v>0</v>
      </c>
      <c r="CA167" s="47">
        <f>IF(KH_26_OPT4_KTQT_v4[[#This Row],[CPHH-%-SL]]="Dthu",KH_26_OPT4_KTQT_v4[[#This Row],[%HH]]*KH_26_OPT4_KTQT_v4[[#This Row],[DT-EXW-05]],KH_26_OPT4_KTQT_v4[[#This Row],[HH-SL]]*KH_26_OPT4_KTQT_v4[[#This Row],[SL-05]])</f>
        <v>0</v>
      </c>
      <c r="CB167" s="47">
        <f>IF(KH_26_OPT4_KTQT_v4[[#This Row],[CPHH-%-SL]]="Dthu",KH_26_OPT4_KTQT_v4[[#This Row],[%HH]]*KH_26_OPT4_KTQT_v4[[#This Row],[DT-EXW-06]],KH_26_OPT4_KTQT_v4[[#This Row],[HH-SL]]*KH_26_OPT4_KTQT_v4[[#This Row],[SL-06]])</f>
        <v>0</v>
      </c>
      <c r="CC167" s="47">
        <f>IF(KH_26_OPT4_KTQT_v4[[#This Row],[CPHH-%-SL]]="Dthu",KH_26_OPT4_KTQT_v4[[#This Row],[%HH]]*KH_26_OPT4_KTQT_v4[[#This Row],[DT-EXW-07]],KH_26_OPT4_KTQT_v4[[#This Row],[HH-SL]]*KH_26_OPT4_KTQT_v4[[#This Row],[SL-07]])</f>
        <v>0</v>
      </c>
      <c r="CD167" s="47">
        <f>IF(KH_26_OPT4_KTQT_v4[[#This Row],[CPHH-%-SL]]="Dthu",KH_26_OPT4_KTQT_v4[[#This Row],[%HH]]*KH_26_OPT4_KTQT_v4[[#This Row],[DT-EXW-08]],KH_26_OPT4_KTQT_v4[[#This Row],[HH-SL]]*KH_26_OPT4_KTQT_v4[[#This Row],[SL-08]])</f>
        <v>0</v>
      </c>
      <c r="CE167" s="47">
        <f>IF(KH_26_OPT4_KTQT_v4[[#This Row],[CPHH-%-SL]]="Dthu",KH_26_OPT4_KTQT_v4[[#This Row],[%HH]]*KH_26_OPT4_KTQT_v4[[#This Row],[DT-EXW-09]],KH_26_OPT4_KTQT_v4[[#This Row],[HH-SL]]*KH_26_OPT4_KTQT_v4[[#This Row],[SL-09]])</f>
        <v>0</v>
      </c>
      <c r="CF167" s="47">
        <f>IF(KH_26_OPT4_KTQT_v4[[#This Row],[CPHH-%-SL]]="Dthu",KH_26_OPT4_KTQT_v4[[#This Row],[%HH]]*KH_26_OPT4_KTQT_v4[[#This Row],[DT-EXW-10]],KH_26_OPT4_KTQT_v4[[#This Row],[HH-SL]]*KH_26_OPT4_KTQT_v4[[#This Row],[SL-10]])</f>
        <v>0</v>
      </c>
      <c r="CG167" s="47">
        <f>IF(KH_26_OPT4_KTQT_v4[[#This Row],[CPHH-%-SL]]="Dthu",KH_26_OPT4_KTQT_v4[[#This Row],[%HH]]*KH_26_OPT4_KTQT_v4[[#This Row],[DT-EXW-11]],KH_26_OPT4_KTQT_v4[[#This Row],[HH-SL]]*KH_26_OPT4_KTQT_v4[[#This Row],[SL-11]])</f>
        <v>0</v>
      </c>
      <c r="CH167" s="47">
        <f>IF(KH_26_OPT4_KTQT_v4[[#This Row],[CPHH-%-SL]]="Dthu",KH_26_OPT4_KTQT_v4[[#This Row],[%HH]]*KH_26_OPT4_KTQT_v4[[#This Row],[DT-EXW-12]],KH_26_OPT4_KTQT_v4[[#This Row],[HH-SL]]*KH_26_OPT4_KTQT_v4[[#This Row],[SL-12]])</f>
        <v>0</v>
      </c>
      <c r="CI167" s="47">
        <f ca="1">SUM(KH_26_OPT4_KTQT_v4[[#This Row],[CPHH-01]:[CPHH-12]])</f>
        <v>0</v>
      </c>
      <c r="CJ167" s="47" cm="1">
        <f t="array" ref="CJ167">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67" s="19">
        <f ca="1">SUM(KH_26_OPT4_KTQT_v4[[#This Row],[ĐGVCNĐ-KXK]:[ĐGVCCT-KXK]])</f>
        <v>0</v>
      </c>
      <c r="CL167" s="47" cm="1">
        <f t="array" ref="CL167">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167" s="47" cm="1">
        <f t="array" ref="CM167">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67" s="47">
        <f ca="1">(KH_26_OPT4_KTQT_v4[[#This Row],[ĐGVC-KNĐ]]+KH_26_OPT4_KTQT_v4[[#This Row],[ĐGVC-KXK]])*KH_26_OPT4_KTQT_v4[[#This Row],[SL-01]]</f>
        <v>0</v>
      </c>
      <c r="CO167" s="47">
        <f ca="1">(KH_26_OPT4_KTQT_v4[[#This Row],[ĐGVC-KNĐ]]+KH_26_OPT4_KTQT_v4[[#This Row],[ĐGVC-KXK]])*KH_26_OPT4_KTQT_v4[[#This Row],[SL-02]]</f>
        <v>0</v>
      </c>
      <c r="CP167" s="47">
        <f ca="1">(KH_26_OPT4_KTQT_v4[[#This Row],[ĐGVC-KNĐ]]+KH_26_OPT4_KTQT_v4[[#This Row],[ĐGVC-KXK]])*KH_26_OPT4_KTQT_v4[[#This Row],[SL-03]]</f>
        <v>0</v>
      </c>
      <c r="CQ167" s="47">
        <f ca="1">(KH_26_OPT4_KTQT_v4[[#This Row],[ĐGVC-KNĐ]]+KH_26_OPT4_KTQT_v4[[#This Row],[ĐGVC-KXK]])*KH_26_OPT4_KTQT_v4[[#This Row],[SL-04]]</f>
        <v>0</v>
      </c>
      <c r="CR167" s="47">
        <f ca="1">(KH_26_OPT4_KTQT_v4[[#This Row],[ĐGVC-KNĐ]]+KH_26_OPT4_KTQT_v4[[#This Row],[ĐGVC-KXK]])*KH_26_OPT4_KTQT_v4[[#This Row],[SL-05]]</f>
        <v>0</v>
      </c>
      <c r="CS167" s="47">
        <f ca="1">(KH_26_OPT4_KTQT_v4[[#This Row],[ĐGVC-KNĐ]]+KH_26_OPT4_KTQT_v4[[#This Row],[ĐGVC-KXK]])*KH_26_OPT4_KTQT_v4[[#This Row],[SL-06]]</f>
        <v>0</v>
      </c>
      <c r="CT167" s="47">
        <f ca="1">(KH_26_OPT4_KTQT_v4[[#This Row],[ĐGVC-KNĐ]]+KH_26_OPT4_KTQT_v4[[#This Row],[ĐGVC-KXK]])*KH_26_OPT4_KTQT_v4[[#This Row],[SL-07]]</f>
        <v>0</v>
      </c>
      <c r="CU167" s="47">
        <f ca="1">(KH_26_OPT4_KTQT_v4[[#This Row],[ĐGVC-KNĐ]]+KH_26_OPT4_KTQT_v4[[#This Row],[ĐGVC-KXK]])*KH_26_OPT4_KTQT_v4[[#This Row],[SL-08]]</f>
        <v>0</v>
      </c>
      <c r="CV167" s="47">
        <f ca="1">(KH_26_OPT4_KTQT_v4[[#This Row],[ĐGVC-KNĐ]]+KH_26_OPT4_KTQT_v4[[#This Row],[ĐGVC-KXK]])*KH_26_OPT4_KTQT_v4[[#This Row],[SL-09]]</f>
        <v>0</v>
      </c>
      <c r="CW167" s="47">
        <f ca="1">(KH_26_OPT4_KTQT_v4[[#This Row],[ĐGVC-KNĐ]]+KH_26_OPT4_KTQT_v4[[#This Row],[ĐGVC-KXK]])*KH_26_OPT4_KTQT_v4[[#This Row],[SL-10]]</f>
        <v>0</v>
      </c>
      <c r="CX167" s="47">
        <f ca="1">(KH_26_OPT4_KTQT_v4[[#This Row],[ĐGVC-KNĐ]]+KH_26_OPT4_KTQT_v4[[#This Row],[ĐGVC-KXK]])*KH_26_OPT4_KTQT_v4[[#This Row],[SL-11]]</f>
        <v>0</v>
      </c>
      <c r="CY167" s="47">
        <f ca="1">(KH_26_OPT4_KTQT_v4[[#This Row],[ĐGVC-KNĐ]]+KH_26_OPT4_KTQT_v4[[#This Row],[ĐGVC-KXK]])*KH_26_OPT4_KTQT_v4[[#This Row],[SL-12]]</f>
        <v>0</v>
      </c>
      <c r="CZ167" s="47">
        <f ca="1">SUM(KH_26_OPT4_KTQT_v4[[#This Row],[CPVC-01]:[CPVC-12]])</f>
        <v>0</v>
      </c>
      <c r="DA167" s="124">
        <f ca="1">KH_26_OPT4_KTQT_v4[[#This Row],[DT-EXW-01]]+KH_26_OPT4_KTQT_v4[[#This Row],[CPVC-01]]+KH_26_OPT4_KTQT_v4[[#This Row],[CPHH-01]]</f>
        <v>0</v>
      </c>
      <c r="DB167" s="47">
        <f ca="1">KH_26_OPT4_KTQT_v4[[#This Row],[DT-EXW-02]]+KH_26_OPT4_KTQT_v4[[#This Row],[CPVC-02]]+KH_26_OPT4_KTQT_v4[[#This Row],[CPHH-02]]</f>
        <v>0</v>
      </c>
      <c r="DC167" s="47">
        <f ca="1">KH_26_OPT4_KTQT_v4[[#This Row],[DT-EXW-03]]+KH_26_OPT4_KTQT_v4[[#This Row],[CPVC-03]]+KH_26_OPT4_KTQT_v4[[#This Row],[CPHH-03]]</f>
        <v>0</v>
      </c>
      <c r="DD167" s="47">
        <f ca="1">KH_26_OPT4_KTQT_v4[[#This Row],[DT-EXW-04]]+KH_26_OPT4_KTQT_v4[[#This Row],[CPVC-04]]+KH_26_OPT4_KTQT_v4[[#This Row],[CPHH-04]]</f>
        <v>0</v>
      </c>
      <c r="DE167" s="47">
        <f ca="1">KH_26_OPT4_KTQT_v4[[#This Row],[DT-EXW-05]]+KH_26_OPT4_KTQT_v4[[#This Row],[CPVC-05]]+KH_26_OPT4_KTQT_v4[[#This Row],[CPHH-05]]</f>
        <v>0</v>
      </c>
      <c r="DF167" s="47">
        <f ca="1">KH_26_OPT4_KTQT_v4[[#This Row],[DT-EXW-06]]+KH_26_OPT4_KTQT_v4[[#This Row],[CPVC-06]]+KH_26_OPT4_KTQT_v4[[#This Row],[CPHH-06]]</f>
        <v>0</v>
      </c>
      <c r="DG167" s="47">
        <f ca="1">KH_26_OPT4_KTQT_v4[[#This Row],[DT-EXW-07]]+KH_26_OPT4_KTQT_v4[[#This Row],[CPVC-07]]+KH_26_OPT4_KTQT_v4[[#This Row],[CPHH-07]]</f>
        <v>0</v>
      </c>
      <c r="DH167" s="47">
        <f ca="1">KH_26_OPT4_KTQT_v4[[#This Row],[DT-EXW-08]]+KH_26_OPT4_KTQT_v4[[#This Row],[CPVC-08]]+KH_26_OPT4_KTQT_v4[[#This Row],[CPHH-08]]</f>
        <v>0</v>
      </c>
      <c r="DI167" s="47">
        <f ca="1">KH_26_OPT4_KTQT_v4[[#This Row],[DT-EXW-09]]+KH_26_OPT4_KTQT_v4[[#This Row],[CPVC-09]]+KH_26_OPT4_KTQT_v4[[#This Row],[CPHH-09]]</f>
        <v>0</v>
      </c>
      <c r="DJ167" s="47">
        <f ca="1">KH_26_OPT4_KTQT_v4[[#This Row],[DT-EXW-10]]+KH_26_OPT4_KTQT_v4[[#This Row],[CPVC-10]]+KH_26_OPT4_KTQT_v4[[#This Row],[CPHH-10]]</f>
        <v>0</v>
      </c>
      <c r="DK167" s="47">
        <f ca="1">KH_26_OPT4_KTQT_v4[[#This Row],[DT-EXW-11]]+KH_26_OPT4_KTQT_v4[[#This Row],[CPVC-11]]+KH_26_OPT4_KTQT_v4[[#This Row],[CPHH-11]]</f>
        <v>0</v>
      </c>
      <c r="DL167" s="47">
        <f ca="1">KH_26_OPT4_KTQT_v4[[#This Row],[DT-EXW-12]]+KH_26_OPT4_KTQT_v4[[#This Row],[CPVC-12]]+KH_26_OPT4_KTQT_v4[[#This Row],[CPHH-12]]</f>
        <v>0</v>
      </c>
      <c r="DM167" s="47">
        <f ca="1">SUM(KH_26_OPT4_KTQT_v4[[#This Row],[DT-01]:[DT-12]])</f>
        <v>0</v>
      </c>
      <c r="DN167" s="7"/>
      <c r="DO167" s="7"/>
      <c r="DP167" s="125"/>
      <c r="DQ167" s="136"/>
      <c r="DR167" s="132">
        <f>IFERROR(KH_26_OPT4_KTQT_v4[[#This Row],[DT-EXW-01]]*KH_26_OPT4_KTQT_v4[[#This Row],[%CPDP]],0)</f>
        <v>0</v>
      </c>
      <c r="DS167" s="132">
        <f>IFERROR(KH_26_OPT4_KTQT_v4[[#This Row],[DT-EXW-02]]*KH_26_OPT4_KTQT_v4[[#This Row],[%CPDP]],0)</f>
        <v>0</v>
      </c>
      <c r="DT167" s="132">
        <f>IFERROR(KH_26_OPT4_KTQT_v4[[#This Row],[DT-EXW-03]]*KH_26_OPT4_KTQT_v4[[#This Row],[%CPDP]],0)</f>
        <v>0</v>
      </c>
      <c r="DU167" s="132">
        <f>IFERROR(KH_26_OPT4_KTQT_v4[[#This Row],[DT-EXW-04]]*KH_26_OPT4_KTQT_v4[[#This Row],[%CPDP]],0)</f>
        <v>0</v>
      </c>
      <c r="DV167" s="132">
        <f>IFERROR(KH_26_OPT4_KTQT_v4[[#This Row],[DT-EXW-05]]*KH_26_OPT4_KTQT_v4[[#This Row],[%CPDP]],0)</f>
        <v>0</v>
      </c>
      <c r="DW167" s="132">
        <f>IFERROR(KH_26_OPT4_KTQT_v4[[#This Row],[DT-EXW-06]]*KH_26_OPT4_KTQT_v4[[#This Row],[%CPDP]],0)</f>
        <v>0</v>
      </c>
      <c r="DX167" s="132">
        <f>IFERROR(KH_26_OPT4_KTQT_v4[[#This Row],[DT-EXW-07]]*KH_26_OPT4_KTQT_v4[[#This Row],[%CPDP]],0)</f>
        <v>0</v>
      </c>
      <c r="DY167" s="132">
        <f>IFERROR(KH_26_OPT4_KTQT_v4[[#This Row],[DT-EXW-08]]*KH_26_OPT4_KTQT_v4[[#This Row],[%CPDP]],0)</f>
        <v>0</v>
      </c>
      <c r="DZ167" s="132">
        <f>IFERROR(KH_26_OPT4_KTQT_v4[[#This Row],[DT-EXW-09]]*KH_26_OPT4_KTQT_v4[[#This Row],[%CPDP]],0)</f>
        <v>0</v>
      </c>
      <c r="EA167" s="132">
        <f>IFERROR(KH_26_OPT4_KTQT_v4[[#This Row],[DT-EXW-10]]*KH_26_OPT4_KTQT_v4[[#This Row],[%CPDP]],0)</f>
        <v>0</v>
      </c>
      <c r="EB167" s="132">
        <f>IFERROR(KH_26_OPT4_KTQT_v4[[#This Row],[DT-EXW-11]]*KH_26_OPT4_KTQT_v4[[#This Row],[%CPDP]],0)</f>
        <v>0</v>
      </c>
      <c r="EC167" s="132">
        <f>IFERROR(KH_26_OPT4_KTQT_v4[[#This Row],[DT-EXW-12]]*KH_26_OPT4_KTQT_v4[[#This Row],[%CPDP]],0)</f>
        <v>0</v>
      </c>
      <c r="ED167" s="131">
        <f ca="1">SUM(KH_26_OPT4_KTQT_v4[[#This Row],[CPDP-01]:[CPDP-12]])</f>
        <v>0</v>
      </c>
    </row>
    <row r="168" spans="1:134" ht="14.5" hidden="1" x14ac:dyDescent="0.35">
      <c r="A168" s="18">
        <v>163</v>
      </c>
      <c r="B168" s="71" t="s">
        <v>104</v>
      </c>
      <c r="C168" s="18" t="str">
        <f>IFERROR(_xlfn.XLOOKUP(KH_26_OPT4_KTQT_v4[[#This Row],[Salesman]],MD_Salesman[Salesman],MD_Salesman[SalesManager]),"")</f>
        <v>Quốc Anh</v>
      </c>
      <c r="D168" s="72" t="str">
        <f>IFERROR(INDEX(MD_Customer[Mã khách],MATCH(KH_26_OPT4_KTQT_v4[[#This Row],[Tên khách]],MD_Customer[Tên khách-rút gọn],0)),"")</f>
        <v>105358</v>
      </c>
      <c r="E168" s="7" t="str">
        <f>IFERROR(INDEX(MD_Customer[Parent Account],MATCH(KH_26_OPT4_KTQT_v4[[#This Row],[Tên khách]],MD_Customer[Tên khách-rút gọn],0)),"")</f>
        <v>NGŨ KIM TẤN PHÁT</v>
      </c>
      <c r="F168" s="35" t="s">
        <v>66</v>
      </c>
      <c r="G168" s="7" t="str">
        <f>IFERROR(INDEX(MD_Customer[Phân loại],MATCH(KH_26_OPT4_KTQT_v4[[#This Row],[Tên khách]],MD_Customer[Tên khách-rút gọn],0)),"")</f>
        <v>Hiện hữu</v>
      </c>
      <c r="H168" s="7" t="str">
        <f>IFERROR(INDEX(MD_Customer[Kênh bán hàng],MATCH(KH_26_OPT4_KTQT_v4[[#This Row],[Tên khách]],MD_Customer[Tên khách-rút gọn],0)),"")</f>
        <v>Nội địa</v>
      </c>
      <c r="I168" s="35" t="s">
        <v>264</v>
      </c>
      <c r="J168" s="7" t="str">
        <f>IFERROR(INDEX(MD_Destination[Nước],MATCH(KH_26_OPT4_KTQT_v4[[#This Row],[Địa điểm đến]],MD_Destination[Địa điểm đến],0)),"")</f>
        <v>Việt Nam</v>
      </c>
      <c r="K168" s="7" t="str">
        <f>IFERROR(INDEX(MD_Destination[Khu vực],MATCH(KH_26_OPT4_KTQT_v4[[#This Row],[Địa điểm đến]],MD_Destination[Địa điểm đến],0)),"")</f>
        <v>Châu Á</v>
      </c>
      <c r="L168" s="35" t="s">
        <v>260</v>
      </c>
      <c r="M168" s="7" t="str">
        <f>IFERROR(INDEX(MD_SKU[Mã SKU],MATCH(KH_26_OPT4_KTQT_v4[[#This Row],[Tên sản phẩm]],MD_SKU[Tên SKU-rút gọn],0)),"")</f>
        <v>110000482</v>
      </c>
      <c r="N168" s="35" t="s">
        <v>491</v>
      </c>
      <c r="O168" s="7" t="str">
        <f>IFERROR(INDEX(MD_SKU[Ngành hàng],MATCH(KH_26_OPT4_KTQT_v4[[#This Row],[Tên sản phẩm]],MD_SKU[Tên SKU-rút gọn],0)),"")</f>
        <v>rPP</v>
      </c>
      <c r="P168" s="7" t="str">
        <f>IFERROR(INDEX(MD_SKU[Nhóm ngành],MATCH(KH_26_OPT4_KTQT_v4[[#This Row],[Tên sản phẩm]],MD_SKU[Tên SKU-rút gọn],0)),"")</f>
        <v>Hạt PP</v>
      </c>
      <c r="Q168" s="7" t="str">
        <f>IFERROR(
   IF(INDEX(MD_SKU[IV/IM],MATCH(KH_26_OPT4_KTQT_v4[[#This Row],[Tên sản phẩm]],MD_SKU[Tên SKU-rút gọn],0))=0,
      "",
      INDEX(MD_SKU[IV/IM],MATCH(KH_26_OPT4_KTQT_v4[[#This Row],[Tên sản phẩm]],MD_SKU[Tên SKU-rút gọn],0))
   ),
"")</f>
        <v/>
      </c>
      <c r="R168" s="44">
        <f>IFERROR(INDEX(MD_SKU[Application],MATCH(KH_26_OPT4_KTQT_v4[[#This Row],[Tên sản phẩm]],MD_SKU[Tên SKU-rút gọn],0)),"")</f>
        <v>0</v>
      </c>
      <c r="S168" s="7" t="str">
        <f>IFERROR(INDEX(MD_SKU[Phân loại],MATCH(KH_26_OPT4_KTQT_v4[[#This Row],[Tên sản phẩm]],MD_SKU[Tên SKU-rút gọn],0)),"")</f>
        <v>Cũ</v>
      </c>
      <c r="T168" s="7"/>
      <c r="U168" s="7"/>
      <c r="V168" s="70">
        <v>0.8</v>
      </c>
      <c r="W168" s="33"/>
      <c r="X168" s="33"/>
      <c r="Y168" s="33"/>
      <c r="Z168" s="33"/>
      <c r="AA168" s="33"/>
      <c r="AB168" s="33"/>
      <c r="AC168" s="33"/>
      <c r="AD168" s="33"/>
      <c r="AE168" s="33"/>
      <c r="AF168" s="33"/>
      <c r="AG168" s="33"/>
      <c r="AH168" s="33"/>
      <c r="AI168" s="47">
        <f ca="1">SUM(KH_26_OPT4_KTQT_v4[[#This Row],[SL-01]:[SL-12]])</f>
        <v>0</v>
      </c>
      <c r="AJ168" s="47">
        <f ca="1">SUMIFS(DB_25[SL-DB25],DB_25[Mã khách],KH_26_OPT4_KTQT_v4[[#This Row],[Mã khách]],DB_25[Mã sản phẩm],KH_26_OPT4_KTQT_v4[[#This Row],[Mã sản phẩm]])</f>
        <v>0.1</v>
      </c>
      <c r="AK168" s="20">
        <f ca="1">KH_26_OPT4_KTQT_v4[[#This Row],[SL-KH26]]-KH_26_OPT4_KTQT_v4[[#This Row],[SL-DB25]]</f>
        <v>-0.1</v>
      </c>
      <c r="AL168" s="21">
        <f ca="1">IFERROR(KH_26_OPT4_KTQT_v4[[#This Row],[SL-+/-]]/KH_26_OPT4_KTQT_v4[[#This Row],[SL-DB25]],0)</f>
        <v>-1</v>
      </c>
      <c r="AM168" s="51">
        <v>700</v>
      </c>
      <c r="AN168" s="51">
        <v>700</v>
      </c>
      <c r="AO168" s="51">
        <v>700</v>
      </c>
      <c r="AP168" s="51">
        <v>700</v>
      </c>
      <c r="AQ168" s="51">
        <v>700</v>
      </c>
      <c r="AR168" s="51">
        <v>700</v>
      </c>
      <c r="AS168" s="51">
        <v>700</v>
      </c>
      <c r="AT168" s="51">
        <v>700</v>
      </c>
      <c r="AU168" s="51">
        <v>700</v>
      </c>
      <c r="AV168" s="51">
        <v>700</v>
      </c>
      <c r="AW168" s="51">
        <v>700</v>
      </c>
      <c r="AX168" s="51">
        <v>700</v>
      </c>
      <c r="AY168" s="23">
        <v>700</v>
      </c>
      <c r="AZ168" s="7"/>
      <c r="BA168" s="24">
        <f>KH_26_OPT4_KTQT_v4[[#This Row],[GB-DB25]]-KH_26_OPT4_KTQT_v4[[#This Row],[GB-KH25]]</f>
        <v>700</v>
      </c>
      <c r="BB168" s="21">
        <f>IFERROR(KH_26_OPT4_KTQT_v4[[#This Row],[GB-+/-]]/KH_26_OPT4_KTQT_v4[[#This Row],[GB-KH25]],0)</f>
        <v>0</v>
      </c>
      <c r="BC168" s="21"/>
      <c r="BD168" s="47">
        <f>KH_26_OPT4_KTQT_v4[[#This Row],[SL-01]]*KH_26_OPT4_KTQT_v4[[#This Row],[GB-01]]*EXR</f>
        <v>0</v>
      </c>
      <c r="BE168" s="47">
        <f>KH_26_OPT4_KTQT_v4[[#This Row],[SL-02]]*KH_26_OPT4_KTQT_v4[[#This Row],[GB-02]]*EXR</f>
        <v>0</v>
      </c>
      <c r="BF168" s="47">
        <f>KH_26_OPT4_KTQT_v4[[#This Row],[SL-03]]*KH_26_OPT4_KTQT_v4[[#This Row],[GB-03]]*EXR</f>
        <v>0</v>
      </c>
      <c r="BG168" s="47">
        <f>KH_26_OPT4_KTQT_v4[[#This Row],[SL-04]]*KH_26_OPT4_KTQT_v4[[#This Row],[GB-04]]*EXR</f>
        <v>0</v>
      </c>
      <c r="BH168" s="47">
        <f>KH_26_OPT4_KTQT_v4[[#This Row],[SL-05]]*KH_26_OPT4_KTQT_v4[[#This Row],[GB-05]]*EXR</f>
        <v>0</v>
      </c>
      <c r="BI168" s="47">
        <f>KH_26_OPT4_KTQT_v4[[#This Row],[SL-06]]*KH_26_OPT4_KTQT_v4[[#This Row],[GB-06]]*EXR</f>
        <v>0</v>
      </c>
      <c r="BJ168" s="47">
        <f>KH_26_OPT4_KTQT_v4[[#This Row],[SL-07]]*KH_26_OPT4_KTQT_v4[[#This Row],[GB-07]]*EXR</f>
        <v>0</v>
      </c>
      <c r="BK168" s="47">
        <f>KH_26_OPT4_KTQT_v4[[#This Row],[SL-08]]*KH_26_OPT4_KTQT_v4[[#This Row],[GB-08]]*EXR</f>
        <v>0</v>
      </c>
      <c r="BL168" s="47">
        <f>KH_26_OPT4_KTQT_v4[[#This Row],[SL-09]]*KH_26_OPT4_KTQT_v4[[#This Row],[GB-09]]*EXR</f>
        <v>0</v>
      </c>
      <c r="BM168" s="47">
        <f>KH_26_OPT4_KTQT_v4[[#This Row],[SL-10]]*KH_26_OPT4_KTQT_v4[[#This Row],[GB-10]]*EXR</f>
        <v>0</v>
      </c>
      <c r="BN168" s="47">
        <f>KH_26_OPT4_KTQT_v4[[#This Row],[SL-11]]*KH_26_OPT4_KTQT_v4[[#This Row],[GB-11]]*EXR</f>
        <v>0</v>
      </c>
      <c r="BO168" s="47">
        <f>KH_26_OPT4_KTQT_v4[[#This Row],[SL-12]]*KH_26_OPT4_KTQT_v4[[#This Row],[GB-12]]*EXR</f>
        <v>0</v>
      </c>
      <c r="BP168" s="47">
        <f ca="1">SUM(KH_26_OPT4_KTQT_v4[[#This Row],[DT-EXW-01]:[DT-EXW-12]])</f>
        <v>0</v>
      </c>
      <c r="BQ168" s="47">
        <f ca="1">SUMIFS(DB_25[DT-DB25],DB_25[Mã khách],KH_26_OPT4_KTQT_v4[[#This Row],[Mã khách]],DB_25[Mã sản phẩm],KH_26_OPT4_KTQT_v4[[#This Row],[Mã sản phẩm]])</f>
        <v>2100000</v>
      </c>
      <c r="BR168" s="47">
        <f ca="1">KH_26_OPT4_KTQT_v4[[#This Row],[DT-EXW-KH26]]-KH_26_OPT4_KTQT_v4[[#This Row],[DT-EXW-DB25]]</f>
        <v>-2100000</v>
      </c>
      <c r="BS168" s="21">
        <f ca="1">IFERROR(KH_26_OPT4_KTQT_v4[[#This Row],[DT-EXW-+/-]]/KH_26_OPT4_KTQT_v4[[#This Row],[DT-EXW-DB25]],0)</f>
        <v>-1</v>
      </c>
      <c r="BT168" s="139"/>
      <c r="BU168" s="57"/>
      <c r="BV168" s="51"/>
      <c r="BW168" s="47">
        <f>IF(KH_26_OPT4_KTQT_v4[[#This Row],[CPHH-%-SL]]="Dthu",KH_26_OPT4_KTQT_v4[[#This Row],[%HH]]*KH_26_OPT4_KTQT_v4[[#This Row],[DT-EXW-01]],KH_26_OPT4_KTQT_v4[[#This Row],[HH-SL]]*KH_26_OPT4_KTQT_v4[[#This Row],[SL-01]])</f>
        <v>0</v>
      </c>
      <c r="BX168" s="47">
        <f>IF(KH_26_OPT4_KTQT_v4[[#This Row],[CPHH-%-SL]]="Dthu",KH_26_OPT4_KTQT_v4[[#This Row],[%HH]]*KH_26_OPT4_KTQT_v4[[#This Row],[DT-EXW-02]],KH_26_OPT4_KTQT_v4[[#This Row],[HH-SL]]*KH_26_OPT4_KTQT_v4[[#This Row],[SL-02]])</f>
        <v>0</v>
      </c>
      <c r="BY168" s="47">
        <f>IF(KH_26_OPT4_KTQT_v4[[#This Row],[CPHH-%-SL]]="Dthu",KH_26_OPT4_KTQT_v4[[#This Row],[%HH]]*KH_26_OPT4_KTQT_v4[[#This Row],[DT-EXW-03]],KH_26_OPT4_KTQT_v4[[#This Row],[HH-SL]]*KH_26_OPT4_KTQT_v4[[#This Row],[SL-03]])</f>
        <v>0</v>
      </c>
      <c r="BZ168" s="47">
        <f>IF(KH_26_OPT4_KTQT_v4[[#This Row],[CPHH-%-SL]]="Dthu",KH_26_OPT4_KTQT_v4[[#This Row],[%HH]]*KH_26_OPT4_KTQT_v4[[#This Row],[DT-EXW-04]],KH_26_OPT4_KTQT_v4[[#This Row],[HH-SL]]*KH_26_OPT4_KTQT_v4[[#This Row],[SL-04]])</f>
        <v>0</v>
      </c>
      <c r="CA168" s="47">
        <f>IF(KH_26_OPT4_KTQT_v4[[#This Row],[CPHH-%-SL]]="Dthu",KH_26_OPT4_KTQT_v4[[#This Row],[%HH]]*KH_26_OPT4_KTQT_v4[[#This Row],[DT-EXW-05]],KH_26_OPT4_KTQT_v4[[#This Row],[HH-SL]]*KH_26_OPT4_KTQT_v4[[#This Row],[SL-05]])</f>
        <v>0</v>
      </c>
      <c r="CB168" s="47">
        <f>IF(KH_26_OPT4_KTQT_v4[[#This Row],[CPHH-%-SL]]="Dthu",KH_26_OPT4_KTQT_v4[[#This Row],[%HH]]*KH_26_OPT4_KTQT_v4[[#This Row],[DT-EXW-06]],KH_26_OPT4_KTQT_v4[[#This Row],[HH-SL]]*KH_26_OPT4_KTQT_v4[[#This Row],[SL-06]])</f>
        <v>0</v>
      </c>
      <c r="CC168" s="47">
        <f>IF(KH_26_OPT4_KTQT_v4[[#This Row],[CPHH-%-SL]]="Dthu",KH_26_OPT4_KTQT_v4[[#This Row],[%HH]]*KH_26_OPT4_KTQT_v4[[#This Row],[DT-EXW-07]],KH_26_OPT4_KTQT_v4[[#This Row],[HH-SL]]*KH_26_OPT4_KTQT_v4[[#This Row],[SL-07]])</f>
        <v>0</v>
      </c>
      <c r="CD168" s="47">
        <f>IF(KH_26_OPT4_KTQT_v4[[#This Row],[CPHH-%-SL]]="Dthu",KH_26_OPT4_KTQT_v4[[#This Row],[%HH]]*KH_26_OPT4_KTQT_v4[[#This Row],[DT-EXW-08]],KH_26_OPT4_KTQT_v4[[#This Row],[HH-SL]]*KH_26_OPT4_KTQT_v4[[#This Row],[SL-08]])</f>
        <v>0</v>
      </c>
      <c r="CE168" s="47">
        <f>IF(KH_26_OPT4_KTQT_v4[[#This Row],[CPHH-%-SL]]="Dthu",KH_26_OPT4_KTQT_v4[[#This Row],[%HH]]*KH_26_OPT4_KTQT_v4[[#This Row],[DT-EXW-09]],KH_26_OPT4_KTQT_v4[[#This Row],[HH-SL]]*KH_26_OPT4_KTQT_v4[[#This Row],[SL-09]])</f>
        <v>0</v>
      </c>
      <c r="CF168" s="47">
        <f>IF(KH_26_OPT4_KTQT_v4[[#This Row],[CPHH-%-SL]]="Dthu",KH_26_OPT4_KTQT_v4[[#This Row],[%HH]]*KH_26_OPT4_KTQT_v4[[#This Row],[DT-EXW-10]],KH_26_OPT4_KTQT_v4[[#This Row],[HH-SL]]*KH_26_OPT4_KTQT_v4[[#This Row],[SL-10]])</f>
        <v>0</v>
      </c>
      <c r="CG168" s="47">
        <f>IF(KH_26_OPT4_KTQT_v4[[#This Row],[CPHH-%-SL]]="Dthu",KH_26_OPT4_KTQT_v4[[#This Row],[%HH]]*KH_26_OPT4_KTQT_v4[[#This Row],[DT-EXW-11]],KH_26_OPT4_KTQT_v4[[#This Row],[HH-SL]]*KH_26_OPT4_KTQT_v4[[#This Row],[SL-11]])</f>
        <v>0</v>
      </c>
      <c r="CH168" s="47">
        <f>IF(KH_26_OPT4_KTQT_v4[[#This Row],[CPHH-%-SL]]="Dthu",KH_26_OPT4_KTQT_v4[[#This Row],[%HH]]*KH_26_OPT4_KTQT_v4[[#This Row],[DT-EXW-12]],KH_26_OPT4_KTQT_v4[[#This Row],[HH-SL]]*KH_26_OPT4_KTQT_v4[[#This Row],[SL-12]])</f>
        <v>0</v>
      </c>
      <c r="CI168" s="47">
        <f ca="1">SUM(KH_26_OPT4_KTQT_v4[[#This Row],[CPHH-01]:[CPHH-12]])</f>
        <v>0</v>
      </c>
      <c r="CJ168" s="47" cm="1">
        <f t="array" ref="CJ168">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68" s="19">
        <f ca="1">SUM(KH_26_OPT4_KTQT_v4[[#This Row],[ĐGVCNĐ-KXK]:[ĐGVCCT-KXK]])</f>
        <v>0</v>
      </c>
      <c r="CL168" s="47" cm="1">
        <f t="array" ref="CL168">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168" s="47" cm="1">
        <f t="array" ref="CM168">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68" s="47">
        <f ca="1">(KH_26_OPT4_KTQT_v4[[#This Row],[ĐGVC-KNĐ]]+KH_26_OPT4_KTQT_v4[[#This Row],[ĐGVC-KXK]])*KH_26_OPT4_KTQT_v4[[#This Row],[SL-01]]</f>
        <v>0</v>
      </c>
      <c r="CO168" s="47">
        <f ca="1">(KH_26_OPT4_KTQT_v4[[#This Row],[ĐGVC-KNĐ]]+KH_26_OPT4_KTQT_v4[[#This Row],[ĐGVC-KXK]])*KH_26_OPT4_KTQT_v4[[#This Row],[SL-02]]</f>
        <v>0</v>
      </c>
      <c r="CP168" s="47">
        <f ca="1">(KH_26_OPT4_KTQT_v4[[#This Row],[ĐGVC-KNĐ]]+KH_26_OPT4_KTQT_v4[[#This Row],[ĐGVC-KXK]])*KH_26_OPT4_KTQT_v4[[#This Row],[SL-03]]</f>
        <v>0</v>
      </c>
      <c r="CQ168" s="47">
        <f ca="1">(KH_26_OPT4_KTQT_v4[[#This Row],[ĐGVC-KNĐ]]+KH_26_OPT4_KTQT_v4[[#This Row],[ĐGVC-KXK]])*KH_26_OPT4_KTQT_v4[[#This Row],[SL-04]]</f>
        <v>0</v>
      </c>
      <c r="CR168" s="47">
        <f ca="1">(KH_26_OPT4_KTQT_v4[[#This Row],[ĐGVC-KNĐ]]+KH_26_OPT4_KTQT_v4[[#This Row],[ĐGVC-KXK]])*KH_26_OPT4_KTQT_v4[[#This Row],[SL-05]]</f>
        <v>0</v>
      </c>
      <c r="CS168" s="47">
        <f ca="1">(KH_26_OPT4_KTQT_v4[[#This Row],[ĐGVC-KNĐ]]+KH_26_OPT4_KTQT_v4[[#This Row],[ĐGVC-KXK]])*KH_26_OPT4_KTQT_v4[[#This Row],[SL-06]]</f>
        <v>0</v>
      </c>
      <c r="CT168" s="47">
        <f ca="1">(KH_26_OPT4_KTQT_v4[[#This Row],[ĐGVC-KNĐ]]+KH_26_OPT4_KTQT_v4[[#This Row],[ĐGVC-KXK]])*KH_26_OPT4_KTQT_v4[[#This Row],[SL-07]]</f>
        <v>0</v>
      </c>
      <c r="CU168" s="47">
        <f ca="1">(KH_26_OPT4_KTQT_v4[[#This Row],[ĐGVC-KNĐ]]+KH_26_OPT4_KTQT_v4[[#This Row],[ĐGVC-KXK]])*KH_26_OPT4_KTQT_v4[[#This Row],[SL-08]]</f>
        <v>0</v>
      </c>
      <c r="CV168" s="47">
        <f ca="1">(KH_26_OPT4_KTQT_v4[[#This Row],[ĐGVC-KNĐ]]+KH_26_OPT4_KTQT_v4[[#This Row],[ĐGVC-KXK]])*KH_26_OPT4_KTQT_v4[[#This Row],[SL-09]]</f>
        <v>0</v>
      </c>
      <c r="CW168" s="47">
        <f ca="1">(KH_26_OPT4_KTQT_v4[[#This Row],[ĐGVC-KNĐ]]+KH_26_OPT4_KTQT_v4[[#This Row],[ĐGVC-KXK]])*KH_26_OPT4_KTQT_v4[[#This Row],[SL-10]]</f>
        <v>0</v>
      </c>
      <c r="CX168" s="47">
        <f ca="1">(KH_26_OPT4_KTQT_v4[[#This Row],[ĐGVC-KNĐ]]+KH_26_OPT4_KTQT_v4[[#This Row],[ĐGVC-KXK]])*KH_26_OPT4_KTQT_v4[[#This Row],[SL-11]]</f>
        <v>0</v>
      </c>
      <c r="CY168" s="47">
        <f ca="1">(KH_26_OPT4_KTQT_v4[[#This Row],[ĐGVC-KNĐ]]+KH_26_OPT4_KTQT_v4[[#This Row],[ĐGVC-KXK]])*KH_26_OPT4_KTQT_v4[[#This Row],[SL-12]]</f>
        <v>0</v>
      </c>
      <c r="CZ168" s="47">
        <f ca="1">SUM(KH_26_OPT4_KTQT_v4[[#This Row],[CPVC-01]:[CPVC-12]])</f>
        <v>0</v>
      </c>
      <c r="DA168" s="124">
        <f ca="1">KH_26_OPT4_KTQT_v4[[#This Row],[DT-EXW-01]]+KH_26_OPT4_KTQT_v4[[#This Row],[CPVC-01]]+KH_26_OPT4_KTQT_v4[[#This Row],[CPHH-01]]</f>
        <v>0</v>
      </c>
      <c r="DB168" s="47">
        <f ca="1">KH_26_OPT4_KTQT_v4[[#This Row],[DT-EXW-02]]+KH_26_OPT4_KTQT_v4[[#This Row],[CPVC-02]]+KH_26_OPT4_KTQT_v4[[#This Row],[CPHH-02]]</f>
        <v>0</v>
      </c>
      <c r="DC168" s="47">
        <f ca="1">KH_26_OPT4_KTQT_v4[[#This Row],[DT-EXW-03]]+KH_26_OPT4_KTQT_v4[[#This Row],[CPVC-03]]+KH_26_OPT4_KTQT_v4[[#This Row],[CPHH-03]]</f>
        <v>0</v>
      </c>
      <c r="DD168" s="47">
        <f ca="1">KH_26_OPT4_KTQT_v4[[#This Row],[DT-EXW-04]]+KH_26_OPT4_KTQT_v4[[#This Row],[CPVC-04]]+KH_26_OPT4_KTQT_v4[[#This Row],[CPHH-04]]</f>
        <v>0</v>
      </c>
      <c r="DE168" s="47">
        <f ca="1">KH_26_OPT4_KTQT_v4[[#This Row],[DT-EXW-05]]+KH_26_OPT4_KTQT_v4[[#This Row],[CPVC-05]]+KH_26_OPT4_KTQT_v4[[#This Row],[CPHH-05]]</f>
        <v>0</v>
      </c>
      <c r="DF168" s="47">
        <f ca="1">KH_26_OPT4_KTQT_v4[[#This Row],[DT-EXW-06]]+KH_26_OPT4_KTQT_v4[[#This Row],[CPVC-06]]+KH_26_OPT4_KTQT_v4[[#This Row],[CPHH-06]]</f>
        <v>0</v>
      </c>
      <c r="DG168" s="47">
        <f ca="1">KH_26_OPT4_KTQT_v4[[#This Row],[DT-EXW-07]]+KH_26_OPT4_KTQT_v4[[#This Row],[CPVC-07]]+KH_26_OPT4_KTQT_v4[[#This Row],[CPHH-07]]</f>
        <v>0</v>
      </c>
      <c r="DH168" s="47">
        <f ca="1">KH_26_OPT4_KTQT_v4[[#This Row],[DT-EXW-08]]+KH_26_OPT4_KTQT_v4[[#This Row],[CPVC-08]]+KH_26_OPT4_KTQT_v4[[#This Row],[CPHH-08]]</f>
        <v>0</v>
      </c>
      <c r="DI168" s="47">
        <f ca="1">KH_26_OPT4_KTQT_v4[[#This Row],[DT-EXW-09]]+KH_26_OPT4_KTQT_v4[[#This Row],[CPVC-09]]+KH_26_OPT4_KTQT_v4[[#This Row],[CPHH-09]]</f>
        <v>0</v>
      </c>
      <c r="DJ168" s="47">
        <f ca="1">KH_26_OPT4_KTQT_v4[[#This Row],[DT-EXW-10]]+KH_26_OPT4_KTQT_v4[[#This Row],[CPVC-10]]+KH_26_OPT4_KTQT_v4[[#This Row],[CPHH-10]]</f>
        <v>0</v>
      </c>
      <c r="DK168" s="47">
        <f ca="1">KH_26_OPT4_KTQT_v4[[#This Row],[DT-EXW-11]]+KH_26_OPT4_KTQT_v4[[#This Row],[CPVC-11]]+KH_26_OPT4_KTQT_v4[[#This Row],[CPHH-11]]</f>
        <v>0</v>
      </c>
      <c r="DL168" s="47">
        <f ca="1">KH_26_OPT4_KTQT_v4[[#This Row],[DT-EXW-12]]+KH_26_OPT4_KTQT_v4[[#This Row],[CPVC-12]]+KH_26_OPT4_KTQT_v4[[#This Row],[CPHH-12]]</f>
        <v>0</v>
      </c>
      <c r="DM168" s="47">
        <f ca="1">SUM(KH_26_OPT4_KTQT_v4[[#This Row],[DT-01]:[DT-12]])</f>
        <v>0</v>
      </c>
      <c r="DN168" s="7"/>
      <c r="DO168" s="7"/>
      <c r="DP168" s="125"/>
      <c r="DQ168" s="136"/>
      <c r="DR168" s="132">
        <f>IFERROR(KH_26_OPT4_KTQT_v4[[#This Row],[DT-EXW-01]]*KH_26_OPT4_KTQT_v4[[#This Row],[%CPDP]],0)</f>
        <v>0</v>
      </c>
      <c r="DS168" s="132">
        <f>IFERROR(KH_26_OPT4_KTQT_v4[[#This Row],[DT-EXW-02]]*KH_26_OPT4_KTQT_v4[[#This Row],[%CPDP]],0)</f>
        <v>0</v>
      </c>
      <c r="DT168" s="132">
        <f>IFERROR(KH_26_OPT4_KTQT_v4[[#This Row],[DT-EXW-03]]*KH_26_OPT4_KTQT_v4[[#This Row],[%CPDP]],0)</f>
        <v>0</v>
      </c>
      <c r="DU168" s="132">
        <f>IFERROR(KH_26_OPT4_KTQT_v4[[#This Row],[DT-EXW-04]]*KH_26_OPT4_KTQT_v4[[#This Row],[%CPDP]],0)</f>
        <v>0</v>
      </c>
      <c r="DV168" s="132">
        <f>IFERROR(KH_26_OPT4_KTQT_v4[[#This Row],[DT-EXW-05]]*KH_26_OPT4_KTQT_v4[[#This Row],[%CPDP]],0)</f>
        <v>0</v>
      </c>
      <c r="DW168" s="132">
        <f>IFERROR(KH_26_OPT4_KTQT_v4[[#This Row],[DT-EXW-06]]*KH_26_OPT4_KTQT_v4[[#This Row],[%CPDP]],0)</f>
        <v>0</v>
      </c>
      <c r="DX168" s="132">
        <f>IFERROR(KH_26_OPT4_KTQT_v4[[#This Row],[DT-EXW-07]]*KH_26_OPT4_KTQT_v4[[#This Row],[%CPDP]],0)</f>
        <v>0</v>
      </c>
      <c r="DY168" s="132">
        <f>IFERROR(KH_26_OPT4_KTQT_v4[[#This Row],[DT-EXW-08]]*KH_26_OPT4_KTQT_v4[[#This Row],[%CPDP]],0)</f>
        <v>0</v>
      </c>
      <c r="DZ168" s="132">
        <f>IFERROR(KH_26_OPT4_KTQT_v4[[#This Row],[DT-EXW-09]]*KH_26_OPT4_KTQT_v4[[#This Row],[%CPDP]],0)</f>
        <v>0</v>
      </c>
      <c r="EA168" s="132">
        <f>IFERROR(KH_26_OPT4_KTQT_v4[[#This Row],[DT-EXW-10]]*KH_26_OPT4_KTQT_v4[[#This Row],[%CPDP]],0)</f>
        <v>0</v>
      </c>
      <c r="EB168" s="132">
        <f>IFERROR(KH_26_OPT4_KTQT_v4[[#This Row],[DT-EXW-11]]*KH_26_OPT4_KTQT_v4[[#This Row],[%CPDP]],0)</f>
        <v>0</v>
      </c>
      <c r="EC168" s="132">
        <f>IFERROR(KH_26_OPT4_KTQT_v4[[#This Row],[DT-EXW-12]]*KH_26_OPT4_KTQT_v4[[#This Row],[%CPDP]],0)</f>
        <v>0</v>
      </c>
      <c r="ED168" s="131">
        <f ca="1">SUM(KH_26_OPT4_KTQT_v4[[#This Row],[CPDP-01]:[CPDP-12]])</f>
        <v>0</v>
      </c>
    </row>
    <row r="169" spans="1:134" ht="14.5" hidden="1" x14ac:dyDescent="0.35">
      <c r="A169" s="18">
        <v>164</v>
      </c>
      <c r="B169" s="71" t="s">
        <v>101</v>
      </c>
      <c r="C169" s="18" t="str">
        <f>IFERROR(_xlfn.XLOOKUP(KH_26_OPT4_KTQT_v4[[#This Row],[Salesman]],MD_Salesman[Salesman],MD_Salesman[SalesManager]),"")</f>
        <v>Cường</v>
      </c>
      <c r="D169" s="72" t="str">
        <f>IFERROR(INDEX(MD_Customer[Mã khách],MATCH(KH_26_OPT4_KTQT_v4[[#This Row],[Tên khách]],MD_Customer[Tên khách-rút gọn],0)),"")</f>
        <v>105361</v>
      </c>
      <c r="E169" s="7" t="str">
        <f>IFERROR(INDEX(MD_Customer[Parent Account],MATCH(KH_26_OPT4_KTQT_v4[[#This Row],[Tên khách]],MD_Customer[Tên khách-rút gọn],0)),"")</f>
        <v>THÀNH NGHĨA P.E.T</v>
      </c>
      <c r="F169" s="35" t="s">
        <v>111</v>
      </c>
      <c r="G169" s="7" t="str">
        <f>IFERROR(INDEX(MD_Customer[Phân loại],MATCH(KH_26_OPT4_KTQT_v4[[#This Row],[Tên khách]],MD_Customer[Tên khách-rút gọn],0)),"")</f>
        <v>Mới</v>
      </c>
      <c r="H169" s="7" t="str">
        <f>IFERROR(INDEX(MD_Customer[Kênh bán hàng],MATCH(KH_26_OPT4_KTQT_v4[[#This Row],[Tên khách]],MD_Customer[Tên khách-rút gọn],0)),"")</f>
        <v>Nội địa</v>
      </c>
      <c r="I169" s="35" t="s">
        <v>261</v>
      </c>
      <c r="J169" s="7" t="str">
        <f>IFERROR(INDEX(MD_Destination[Nước],MATCH(KH_26_OPT4_KTQT_v4[[#This Row],[Địa điểm đến]],MD_Destination[Địa điểm đến],0)),"")</f>
        <v>Việt Nam</v>
      </c>
      <c r="K169" s="7" t="str">
        <f>IFERROR(INDEX(MD_Destination[Khu vực],MATCH(KH_26_OPT4_KTQT_v4[[#This Row],[Địa điểm đến]],MD_Destination[Địa điểm đến],0)),"")</f>
        <v>Châu Á</v>
      </c>
      <c r="L169" s="35" t="s">
        <v>260</v>
      </c>
      <c r="M169" s="7" t="str">
        <f>IFERROR(INDEX(MD_SKU[Mã SKU],MATCH(KH_26_OPT4_KTQT_v4[[#This Row],[Tên sản phẩm]],MD_SKU[Tên SKU-rút gọn],0)),"")</f>
        <v>110000483</v>
      </c>
      <c r="N169" s="35" t="s">
        <v>505</v>
      </c>
      <c r="O169" s="7" t="str">
        <f>IFERROR(INDEX(MD_SKU[Ngành hàng],MATCH(KH_26_OPT4_KTQT_v4[[#This Row],[Tên sản phẩm]],MD_SKU[Tên SKU-rút gọn],0)),"")</f>
        <v>rPET</v>
      </c>
      <c r="P169" s="7" t="str">
        <f>IFERROR(INDEX(MD_SKU[Nhóm ngành],MATCH(KH_26_OPT4_KTQT_v4[[#This Row],[Tên sản phẩm]],MD_SKU[Tên SKU-rút gọn],0)),"")</f>
        <v>Hạt PET</v>
      </c>
      <c r="Q169" s="7" t="str">
        <f>IFERROR(
   IF(INDEX(MD_SKU[IV/IM],MATCH(KH_26_OPT4_KTQT_v4[[#This Row],[Tên sản phẩm]],MD_SKU[Tên SKU-rút gọn],0))=0,
      "",
      INDEX(MD_SKU[IV/IM],MATCH(KH_26_OPT4_KTQT_v4[[#This Row],[Tên sản phẩm]],MD_SKU[Tên SKU-rút gọn],0))
   ),
"")</f>
        <v>0.80 ± 0.02</v>
      </c>
      <c r="R169" s="44">
        <f>IFERROR(INDEX(MD_SKU[Application],MATCH(KH_26_OPT4_KTQT_v4[[#This Row],[Tên sản phẩm]],MD_SKU[Tên SKU-rút gọn],0)),"")</f>
        <v>0</v>
      </c>
      <c r="S169" s="7" t="str">
        <f>IFERROR(INDEX(MD_SKU[Phân loại],MATCH(KH_26_OPT4_KTQT_v4[[#This Row],[Tên sản phẩm]],MD_SKU[Tên SKU-rút gọn],0)),"")</f>
        <v>Cũ</v>
      </c>
      <c r="T169" s="7"/>
      <c r="U169" s="7"/>
      <c r="V169" s="70">
        <v>0.8</v>
      </c>
      <c r="W169" s="33"/>
      <c r="X169" s="33"/>
      <c r="Y169" s="33"/>
      <c r="Z169" s="33"/>
      <c r="AA169" s="33"/>
      <c r="AB169" s="33"/>
      <c r="AC169" s="33"/>
      <c r="AD169" s="33"/>
      <c r="AE169" s="33"/>
      <c r="AF169" s="33"/>
      <c r="AG169" s="33"/>
      <c r="AH169" s="33"/>
      <c r="AI169" s="47">
        <f ca="1">SUM(KH_26_OPT4_KTQT_v4[[#This Row],[SL-01]:[SL-12]])</f>
        <v>0</v>
      </c>
      <c r="AJ169" s="47">
        <f ca="1">SUMIFS(DB_25[SL-DB25],DB_25[Mã khách],KH_26_OPT4_KTQT_v4[[#This Row],[Mã khách]],DB_25[Mã sản phẩm],KH_26_OPT4_KTQT_v4[[#This Row],[Mã sản phẩm]])</f>
        <v>0.03</v>
      </c>
      <c r="AK169" s="20">
        <f ca="1">KH_26_OPT4_KTQT_v4[[#This Row],[SL-KH26]]-KH_26_OPT4_KTQT_v4[[#This Row],[SL-DB25]]</f>
        <v>-0.03</v>
      </c>
      <c r="AL169" s="21">
        <f ca="1">IFERROR(KH_26_OPT4_KTQT_v4[[#This Row],[SL-+/-]]/KH_26_OPT4_KTQT_v4[[#This Row],[SL-DB25]],0)</f>
        <v>-1</v>
      </c>
      <c r="AM169" s="51">
        <v>1060</v>
      </c>
      <c r="AN169" s="51">
        <v>1060</v>
      </c>
      <c r="AO169" s="51">
        <v>1060</v>
      </c>
      <c r="AP169" s="51">
        <v>1060</v>
      </c>
      <c r="AQ169" s="51">
        <v>1060</v>
      </c>
      <c r="AR169" s="51">
        <v>1060</v>
      </c>
      <c r="AS169" s="51">
        <v>1060</v>
      </c>
      <c r="AT169" s="51">
        <v>1060</v>
      </c>
      <c r="AU169" s="51">
        <v>1060</v>
      </c>
      <c r="AV169" s="51">
        <v>1060</v>
      </c>
      <c r="AW169" s="51">
        <v>1060</v>
      </c>
      <c r="AX169" s="51">
        <v>1060</v>
      </c>
      <c r="AY169" s="23">
        <v>1060</v>
      </c>
      <c r="AZ169" s="7"/>
      <c r="BA169" s="24">
        <f>KH_26_OPT4_KTQT_v4[[#This Row],[GB-DB25]]-KH_26_OPT4_KTQT_v4[[#This Row],[GB-KH25]]</f>
        <v>1060</v>
      </c>
      <c r="BB169" s="21">
        <f>IFERROR(KH_26_OPT4_KTQT_v4[[#This Row],[GB-+/-]]/KH_26_OPT4_KTQT_v4[[#This Row],[GB-KH25]],0)</f>
        <v>0</v>
      </c>
      <c r="BC169" s="21"/>
      <c r="BD169" s="47">
        <f>KH_26_OPT4_KTQT_v4[[#This Row],[SL-01]]*KH_26_OPT4_KTQT_v4[[#This Row],[GB-01]]*EXR</f>
        <v>0</v>
      </c>
      <c r="BE169" s="47">
        <f>KH_26_OPT4_KTQT_v4[[#This Row],[SL-02]]*KH_26_OPT4_KTQT_v4[[#This Row],[GB-02]]*EXR</f>
        <v>0</v>
      </c>
      <c r="BF169" s="47">
        <f>KH_26_OPT4_KTQT_v4[[#This Row],[SL-03]]*KH_26_OPT4_KTQT_v4[[#This Row],[GB-03]]*EXR</f>
        <v>0</v>
      </c>
      <c r="BG169" s="47">
        <f>KH_26_OPT4_KTQT_v4[[#This Row],[SL-04]]*KH_26_OPT4_KTQT_v4[[#This Row],[GB-04]]*EXR</f>
        <v>0</v>
      </c>
      <c r="BH169" s="47">
        <f>KH_26_OPT4_KTQT_v4[[#This Row],[SL-05]]*KH_26_OPT4_KTQT_v4[[#This Row],[GB-05]]*EXR</f>
        <v>0</v>
      </c>
      <c r="BI169" s="47">
        <f>KH_26_OPT4_KTQT_v4[[#This Row],[SL-06]]*KH_26_OPT4_KTQT_v4[[#This Row],[GB-06]]*EXR</f>
        <v>0</v>
      </c>
      <c r="BJ169" s="47">
        <f>KH_26_OPT4_KTQT_v4[[#This Row],[SL-07]]*KH_26_OPT4_KTQT_v4[[#This Row],[GB-07]]*EXR</f>
        <v>0</v>
      </c>
      <c r="BK169" s="47">
        <f>KH_26_OPT4_KTQT_v4[[#This Row],[SL-08]]*KH_26_OPT4_KTQT_v4[[#This Row],[GB-08]]*EXR</f>
        <v>0</v>
      </c>
      <c r="BL169" s="47">
        <f>KH_26_OPT4_KTQT_v4[[#This Row],[SL-09]]*KH_26_OPT4_KTQT_v4[[#This Row],[GB-09]]*EXR</f>
        <v>0</v>
      </c>
      <c r="BM169" s="47">
        <f>KH_26_OPT4_KTQT_v4[[#This Row],[SL-10]]*KH_26_OPT4_KTQT_v4[[#This Row],[GB-10]]*EXR</f>
        <v>0</v>
      </c>
      <c r="BN169" s="47">
        <f>KH_26_OPT4_KTQT_v4[[#This Row],[SL-11]]*KH_26_OPT4_KTQT_v4[[#This Row],[GB-11]]*EXR</f>
        <v>0</v>
      </c>
      <c r="BO169" s="47">
        <f>KH_26_OPT4_KTQT_v4[[#This Row],[SL-12]]*KH_26_OPT4_KTQT_v4[[#This Row],[GB-12]]*EXR</f>
        <v>0</v>
      </c>
      <c r="BP169" s="47">
        <f ca="1">SUM(KH_26_OPT4_KTQT_v4[[#This Row],[DT-EXW-01]:[DT-EXW-12]])</f>
        <v>0</v>
      </c>
      <c r="BQ169" s="47">
        <f ca="1">SUMIFS(DB_25[DT-DB25],DB_25[Mã khách],KH_26_OPT4_KTQT_v4[[#This Row],[Mã khách]],DB_25[Mã sản phẩm],KH_26_OPT4_KTQT_v4[[#This Row],[Mã sản phẩm]])</f>
        <v>1020000</v>
      </c>
      <c r="BR169" s="47">
        <f ca="1">KH_26_OPT4_KTQT_v4[[#This Row],[DT-EXW-KH26]]-KH_26_OPT4_KTQT_v4[[#This Row],[DT-EXW-DB25]]</f>
        <v>-1020000</v>
      </c>
      <c r="BS169" s="21">
        <f ca="1">IFERROR(KH_26_OPT4_KTQT_v4[[#This Row],[DT-EXW-+/-]]/KH_26_OPT4_KTQT_v4[[#This Row],[DT-EXW-DB25]],0)</f>
        <v>-1</v>
      </c>
      <c r="BT169" s="139"/>
      <c r="BU169" s="57"/>
      <c r="BV169" s="51"/>
      <c r="BW169" s="47">
        <f>IF(KH_26_OPT4_KTQT_v4[[#This Row],[CPHH-%-SL]]="Dthu",KH_26_OPT4_KTQT_v4[[#This Row],[%HH]]*KH_26_OPT4_KTQT_v4[[#This Row],[DT-EXW-01]],KH_26_OPT4_KTQT_v4[[#This Row],[HH-SL]]*KH_26_OPT4_KTQT_v4[[#This Row],[SL-01]])</f>
        <v>0</v>
      </c>
      <c r="BX169" s="47">
        <f>IF(KH_26_OPT4_KTQT_v4[[#This Row],[CPHH-%-SL]]="Dthu",KH_26_OPT4_KTQT_v4[[#This Row],[%HH]]*KH_26_OPT4_KTQT_v4[[#This Row],[DT-EXW-02]],KH_26_OPT4_KTQT_v4[[#This Row],[HH-SL]]*KH_26_OPT4_KTQT_v4[[#This Row],[SL-02]])</f>
        <v>0</v>
      </c>
      <c r="BY169" s="47">
        <f>IF(KH_26_OPT4_KTQT_v4[[#This Row],[CPHH-%-SL]]="Dthu",KH_26_OPT4_KTQT_v4[[#This Row],[%HH]]*KH_26_OPT4_KTQT_v4[[#This Row],[DT-EXW-03]],KH_26_OPT4_KTQT_v4[[#This Row],[HH-SL]]*KH_26_OPT4_KTQT_v4[[#This Row],[SL-03]])</f>
        <v>0</v>
      </c>
      <c r="BZ169" s="47">
        <f>IF(KH_26_OPT4_KTQT_v4[[#This Row],[CPHH-%-SL]]="Dthu",KH_26_OPT4_KTQT_v4[[#This Row],[%HH]]*KH_26_OPT4_KTQT_v4[[#This Row],[DT-EXW-04]],KH_26_OPT4_KTQT_v4[[#This Row],[HH-SL]]*KH_26_OPT4_KTQT_v4[[#This Row],[SL-04]])</f>
        <v>0</v>
      </c>
      <c r="CA169" s="47">
        <f>IF(KH_26_OPT4_KTQT_v4[[#This Row],[CPHH-%-SL]]="Dthu",KH_26_OPT4_KTQT_v4[[#This Row],[%HH]]*KH_26_OPT4_KTQT_v4[[#This Row],[DT-EXW-05]],KH_26_OPT4_KTQT_v4[[#This Row],[HH-SL]]*KH_26_OPT4_KTQT_v4[[#This Row],[SL-05]])</f>
        <v>0</v>
      </c>
      <c r="CB169" s="47">
        <f>IF(KH_26_OPT4_KTQT_v4[[#This Row],[CPHH-%-SL]]="Dthu",KH_26_OPT4_KTQT_v4[[#This Row],[%HH]]*KH_26_OPT4_KTQT_v4[[#This Row],[DT-EXW-06]],KH_26_OPT4_KTQT_v4[[#This Row],[HH-SL]]*KH_26_OPT4_KTQT_v4[[#This Row],[SL-06]])</f>
        <v>0</v>
      </c>
      <c r="CC169" s="47">
        <f>IF(KH_26_OPT4_KTQT_v4[[#This Row],[CPHH-%-SL]]="Dthu",KH_26_OPT4_KTQT_v4[[#This Row],[%HH]]*KH_26_OPT4_KTQT_v4[[#This Row],[DT-EXW-07]],KH_26_OPT4_KTQT_v4[[#This Row],[HH-SL]]*KH_26_OPT4_KTQT_v4[[#This Row],[SL-07]])</f>
        <v>0</v>
      </c>
      <c r="CD169" s="47">
        <f>IF(KH_26_OPT4_KTQT_v4[[#This Row],[CPHH-%-SL]]="Dthu",KH_26_OPT4_KTQT_v4[[#This Row],[%HH]]*KH_26_OPT4_KTQT_v4[[#This Row],[DT-EXW-08]],KH_26_OPT4_KTQT_v4[[#This Row],[HH-SL]]*KH_26_OPT4_KTQT_v4[[#This Row],[SL-08]])</f>
        <v>0</v>
      </c>
      <c r="CE169" s="47">
        <f>IF(KH_26_OPT4_KTQT_v4[[#This Row],[CPHH-%-SL]]="Dthu",KH_26_OPT4_KTQT_v4[[#This Row],[%HH]]*KH_26_OPT4_KTQT_v4[[#This Row],[DT-EXW-09]],KH_26_OPT4_KTQT_v4[[#This Row],[HH-SL]]*KH_26_OPT4_KTQT_v4[[#This Row],[SL-09]])</f>
        <v>0</v>
      </c>
      <c r="CF169" s="47">
        <f>IF(KH_26_OPT4_KTQT_v4[[#This Row],[CPHH-%-SL]]="Dthu",KH_26_OPT4_KTQT_v4[[#This Row],[%HH]]*KH_26_OPT4_KTQT_v4[[#This Row],[DT-EXW-10]],KH_26_OPT4_KTQT_v4[[#This Row],[HH-SL]]*KH_26_OPT4_KTQT_v4[[#This Row],[SL-10]])</f>
        <v>0</v>
      </c>
      <c r="CG169" s="47">
        <f>IF(KH_26_OPT4_KTQT_v4[[#This Row],[CPHH-%-SL]]="Dthu",KH_26_OPT4_KTQT_v4[[#This Row],[%HH]]*KH_26_OPT4_KTQT_v4[[#This Row],[DT-EXW-11]],KH_26_OPT4_KTQT_v4[[#This Row],[HH-SL]]*KH_26_OPT4_KTQT_v4[[#This Row],[SL-11]])</f>
        <v>0</v>
      </c>
      <c r="CH169" s="47">
        <f>IF(KH_26_OPT4_KTQT_v4[[#This Row],[CPHH-%-SL]]="Dthu",KH_26_OPT4_KTQT_v4[[#This Row],[%HH]]*KH_26_OPT4_KTQT_v4[[#This Row],[DT-EXW-12]],KH_26_OPT4_KTQT_v4[[#This Row],[HH-SL]]*KH_26_OPT4_KTQT_v4[[#This Row],[SL-12]])</f>
        <v>0</v>
      </c>
      <c r="CI169" s="47">
        <f ca="1">SUM(KH_26_OPT4_KTQT_v4[[#This Row],[CPHH-01]:[CPHH-12]])</f>
        <v>0</v>
      </c>
      <c r="CJ169" s="47" cm="1">
        <f t="array" ref="CJ169">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69" s="19">
        <f ca="1">SUM(KH_26_OPT4_KTQT_v4[[#This Row],[ĐGVCNĐ-KXK]:[ĐGVCCT-KXK]])</f>
        <v>0</v>
      </c>
      <c r="CL169" s="47" cm="1">
        <f t="array" ref="CL169">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169" s="47" cm="1">
        <f t="array" ref="CM169">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69" s="47">
        <f ca="1">(KH_26_OPT4_KTQT_v4[[#This Row],[ĐGVC-KNĐ]]+KH_26_OPT4_KTQT_v4[[#This Row],[ĐGVC-KXK]])*KH_26_OPT4_KTQT_v4[[#This Row],[SL-01]]</f>
        <v>0</v>
      </c>
      <c r="CO169" s="47">
        <f ca="1">(KH_26_OPT4_KTQT_v4[[#This Row],[ĐGVC-KNĐ]]+KH_26_OPT4_KTQT_v4[[#This Row],[ĐGVC-KXK]])*KH_26_OPT4_KTQT_v4[[#This Row],[SL-02]]</f>
        <v>0</v>
      </c>
      <c r="CP169" s="47">
        <f ca="1">(KH_26_OPT4_KTQT_v4[[#This Row],[ĐGVC-KNĐ]]+KH_26_OPT4_KTQT_v4[[#This Row],[ĐGVC-KXK]])*KH_26_OPT4_KTQT_v4[[#This Row],[SL-03]]</f>
        <v>0</v>
      </c>
      <c r="CQ169" s="47">
        <f ca="1">(KH_26_OPT4_KTQT_v4[[#This Row],[ĐGVC-KNĐ]]+KH_26_OPT4_KTQT_v4[[#This Row],[ĐGVC-KXK]])*KH_26_OPT4_KTQT_v4[[#This Row],[SL-04]]</f>
        <v>0</v>
      </c>
      <c r="CR169" s="47">
        <f ca="1">(KH_26_OPT4_KTQT_v4[[#This Row],[ĐGVC-KNĐ]]+KH_26_OPT4_KTQT_v4[[#This Row],[ĐGVC-KXK]])*KH_26_OPT4_KTQT_v4[[#This Row],[SL-05]]</f>
        <v>0</v>
      </c>
      <c r="CS169" s="47">
        <f ca="1">(KH_26_OPT4_KTQT_v4[[#This Row],[ĐGVC-KNĐ]]+KH_26_OPT4_KTQT_v4[[#This Row],[ĐGVC-KXK]])*KH_26_OPT4_KTQT_v4[[#This Row],[SL-06]]</f>
        <v>0</v>
      </c>
      <c r="CT169" s="47">
        <f ca="1">(KH_26_OPT4_KTQT_v4[[#This Row],[ĐGVC-KNĐ]]+KH_26_OPT4_KTQT_v4[[#This Row],[ĐGVC-KXK]])*KH_26_OPT4_KTQT_v4[[#This Row],[SL-07]]</f>
        <v>0</v>
      </c>
      <c r="CU169" s="47">
        <f ca="1">(KH_26_OPT4_KTQT_v4[[#This Row],[ĐGVC-KNĐ]]+KH_26_OPT4_KTQT_v4[[#This Row],[ĐGVC-KXK]])*KH_26_OPT4_KTQT_v4[[#This Row],[SL-08]]</f>
        <v>0</v>
      </c>
      <c r="CV169" s="47">
        <f ca="1">(KH_26_OPT4_KTQT_v4[[#This Row],[ĐGVC-KNĐ]]+KH_26_OPT4_KTQT_v4[[#This Row],[ĐGVC-KXK]])*KH_26_OPT4_KTQT_v4[[#This Row],[SL-09]]</f>
        <v>0</v>
      </c>
      <c r="CW169" s="47">
        <f ca="1">(KH_26_OPT4_KTQT_v4[[#This Row],[ĐGVC-KNĐ]]+KH_26_OPT4_KTQT_v4[[#This Row],[ĐGVC-KXK]])*KH_26_OPT4_KTQT_v4[[#This Row],[SL-10]]</f>
        <v>0</v>
      </c>
      <c r="CX169" s="47">
        <f ca="1">(KH_26_OPT4_KTQT_v4[[#This Row],[ĐGVC-KNĐ]]+KH_26_OPT4_KTQT_v4[[#This Row],[ĐGVC-KXK]])*KH_26_OPT4_KTQT_v4[[#This Row],[SL-11]]</f>
        <v>0</v>
      </c>
      <c r="CY169" s="47">
        <f ca="1">(KH_26_OPT4_KTQT_v4[[#This Row],[ĐGVC-KNĐ]]+KH_26_OPT4_KTQT_v4[[#This Row],[ĐGVC-KXK]])*KH_26_OPT4_KTQT_v4[[#This Row],[SL-12]]</f>
        <v>0</v>
      </c>
      <c r="CZ169" s="47">
        <f ca="1">SUM(KH_26_OPT4_KTQT_v4[[#This Row],[CPVC-01]:[CPVC-12]])</f>
        <v>0</v>
      </c>
      <c r="DA169" s="124">
        <f ca="1">KH_26_OPT4_KTQT_v4[[#This Row],[DT-EXW-01]]+KH_26_OPT4_KTQT_v4[[#This Row],[CPVC-01]]+KH_26_OPT4_KTQT_v4[[#This Row],[CPHH-01]]</f>
        <v>0</v>
      </c>
      <c r="DB169" s="47">
        <f ca="1">KH_26_OPT4_KTQT_v4[[#This Row],[DT-EXW-02]]+KH_26_OPT4_KTQT_v4[[#This Row],[CPVC-02]]+KH_26_OPT4_KTQT_v4[[#This Row],[CPHH-02]]</f>
        <v>0</v>
      </c>
      <c r="DC169" s="47">
        <f ca="1">KH_26_OPT4_KTQT_v4[[#This Row],[DT-EXW-03]]+KH_26_OPT4_KTQT_v4[[#This Row],[CPVC-03]]+KH_26_OPT4_KTQT_v4[[#This Row],[CPHH-03]]</f>
        <v>0</v>
      </c>
      <c r="DD169" s="47">
        <f ca="1">KH_26_OPT4_KTQT_v4[[#This Row],[DT-EXW-04]]+KH_26_OPT4_KTQT_v4[[#This Row],[CPVC-04]]+KH_26_OPT4_KTQT_v4[[#This Row],[CPHH-04]]</f>
        <v>0</v>
      </c>
      <c r="DE169" s="47">
        <f ca="1">KH_26_OPT4_KTQT_v4[[#This Row],[DT-EXW-05]]+KH_26_OPT4_KTQT_v4[[#This Row],[CPVC-05]]+KH_26_OPT4_KTQT_v4[[#This Row],[CPHH-05]]</f>
        <v>0</v>
      </c>
      <c r="DF169" s="47">
        <f ca="1">KH_26_OPT4_KTQT_v4[[#This Row],[DT-EXW-06]]+KH_26_OPT4_KTQT_v4[[#This Row],[CPVC-06]]+KH_26_OPT4_KTQT_v4[[#This Row],[CPHH-06]]</f>
        <v>0</v>
      </c>
      <c r="DG169" s="47">
        <f ca="1">KH_26_OPT4_KTQT_v4[[#This Row],[DT-EXW-07]]+KH_26_OPT4_KTQT_v4[[#This Row],[CPVC-07]]+KH_26_OPT4_KTQT_v4[[#This Row],[CPHH-07]]</f>
        <v>0</v>
      </c>
      <c r="DH169" s="47">
        <f ca="1">KH_26_OPT4_KTQT_v4[[#This Row],[DT-EXW-08]]+KH_26_OPT4_KTQT_v4[[#This Row],[CPVC-08]]+KH_26_OPT4_KTQT_v4[[#This Row],[CPHH-08]]</f>
        <v>0</v>
      </c>
      <c r="DI169" s="47">
        <f ca="1">KH_26_OPT4_KTQT_v4[[#This Row],[DT-EXW-09]]+KH_26_OPT4_KTQT_v4[[#This Row],[CPVC-09]]+KH_26_OPT4_KTQT_v4[[#This Row],[CPHH-09]]</f>
        <v>0</v>
      </c>
      <c r="DJ169" s="47">
        <f ca="1">KH_26_OPT4_KTQT_v4[[#This Row],[DT-EXW-10]]+KH_26_OPT4_KTQT_v4[[#This Row],[CPVC-10]]+KH_26_OPT4_KTQT_v4[[#This Row],[CPHH-10]]</f>
        <v>0</v>
      </c>
      <c r="DK169" s="47">
        <f ca="1">KH_26_OPT4_KTQT_v4[[#This Row],[DT-EXW-11]]+KH_26_OPT4_KTQT_v4[[#This Row],[CPVC-11]]+KH_26_OPT4_KTQT_v4[[#This Row],[CPHH-11]]</f>
        <v>0</v>
      </c>
      <c r="DL169" s="47">
        <f ca="1">KH_26_OPT4_KTQT_v4[[#This Row],[DT-EXW-12]]+KH_26_OPT4_KTQT_v4[[#This Row],[CPVC-12]]+KH_26_OPT4_KTQT_v4[[#This Row],[CPHH-12]]</f>
        <v>0</v>
      </c>
      <c r="DM169" s="47">
        <f ca="1">SUM(KH_26_OPT4_KTQT_v4[[#This Row],[DT-01]:[DT-12]])</f>
        <v>0</v>
      </c>
      <c r="DN169" s="7"/>
      <c r="DO169" s="7"/>
      <c r="DP169" s="125"/>
      <c r="DQ169" s="136"/>
      <c r="DR169" s="132">
        <f>IFERROR(KH_26_OPT4_KTQT_v4[[#This Row],[DT-EXW-01]]*KH_26_OPT4_KTQT_v4[[#This Row],[%CPDP]],0)</f>
        <v>0</v>
      </c>
      <c r="DS169" s="132">
        <f>IFERROR(KH_26_OPT4_KTQT_v4[[#This Row],[DT-EXW-02]]*KH_26_OPT4_KTQT_v4[[#This Row],[%CPDP]],0)</f>
        <v>0</v>
      </c>
      <c r="DT169" s="132">
        <f>IFERROR(KH_26_OPT4_KTQT_v4[[#This Row],[DT-EXW-03]]*KH_26_OPT4_KTQT_v4[[#This Row],[%CPDP]],0)</f>
        <v>0</v>
      </c>
      <c r="DU169" s="132">
        <f>IFERROR(KH_26_OPT4_KTQT_v4[[#This Row],[DT-EXW-04]]*KH_26_OPT4_KTQT_v4[[#This Row],[%CPDP]],0)</f>
        <v>0</v>
      </c>
      <c r="DV169" s="132">
        <f>IFERROR(KH_26_OPT4_KTQT_v4[[#This Row],[DT-EXW-05]]*KH_26_OPT4_KTQT_v4[[#This Row],[%CPDP]],0)</f>
        <v>0</v>
      </c>
      <c r="DW169" s="132">
        <f>IFERROR(KH_26_OPT4_KTQT_v4[[#This Row],[DT-EXW-06]]*KH_26_OPT4_KTQT_v4[[#This Row],[%CPDP]],0)</f>
        <v>0</v>
      </c>
      <c r="DX169" s="132">
        <f>IFERROR(KH_26_OPT4_KTQT_v4[[#This Row],[DT-EXW-07]]*KH_26_OPT4_KTQT_v4[[#This Row],[%CPDP]],0)</f>
        <v>0</v>
      </c>
      <c r="DY169" s="132">
        <f>IFERROR(KH_26_OPT4_KTQT_v4[[#This Row],[DT-EXW-08]]*KH_26_OPT4_KTQT_v4[[#This Row],[%CPDP]],0)</f>
        <v>0</v>
      </c>
      <c r="DZ169" s="132">
        <f>IFERROR(KH_26_OPT4_KTQT_v4[[#This Row],[DT-EXW-09]]*KH_26_OPT4_KTQT_v4[[#This Row],[%CPDP]],0)</f>
        <v>0</v>
      </c>
      <c r="EA169" s="132">
        <f>IFERROR(KH_26_OPT4_KTQT_v4[[#This Row],[DT-EXW-10]]*KH_26_OPT4_KTQT_v4[[#This Row],[%CPDP]],0)</f>
        <v>0</v>
      </c>
      <c r="EB169" s="132">
        <f>IFERROR(KH_26_OPT4_KTQT_v4[[#This Row],[DT-EXW-11]]*KH_26_OPT4_KTQT_v4[[#This Row],[%CPDP]],0)</f>
        <v>0</v>
      </c>
      <c r="EC169" s="132">
        <f>IFERROR(KH_26_OPT4_KTQT_v4[[#This Row],[DT-EXW-12]]*KH_26_OPT4_KTQT_v4[[#This Row],[%CPDP]],0)</f>
        <v>0</v>
      </c>
      <c r="ED169" s="131">
        <f ca="1">SUM(KH_26_OPT4_KTQT_v4[[#This Row],[CPDP-01]:[CPDP-12]])</f>
        <v>0</v>
      </c>
    </row>
    <row r="170" spans="1:134" ht="14.5" hidden="1" x14ac:dyDescent="0.35">
      <c r="A170" s="18">
        <v>165</v>
      </c>
      <c r="B170" s="71" t="s">
        <v>104</v>
      </c>
      <c r="C170" s="18" t="s">
        <v>97</v>
      </c>
      <c r="D170" s="72" t="str">
        <f>IFERROR(INDEX(MD_Customer[Mã khách],MATCH(KH_26_OPT4_KTQT_v4[[#This Row],[Tên khách]],MD_Customer[Tên khách-rút gọn],0)),"")</f>
        <v>105367</v>
      </c>
      <c r="E170" s="7" t="str">
        <f>IFERROR(INDEX(MD_Customer[Parent Account],MATCH(KH_26_OPT4_KTQT_v4[[#This Row],[Tên khách]],MD_Customer[Tên khách-rút gọn],0)),"")</f>
        <v>NHỰA TC 2050</v>
      </c>
      <c r="F170" s="96" t="s">
        <v>67</v>
      </c>
      <c r="G170" s="7" t="str">
        <f>IFERROR(INDEX(MD_Customer[Phân loại],MATCH(KH_26_OPT4_KTQT_v4[[#This Row],[Tên khách]],MD_Customer[Tên khách-rút gọn],0)),"")</f>
        <v>Mới</v>
      </c>
      <c r="H170" s="7" t="str">
        <f>IFERROR(INDEX(MD_Customer[Kênh bán hàng],MATCH(KH_26_OPT4_KTQT_v4[[#This Row],[Tên khách]],MD_Customer[Tên khách-rút gọn],0)),"")</f>
        <v>Nội địa</v>
      </c>
      <c r="I170" s="35" t="s">
        <v>276</v>
      </c>
      <c r="J170" s="7" t="str">
        <f>IFERROR(INDEX(MD_Destination[Nước],MATCH(KH_26_OPT4_KTQT_v4[[#This Row],[Địa điểm đến]],MD_Destination[Địa điểm đến],0)),"")</f>
        <v>Việt Nam</v>
      </c>
      <c r="K170" s="7" t="str">
        <f>IFERROR(INDEX(MD_Destination[Khu vực],MATCH(KH_26_OPT4_KTQT_v4[[#This Row],[Địa điểm đến]],MD_Destination[Địa điểm đến],0)),"")</f>
        <v>Châu Á</v>
      </c>
      <c r="L170" s="35" t="s">
        <v>262</v>
      </c>
      <c r="M170" s="7" t="str">
        <f>IFERROR(INDEX(MD_SKU[Mã SKU],MATCH(KH_26_OPT4_KTQT_v4[[#This Row],[Tên sản phẩm]],MD_SKU[Tên SKU-rút gọn],0)),"")</f>
        <v>110000482</v>
      </c>
      <c r="N170" s="35" t="s">
        <v>491</v>
      </c>
      <c r="O170" s="7" t="str">
        <f>IFERROR(INDEX(MD_SKU[Ngành hàng],MATCH(KH_26_OPT4_KTQT_v4[[#This Row],[Tên sản phẩm]],MD_SKU[Tên SKU-rút gọn],0)),"")</f>
        <v>rPP</v>
      </c>
      <c r="P170" s="7" t="str">
        <f>IFERROR(INDEX(MD_SKU[Nhóm ngành],MATCH(KH_26_OPT4_KTQT_v4[[#This Row],[Tên sản phẩm]],MD_SKU[Tên SKU-rút gọn],0)),"")</f>
        <v>Hạt PP</v>
      </c>
      <c r="Q170" s="7" t="str">
        <f>IFERROR(
   IF(INDEX(MD_SKU[IV/IM],MATCH(KH_26_OPT4_KTQT_v4[[#This Row],[Tên sản phẩm]],MD_SKU[Tên SKU-rút gọn],0))=0,
      "",
      INDEX(MD_SKU[IV/IM],MATCH(KH_26_OPT4_KTQT_v4[[#This Row],[Tên sản phẩm]],MD_SKU[Tên SKU-rút gọn],0))
   ),
"")</f>
        <v/>
      </c>
      <c r="R170" s="44">
        <f>IFERROR(INDEX(MD_SKU[Application],MATCH(KH_26_OPT4_KTQT_v4[[#This Row],[Tên sản phẩm]],MD_SKU[Tên SKU-rút gọn],0)),"")</f>
        <v>0</v>
      </c>
      <c r="S170" s="7" t="str">
        <f>IFERROR(INDEX(MD_SKU[Phân loại],MATCH(KH_26_OPT4_KTQT_v4[[#This Row],[Tên sản phẩm]],MD_SKU[Tên SKU-rút gọn],0)),"")</f>
        <v>Cũ</v>
      </c>
      <c r="T170" s="7"/>
      <c r="U170" s="7"/>
      <c r="V170" s="70">
        <v>0.8</v>
      </c>
      <c r="W170" s="33"/>
      <c r="X170" s="33"/>
      <c r="Y170" s="33"/>
      <c r="Z170" s="33"/>
      <c r="AA170" s="33"/>
      <c r="AB170" s="33"/>
      <c r="AC170" s="33"/>
      <c r="AD170" s="33"/>
      <c r="AE170" s="33"/>
      <c r="AF170" s="33"/>
      <c r="AG170" s="33"/>
      <c r="AH170" s="33"/>
      <c r="AI170" s="47">
        <f ca="1">SUM(KH_26_OPT4_KTQT_v4[[#This Row],[SL-01]:[SL-12]])</f>
        <v>0</v>
      </c>
      <c r="AJ170" s="47">
        <f ca="1">SUMIFS(DB_25[SL-DB25],DB_25[Mã khách],KH_26_OPT4_KTQT_v4[[#This Row],[Mã khách]],DB_25[Mã sản phẩm],KH_26_OPT4_KTQT_v4[[#This Row],[Mã sản phẩm]])</f>
        <v>0.05</v>
      </c>
      <c r="AK170" s="20">
        <f ca="1">KH_26_OPT4_KTQT_v4[[#This Row],[SL-KH26]]-KH_26_OPT4_KTQT_v4[[#This Row],[SL-DB25]]</f>
        <v>-0.05</v>
      </c>
      <c r="AL170" s="21">
        <f ca="1">IFERROR(KH_26_OPT4_KTQT_v4[[#This Row],[SL-+/-]]/KH_26_OPT4_KTQT_v4[[#This Row],[SL-DB25]],0)</f>
        <v>-1</v>
      </c>
      <c r="AM170" s="51">
        <v>700</v>
      </c>
      <c r="AN170" s="51">
        <v>700</v>
      </c>
      <c r="AO170" s="51">
        <v>700</v>
      </c>
      <c r="AP170" s="51">
        <v>700</v>
      </c>
      <c r="AQ170" s="51">
        <v>700</v>
      </c>
      <c r="AR170" s="51">
        <v>700</v>
      </c>
      <c r="AS170" s="51">
        <v>700</v>
      </c>
      <c r="AT170" s="51">
        <v>700</v>
      </c>
      <c r="AU170" s="51">
        <v>700</v>
      </c>
      <c r="AV170" s="51">
        <v>700</v>
      </c>
      <c r="AW170" s="51">
        <v>700</v>
      </c>
      <c r="AX170" s="51">
        <v>700</v>
      </c>
      <c r="AY170" s="23">
        <v>700</v>
      </c>
      <c r="AZ170" s="7"/>
      <c r="BA170" s="24">
        <f>KH_26_OPT4_KTQT_v4[[#This Row],[GB-DB25]]-KH_26_OPT4_KTQT_v4[[#This Row],[GB-KH25]]</f>
        <v>700</v>
      </c>
      <c r="BB170" s="21">
        <f>IFERROR(KH_26_OPT4_KTQT_v4[[#This Row],[GB-+/-]]/KH_26_OPT4_KTQT_v4[[#This Row],[GB-KH25]],0)</f>
        <v>0</v>
      </c>
      <c r="BC170" s="21"/>
      <c r="BD170" s="47">
        <f>KH_26_OPT4_KTQT_v4[[#This Row],[SL-01]]*KH_26_OPT4_KTQT_v4[[#This Row],[GB-01]]*EXR</f>
        <v>0</v>
      </c>
      <c r="BE170" s="47">
        <f>KH_26_OPT4_KTQT_v4[[#This Row],[SL-02]]*KH_26_OPT4_KTQT_v4[[#This Row],[GB-02]]*EXR</f>
        <v>0</v>
      </c>
      <c r="BF170" s="47">
        <f>KH_26_OPT4_KTQT_v4[[#This Row],[SL-03]]*KH_26_OPT4_KTQT_v4[[#This Row],[GB-03]]*EXR</f>
        <v>0</v>
      </c>
      <c r="BG170" s="47">
        <f>KH_26_OPT4_KTQT_v4[[#This Row],[SL-04]]*KH_26_OPT4_KTQT_v4[[#This Row],[GB-04]]*EXR</f>
        <v>0</v>
      </c>
      <c r="BH170" s="47">
        <f>KH_26_OPT4_KTQT_v4[[#This Row],[SL-05]]*KH_26_OPT4_KTQT_v4[[#This Row],[GB-05]]*EXR</f>
        <v>0</v>
      </c>
      <c r="BI170" s="47">
        <f>KH_26_OPT4_KTQT_v4[[#This Row],[SL-06]]*KH_26_OPT4_KTQT_v4[[#This Row],[GB-06]]*EXR</f>
        <v>0</v>
      </c>
      <c r="BJ170" s="47">
        <f>KH_26_OPT4_KTQT_v4[[#This Row],[SL-07]]*KH_26_OPT4_KTQT_v4[[#This Row],[GB-07]]*EXR</f>
        <v>0</v>
      </c>
      <c r="BK170" s="47">
        <f>KH_26_OPT4_KTQT_v4[[#This Row],[SL-08]]*KH_26_OPT4_KTQT_v4[[#This Row],[GB-08]]*EXR</f>
        <v>0</v>
      </c>
      <c r="BL170" s="47">
        <f>KH_26_OPT4_KTQT_v4[[#This Row],[SL-09]]*KH_26_OPT4_KTQT_v4[[#This Row],[GB-09]]*EXR</f>
        <v>0</v>
      </c>
      <c r="BM170" s="47">
        <f>KH_26_OPT4_KTQT_v4[[#This Row],[SL-10]]*KH_26_OPT4_KTQT_v4[[#This Row],[GB-10]]*EXR</f>
        <v>0</v>
      </c>
      <c r="BN170" s="47">
        <f>KH_26_OPT4_KTQT_v4[[#This Row],[SL-11]]*KH_26_OPT4_KTQT_v4[[#This Row],[GB-11]]*EXR</f>
        <v>0</v>
      </c>
      <c r="BO170" s="47">
        <f>KH_26_OPT4_KTQT_v4[[#This Row],[SL-12]]*KH_26_OPT4_KTQT_v4[[#This Row],[GB-12]]*EXR</f>
        <v>0</v>
      </c>
      <c r="BP170" s="47">
        <f ca="1">SUM(KH_26_OPT4_KTQT_v4[[#This Row],[DT-EXW-01]:[DT-EXW-12]])</f>
        <v>0</v>
      </c>
      <c r="BQ170" s="47">
        <f ca="1">SUMIFS(DB_25[DT-DB25],DB_25[Mã khách],KH_26_OPT4_KTQT_v4[[#This Row],[Mã khách]],DB_25[Mã sản phẩm],KH_26_OPT4_KTQT_v4[[#This Row],[Mã sản phẩm]])</f>
        <v>1772000</v>
      </c>
      <c r="BR170" s="47">
        <f ca="1">KH_26_OPT4_KTQT_v4[[#This Row],[DT-EXW-KH26]]-KH_26_OPT4_KTQT_v4[[#This Row],[DT-EXW-DB25]]</f>
        <v>-1772000</v>
      </c>
      <c r="BS170" s="21">
        <f ca="1">IFERROR(KH_26_OPT4_KTQT_v4[[#This Row],[DT-EXW-+/-]]/KH_26_OPT4_KTQT_v4[[#This Row],[DT-EXW-DB25]],0)</f>
        <v>-1</v>
      </c>
      <c r="BT170" s="139"/>
      <c r="BU170" s="57"/>
      <c r="BV170" s="51"/>
      <c r="BW170" s="47">
        <f>IF(KH_26_OPT4_KTQT_v4[[#This Row],[CPHH-%-SL]]="Dthu",KH_26_OPT4_KTQT_v4[[#This Row],[%HH]]*KH_26_OPT4_KTQT_v4[[#This Row],[DT-EXW-01]],KH_26_OPT4_KTQT_v4[[#This Row],[HH-SL]]*KH_26_OPT4_KTQT_v4[[#This Row],[SL-01]])</f>
        <v>0</v>
      </c>
      <c r="BX170" s="47">
        <f>IF(KH_26_OPT4_KTQT_v4[[#This Row],[CPHH-%-SL]]="Dthu",KH_26_OPT4_KTQT_v4[[#This Row],[%HH]]*KH_26_OPT4_KTQT_v4[[#This Row],[DT-EXW-02]],KH_26_OPT4_KTQT_v4[[#This Row],[HH-SL]]*KH_26_OPT4_KTQT_v4[[#This Row],[SL-02]])</f>
        <v>0</v>
      </c>
      <c r="BY170" s="47">
        <f>IF(KH_26_OPT4_KTQT_v4[[#This Row],[CPHH-%-SL]]="Dthu",KH_26_OPT4_KTQT_v4[[#This Row],[%HH]]*KH_26_OPT4_KTQT_v4[[#This Row],[DT-EXW-03]],KH_26_OPT4_KTQT_v4[[#This Row],[HH-SL]]*KH_26_OPT4_KTQT_v4[[#This Row],[SL-03]])</f>
        <v>0</v>
      </c>
      <c r="BZ170" s="47">
        <f>IF(KH_26_OPT4_KTQT_v4[[#This Row],[CPHH-%-SL]]="Dthu",KH_26_OPT4_KTQT_v4[[#This Row],[%HH]]*KH_26_OPT4_KTQT_v4[[#This Row],[DT-EXW-04]],KH_26_OPT4_KTQT_v4[[#This Row],[HH-SL]]*KH_26_OPT4_KTQT_v4[[#This Row],[SL-04]])</f>
        <v>0</v>
      </c>
      <c r="CA170" s="47">
        <f>IF(KH_26_OPT4_KTQT_v4[[#This Row],[CPHH-%-SL]]="Dthu",KH_26_OPT4_KTQT_v4[[#This Row],[%HH]]*KH_26_OPT4_KTQT_v4[[#This Row],[DT-EXW-05]],KH_26_OPT4_KTQT_v4[[#This Row],[HH-SL]]*KH_26_OPT4_KTQT_v4[[#This Row],[SL-05]])</f>
        <v>0</v>
      </c>
      <c r="CB170" s="47">
        <f>IF(KH_26_OPT4_KTQT_v4[[#This Row],[CPHH-%-SL]]="Dthu",KH_26_OPT4_KTQT_v4[[#This Row],[%HH]]*KH_26_OPT4_KTQT_v4[[#This Row],[DT-EXW-06]],KH_26_OPT4_KTQT_v4[[#This Row],[HH-SL]]*KH_26_OPT4_KTQT_v4[[#This Row],[SL-06]])</f>
        <v>0</v>
      </c>
      <c r="CC170" s="47">
        <f>IF(KH_26_OPT4_KTQT_v4[[#This Row],[CPHH-%-SL]]="Dthu",KH_26_OPT4_KTQT_v4[[#This Row],[%HH]]*KH_26_OPT4_KTQT_v4[[#This Row],[DT-EXW-07]],KH_26_OPT4_KTQT_v4[[#This Row],[HH-SL]]*KH_26_OPT4_KTQT_v4[[#This Row],[SL-07]])</f>
        <v>0</v>
      </c>
      <c r="CD170" s="47">
        <f>IF(KH_26_OPT4_KTQT_v4[[#This Row],[CPHH-%-SL]]="Dthu",KH_26_OPT4_KTQT_v4[[#This Row],[%HH]]*KH_26_OPT4_KTQT_v4[[#This Row],[DT-EXW-08]],KH_26_OPT4_KTQT_v4[[#This Row],[HH-SL]]*KH_26_OPT4_KTQT_v4[[#This Row],[SL-08]])</f>
        <v>0</v>
      </c>
      <c r="CE170" s="47">
        <f>IF(KH_26_OPT4_KTQT_v4[[#This Row],[CPHH-%-SL]]="Dthu",KH_26_OPT4_KTQT_v4[[#This Row],[%HH]]*KH_26_OPT4_KTQT_v4[[#This Row],[DT-EXW-09]],KH_26_OPT4_KTQT_v4[[#This Row],[HH-SL]]*KH_26_OPT4_KTQT_v4[[#This Row],[SL-09]])</f>
        <v>0</v>
      </c>
      <c r="CF170" s="47">
        <f>IF(KH_26_OPT4_KTQT_v4[[#This Row],[CPHH-%-SL]]="Dthu",KH_26_OPT4_KTQT_v4[[#This Row],[%HH]]*KH_26_OPT4_KTQT_v4[[#This Row],[DT-EXW-10]],KH_26_OPT4_KTQT_v4[[#This Row],[HH-SL]]*KH_26_OPT4_KTQT_v4[[#This Row],[SL-10]])</f>
        <v>0</v>
      </c>
      <c r="CG170" s="47">
        <f>IF(KH_26_OPT4_KTQT_v4[[#This Row],[CPHH-%-SL]]="Dthu",KH_26_OPT4_KTQT_v4[[#This Row],[%HH]]*KH_26_OPT4_KTQT_v4[[#This Row],[DT-EXW-11]],KH_26_OPT4_KTQT_v4[[#This Row],[HH-SL]]*KH_26_OPT4_KTQT_v4[[#This Row],[SL-11]])</f>
        <v>0</v>
      </c>
      <c r="CH170" s="47">
        <f>IF(KH_26_OPT4_KTQT_v4[[#This Row],[CPHH-%-SL]]="Dthu",KH_26_OPT4_KTQT_v4[[#This Row],[%HH]]*KH_26_OPT4_KTQT_v4[[#This Row],[DT-EXW-12]],KH_26_OPT4_KTQT_v4[[#This Row],[HH-SL]]*KH_26_OPT4_KTQT_v4[[#This Row],[SL-12]])</f>
        <v>0</v>
      </c>
      <c r="CI170" s="47">
        <f ca="1">SUM(KH_26_OPT4_KTQT_v4[[#This Row],[CPHH-01]:[CPHH-12]])</f>
        <v>0</v>
      </c>
      <c r="CJ170" s="47" cm="1">
        <f t="array" ref="CJ170">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70" s="19">
        <f ca="1">SUM(KH_26_OPT4_KTQT_v4[[#This Row],[ĐGVCNĐ-KXK]:[ĐGVCCT-KXK]])</f>
        <v>0</v>
      </c>
      <c r="CL170" s="47" cm="1">
        <f t="array" ref="CL170">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170" s="47" cm="1">
        <f t="array" ref="CM170">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70" s="47">
        <f ca="1">(KH_26_OPT4_KTQT_v4[[#This Row],[ĐGVC-KNĐ]]+KH_26_OPT4_KTQT_v4[[#This Row],[ĐGVC-KXK]])*KH_26_OPT4_KTQT_v4[[#This Row],[SL-01]]</f>
        <v>0</v>
      </c>
      <c r="CO170" s="47">
        <f ca="1">(KH_26_OPT4_KTQT_v4[[#This Row],[ĐGVC-KNĐ]]+KH_26_OPT4_KTQT_v4[[#This Row],[ĐGVC-KXK]])*KH_26_OPT4_KTQT_v4[[#This Row],[SL-02]]</f>
        <v>0</v>
      </c>
      <c r="CP170" s="47">
        <f ca="1">(KH_26_OPT4_KTQT_v4[[#This Row],[ĐGVC-KNĐ]]+KH_26_OPT4_KTQT_v4[[#This Row],[ĐGVC-KXK]])*KH_26_OPT4_KTQT_v4[[#This Row],[SL-03]]</f>
        <v>0</v>
      </c>
      <c r="CQ170" s="47">
        <f ca="1">(KH_26_OPT4_KTQT_v4[[#This Row],[ĐGVC-KNĐ]]+KH_26_OPT4_KTQT_v4[[#This Row],[ĐGVC-KXK]])*KH_26_OPT4_KTQT_v4[[#This Row],[SL-04]]</f>
        <v>0</v>
      </c>
      <c r="CR170" s="47">
        <f ca="1">(KH_26_OPT4_KTQT_v4[[#This Row],[ĐGVC-KNĐ]]+KH_26_OPT4_KTQT_v4[[#This Row],[ĐGVC-KXK]])*KH_26_OPT4_KTQT_v4[[#This Row],[SL-05]]</f>
        <v>0</v>
      </c>
      <c r="CS170" s="47">
        <f ca="1">(KH_26_OPT4_KTQT_v4[[#This Row],[ĐGVC-KNĐ]]+KH_26_OPT4_KTQT_v4[[#This Row],[ĐGVC-KXK]])*KH_26_OPT4_KTQT_v4[[#This Row],[SL-06]]</f>
        <v>0</v>
      </c>
      <c r="CT170" s="47">
        <f ca="1">(KH_26_OPT4_KTQT_v4[[#This Row],[ĐGVC-KNĐ]]+KH_26_OPT4_KTQT_v4[[#This Row],[ĐGVC-KXK]])*KH_26_OPT4_KTQT_v4[[#This Row],[SL-07]]</f>
        <v>0</v>
      </c>
      <c r="CU170" s="47">
        <f ca="1">(KH_26_OPT4_KTQT_v4[[#This Row],[ĐGVC-KNĐ]]+KH_26_OPT4_KTQT_v4[[#This Row],[ĐGVC-KXK]])*KH_26_OPT4_KTQT_v4[[#This Row],[SL-08]]</f>
        <v>0</v>
      </c>
      <c r="CV170" s="47">
        <f ca="1">(KH_26_OPT4_KTQT_v4[[#This Row],[ĐGVC-KNĐ]]+KH_26_OPT4_KTQT_v4[[#This Row],[ĐGVC-KXK]])*KH_26_OPT4_KTQT_v4[[#This Row],[SL-09]]</f>
        <v>0</v>
      </c>
      <c r="CW170" s="47">
        <f ca="1">(KH_26_OPT4_KTQT_v4[[#This Row],[ĐGVC-KNĐ]]+KH_26_OPT4_KTQT_v4[[#This Row],[ĐGVC-KXK]])*KH_26_OPT4_KTQT_v4[[#This Row],[SL-10]]</f>
        <v>0</v>
      </c>
      <c r="CX170" s="47">
        <f ca="1">(KH_26_OPT4_KTQT_v4[[#This Row],[ĐGVC-KNĐ]]+KH_26_OPT4_KTQT_v4[[#This Row],[ĐGVC-KXK]])*KH_26_OPT4_KTQT_v4[[#This Row],[SL-11]]</f>
        <v>0</v>
      </c>
      <c r="CY170" s="47">
        <f ca="1">(KH_26_OPT4_KTQT_v4[[#This Row],[ĐGVC-KNĐ]]+KH_26_OPT4_KTQT_v4[[#This Row],[ĐGVC-KXK]])*KH_26_OPT4_KTQT_v4[[#This Row],[SL-12]]</f>
        <v>0</v>
      </c>
      <c r="CZ170" s="47">
        <f ca="1">SUM(KH_26_OPT4_KTQT_v4[[#This Row],[CPVC-01]:[CPVC-12]])</f>
        <v>0</v>
      </c>
      <c r="DA170" s="124">
        <f ca="1">KH_26_OPT4_KTQT_v4[[#This Row],[DT-EXW-01]]+KH_26_OPT4_KTQT_v4[[#This Row],[CPVC-01]]+KH_26_OPT4_KTQT_v4[[#This Row],[CPHH-01]]</f>
        <v>0</v>
      </c>
      <c r="DB170" s="47">
        <f ca="1">KH_26_OPT4_KTQT_v4[[#This Row],[DT-EXW-02]]+KH_26_OPT4_KTQT_v4[[#This Row],[CPVC-02]]+KH_26_OPT4_KTQT_v4[[#This Row],[CPHH-02]]</f>
        <v>0</v>
      </c>
      <c r="DC170" s="47">
        <f ca="1">KH_26_OPT4_KTQT_v4[[#This Row],[DT-EXW-03]]+KH_26_OPT4_KTQT_v4[[#This Row],[CPVC-03]]+KH_26_OPT4_KTQT_v4[[#This Row],[CPHH-03]]</f>
        <v>0</v>
      </c>
      <c r="DD170" s="47">
        <f ca="1">KH_26_OPT4_KTQT_v4[[#This Row],[DT-EXW-04]]+KH_26_OPT4_KTQT_v4[[#This Row],[CPVC-04]]+KH_26_OPT4_KTQT_v4[[#This Row],[CPHH-04]]</f>
        <v>0</v>
      </c>
      <c r="DE170" s="47">
        <f ca="1">KH_26_OPT4_KTQT_v4[[#This Row],[DT-EXW-05]]+KH_26_OPT4_KTQT_v4[[#This Row],[CPVC-05]]+KH_26_OPT4_KTQT_v4[[#This Row],[CPHH-05]]</f>
        <v>0</v>
      </c>
      <c r="DF170" s="47">
        <f ca="1">KH_26_OPT4_KTQT_v4[[#This Row],[DT-EXW-06]]+KH_26_OPT4_KTQT_v4[[#This Row],[CPVC-06]]+KH_26_OPT4_KTQT_v4[[#This Row],[CPHH-06]]</f>
        <v>0</v>
      </c>
      <c r="DG170" s="47">
        <f ca="1">KH_26_OPT4_KTQT_v4[[#This Row],[DT-EXW-07]]+KH_26_OPT4_KTQT_v4[[#This Row],[CPVC-07]]+KH_26_OPT4_KTQT_v4[[#This Row],[CPHH-07]]</f>
        <v>0</v>
      </c>
      <c r="DH170" s="47">
        <f ca="1">KH_26_OPT4_KTQT_v4[[#This Row],[DT-EXW-08]]+KH_26_OPT4_KTQT_v4[[#This Row],[CPVC-08]]+KH_26_OPT4_KTQT_v4[[#This Row],[CPHH-08]]</f>
        <v>0</v>
      </c>
      <c r="DI170" s="47">
        <f ca="1">KH_26_OPT4_KTQT_v4[[#This Row],[DT-EXW-09]]+KH_26_OPT4_KTQT_v4[[#This Row],[CPVC-09]]+KH_26_OPT4_KTQT_v4[[#This Row],[CPHH-09]]</f>
        <v>0</v>
      </c>
      <c r="DJ170" s="47">
        <f ca="1">KH_26_OPT4_KTQT_v4[[#This Row],[DT-EXW-10]]+KH_26_OPT4_KTQT_v4[[#This Row],[CPVC-10]]+KH_26_OPT4_KTQT_v4[[#This Row],[CPHH-10]]</f>
        <v>0</v>
      </c>
      <c r="DK170" s="47">
        <f ca="1">KH_26_OPT4_KTQT_v4[[#This Row],[DT-EXW-11]]+KH_26_OPT4_KTQT_v4[[#This Row],[CPVC-11]]+KH_26_OPT4_KTQT_v4[[#This Row],[CPHH-11]]</f>
        <v>0</v>
      </c>
      <c r="DL170" s="47">
        <f ca="1">KH_26_OPT4_KTQT_v4[[#This Row],[DT-EXW-12]]+KH_26_OPT4_KTQT_v4[[#This Row],[CPVC-12]]+KH_26_OPT4_KTQT_v4[[#This Row],[CPHH-12]]</f>
        <v>0</v>
      </c>
      <c r="DM170" s="47">
        <f ca="1">SUM(KH_26_OPT4_KTQT_v4[[#This Row],[DT-01]:[DT-12]])</f>
        <v>0</v>
      </c>
      <c r="DN170" s="7"/>
      <c r="DO170" s="7"/>
      <c r="DP170" s="125"/>
      <c r="DQ170" s="136"/>
      <c r="DR170" s="132">
        <f>IFERROR(KH_26_OPT4_KTQT_v4[[#This Row],[DT-EXW-01]]*KH_26_OPT4_KTQT_v4[[#This Row],[%CPDP]],0)</f>
        <v>0</v>
      </c>
      <c r="DS170" s="132">
        <f>IFERROR(KH_26_OPT4_KTQT_v4[[#This Row],[DT-EXW-02]]*KH_26_OPT4_KTQT_v4[[#This Row],[%CPDP]],0)</f>
        <v>0</v>
      </c>
      <c r="DT170" s="132">
        <f>IFERROR(KH_26_OPT4_KTQT_v4[[#This Row],[DT-EXW-03]]*KH_26_OPT4_KTQT_v4[[#This Row],[%CPDP]],0)</f>
        <v>0</v>
      </c>
      <c r="DU170" s="132">
        <f>IFERROR(KH_26_OPT4_KTQT_v4[[#This Row],[DT-EXW-04]]*KH_26_OPT4_KTQT_v4[[#This Row],[%CPDP]],0)</f>
        <v>0</v>
      </c>
      <c r="DV170" s="132">
        <f>IFERROR(KH_26_OPT4_KTQT_v4[[#This Row],[DT-EXW-05]]*KH_26_OPT4_KTQT_v4[[#This Row],[%CPDP]],0)</f>
        <v>0</v>
      </c>
      <c r="DW170" s="132">
        <f>IFERROR(KH_26_OPT4_KTQT_v4[[#This Row],[DT-EXW-06]]*KH_26_OPT4_KTQT_v4[[#This Row],[%CPDP]],0)</f>
        <v>0</v>
      </c>
      <c r="DX170" s="132">
        <f>IFERROR(KH_26_OPT4_KTQT_v4[[#This Row],[DT-EXW-07]]*KH_26_OPT4_KTQT_v4[[#This Row],[%CPDP]],0)</f>
        <v>0</v>
      </c>
      <c r="DY170" s="132">
        <f>IFERROR(KH_26_OPT4_KTQT_v4[[#This Row],[DT-EXW-08]]*KH_26_OPT4_KTQT_v4[[#This Row],[%CPDP]],0)</f>
        <v>0</v>
      </c>
      <c r="DZ170" s="132">
        <f>IFERROR(KH_26_OPT4_KTQT_v4[[#This Row],[DT-EXW-09]]*KH_26_OPT4_KTQT_v4[[#This Row],[%CPDP]],0)</f>
        <v>0</v>
      </c>
      <c r="EA170" s="132">
        <f>IFERROR(KH_26_OPT4_KTQT_v4[[#This Row],[DT-EXW-10]]*KH_26_OPT4_KTQT_v4[[#This Row],[%CPDP]],0)</f>
        <v>0</v>
      </c>
      <c r="EB170" s="132">
        <f>IFERROR(KH_26_OPT4_KTQT_v4[[#This Row],[DT-EXW-11]]*KH_26_OPT4_KTQT_v4[[#This Row],[%CPDP]],0)</f>
        <v>0</v>
      </c>
      <c r="EC170" s="132">
        <f>IFERROR(KH_26_OPT4_KTQT_v4[[#This Row],[DT-EXW-12]]*KH_26_OPT4_KTQT_v4[[#This Row],[%CPDP]],0)</f>
        <v>0</v>
      </c>
      <c r="ED170" s="131">
        <f ca="1">SUM(KH_26_OPT4_KTQT_v4[[#This Row],[CPDP-01]:[CPDP-12]])</f>
        <v>0</v>
      </c>
    </row>
    <row r="171" spans="1:134" ht="14.5" hidden="1" x14ac:dyDescent="0.35">
      <c r="A171" s="18">
        <v>166</v>
      </c>
      <c r="B171" s="71" t="s">
        <v>104</v>
      </c>
      <c r="C171" s="18" t="str">
        <f>IFERROR(_xlfn.XLOOKUP(KH_26_OPT4_KTQT_v4[[#This Row],[Salesman]],MD_Salesman[Salesman],MD_Salesman[SalesManager]),"")</f>
        <v>Quốc Anh</v>
      </c>
      <c r="D171" s="72" t="str">
        <f>IFERROR(INDEX(MD_Customer[Mã khách],MATCH(KH_26_OPT4_KTQT_v4[[#This Row],[Tên khách]],MD_Customer[Tên khách-rút gọn],0)),"")</f>
        <v>200341</v>
      </c>
      <c r="E171" s="7" t="str">
        <f>IFERROR(INDEX(MD_Customer[Parent Account],MATCH(KH_26_OPT4_KTQT_v4[[#This Row],[Tên khách]],MD_Customer[Tên khách-rút gọn],0)),"")</f>
        <v>Pragmatrade</v>
      </c>
      <c r="F171" s="35" t="s">
        <v>140</v>
      </c>
      <c r="G171" s="7" t="str">
        <f>IFERROR(INDEX(MD_Customer[Phân loại],MATCH(KH_26_OPT4_KTQT_v4[[#This Row],[Tên khách]],MD_Customer[Tên khách-rút gọn],0)),"")</f>
        <v>Hiện hữu</v>
      </c>
      <c r="H171" s="7" t="str">
        <f>IFERROR(INDEX(MD_Customer[Kênh bán hàng],MATCH(KH_26_OPT4_KTQT_v4[[#This Row],[Tên khách]],MD_Customer[Tên khách-rút gọn],0)),"")</f>
        <v>Xuất khẩu</v>
      </c>
      <c r="I171" s="35" t="s">
        <v>290</v>
      </c>
      <c r="J171" s="7" t="str">
        <f>IFERROR(INDEX(MD_Destination[Nước],MATCH(KH_26_OPT4_KTQT_v4[[#This Row],[Địa điểm đến]],MD_Destination[Địa điểm đến],0)),"")</f>
        <v>Ý</v>
      </c>
      <c r="K171" s="7" t="str">
        <f>IFERROR(INDEX(MD_Destination[Khu vực],MATCH(KH_26_OPT4_KTQT_v4[[#This Row],[Địa điểm đến]],MD_Destination[Địa điểm đến],0)),"")</f>
        <v>Châu Âu</v>
      </c>
      <c r="L171" s="35" t="s">
        <v>278</v>
      </c>
      <c r="M171" s="7" t="str">
        <f>IFERROR(INDEX(MD_SKU[Mã SKU],MATCH(KH_26_OPT4_KTQT_v4[[#This Row],[Tên sản phẩm]],MD_SKU[Tên SKU-rút gọn],0)),"")</f>
        <v>110000355</v>
      </c>
      <c r="N171" s="35" t="s">
        <v>469</v>
      </c>
      <c r="O171" s="7" t="str">
        <f>IFERROR(INDEX(MD_SKU[Ngành hàng],MATCH(KH_26_OPT4_KTQT_v4[[#This Row],[Tên sản phẩm]],MD_SKU[Tên SKU-rút gọn],0)),"")</f>
        <v>rPET</v>
      </c>
      <c r="P171" s="7" t="str">
        <f>IFERROR(INDEX(MD_SKU[Nhóm ngành],MATCH(KH_26_OPT4_KTQT_v4[[#This Row],[Tên sản phẩm]],MD_SKU[Tên SKU-rút gọn],0)),"")</f>
        <v>Hạt PET</v>
      </c>
      <c r="Q171" s="7" t="str">
        <f>IFERROR(
   IF(INDEX(MD_SKU[IV/IM],MATCH(KH_26_OPT4_KTQT_v4[[#This Row],[Tên sản phẩm]],MD_SKU[Tên SKU-rút gọn],0))=0,
      "",
      INDEX(MD_SKU[IV/IM],MATCH(KH_26_OPT4_KTQT_v4[[#This Row],[Tên sản phẩm]],MD_SKU[Tên SKU-rút gọn],0))
   ),
"")</f>
        <v>0.80 ± 0.02</v>
      </c>
      <c r="R171" s="44">
        <f>IFERROR(INDEX(MD_SKU[Application],MATCH(KH_26_OPT4_KTQT_v4[[#This Row],[Tên sản phẩm]],MD_SKU[Tên SKU-rút gọn],0)),"")</f>
        <v>0</v>
      </c>
      <c r="S171" s="7" t="str">
        <f>IFERROR(INDEX(MD_SKU[Phân loại],MATCH(KH_26_OPT4_KTQT_v4[[#This Row],[Tên sản phẩm]],MD_SKU[Tên SKU-rút gọn],0)),"")</f>
        <v>Cũ</v>
      </c>
      <c r="T171" s="7" t="s">
        <v>542</v>
      </c>
      <c r="U171" s="7"/>
      <c r="V171" s="70">
        <v>0.8</v>
      </c>
      <c r="W171" s="93"/>
      <c r="X171" s="93"/>
      <c r="Y171" s="93"/>
      <c r="Z171" s="93"/>
      <c r="AA171" s="93"/>
      <c r="AB171" s="93"/>
      <c r="AC171" s="93"/>
      <c r="AD171" s="93"/>
      <c r="AE171" s="93"/>
      <c r="AF171" s="93"/>
      <c r="AG171" s="93"/>
      <c r="AH171" s="93"/>
      <c r="AI171" s="47">
        <f ca="1">SUM(KH_26_OPT4_KTQT_v4[[#This Row],[SL-01]:[SL-12]])</f>
        <v>0</v>
      </c>
      <c r="AJ171" s="47">
        <f ca="1">SUMIFS(DB_25[SL-DB25],DB_25[Mã khách],KH_26_OPT4_KTQT_v4[[#This Row],[Mã khách]],DB_25[Mã sản phẩm],KH_26_OPT4_KTQT_v4[[#This Row],[Mã sản phẩm]])</f>
        <v>22</v>
      </c>
      <c r="AK171" s="20">
        <f ca="1">KH_26_OPT4_KTQT_v4[[#This Row],[SL-KH26]]-KH_26_OPT4_KTQT_v4[[#This Row],[SL-DB25]]</f>
        <v>-22</v>
      </c>
      <c r="AL171" s="21">
        <f ca="1">IFERROR(KH_26_OPT4_KTQT_v4[[#This Row],[SL-+/-]]/KH_26_OPT4_KTQT_v4[[#This Row],[SL-DB25]],0)</f>
        <v>-1</v>
      </c>
      <c r="AM171" s="51">
        <v>1200</v>
      </c>
      <c r="AN171" s="51">
        <v>1200</v>
      </c>
      <c r="AO171" s="51">
        <v>1200</v>
      </c>
      <c r="AP171" s="51">
        <v>1200</v>
      </c>
      <c r="AQ171" s="51">
        <v>1200</v>
      </c>
      <c r="AR171" s="51">
        <v>1200</v>
      </c>
      <c r="AS171" s="51">
        <v>1200</v>
      </c>
      <c r="AT171" s="51">
        <v>1200</v>
      </c>
      <c r="AU171" s="51">
        <v>1200</v>
      </c>
      <c r="AV171" s="51">
        <v>1200</v>
      </c>
      <c r="AW171" s="51">
        <v>1200</v>
      </c>
      <c r="AX171" s="51">
        <v>1200</v>
      </c>
      <c r="AY171" s="23">
        <v>1200</v>
      </c>
      <c r="AZ171" s="7"/>
      <c r="BA171" s="24">
        <f>KH_26_OPT4_KTQT_v4[[#This Row],[GB-DB25]]-KH_26_OPT4_KTQT_v4[[#This Row],[GB-KH25]]</f>
        <v>1200</v>
      </c>
      <c r="BB171" s="21">
        <f>IFERROR(KH_26_OPT4_KTQT_v4[[#This Row],[GB-+/-]]/KH_26_OPT4_KTQT_v4[[#This Row],[GB-KH25]],0)</f>
        <v>0</v>
      </c>
      <c r="BC171" s="21" t="s">
        <v>534</v>
      </c>
      <c r="BD171" s="47">
        <f>KH_26_OPT4_KTQT_v4[[#This Row],[SL-01]]*KH_26_OPT4_KTQT_v4[[#This Row],[GB-01]]*EXR</f>
        <v>0</v>
      </c>
      <c r="BE171" s="47">
        <f>KH_26_OPT4_KTQT_v4[[#This Row],[SL-02]]*KH_26_OPT4_KTQT_v4[[#This Row],[GB-02]]*EXR</f>
        <v>0</v>
      </c>
      <c r="BF171" s="47">
        <f>KH_26_OPT4_KTQT_v4[[#This Row],[SL-03]]*KH_26_OPT4_KTQT_v4[[#This Row],[GB-03]]*EXR</f>
        <v>0</v>
      </c>
      <c r="BG171" s="47">
        <f>KH_26_OPT4_KTQT_v4[[#This Row],[SL-04]]*KH_26_OPT4_KTQT_v4[[#This Row],[GB-04]]*EXR</f>
        <v>0</v>
      </c>
      <c r="BH171" s="47">
        <f>KH_26_OPT4_KTQT_v4[[#This Row],[SL-05]]*KH_26_OPT4_KTQT_v4[[#This Row],[GB-05]]*EXR</f>
        <v>0</v>
      </c>
      <c r="BI171" s="47">
        <f>KH_26_OPT4_KTQT_v4[[#This Row],[SL-06]]*KH_26_OPT4_KTQT_v4[[#This Row],[GB-06]]*EXR</f>
        <v>0</v>
      </c>
      <c r="BJ171" s="47">
        <f>KH_26_OPT4_KTQT_v4[[#This Row],[SL-07]]*KH_26_OPT4_KTQT_v4[[#This Row],[GB-07]]*EXR</f>
        <v>0</v>
      </c>
      <c r="BK171" s="47">
        <f>KH_26_OPT4_KTQT_v4[[#This Row],[SL-08]]*KH_26_OPT4_KTQT_v4[[#This Row],[GB-08]]*EXR</f>
        <v>0</v>
      </c>
      <c r="BL171" s="47">
        <f>KH_26_OPT4_KTQT_v4[[#This Row],[SL-09]]*KH_26_OPT4_KTQT_v4[[#This Row],[GB-09]]*EXR</f>
        <v>0</v>
      </c>
      <c r="BM171" s="47">
        <f>KH_26_OPT4_KTQT_v4[[#This Row],[SL-10]]*KH_26_OPT4_KTQT_v4[[#This Row],[GB-10]]*EXR</f>
        <v>0</v>
      </c>
      <c r="BN171" s="47">
        <f>KH_26_OPT4_KTQT_v4[[#This Row],[SL-11]]*KH_26_OPT4_KTQT_v4[[#This Row],[GB-11]]*EXR</f>
        <v>0</v>
      </c>
      <c r="BO171" s="47">
        <f>KH_26_OPT4_KTQT_v4[[#This Row],[SL-12]]*KH_26_OPT4_KTQT_v4[[#This Row],[GB-12]]*EXR</f>
        <v>0</v>
      </c>
      <c r="BP171" s="47">
        <f ca="1">SUM(KH_26_OPT4_KTQT_v4[[#This Row],[DT-EXW-01]:[DT-EXW-12]])</f>
        <v>0</v>
      </c>
      <c r="BQ171" s="47">
        <f ca="1">SUMIFS(DB_25[DT-DB25],DB_25[Mã khách],KH_26_OPT4_KTQT_v4[[#This Row],[Mã khách]],DB_25[Mã sản phẩm],KH_26_OPT4_KTQT_v4[[#This Row],[Mã sản phẩm]])</f>
        <v>696034458.96153843</v>
      </c>
      <c r="BR171" s="47">
        <f ca="1">KH_26_OPT4_KTQT_v4[[#This Row],[DT-EXW-KH26]]-KH_26_OPT4_KTQT_v4[[#This Row],[DT-EXW-DB25]]</f>
        <v>-696034458.96153843</v>
      </c>
      <c r="BS171" s="21">
        <f ca="1">IFERROR(KH_26_OPT4_KTQT_v4[[#This Row],[DT-EXW-+/-]]/KH_26_OPT4_KTQT_v4[[#This Row],[DT-EXW-DB25]],0)</f>
        <v>-1</v>
      </c>
      <c r="BT171" s="139"/>
      <c r="BU171" s="57"/>
      <c r="BV171" s="51"/>
      <c r="BW171" s="47">
        <f>IF(KH_26_OPT4_KTQT_v4[[#This Row],[CPHH-%-SL]]="Dthu",KH_26_OPT4_KTQT_v4[[#This Row],[%HH]]*KH_26_OPT4_KTQT_v4[[#This Row],[DT-EXW-01]],KH_26_OPT4_KTQT_v4[[#This Row],[HH-SL]]*KH_26_OPT4_KTQT_v4[[#This Row],[SL-01]])</f>
        <v>0</v>
      </c>
      <c r="BX171" s="47">
        <f>IF(KH_26_OPT4_KTQT_v4[[#This Row],[CPHH-%-SL]]="Dthu",KH_26_OPT4_KTQT_v4[[#This Row],[%HH]]*KH_26_OPT4_KTQT_v4[[#This Row],[DT-EXW-02]],KH_26_OPT4_KTQT_v4[[#This Row],[HH-SL]]*KH_26_OPT4_KTQT_v4[[#This Row],[SL-02]])</f>
        <v>0</v>
      </c>
      <c r="BY171" s="47">
        <f>IF(KH_26_OPT4_KTQT_v4[[#This Row],[CPHH-%-SL]]="Dthu",KH_26_OPT4_KTQT_v4[[#This Row],[%HH]]*KH_26_OPT4_KTQT_v4[[#This Row],[DT-EXW-03]],KH_26_OPT4_KTQT_v4[[#This Row],[HH-SL]]*KH_26_OPT4_KTQT_v4[[#This Row],[SL-03]])</f>
        <v>0</v>
      </c>
      <c r="BZ171" s="47">
        <f>IF(KH_26_OPT4_KTQT_v4[[#This Row],[CPHH-%-SL]]="Dthu",KH_26_OPT4_KTQT_v4[[#This Row],[%HH]]*KH_26_OPT4_KTQT_v4[[#This Row],[DT-EXW-04]],KH_26_OPT4_KTQT_v4[[#This Row],[HH-SL]]*KH_26_OPT4_KTQT_v4[[#This Row],[SL-04]])</f>
        <v>0</v>
      </c>
      <c r="CA171" s="47">
        <f>IF(KH_26_OPT4_KTQT_v4[[#This Row],[CPHH-%-SL]]="Dthu",KH_26_OPT4_KTQT_v4[[#This Row],[%HH]]*KH_26_OPT4_KTQT_v4[[#This Row],[DT-EXW-05]],KH_26_OPT4_KTQT_v4[[#This Row],[HH-SL]]*KH_26_OPT4_KTQT_v4[[#This Row],[SL-05]])</f>
        <v>0</v>
      </c>
      <c r="CB171" s="47">
        <f>IF(KH_26_OPT4_KTQT_v4[[#This Row],[CPHH-%-SL]]="Dthu",KH_26_OPT4_KTQT_v4[[#This Row],[%HH]]*KH_26_OPT4_KTQT_v4[[#This Row],[DT-EXW-06]],KH_26_OPT4_KTQT_v4[[#This Row],[HH-SL]]*KH_26_OPT4_KTQT_v4[[#This Row],[SL-06]])</f>
        <v>0</v>
      </c>
      <c r="CC171" s="47">
        <f>IF(KH_26_OPT4_KTQT_v4[[#This Row],[CPHH-%-SL]]="Dthu",KH_26_OPT4_KTQT_v4[[#This Row],[%HH]]*KH_26_OPT4_KTQT_v4[[#This Row],[DT-EXW-07]],KH_26_OPT4_KTQT_v4[[#This Row],[HH-SL]]*KH_26_OPT4_KTQT_v4[[#This Row],[SL-07]])</f>
        <v>0</v>
      </c>
      <c r="CD171" s="47">
        <f>IF(KH_26_OPT4_KTQT_v4[[#This Row],[CPHH-%-SL]]="Dthu",KH_26_OPT4_KTQT_v4[[#This Row],[%HH]]*KH_26_OPT4_KTQT_v4[[#This Row],[DT-EXW-08]],KH_26_OPT4_KTQT_v4[[#This Row],[HH-SL]]*KH_26_OPT4_KTQT_v4[[#This Row],[SL-08]])</f>
        <v>0</v>
      </c>
      <c r="CE171" s="47">
        <f>IF(KH_26_OPT4_KTQT_v4[[#This Row],[CPHH-%-SL]]="Dthu",KH_26_OPT4_KTQT_v4[[#This Row],[%HH]]*KH_26_OPT4_KTQT_v4[[#This Row],[DT-EXW-09]],KH_26_OPT4_KTQT_v4[[#This Row],[HH-SL]]*KH_26_OPT4_KTQT_v4[[#This Row],[SL-09]])</f>
        <v>0</v>
      </c>
      <c r="CF171" s="47">
        <f>IF(KH_26_OPT4_KTQT_v4[[#This Row],[CPHH-%-SL]]="Dthu",KH_26_OPT4_KTQT_v4[[#This Row],[%HH]]*KH_26_OPT4_KTQT_v4[[#This Row],[DT-EXW-10]],KH_26_OPT4_KTQT_v4[[#This Row],[HH-SL]]*KH_26_OPT4_KTQT_v4[[#This Row],[SL-10]])</f>
        <v>0</v>
      </c>
      <c r="CG171" s="47">
        <f>IF(KH_26_OPT4_KTQT_v4[[#This Row],[CPHH-%-SL]]="Dthu",KH_26_OPT4_KTQT_v4[[#This Row],[%HH]]*KH_26_OPT4_KTQT_v4[[#This Row],[DT-EXW-11]],KH_26_OPT4_KTQT_v4[[#This Row],[HH-SL]]*KH_26_OPT4_KTQT_v4[[#This Row],[SL-11]])</f>
        <v>0</v>
      </c>
      <c r="CH171" s="47">
        <f>IF(KH_26_OPT4_KTQT_v4[[#This Row],[CPHH-%-SL]]="Dthu",KH_26_OPT4_KTQT_v4[[#This Row],[%HH]]*KH_26_OPT4_KTQT_v4[[#This Row],[DT-EXW-12]],KH_26_OPT4_KTQT_v4[[#This Row],[HH-SL]]*KH_26_OPT4_KTQT_v4[[#This Row],[SL-12]])</f>
        <v>0</v>
      </c>
      <c r="CI171" s="47">
        <f ca="1">SUM(KH_26_OPT4_KTQT_v4[[#This Row],[CPHH-01]:[CPHH-12]])</f>
        <v>0</v>
      </c>
      <c r="CJ171" s="47" cm="1">
        <f t="array" ref="CJ171">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71" s="19">
        <f ca="1">SUM(KH_26_OPT4_KTQT_v4[[#This Row],[ĐGVCNĐ-KXK]:[ĐGVCCT-KXK]])</f>
        <v>530000</v>
      </c>
      <c r="CL171" s="47" cm="1">
        <f t="array" ref="CL171">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530000</v>
      </c>
      <c r="CM171" s="47" cm="1">
        <f t="array" ref="CM171">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71" s="47">
        <f ca="1">(KH_26_OPT4_KTQT_v4[[#This Row],[ĐGVC-KNĐ]]+KH_26_OPT4_KTQT_v4[[#This Row],[ĐGVC-KXK]])*KH_26_OPT4_KTQT_v4[[#This Row],[SL-01]]</f>
        <v>0</v>
      </c>
      <c r="CO171" s="47">
        <f ca="1">(KH_26_OPT4_KTQT_v4[[#This Row],[ĐGVC-KNĐ]]+KH_26_OPT4_KTQT_v4[[#This Row],[ĐGVC-KXK]])*KH_26_OPT4_KTQT_v4[[#This Row],[SL-02]]</f>
        <v>0</v>
      </c>
      <c r="CP171" s="47">
        <f ca="1">(KH_26_OPT4_KTQT_v4[[#This Row],[ĐGVC-KNĐ]]+KH_26_OPT4_KTQT_v4[[#This Row],[ĐGVC-KXK]])*KH_26_OPT4_KTQT_v4[[#This Row],[SL-03]]</f>
        <v>0</v>
      </c>
      <c r="CQ171" s="47">
        <f ca="1">(KH_26_OPT4_KTQT_v4[[#This Row],[ĐGVC-KNĐ]]+KH_26_OPT4_KTQT_v4[[#This Row],[ĐGVC-KXK]])*KH_26_OPT4_KTQT_v4[[#This Row],[SL-04]]</f>
        <v>0</v>
      </c>
      <c r="CR171" s="47">
        <f ca="1">(KH_26_OPT4_KTQT_v4[[#This Row],[ĐGVC-KNĐ]]+KH_26_OPT4_KTQT_v4[[#This Row],[ĐGVC-KXK]])*KH_26_OPT4_KTQT_v4[[#This Row],[SL-05]]</f>
        <v>0</v>
      </c>
      <c r="CS171" s="47">
        <f ca="1">(KH_26_OPT4_KTQT_v4[[#This Row],[ĐGVC-KNĐ]]+KH_26_OPT4_KTQT_v4[[#This Row],[ĐGVC-KXK]])*KH_26_OPT4_KTQT_v4[[#This Row],[SL-06]]</f>
        <v>0</v>
      </c>
      <c r="CT171" s="47">
        <f ca="1">(KH_26_OPT4_KTQT_v4[[#This Row],[ĐGVC-KNĐ]]+KH_26_OPT4_KTQT_v4[[#This Row],[ĐGVC-KXK]])*KH_26_OPT4_KTQT_v4[[#This Row],[SL-07]]</f>
        <v>0</v>
      </c>
      <c r="CU171" s="47">
        <f ca="1">(KH_26_OPT4_KTQT_v4[[#This Row],[ĐGVC-KNĐ]]+KH_26_OPT4_KTQT_v4[[#This Row],[ĐGVC-KXK]])*KH_26_OPT4_KTQT_v4[[#This Row],[SL-08]]</f>
        <v>0</v>
      </c>
      <c r="CV171" s="47">
        <f ca="1">(KH_26_OPT4_KTQT_v4[[#This Row],[ĐGVC-KNĐ]]+KH_26_OPT4_KTQT_v4[[#This Row],[ĐGVC-KXK]])*KH_26_OPT4_KTQT_v4[[#This Row],[SL-09]]</f>
        <v>0</v>
      </c>
      <c r="CW171" s="47">
        <f ca="1">(KH_26_OPT4_KTQT_v4[[#This Row],[ĐGVC-KNĐ]]+KH_26_OPT4_KTQT_v4[[#This Row],[ĐGVC-KXK]])*KH_26_OPT4_KTQT_v4[[#This Row],[SL-10]]</f>
        <v>0</v>
      </c>
      <c r="CX171" s="47">
        <f ca="1">(KH_26_OPT4_KTQT_v4[[#This Row],[ĐGVC-KNĐ]]+KH_26_OPT4_KTQT_v4[[#This Row],[ĐGVC-KXK]])*KH_26_OPT4_KTQT_v4[[#This Row],[SL-11]]</f>
        <v>0</v>
      </c>
      <c r="CY171" s="47">
        <f ca="1">(KH_26_OPT4_KTQT_v4[[#This Row],[ĐGVC-KNĐ]]+KH_26_OPT4_KTQT_v4[[#This Row],[ĐGVC-KXK]])*KH_26_OPT4_KTQT_v4[[#This Row],[SL-12]]</f>
        <v>0</v>
      </c>
      <c r="CZ171" s="47">
        <f ca="1">SUM(KH_26_OPT4_KTQT_v4[[#This Row],[CPVC-01]:[CPVC-12]])</f>
        <v>0</v>
      </c>
      <c r="DA171" s="124">
        <f ca="1">KH_26_OPT4_KTQT_v4[[#This Row],[DT-EXW-01]]+KH_26_OPT4_KTQT_v4[[#This Row],[CPVC-01]]+KH_26_OPT4_KTQT_v4[[#This Row],[CPHH-01]]</f>
        <v>0</v>
      </c>
      <c r="DB171" s="47">
        <f ca="1">KH_26_OPT4_KTQT_v4[[#This Row],[DT-EXW-02]]+KH_26_OPT4_KTQT_v4[[#This Row],[CPVC-02]]+KH_26_OPT4_KTQT_v4[[#This Row],[CPHH-02]]</f>
        <v>0</v>
      </c>
      <c r="DC171" s="47">
        <f ca="1">KH_26_OPT4_KTQT_v4[[#This Row],[DT-EXW-03]]+KH_26_OPT4_KTQT_v4[[#This Row],[CPVC-03]]+KH_26_OPT4_KTQT_v4[[#This Row],[CPHH-03]]</f>
        <v>0</v>
      </c>
      <c r="DD171" s="47">
        <f ca="1">KH_26_OPT4_KTQT_v4[[#This Row],[DT-EXW-04]]+KH_26_OPT4_KTQT_v4[[#This Row],[CPVC-04]]+KH_26_OPT4_KTQT_v4[[#This Row],[CPHH-04]]</f>
        <v>0</v>
      </c>
      <c r="DE171" s="47">
        <f ca="1">KH_26_OPT4_KTQT_v4[[#This Row],[DT-EXW-05]]+KH_26_OPT4_KTQT_v4[[#This Row],[CPVC-05]]+KH_26_OPT4_KTQT_v4[[#This Row],[CPHH-05]]</f>
        <v>0</v>
      </c>
      <c r="DF171" s="47">
        <f ca="1">KH_26_OPT4_KTQT_v4[[#This Row],[DT-EXW-06]]+KH_26_OPT4_KTQT_v4[[#This Row],[CPVC-06]]+KH_26_OPT4_KTQT_v4[[#This Row],[CPHH-06]]</f>
        <v>0</v>
      </c>
      <c r="DG171" s="47">
        <f ca="1">KH_26_OPT4_KTQT_v4[[#This Row],[DT-EXW-07]]+KH_26_OPT4_KTQT_v4[[#This Row],[CPVC-07]]+KH_26_OPT4_KTQT_v4[[#This Row],[CPHH-07]]</f>
        <v>0</v>
      </c>
      <c r="DH171" s="47">
        <f ca="1">KH_26_OPT4_KTQT_v4[[#This Row],[DT-EXW-08]]+KH_26_OPT4_KTQT_v4[[#This Row],[CPVC-08]]+KH_26_OPT4_KTQT_v4[[#This Row],[CPHH-08]]</f>
        <v>0</v>
      </c>
      <c r="DI171" s="47">
        <f ca="1">KH_26_OPT4_KTQT_v4[[#This Row],[DT-EXW-09]]+KH_26_OPT4_KTQT_v4[[#This Row],[CPVC-09]]+KH_26_OPT4_KTQT_v4[[#This Row],[CPHH-09]]</f>
        <v>0</v>
      </c>
      <c r="DJ171" s="47">
        <f ca="1">KH_26_OPT4_KTQT_v4[[#This Row],[DT-EXW-10]]+KH_26_OPT4_KTQT_v4[[#This Row],[CPVC-10]]+KH_26_OPT4_KTQT_v4[[#This Row],[CPHH-10]]</f>
        <v>0</v>
      </c>
      <c r="DK171" s="47">
        <f ca="1">KH_26_OPT4_KTQT_v4[[#This Row],[DT-EXW-11]]+KH_26_OPT4_KTQT_v4[[#This Row],[CPVC-11]]+KH_26_OPT4_KTQT_v4[[#This Row],[CPHH-11]]</f>
        <v>0</v>
      </c>
      <c r="DL171" s="47">
        <f ca="1">KH_26_OPT4_KTQT_v4[[#This Row],[DT-EXW-12]]+KH_26_OPT4_KTQT_v4[[#This Row],[CPVC-12]]+KH_26_OPT4_KTQT_v4[[#This Row],[CPHH-12]]</f>
        <v>0</v>
      </c>
      <c r="DM171" s="47">
        <f ca="1">SUM(KH_26_OPT4_KTQT_v4[[#This Row],[DT-01]:[DT-12]])</f>
        <v>0</v>
      </c>
      <c r="DN171" s="7"/>
      <c r="DO171" s="7"/>
      <c r="DP171" s="125"/>
      <c r="DQ171" s="136">
        <v>0.1</v>
      </c>
      <c r="DR171" s="132">
        <f>IFERROR(KH_26_OPT4_KTQT_v4[[#This Row],[DT-EXW-01]]*KH_26_OPT4_KTQT_v4[[#This Row],[%CPDP]],0)</f>
        <v>0</v>
      </c>
      <c r="DS171" s="132">
        <f>IFERROR(KH_26_OPT4_KTQT_v4[[#This Row],[DT-EXW-02]]*KH_26_OPT4_KTQT_v4[[#This Row],[%CPDP]],0)</f>
        <v>0</v>
      </c>
      <c r="DT171" s="132">
        <f>IFERROR(KH_26_OPT4_KTQT_v4[[#This Row],[DT-EXW-03]]*KH_26_OPT4_KTQT_v4[[#This Row],[%CPDP]],0)</f>
        <v>0</v>
      </c>
      <c r="DU171" s="132">
        <f>IFERROR(KH_26_OPT4_KTQT_v4[[#This Row],[DT-EXW-04]]*KH_26_OPT4_KTQT_v4[[#This Row],[%CPDP]],0)</f>
        <v>0</v>
      </c>
      <c r="DV171" s="132">
        <f>IFERROR(KH_26_OPT4_KTQT_v4[[#This Row],[DT-EXW-05]]*KH_26_OPT4_KTQT_v4[[#This Row],[%CPDP]],0)</f>
        <v>0</v>
      </c>
      <c r="DW171" s="132">
        <f>IFERROR(KH_26_OPT4_KTQT_v4[[#This Row],[DT-EXW-06]]*KH_26_OPT4_KTQT_v4[[#This Row],[%CPDP]],0)</f>
        <v>0</v>
      </c>
      <c r="DX171" s="132">
        <f>IFERROR(KH_26_OPT4_KTQT_v4[[#This Row],[DT-EXW-07]]*KH_26_OPT4_KTQT_v4[[#This Row],[%CPDP]],0)</f>
        <v>0</v>
      </c>
      <c r="DY171" s="132">
        <f>IFERROR(KH_26_OPT4_KTQT_v4[[#This Row],[DT-EXW-08]]*KH_26_OPT4_KTQT_v4[[#This Row],[%CPDP]],0)</f>
        <v>0</v>
      </c>
      <c r="DZ171" s="132">
        <f>IFERROR(KH_26_OPT4_KTQT_v4[[#This Row],[DT-EXW-09]]*KH_26_OPT4_KTQT_v4[[#This Row],[%CPDP]],0)</f>
        <v>0</v>
      </c>
      <c r="EA171" s="132">
        <f>IFERROR(KH_26_OPT4_KTQT_v4[[#This Row],[DT-EXW-10]]*KH_26_OPT4_KTQT_v4[[#This Row],[%CPDP]],0)</f>
        <v>0</v>
      </c>
      <c r="EB171" s="132">
        <f>IFERROR(KH_26_OPT4_KTQT_v4[[#This Row],[DT-EXW-11]]*KH_26_OPT4_KTQT_v4[[#This Row],[%CPDP]],0)</f>
        <v>0</v>
      </c>
      <c r="EC171" s="132">
        <f>IFERROR(KH_26_OPT4_KTQT_v4[[#This Row],[DT-EXW-12]]*KH_26_OPT4_KTQT_v4[[#This Row],[%CPDP]],0)</f>
        <v>0</v>
      </c>
      <c r="ED171" s="131">
        <f ca="1">SUM(KH_26_OPT4_KTQT_v4[[#This Row],[CPDP-01]:[CPDP-12]])</f>
        <v>0</v>
      </c>
    </row>
    <row r="172" spans="1:134" ht="14.5" hidden="1" x14ac:dyDescent="0.35">
      <c r="A172" s="18">
        <v>167</v>
      </c>
      <c r="B172" s="71" t="s">
        <v>115</v>
      </c>
      <c r="C172" s="18" t="str">
        <f>IFERROR(_xlfn.XLOOKUP(KH_26_OPT4_KTQT_v4[[#This Row],[Salesman]],MD_Salesman[Salesman],MD_Salesman[SalesManager]),"")</f>
        <v>Quốc Anh</v>
      </c>
      <c r="D172" s="72" t="str">
        <f>IFERROR(INDEX(MD_Customer[Mã khách],MATCH(KH_26_OPT4_KTQT_v4[[#This Row],[Tên khách]],MD_Customer[Tên khách-rút gọn],0)),"")</f>
        <v>200358</v>
      </c>
      <c r="E172" s="7" t="str">
        <f>IFERROR(INDEX(MD_Customer[Parent Account],MATCH(KH_26_OPT4_KTQT_v4[[#This Row],[Tên khách]],MD_Customer[Tên khách-rút gọn],0)),"")</f>
        <v>REYNERA</v>
      </c>
      <c r="F172" s="35" t="s">
        <v>64</v>
      </c>
      <c r="G172" s="7" t="str">
        <f>IFERROR(INDEX(MD_Customer[Phân loại],MATCH(KH_26_OPT4_KTQT_v4[[#This Row],[Tên khách]],MD_Customer[Tên khách-rút gọn],0)),"")</f>
        <v>Hiện hữu</v>
      </c>
      <c r="H172" s="7" t="str">
        <f>IFERROR(INDEX(MD_Customer[Kênh bán hàng],MATCH(KH_26_OPT4_KTQT_v4[[#This Row],[Tên khách]],MD_Customer[Tên khách-rút gọn],0)),"")</f>
        <v>Xuất khẩu</v>
      </c>
      <c r="I172" s="35" t="s">
        <v>318</v>
      </c>
      <c r="J172" s="7" t="str">
        <f>IFERROR(INDEX(MD_Destination[Nước],MATCH(KH_26_OPT4_KTQT_v4[[#This Row],[Địa điểm đến]],MD_Destination[Địa điểm đến],0)),"")</f>
        <v>Mexico</v>
      </c>
      <c r="K172" s="7" t="str">
        <f>IFERROR(INDEX(MD_Destination[Khu vực],MATCH(KH_26_OPT4_KTQT_v4[[#This Row],[Địa điểm đến]],MD_Destination[Địa điểm đến],0)),"")</f>
        <v>Châu Mỹ</v>
      </c>
      <c r="L172" s="35" t="s">
        <v>278</v>
      </c>
      <c r="M172" s="7" t="str">
        <f>IFERROR(INDEX(MD_SKU[Mã SKU],MATCH(KH_26_OPT4_KTQT_v4[[#This Row],[Tên sản phẩm]],MD_SKU[Tên SKU-rút gọn],0)),"")</f>
        <v>110000470</v>
      </c>
      <c r="N172" s="35" t="s">
        <v>502</v>
      </c>
      <c r="O172" s="7" t="str">
        <f>IFERROR(INDEX(MD_SKU[Ngành hàng],MATCH(KH_26_OPT4_KTQT_v4[[#This Row],[Tên sản phẩm]],MD_SKU[Tên SKU-rút gọn],0)),"")</f>
        <v>rPP</v>
      </c>
      <c r="P172" s="7" t="str">
        <f>IFERROR(INDEX(MD_SKU[Nhóm ngành],MATCH(KH_26_OPT4_KTQT_v4[[#This Row],[Tên sản phẩm]],MD_SKU[Tên SKU-rút gọn],0)),"")</f>
        <v>Hạt PP</v>
      </c>
      <c r="Q172" s="7" t="str">
        <f>IFERROR(
   IF(INDEX(MD_SKU[IV/IM],MATCH(KH_26_OPT4_KTQT_v4[[#This Row],[Tên sản phẩm]],MD_SKU[Tên SKU-rút gọn],0))=0,
      "",
      INDEX(MD_SKU[IV/IM],MATCH(KH_26_OPT4_KTQT_v4[[#This Row],[Tên sản phẩm]],MD_SKU[Tên SKU-rút gọn],0))
   ),
"")</f>
        <v/>
      </c>
      <c r="R172" s="44">
        <f>IFERROR(INDEX(MD_SKU[Application],MATCH(KH_26_OPT4_KTQT_v4[[#This Row],[Tên sản phẩm]],MD_SKU[Tên SKU-rút gọn],0)),"")</f>
        <v>0</v>
      </c>
      <c r="S172" s="7" t="str">
        <f>IFERROR(INDEX(MD_SKU[Phân loại],MATCH(KH_26_OPT4_KTQT_v4[[#This Row],[Tên sản phẩm]],MD_SKU[Tên SKU-rút gọn],0)),"")</f>
        <v>Cũ</v>
      </c>
      <c r="T172" s="7"/>
      <c r="U172" s="7"/>
      <c r="V172" s="70">
        <v>0.8</v>
      </c>
      <c r="W172" s="33"/>
      <c r="X172" s="33"/>
      <c r="Y172" s="33"/>
      <c r="Z172" s="33"/>
      <c r="AA172" s="33"/>
      <c r="AB172" s="33"/>
      <c r="AC172" s="33"/>
      <c r="AD172" s="33"/>
      <c r="AE172" s="33"/>
      <c r="AF172" s="33"/>
      <c r="AG172" s="33"/>
      <c r="AH172" s="33"/>
      <c r="AI172" s="47">
        <f ca="1">SUM(KH_26_OPT4_KTQT_v4[[#This Row],[SL-01]:[SL-12]])</f>
        <v>0</v>
      </c>
      <c r="AJ172" s="47">
        <f ca="1">SUMIFS(DB_25[SL-DB25],DB_25[Mã khách],KH_26_OPT4_KTQT_v4[[#This Row],[Mã khách]],DB_25[Mã sản phẩm],KH_26_OPT4_KTQT_v4[[#This Row],[Mã sản phẩm]])</f>
        <v>0.05</v>
      </c>
      <c r="AK172" s="20">
        <f ca="1">KH_26_OPT4_KTQT_v4[[#This Row],[SL-KH26]]-KH_26_OPT4_KTQT_v4[[#This Row],[SL-DB25]]</f>
        <v>-0.05</v>
      </c>
      <c r="AL172" s="21">
        <f ca="1">IFERROR(KH_26_OPT4_KTQT_v4[[#This Row],[SL-+/-]]/KH_26_OPT4_KTQT_v4[[#This Row],[SL-DB25]],0)</f>
        <v>-1</v>
      </c>
      <c r="AM172" s="51">
        <v>700</v>
      </c>
      <c r="AN172" s="51">
        <v>700</v>
      </c>
      <c r="AO172" s="51">
        <v>700</v>
      </c>
      <c r="AP172" s="51">
        <v>700</v>
      </c>
      <c r="AQ172" s="51">
        <v>700</v>
      </c>
      <c r="AR172" s="51">
        <v>700</v>
      </c>
      <c r="AS172" s="51">
        <v>700</v>
      </c>
      <c r="AT172" s="51">
        <v>700</v>
      </c>
      <c r="AU172" s="51">
        <v>700</v>
      </c>
      <c r="AV172" s="51">
        <v>700</v>
      </c>
      <c r="AW172" s="51">
        <v>700</v>
      </c>
      <c r="AX172" s="51">
        <v>700</v>
      </c>
      <c r="AY172" s="23">
        <v>700</v>
      </c>
      <c r="AZ172" s="7"/>
      <c r="BA172" s="24">
        <f>KH_26_OPT4_KTQT_v4[[#This Row],[GB-DB25]]-KH_26_OPT4_KTQT_v4[[#This Row],[GB-KH25]]</f>
        <v>700</v>
      </c>
      <c r="BB172" s="21">
        <f>IFERROR(KH_26_OPT4_KTQT_v4[[#This Row],[GB-+/-]]/KH_26_OPT4_KTQT_v4[[#This Row],[GB-KH25]],0)</f>
        <v>0</v>
      </c>
      <c r="BC172" s="21"/>
      <c r="BD172" s="47">
        <f>KH_26_OPT4_KTQT_v4[[#This Row],[SL-01]]*KH_26_OPT4_KTQT_v4[[#This Row],[GB-01]]*EXR</f>
        <v>0</v>
      </c>
      <c r="BE172" s="47">
        <f>KH_26_OPT4_KTQT_v4[[#This Row],[SL-02]]*KH_26_OPT4_KTQT_v4[[#This Row],[GB-02]]*EXR</f>
        <v>0</v>
      </c>
      <c r="BF172" s="47">
        <f>KH_26_OPT4_KTQT_v4[[#This Row],[SL-03]]*KH_26_OPT4_KTQT_v4[[#This Row],[GB-03]]*EXR</f>
        <v>0</v>
      </c>
      <c r="BG172" s="47">
        <f>KH_26_OPT4_KTQT_v4[[#This Row],[SL-04]]*KH_26_OPT4_KTQT_v4[[#This Row],[GB-04]]*EXR</f>
        <v>0</v>
      </c>
      <c r="BH172" s="47">
        <f>KH_26_OPT4_KTQT_v4[[#This Row],[SL-05]]*KH_26_OPT4_KTQT_v4[[#This Row],[GB-05]]*EXR</f>
        <v>0</v>
      </c>
      <c r="BI172" s="47">
        <f>KH_26_OPT4_KTQT_v4[[#This Row],[SL-06]]*KH_26_OPT4_KTQT_v4[[#This Row],[GB-06]]*EXR</f>
        <v>0</v>
      </c>
      <c r="BJ172" s="47">
        <f>KH_26_OPT4_KTQT_v4[[#This Row],[SL-07]]*KH_26_OPT4_KTQT_v4[[#This Row],[GB-07]]*EXR</f>
        <v>0</v>
      </c>
      <c r="BK172" s="47">
        <f>KH_26_OPT4_KTQT_v4[[#This Row],[SL-08]]*KH_26_OPT4_KTQT_v4[[#This Row],[GB-08]]*EXR</f>
        <v>0</v>
      </c>
      <c r="BL172" s="47">
        <f>KH_26_OPT4_KTQT_v4[[#This Row],[SL-09]]*KH_26_OPT4_KTQT_v4[[#This Row],[GB-09]]*EXR</f>
        <v>0</v>
      </c>
      <c r="BM172" s="47">
        <f>KH_26_OPT4_KTQT_v4[[#This Row],[SL-10]]*KH_26_OPT4_KTQT_v4[[#This Row],[GB-10]]*EXR</f>
        <v>0</v>
      </c>
      <c r="BN172" s="47">
        <f>KH_26_OPT4_KTQT_v4[[#This Row],[SL-11]]*KH_26_OPT4_KTQT_v4[[#This Row],[GB-11]]*EXR</f>
        <v>0</v>
      </c>
      <c r="BO172" s="47">
        <f>KH_26_OPT4_KTQT_v4[[#This Row],[SL-12]]*KH_26_OPT4_KTQT_v4[[#This Row],[GB-12]]*EXR</f>
        <v>0</v>
      </c>
      <c r="BP172" s="47">
        <f ca="1">SUM(KH_26_OPT4_KTQT_v4[[#This Row],[DT-EXW-01]:[DT-EXW-12]])</f>
        <v>0</v>
      </c>
      <c r="BQ172" s="47">
        <f ca="1">SUMIFS(DB_25[DT-DB25],DB_25[Mã khách],KH_26_OPT4_KTQT_v4[[#This Row],[Mã khách]],DB_25[Mã sản phẩm],KH_26_OPT4_KTQT_v4[[#This Row],[Mã sản phẩm]])</f>
        <v>1336136.8482328483</v>
      </c>
      <c r="BR172" s="47">
        <f ca="1">KH_26_OPT4_KTQT_v4[[#This Row],[DT-EXW-KH26]]-KH_26_OPT4_KTQT_v4[[#This Row],[DT-EXW-DB25]]</f>
        <v>-1336136.8482328483</v>
      </c>
      <c r="BS172" s="21">
        <f ca="1">IFERROR(KH_26_OPT4_KTQT_v4[[#This Row],[DT-EXW-+/-]]/KH_26_OPT4_KTQT_v4[[#This Row],[DT-EXW-DB25]],0)</f>
        <v>-1</v>
      </c>
      <c r="BT172" s="139"/>
      <c r="BU172" s="57"/>
      <c r="BV172" s="51"/>
      <c r="BW172" s="47">
        <f>IF(KH_26_OPT4_KTQT_v4[[#This Row],[CPHH-%-SL]]="Dthu",KH_26_OPT4_KTQT_v4[[#This Row],[%HH]]*KH_26_OPT4_KTQT_v4[[#This Row],[DT-EXW-01]],KH_26_OPT4_KTQT_v4[[#This Row],[HH-SL]]*KH_26_OPT4_KTQT_v4[[#This Row],[SL-01]])</f>
        <v>0</v>
      </c>
      <c r="BX172" s="47">
        <f>IF(KH_26_OPT4_KTQT_v4[[#This Row],[CPHH-%-SL]]="Dthu",KH_26_OPT4_KTQT_v4[[#This Row],[%HH]]*KH_26_OPT4_KTQT_v4[[#This Row],[DT-EXW-02]],KH_26_OPT4_KTQT_v4[[#This Row],[HH-SL]]*KH_26_OPT4_KTQT_v4[[#This Row],[SL-02]])</f>
        <v>0</v>
      </c>
      <c r="BY172" s="47">
        <f>IF(KH_26_OPT4_KTQT_v4[[#This Row],[CPHH-%-SL]]="Dthu",KH_26_OPT4_KTQT_v4[[#This Row],[%HH]]*KH_26_OPT4_KTQT_v4[[#This Row],[DT-EXW-03]],KH_26_OPT4_KTQT_v4[[#This Row],[HH-SL]]*KH_26_OPT4_KTQT_v4[[#This Row],[SL-03]])</f>
        <v>0</v>
      </c>
      <c r="BZ172" s="47">
        <f>IF(KH_26_OPT4_KTQT_v4[[#This Row],[CPHH-%-SL]]="Dthu",KH_26_OPT4_KTQT_v4[[#This Row],[%HH]]*KH_26_OPT4_KTQT_v4[[#This Row],[DT-EXW-04]],KH_26_OPT4_KTQT_v4[[#This Row],[HH-SL]]*KH_26_OPT4_KTQT_v4[[#This Row],[SL-04]])</f>
        <v>0</v>
      </c>
      <c r="CA172" s="47">
        <f>IF(KH_26_OPT4_KTQT_v4[[#This Row],[CPHH-%-SL]]="Dthu",KH_26_OPT4_KTQT_v4[[#This Row],[%HH]]*KH_26_OPT4_KTQT_v4[[#This Row],[DT-EXW-05]],KH_26_OPT4_KTQT_v4[[#This Row],[HH-SL]]*KH_26_OPT4_KTQT_v4[[#This Row],[SL-05]])</f>
        <v>0</v>
      </c>
      <c r="CB172" s="47">
        <f>IF(KH_26_OPT4_KTQT_v4[[#This Row],[CPHH-%-SL]]="Dthu",KH_26_OPT4_KTQT_v4[[#This Row],[%HH]]*KH_26_OPT4_KTQT_v4[[#This Row],[DT-EXW-06]],KH_26_OPT4_KTQT_v4[[#This Row],[HH-SL]]*KH_26_OPT4_KTQT_v4[[#This Row],[SL-06]])</f>
        <v>0</v>
      </c>
      <c r="CC172" s="47">
        <f>IF(KH_26_OPT4_KTQT_v4[[#This Row],[CPHH-%-SL]]="Dthu",KH_26_OPT4_KTQT_v4[[#This Row],[%HH]]*KH_26_OPT4_KTQT_v4[[#This Row],[DT-EXW-07]],KH_26_OPT4_KTQT_v4[[#This Row],[HH-SL]]*KH_26_OPT4_KTQT_v4[[#This Row],[SL-07]])</f>
        <v>0</v>
      </c>
      <c r="CD172" s="47">
        <f>IF(KH_26_OPT4_KTQT_v4[[#This Row],[CPHH-%-SL]]="Dthu",KH_26_OPT4_KTQT_v4[[#This Row],[%HH]]*KH_26_OPT4_KTQT_v4[[#This Row],[DT-EXW-08]],KH_26_OPT4_KTQT_v4[[#This Row],[HH-SL]]*KH_26_OPT4_KTQT_v4[[#This Row],[SL-08]])</f>
        <v>0</v>
      </c>
      <c r="CE172" s="47">
        <f>IF(KH_26_OPT4_KTQT_v4[[#This Row],[CPHH-%-SL]]="Dthu",KH_26_OPT4_KTQT_v4[[#This Row],[%HH]]*KH_26_OPT4_KTQT_v4[[#This Row],[DT-EXW-09]],KH_26_OPT4_KTQT_v4[[#This Row],[HH-SL]]*KH_26_OPT4_KTQT_v4[[#This Row],[SL-09]])</f>
        <v>0</v>
      </c>
      <c r="CF172" s="47">
        <f>IF(KH_26_OPT4_KTQT_v4[[#This Row],[CPHH-%-SL]]="Dthu",KH_26_OPT4_KTQT_v4[[#This Row],[%HH]]*KH_26_OPT4_KTQT_v4[[#This Row],[DT-EXW-10]],KH_26_OPT4_KTQT_v4[[#This Row],[HH-SL]]*KH_26_OPT4_KTQT_v4[[#This Row],[SL-10]])</f>
        <v>0</v>
      </c>
      <c r="CG172" s="47">
        <f>IF(KH_26_OPT4_KTQT_v4[[#This Row],[CPHH-%-SL]]="Dthu",KH_26_OPT4_KTQT_v4[[#This Row],[%HH]]*KH_26_OPT4_KTQT_v4[[#This Row],[DT-EXW-11]],KH_26_OPT4_KTQT_v4[[#This Row],[HH-SL]]*KH_26_OPT4_KTQT_v4[[#This Row],[SL-11]])</f>
        <v>0</v>
      </c>
      <c r="CH172" s="47">
        <f>IF(KH_26_OPT4_KTQT_v4[[#This Row],[CPHH-%-SL]]="Dthu",KH_26_OPT4_KTQT_v4[[#This Row],[%HH]]*KH_26_OPT4_KTQT_v4[[#This Row],[DT-EXW-12]],KH_26_OPT4_KTQT_v4[[#This Row],[HH-SL]]*KH_26_OPT4_KTQT_v4[[#This Row],[SL-12]])</f>
        <v>0</v>
      </c>
      <c r="CI172" s="47">
        <f ca="1">SUM(KH_26_OPT4_KTQT_v4[[#This Row],[CPHH-01]:[CPHH-12]])</f>
        <v>0</v>
      </c>
      <c r="CJ172" s="47" cm="1">
        <f t="array" ref="CJ172">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72" s="19">
        <f ca="1">SUM(KH_26_OPT4_KTQT_v4[[#This Row],[ĐGVCNĐ-KXK]:[ĐGVCCT-KXK]])</f>
        <v>530000</v>
      </c>
      <c r="CL172" s="47" cm="1">
        <f t="array" ref="CL172">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530000</v>
      </c>
      <c r="CM172" s="47" cm="1">
        <f t="array" ref="CM172">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72" s="47">
        <f ca="1">(KH_26_OPT4_KTQT_v4[[#This Row],[ĐGVC-KNĐ]]+KH_26_OPT4_KTQT_v4[[#This Row],[ĐGVC-KXK]])*KH_26_OPT4_KTQT_v4[[#This Row],[SL-01]]</f>
        <v>0</v>
      </c>
      <c r="CO172" s="47">
        <f ca="1">(KH_26_OPT4_KTQT_v4[[#This Row],[ĐGVC-KNĐ]]+KH_26_OPT4_KTQT_v4[[#This Row],[ĐGVC-KXK]])*KH_26_OPT4_KTQT_v4[[#This Row],[SL-02]]</f>
        <v>0</v>
      </c>
      <c r="CP172" s="47">
        <f ca="1">(KH_26_OPT4_KTQT_v4[[#This Row],[ĐGVC-KNĐ]]+KH_26_OPT4_KTQT_v4[[#This Row],[ĐGVC-KXK]])*KH_26_OPT4_KTQT_v4[[#This Row],[SL-03]]</f>
        <v>0</v>
      </c>
      <c r="CQ172" s="47">
        <f ca="1">(KH_26_OPT4_KTQT_v4[[#This Row],[ĐGVC-KNĐ]]+KH_26_OPT4_KTQT_v4[[#This Row],[ĐGVC-KXK]])*KH_26_OPT4_KTQT_v4[[#This Row],[SL-04]]</f>
        <v>0</v>
      </c>
      <c r="CR172" s="47">
        <f ca="1">(KH_26_OPT4_KTQT_v4[[#This Row],[ĐGVC-KNĐ]]+KH_26_OPT4_KTQT_v4[[#This Row],[ĐGVC-KXK]])*KH_26_OPT4_KTQT_v4[[#This Row],[SL-05]]</f>
        <v>0</v>
      </c>
      <c r="CS172" s="47">
        <f ca="1">(KH_26_OPT4_KTQT_v4[[#This Row],[ĐGVC-KNĐ]]+KH_26_OPT4_KTQT_v4[[#This Row],[ĐGVC-KXK]])*KH_26_OPT4_KTQT_v4[[#This Row],[SL-06]]</f>
        <v>0</v>
      </c>
      <c r="CT172" s="47">
        <f ca="1">(KH_26_OPT4_KTQT_v4[[#This Row],[ĐGVC-KNĐ]]+KH_26_OPT4_KTQT_v4[[#This Row],[ĐGVC-KXK]])*KH_26_OPT4_KTQT_v4[[#This Row],[SL-07]]</f>
        <v>0</v>
      </c>
      <c r="CU172" s="47">
        <f ca="1">(KH_26_OPT4_KTQT_v4[[#This Row],[ĐGVC-KNĐ]]+KH_26_OPT4_KTQT_v4[[#This Row],[ĐGVC-KXK]])*KH_26_OPT4_KTQT_v4[[#This Row],[SL-08]]</f>
        <v>0</v>
      </c>
      <c r="CV172" s="47">
        <f ca="1">(KH_26_OPT4_KTQT_v4[[#This Row],[ĐGVC-KNĐ]]+KH_26_OPT4_KTQT_v4[[#This Row],[ĐGVC-KXK]])*KH_26_OPT4_KTQT_v4[[#This Row],[SL-09]]</f>
        <v>0</v>
      </c>
      <c r="CW172" s="47">
        <f ca="1">(KH_26_OPT4_KTQT_v4[[#This Row],[ĐGVC-KNĐ]]+KH_26_OPT4_KTQT_v4[[#This Row],[ĐGVC-KXK]])*KH_26_OPT4_KTQT_v4[[#This Row],[SL-10]]</f>
        <v>0</v>
      </c>
      <c r="CX172" s="47">
        <f ca="1">(KH_26_OPT4_KTQT_v4[[#This Row],[ĐGVC-KNĐ]]+KH_26_OPT4_KTQT_v4[[#This Row],[ĐGVC-KXK]])*KH_26_OPT4_KTQT_v4[[#This Row],[SL-11]]</f>
        <v>0</v>
      </c>
      <c r="CY172" s="47">
        <f ca="1">(KH_26_OPT4_KTQT_v4[[#This Row],[ĐGVC-KNĐ]]+KH_26_OPT4_KTQT_v4[[#This Row],[ĐGVC-KXK]])*KH_26_OPT4_KTQT_v4[[#This Row],[SL-12]]</f>
        <v>0</v>
      </c>
      <c r="CZ172" s="47">
        <f ca="1">SUM(KH_26_OPT4_KTQT_v4[[#This Row],[CPVC-01]:[CPVC-12]])</f>
        <v>0</v>
      </c>
      <c r="DA172" s="124">
        <f ca="1">KH_26_OPT4_KTQT_v4[[#This Row],[DT-EXW-01]]+KH_26_OPT4_KTQT_v4[[#This Row],[CPVC-01]]+KH_26_OPT4_KTQT_v4[[#This Row],[CPHH-01]]</f>
        <v>0</v>
      </c>
      <c r="DB172" s="47">
        <f ca="1">KH_26_OPT4_KTQT_v4[[#This Row],[DT-EXW-02]]+KH_26_OPT4_KTQT_v4[[#This Row],[CPVC-02]]+KH_26_OPT4_KTQT_v4[[#This Row],[CPHH-02]]</f>
        <v>0</v>
      </c>
      <c r="DC172" s="47">
        <f ca="1">KH_26_OPT4_KTQT_v4[[#This Row],[DT-EXW-03]]+KH_26_OPT4_KTQT_v4[[#This Row],[CPVC-03]]+KH_26_OPT4_KTQT_v4[[#This Row],[CPHH-03]]</f>
        <v>0</v>
      </c>
      <c r="DD172" s="47">
        <f ca="1">KH_26_OPT4_KTQT_v4[[#This Row],[DT-EXW-04]]+KH_26_OPT4_KTQT_v4[[#This Row],[CPVC-04]]+KH_26_OPT4_KTQT_v4[[#This Row],[CPHH-04]]</f>
        <v>0</v>
      </c>
      <c r="DE172" s="47">
        <f ca="1">KH_26_OPT4_KTQT_v4[[#This Row],[DT-EXW-05]]+KH_26_OPT4_KTQT_v4[[#This Row],[CPVC-05]]+KH_26_OPT4_KTQT_v4[[#This Row],[CPHH-05]]</f>
        <v>0</v>
      </c>
      <c r="DF172" s="47">
        <f ca="1">KH_26_OPT4_KTQT_v4[[#This Row],[DT-EXW-06]]+KH_26_OPT4_KTQT_v4[[#This Row],[CPVC-06]]+KH_26_OPT4_KTQT_v4[[#This Row],[CPHH-06]]</f>
        <v>0</v>
      </c>
      <c r="DG172" s="47">
        <f ca="1">KH_26_OPT4_KTQT_v4[[#This Row],[DT-EXW-07]]+KH_26_OPT4_KTQT_v4[[#This Row],[CPVC-07]]+KH_26_OPT4_KTQT_v4[[#This Row],[CPHH-07]]</f>
        <v>0</v>
      </c>
      <c r="DH172" s="47">
        <f ca="1">KH_26_OPT4_KTQT_v4[[#This Row],[DT-EXW-08]]+KH_26_OPT4_KTQT_v4[[#This Row],[CPVC-08]]+KH_26_OPT4_KTQT_v4[[#This Row],[CPHH-08]]</f>
        <v>0</v>
      </c>
      <c r="DI172" s="47">
        <f ca="1">KH_26_OPT4_KTQT_v4[[#This Row],[DT-EXW-09]]+KH_26_OPT4_KTQT_v4[[#This Row],[CPVC-09]]+KH_26_OPT4_KTQT_v4[[#This Row],[CPHH-09]]</f>
        <v>0</v>
      </c>
      <c r="DJ172" s="47">
        <f ca="1">KH_26_OPT4_KTQT_v4[[#This Row],[DT-EXW-10]]+KH_26_OPT4_KTQT_v4[[#This Row],[CPVC-10]]+KH_26_OPT4_KTQT_v4[[#This Row],[CPHH-10]]</f>
        <v>0</v>
      </c>
      <c r="DK172" s="47">
        <f ca="1">KH_26_OPT4_KTQT_v4[[#This Row],[DT-EXW-11]]+KH_26_OPT4_KTQT_v4[[#This Row],[CPVC-11]]+KH_26_OPT4_KTQT_v4[[#This Row],[CPHH-11]]</f>
        <v>0</v>
      </c>
      <c r="DL172" s="47">
        <f ca="1">KH_26_OPT4_KTQT_v4[[#This Row],[DT-EXW-12]]+KH_26_OPT4_KTQT_v4[[#This Row],[CPVC-12]]+KH_26_OPT4_KTQT_v4[[#This Row],[CPHH-12]]</f>
        <v>0</v>
      </c>
      <c r="DM172" s="47">
        <f ca="1">SUM(KH_26_OPT4_KTQT_v4[[#This Row],[DT-01]:[DT-12]])</f>
        <v>0</v>
      </c>
      <c r="DN172" s="7"/>
      <c r="DO172" s="7"/>
      <c r="DP172" s="125"/>
      <c r="DQ172" s="136"/>
      <c r="DR172" s="132">
        <f>IFERROR(KH_26_OPT4_KTQT_v4[[#This Row],[DT-EXW-01]]*KH_26_OPT4_KTQT_v4[[#This Row],[%CPDP]],0)</f>
        <v>0</v>
      </c>
      <c r="DS172" s="132">
        <f>IFERROR(KH_26_OPT4_KTQT_v4[[#This Row],[DT-EXW-02]]*KH_26_OPT4_KTQT_v4[[#This Row],[%CPDP]],0)</f>
        <v>0</v>
      </c>
      <c r="DT172" s="132">
        <f>IFERROR(KH_26_OPT4_KTQT_v4[[#This Row],[DT-EXW-03]]*KH_26_OPT4_KTQT_v4[[#This Row],[%CPDP]],0)</f>
        <v>0</v>
      </c>
      <c r="DU172" s="132">
        <f>IFERROR(KH_26_OPT4_KTQT_v4[[#This Row],[DT-EXW-04]]*KH_26_OPT4_KTQT_v4[[#This Row],[%CPDP]],0)</f>
        <v>0</v>
      </c>
      <c r="DV172" s="132">
        <f>IFERROR(KH_26_OPT4_KTQT_v4[[#This Row],[DT-EXW-05]]*KH_26_OPT4_KTQT_v4[[#This Row],[%CPDP]],0)</f>
        <v>0</v>
      </c>
      <c r="DW172" s="132">
        <f>IFERROR(KH_26_OPT4_KTQT_v4[[#This Row],[DT-EXW-06]]*KH_26_OPT4_KTQT_v4[[#This Row],[%CPDP]],0)</f>
        <v>0</v>
      </c>
      <c r="DX172" s="132">
        <f>IFERROR(KH_26_OPT4_KTQT_v4[[#This Row],[DT-EXW-07]]*KH_26_OPT4_KTQT_v4[[#This Row],[%CPDP]],0)</f>
        <v>0</v>
      </c>
      <c r="DY172" s="132">
        <f>IFERROR(KH_26_OPT4_KTQT_v4[[#This Row],[DT-EXW-08]]*KH_26_OPT4_KTQT_v4[[#This Row],[%CPDP]],0)</f>
        <v>0</v>
      </c>
      <c r="DZ172" s="132">
        <f>IFERROR(KH_26_OPT4_KTQT_v4[[#This Row],[DT-EXW-09]]*KH_26_OPT4_KTQT_v4[[#This Row],[%CPDP]],0)</f>
        <v>0</v>
      </c>
      <c r="EA172" s="132">
        <f>IFERROR(KH_26_OPT4_KTQT_v4[[#This Row],[DT-EXW-10]]*KH_26_OPT4_KTQT_v4[[#This Row],[%CPDP]],0)</f>
        <v>0</v>
      </c>
      <c r="EB172" s="132">
        <f>IFERROR(KH_26_OPT4_KTQT_v4[[#This Row],[DT-EXW-11]]*KH_26_OPT4_KTQT_v4[[#This Row],[%CPDP]],0)</f>
        <v>0</v>
      </c>
      <c r="EC172" s="132">
        <f>IFERROR(KH_26_OPT4_KTQT_v4[[#This Row],[DT-EXW-12]]*KH_26_OPT4_KTQT_v4[[#This Row],[%CPDP]],0)</f>
        <v>0</v>
      </c>
      <c r="ED172" s="131">
        <f ca="1">SUM(KH_26_OPT4_KTQT_v4[[#This Row],[CPDP-01]:[CPDP-12]])</f>
        <v>0</v>
      </c>
    </row>
    <row r="173" spans="1:134" ht="14.5" hidden="1" x14ac:dyDescent="0.35">
      <c r="A173" s="18">
        <v>168</v>
      </c>
      <c r="B173" s="71" t="s">
        <v>95</v>
      </c>
      <c r="C173" s="18" t="str">
        <f>IFERROR(_xlfn.XLOOKUP(KH_26_OPT4_KTQT_v4[[#This Row],[Salesman]],MD_Salesman[Salesman],MD_Salesman[SalesManager]),"")</f>
        <v>Cường</v>
      </c>
      <c r="D173" s="72" t="str">
        <f>IFERROR(INDEX(MD_Customer[Mã khách],MATCH(KH_26_OPT4_KTQT_v4[[#This Row],[Tên khách]],MD_Customer[Tên khách-rút gọn],0)),"")</f>
        <v>200370</v>
      </c>
      <c r="E173" s="7" t="str">
        <f>IFERROR(INDEX(MD_Customer[Parent Account],MATCH(KH_26_OPT4_KTQT_v4[[#This Row],[Tên khách]],MD_Customer[Tên khách-rút gọn],0)),"")</f>
        <v>KORYFES SA</v>
      </c>
      <c r="F173" s="35" t="s">
        <v>46</v>
      </c>
      <c r="G173" s="7" t="str">
        <f>IFERROR(INDEX(MD_Customer[Phân loại],MATCH(KH_26_OPT4_KTQT_v4[[#This Row],[Tên khách]],MD_Customer[Tên khách-rút gọn],0)),"")</f>
        <v>Hiện hữu</v>
      </c>
      <c r="H173" s="7" t="str">
        <f>IFERROR(INDEX(MD_Customer[Kênh bán hàng],MATCH(KH_26_OPT4_KTQT_v4[[#This Row],[Tên khách]],MD_Customer[Tên khách-rút gọn],0)),"")</f>
        <v>Xuất khẩu</v>
      </c>
      <c r="I173" s="35" t="s">
        <v>291</v>
      </c>
      <c r="J173" s="7" t="str">
        <f>IFERROR(INDEX(MD_Destination[Nước],MATCH(KH_26_OPT4_KTQT_v4[[#This Row],[Địa điểm đến]],MD_Destination[Địa điểm đến],0)),"")</f>
        <v>Bulgaria</v>
      </c>
      <c r="K173" s="7" t="str">
        <f>IFERROR(INDEX(MD_Destination[Khu vực],MATCH(KH_26_OPT4_KTQT_v4[[#This Row],[Địa điểm đến]],MD_Destination[Địa điểm đến],0)),"")</f>
        <v>Châu Âu</v>
      </c>
      <c r="L173" s="35" t="s">
        <v>293</v>
      </c>
      <c r="M173" s="7" t="str">
        <f>IFERROR(INDEX(MD_SKU[Mã SKU],MATCH(KH_26_OPT4_KTQT_v4[[#This Row],[Tên sản phẩm]],MD_SKU[Tên SKU-rút gọn],0)),"")</f>
        <v>110000332</v>
      </c>
      <c r="N173" s="35" t="s">
        <v>1124</v>
      </c>
      <c r="O173" s="7" t="str">
        <f>IFERROR(INDEX(MD_SKU[Ngành hàng],MATCH(KH_26_OPT4_KTQT_v4[[#This Row],[Tên sản phẩm]],MD_SKU[Tên SKU-rút gọn],0)),"")</f>
        <v>rPET</v>
      </c>
      <c r="P173" s="7" t="str">
        <f>IFERROR(INDEX(MD_SKU[Nhóm ngành],MATCH(KH_26_OPT4_KTQT_v4[[#This Row],[Tên sản phẩm]],MD_SKU[Tên SKU-rút gọn],0)),"")</f>
        <v>Hạt PET</v>
      </c>
      <c r="Q173" s="7" t="str">
        <f>IFERROR(
   IF(INDEX(MD_SKU[IV/IM],MATCH(KH_26_OPT4_KTQT_v4[[#This Row],[Tên sản phẩm]],MD_SKU[Tên SKU-rút gọn],0))=0,
      "",
      INDEX(MD_SKU[IV/IM],MATCH(KH_26_OPT4_KTQT_v4[[#This Row],[Tên sản phẩm]],MD_SKU[Tên SKU-rút gọn],0))
   ),
"")</f>
        <v>0.84 ± 0.03</v>
      </c>
      <c r="R173" s="44">
        <f>IFERROR(INDEX(MD_SKU[Application],MATCH(KH_26_OPT4_KTQT_v4[[#This Row],[Tên sản phẩm]],MD_SKU[Tên SKU-rút gọn],0)),"")</f>
        <v>0</v>
      </c>
      <c r="S173" s="7" t="str">
        <f>IFERROR(INDEX(MD_SKU[Phân loại],MATCH(KH_26_OPT4_KTQT_v4[[#This Row],[Tên sản phẩm]],MD_SKU[Tên SKU-rút gọn],0)),"")</f>
        <v>Cũ</v>
      </c>
      <c r="T173" s="7" t="s">
        <v>542</v>
      </c>
      <c r="U173" s="7"/>
      <c r="V173" s="70">
        <v>0.8</v>
      </c>
      <c r="W173" s="33">
        <v>0</v>
      </c>
      <c r="X173" s="33">
        <v>0</v>
      </c>
      <c r="Y173" s="33">
        <v>0</v>
      </c>
      <c r="Z173" s="33">
        <v>0</v>
      </c>
      <c r="AA173" s="33">
        <v>0</v>
      </c>
      <c r="AB173" s="33">
        <v>0</v>
      </c>
      <c r="AC173" s="33">
        <v>0</v>
      </c>
      <c r="AD173" s="33">
        <v>0</v>
      </c>
      <c r="AE173" s="33">
        <v>0</v>
      </c>
      <c r="AF173" s="33">
        <v>0</v>
      </c>
      <c r="AG173" s="33">
        <v>0</v>
      </c>
      <c r="AH173" s="33">
        <v>0</v>
      </c>
      <c r="AI173" s="47">
        <f ca="1">SUM(KH_26_OPT4_KTQT_v4[[#This Row],[SL-01]:[SL-12]])</f>
        <v>0</v>
      </c>
      <c r="AJ173" s="47">
        <f ca="1">SUMIFS(DB_25[SL-DB25],DB_25[Mã khách],KH_26_OPT4_KTQT_v4[[#This Row],[Mã khách]],DB_25[Mã sản phẩm],KH_26_OPT4_KTQT_v4[[#This Row],[Mã sản phẩm]])</f>
        <v>22</v>
      </c>
      <c r="AK173" s="20">
        <f ca="1">KH_26_OPT4_KTQT_v4[[#This Row],[SL-KH26]]-KH_26_OPT4_KTQT_v4[[#This Row],[SL-DB25]]</f>
        <v>-22</v>
      </c>
      <c r="AL173" s="21">
        <f ca="1">IFERROR(KH_26_OPT4_KTQT_v4[[#This Row],[SL-+/-]]/KH_26_OPT4_KTQT_v4[[#This Row],[SL-DB25]],0)</f>
        <v>-1</v>
      </c>
      <c r="AM173" s="51"/>
      <c r="AN173" s="51"/>
      <c r="AO173" s="51"/>
      <c r="AP173" s="51"/>
      <c r="AQ173" s="51"/>
      <c r="AR173" s="51"/>
      <c r="AS173" s="51"/>
      <c r="AT173" s="51"/>
      <c r="AU173" s="51"/>
      <c r="AV173" s="51"/>
      <c r="AW173" s="51"/>
      <c r="AX173" s="51"/>
      <c r="AY173" s="23"/>
      <c r="AZ173" s="7"/>
      <c r="BA173" s="24">
        <f>KH_26_OPT4_KTQT_v4[[#This Row],[GB-DB25]]-KH_26_OPT4_KTQT_v4[[#This Row],[GB-KH25]]</f>
        <v>0</v>
      </c>
      <c r="BB173" s="21">
        <f>IFERROR(KH_26_OPT4_KTQT_v4[[#This Row],[GB-+/-]]/KH_26_OPT4_KTQT_v4[[#This Row],[GB-KH25]],0)</f>
        <v>0</v>
      </c>
      <c r="BC173" s="21"/>
      <c r="BD173" s="47">
        <f>KH_26_OPT4_KTQT_v4[[#This Row],[SL-01]]*KH_26_OPT4_KTQT_v4[[#This Row],[GB-01]]*EXR</f>
        <v>0</v>
      </c>
      <c r="BE173" s="47">
        <f>KH_26_OPT4_KTQT_v4[[#This Row],[SL-02]]*KH_26_OPT4_KTQT_v4[[#This Row],[GB-02]]*EXR</f>
        <v>0</v>
      </c>
      <c r="BF173" s="47">
        <f>KH_26_OPT4_KTQT_v4[[#This Row],[SL-03]]*KH_26_OPT4_KTQT_v4[[#This Row],[GB-03]]*EXR</f>
        <v>0</v>
      </c>
      <c r="BG173" s="47">
        <f>KH_26_OPT4_KTQT_v4[[#This Row],[SL-04]]*KH_26_OPT4_KTQT_v4[[#This Row],[GB-04]]*EXR</f>
        <v>0</v>
      </c>
      <c r="BH173" s="47">
        <f>KH_26_OPT4_KTQT_v4[[#This Row],[SL-05]]*KH_26_OPT4_KTQT_v4[[#This Row],[GB-05]]*EXR</f>
        <v>0</v>
      </c>
      <c r="BI173" s="47">
        <f>KH_26_OPT4_KTQT_v4[[#This Row],[SL-06]]*KH_26_OPT4_KTQT_v4[[#This Row],[GB-06]]*EXR</f>
        <v>0</v>
      </c>
      <c r="BJ173" s="47">
        <f>KH_26_OPT4_KTQT_v4[[#This Row],[SL-07]]*KH_26_OPT4_KTQT_v4[[#This Row],[GB-07]]*EXR</f>
        <v>0</v>
      </c>
      <c r="BK173" s="47">
        <f>KH_26_OPT4_KTQT_v4[[#This Row],[SL-08]]*KH_26_OPT4_KTQT_v4[[#This Row],[GB-08]]*EXR</f>
        <v>0</v>
      </c>
      <c r="BL173" s="47">
        <f>KH_26_OPT4_KTQT_v4[[#This Row],[SL-09]]*KH_26_OPT4_KTQT_v4[[#This Row],[GB-09]]*EXR</f>
        <v>0</v>
      </c>
      <c r="BM173" s="47">
        <f>KH_26_OPT4_KTQT_v4[[#This Row],[SL-10]]*KH_26_OPT4_KTQT_v4[[#This Row],[GB-10]]*EXR</f>
        <v>0</v>
      </c>
      <c r="BN173" s="47">
        <f>KH_26_OPT4_KTQT_v4[[#This Row],[SL-11]]*KH_26_OPT4_KTQT_v4[[#This Row],[GB-11]]*EXR</f>
        <v>0</v>
      </c>
      <c r="BO173" s="47">
        <f>KH_26_OPT4_KTQT_v4[[#This Row],[SL-12]]*KH_26_OPT4_KTQT_v4[[#This Row],[GB-12]]*EXR</f>
        <v>0</v>
      </c>
      <c r="BP173" s="47">
        <f ca="1">SUM(KH_26_OPT4_KTQT_v4[[#This Row],[DT-EXW-01]:[DT-EXW-12]])</f>
        <v>0</v>
      </c>
      <c r="BQ173" s="47">
        <f ca="1">SUMIFS(DB_25[DT-DB25],DB_25[Mã khách],KH_26_OPT4_KTQT_v4[[#This Row],[Mã khách]],DB_25[Mã sản phẩm],KH_26_OPT4_KTQT_v4[[#This Row],[Mã sản phẩm]])</f>
        <v>755003639.13719022</v>
      </c>
      <c r="BR173" s="47">
        <f ca="1">KH_26_OPT4_KTQT_v4[[#This Row],[DT-EXW-KH26]]-KH_26_OPT4_KTQT_v4[[#This Row],[DT-EXW-DB25]]</f>
        <v>-755003639.13719022</v>
      </c>
      <c r="BS173" s="21">
        <f ca="1">IFERROR(KH_26_OPT4_KTQT_v4[[#This Row],[DT-EXW-+/-]]/KH_26_OPT4_KTQT_v4[[#This Row],[DT-EXW-DB25]],0)</f>
        <v>-1</v>
      </c>
      <c r="BT173" s="139"/>
      <c r="BU173" s="57"/>
      <c r="BV173" s="51"/>
      <c r="BW173" s="47">
        <f>IF(KH_26_OPT4_KTQT_v4[[#This Row],[CPHH-%-SL]]="Dthu",KH_26_OPT4_KTQT_v4[[#This Row],[%HH]]*KH_26_OPT4_KTQT_v4[[#This Row],[DT-EXW-01]],KH_26_OPT4_KTQT_v4[[#This Row],[HH-SL]]*KH_26_OPT4_KTQT_v4[[#This Row],[SL-01]])</f>
        <v>0</v>
      </c>
      <c r="BX173" s="47">
        <f>IF(KH_26_OPT4_KTQT_v4[[#This Row],[CPHH-%-SL]]="Dthu",KH_26_OPT4_KTQT_v4[[#This Row],[%HH]]*KH_26_OPT4_KTQT_v4[[#This Row],[DT-EXW-02]],KH_26_OPT4_KTQT_v4[[#This Row],[HH-SL]]*KH_26_OPT4_KTQT_v4[[#This Row],[SL-02]])</f>
        <v>0</v>
      </c>
      <c r="BY173" s="47">
        <f>IF(KH_26_OPT4_KTQT_v4[[#This Row],[CPHH-%-SL]]="Dthu",KH_26_OPT4_KTQT_v4[[#This Row],[%HH]]*KH_26_OPT4_KTQT_v4[[#This Row],[DT-EXW-03]],KH_26_OPT4_KTQT_v4[[#This Row],[HH-SL]]*KH_26_OPT4_KTQT_v4[[#This Row],[SL-03]])</f>
        <v>0</v>
      </c>
      <c r="BZ173" s="47">
        <f>IF(KH_26_OPT4_KTQT_v4[[#This Row],[CPHH-%-SL]]="Dthu",KH_26_OPT4_KTQT_v4[[#This Row],[%HH]]*KH_26_OPT4_KTQT_v4[[#This Row],[DT-EXW-04]],KH_26_OPT4_KTQT_v4[[#This Row],[HH-SL]]*KH_26_OPT4_KTQT_v4[[#This Row],[SL-04]])</f>
        <v>0</v>
      </c>
      <c r="CA173" s="47">
        <f>IF(KH_26_OPT4_KTQT_v4[[#This Row],[CPHH-%-SL]]="Dthu",KH_26_OPT4_KTQT_v4[[#This Row],[%HH]]*KH_26_OPT4_KTQT_v4[[#This Row],[DT-EXW-05]],KH_26_OPT4_KTQT_v4[[#This Row],[HH-SL]]*KH_26_OPT4_KTQT_v4[[#This Row],[SL-05]])</f>
        <v>0</v>
      </c>
      <c r="CB173" s="47">
        <f>IF(KH_26_OPT4_KTQT_v4[[#This Row],[CPHH-%-SL]]="Dthu",KH_26_OPT4_KTQT_v4[[#This Row],[%HH]]*KH_26_OPT4_KTQT_v4[[#This Row],[DT-EXW-06]],KH_26_OPT4_KTQT_v4[[#This Row],[HH-SL]]*KH_26_OPT4_KTQT_v4[[#This Row],[SL-06]])</f>
        <v>0</v>
      </c>
      <c r="CC173" s="47">
        <f>IF(KH_26_OPT4_KTQT_v4[[#This Row],[CPHH-%-SL]]="Dthu",KH_26_OPT4_KTQT_v4[[#This Row],[%HH]]*KH_26_OPT4_KTQT_v4[[#This Row],[DT-EXW-07]],KH_26_OPT4_KTQT_v4[[#This Row],[HH-SL]]*KH_26_OPT4_KTQT_v4[[#This Row],[SL-07]])</f>
        <v>0</v>
      </c>
      <c r="CD173" s="47">
        <f>IF(KH_26_OPT4_KTQT_v4[[#This Row],[CPHH-%-SL]]="Dthu",KH_26_OPT4_KTQT_v4[[#This Row],[%HH]]*KH_26_OPT4_KTQT_v4[[#This Row],[DT-EXW-08]],KH_26_OPT4_KTQT_v4[[#This Row],[HH-SL]]*KH_26_OPT4_KTQT_v4[[#This Row],[SL-08]])</f>
        <v>0</v>
      </c>
      <c r="CE173" s="47">
        <f>IF(KH_26_OPT4_KTQT_v4[[#This Row],[CPHH-%-SL]]="Dthu",KH_26_OPT4_KTQT_v4[[#This Row],[%HH]]*KH_26_OPT4_KTQT_v4[[#This Row],[DT-EXW-09]],KH_26_OPT4_KTQT_v4[[#This Row],[HH-SL]]*KH_26_OPT4_KTQT_v4[[#This Row],[SL-09]])</f>
        <v>0</v>
      </c>
      <c r="CF173" s="47">
        <f>IF(KH_26_OPT4_KTQT_v4[[#This Row],[CPHH-%-SL]]="Dthu",KH_26_OPT4_KTQT_v4[[#This Row],[%HH]]*KH_26_OPT4_KTQT_v4[[#This Row],[DT-EXW-10]],KH_26_OPT4_KTQT_v4[[#This Row],[HH-SL]]*KH_26_OPT4_KTQT_v4[[#This Row],[SL-10]])</f>
        <v>0</v>
      </c>
      <c r="CG173" s="47">
        <f>IF(KH_26_OPT4_KTQT_v4[[#This Row],[CPHH-%-SL]]="Dthu",KH_26_OPT4_KTQT_v4[[#This Row],[%HH]]*KH_26_OPT4_KTQT_v4[[#This Row],[DT-EXW-11]],KH_26_OPT4_KTQT_v4[[#This Row],[HH-SL]]*KH_26_OPT4_KTQT_v4[[#This Row],[SL-11]])</f>
        <v>0</v>
      </c>
      <c r="CH173" s="47">
        <f>IF(KH_26_OPT4_KTQT_v4[[#This Row],[CPHH-%-SL]]="Dthu",KH_26_OPT4_KTQT_v4[[#This Row],[%HH]]*KH_26_OPT4_KTQT_v4[[#This Row],[DT-EXW-12]],KH_26_OPT4_KTQT_v4[[#This Row],[HH-SL]]*KH_26_OPT4_KTQT_v4[[#This Row],[SL-12]])</f>
        <v>0</v>
      </c>
      <c r="CI173" s="47">
        <f ca="1">SUM(KH_26_OPT4_KTQT_v4[[#This Row],[CPHH-01]:[CPHH-12]])</f>
        <v>0</v>
      </c>
      <c r="CJ173" s="47" cm="1">
        <f t="array" ref="CJ173">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73" s="19">
        <f ca="1">SUM(KH_26_OPT4_KTQT_v4[[#This Row],[ĐGVCNĐ-KXK]:[ĐGVCCT-KXK]])</f>
        <v>3782272.7272727275</v>
      </c>
      <c r="CL173" s="47" cm="1">
        <f t="array" ref="CL173">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530000</v>
      </c>
      <c r="CM173" s="47" cm="1">
        <f t="array" ref="CM173">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3252272.7272727275</v>
      </c>
      <c r="CN173" s="47">
        <f ca="1">(KH_26_OPT4_KTQT_v4[[#This Row],[ĐGVC-KNĐ]]+KH_26_OPT4_KTQT_v4[[#This Row],[ĐGVC-KXK]])*KH_26_OPT4_KTQT_v4[[#This Row],[SL-01]]</f>
        <v>0</v>
      </c>
      <c r="CO173" s="47">
        <f ca="1">(KH_26_OPT4_KTQT_v4[[#This Row],[ĐGVC-KNĐ]]+KH_26_OPT4_KTQT_v4[[#This Row],[ĐGVC-KXK]])*KH_26_OPT4_KTQT_v4[[#This Row],[SL-02]]</f>
        <v>0</v>
      </c>
      <c r="CP173" s="47">
        <f ca="1">(KH_26_OPT4_KTQT_v4[[#This Row],[ĐGVC-KNĐ]]+KH_26_OPT4_KTQT_v4[[#This Row],[ĐGVC-KXK]])*KH_26_OPT4_KTQT_v4[[#This Row],[SL-03]]</f>
        <v>0</v>
      </c>
      <c r="CQ173" s="47">
        <f ca="1">(KH_26_OPT4_KTQT_v4[[#This Row],[ĐGVC-KNĐ]]+KH_26_OPT4_KTQT_v4[[#This Row],[ĐGVC-KXK]])*KH_26_OPT4_KTQT_v4[[#This Row],[SL-04]]</f>
        <v>0</v>
      </c>
      <c r="CR173" s="47">
        <f ca="1">(KH_26_OPT4_KTQT_v4[[#This Row],[ĐGVC-KNĐ]]+KH_26_OPT4_KTQT_v4[[#This Row],[ĐGVC-KXK]])*KH_26_OPT4_KTQT_v4[[#This Row],[SL-05]]</f>
        <v>0</v>
      </c>
      <c r="CS173" s="47">
        <f ca="1">(KH_26_OPT4_KTQT_v4[[#This Row],[ĐGVC-KNĐ]]+KH_26_OPT4_KTQT_v4[[#This Row],[ĐGVC-KXK]])*KH_26_OPT4_KTQT_v4[[#This Row],[SL-06]]</f>
        <v>0</v>
      </c>
      <c r="CT173" s="47">
        <f ca="1">(KH_26_OPT4_KTQT_v4[[#This Row],[ĐGVC-KNĐ]]+KH_26_OPT4_KTQT_v4[[#This Row],[ĐGVC-KXK]])*KH_26_OPT4_KTQT_v4[[#This Row],[SL-07]]</f>
        <v>0</v>
      </c>
      <c r="CU173" s="47">
        <f ca="1">(KH_26_OPT4_KTQT_v4[[#This Row],[ĐGVC-KNĐ]]+KH_26_OPT4_KTQT_v4[[#This Row],[ĐGVC-KXK]])*KH_26_OPT4_KTQT_v4[[#This Row],[SL-08]]</f>
        <v>0</v>
      </c>
      <c r="CV173" s="47">
        <f ca="1">(KH_26_OPT4_KTQT_v4[[#This Row],[ĐGVC-KNĐ]]+KH_26_OPT4_KTQT_v4[[#This Row],[ĐGVC-KXK]])*KH_26_OPT4_KTQT_v4[[#This Row],[SL-09]]</f>
        <v>0</v>
      </c>
      <c r="CW173" s="47">
        <f ca="1">(KH_26_OPT4_KTQT_v4[[#This Row],[ĐGVC-KNĐ]]+KH_26_OPT4_KTQT_v4[[#This Row],[ĐGVC-KXK]])*KH_26_OPT4_KTQT_v4[[#This Row],[SL-10]]</f>
        <v>0</v>
      </c>
      <c r="CX173" s="47">
        <f ca="1">(KH_26_OPT4_KTQT_v4[[#This Row],[ĐGVC-KNĐ]]+KH_26_OPT4_KTQT_v4[[#This Row],[ĐGVC-KXK]])*KH_26_OPT4_KTQT_v4[[#This Row],[SL-11]]</f>
        <v>0</v>
      </c>
      <c r="CY173" s="47">
        <f ca="1">(KH_26_OPT4_KTQT_v4[[#This Row],[ĐGVC-KNĐ]]+KH_26_OPT4_KTQT_v4[[#This Row],[ĐGVC-KXK]])*KH_26_OPT4_KTQT_v4[[#This Row],[SL-12]]</f>
        <v>0</v>
      </c>
      <c r="CZ173" s="47">
        <f ca="1">SUM(KH_26_OPT4_KTQT_v4[[#This Row],[CPVC-01]:[CPVC-12]])</f>
        <v>0</v>
      </c>
      <c r="DA173" s="124">
        <f ca="1">KH_26_OPT4_KTQT_v4[[#This Row],[DT-EXW-01]]+KH_26_OPT4_KTQT_v4[[#This Row],[CPVC-01]]+KH_26_OPT4_KTQT_v4[[#This Row],[CPHH-01]]</f>
        <v>0</v>
      </c>
      <c r="DB173" s="47">
        <f ca="1">KH_26_OPT4_KTQT_v4[[#This Row],[DT-EXW-02]]+KH_26_OPT4_KTQT_v4[[#This Row],[CPVC-02]]+KH_26_OPT4_KTQT_v4[[#This Row],[CPHH-02]]</f>
        <v>0</v>
      </c>
      <c r="DC173" s="47">
        <f ca="1">KH_26_OPT4_KTQT_v4[[#This Row],[DT-EXW-03]]+KH_26_OPT4_KTQT_v4[[#This Row],[CPVC-03]]+KH_26_OPT4_KTQT_v4[[#This Row],[CPHH-03]]</f>
        <v>0</v>
      </c>
      <c r="DD173" s="47">
        <f ca="1">KH_26_OPT4_KTQT_v4[[#This Row],[DT-EXW-04]]+KH_26_OPT4_KTQT_v4[[#This Row],[CPVC-04]]+KH_26_OPT4_KTQT_v4[[#This Row],[CPHH-04]]</f>
        <v>0</v>
      </c>
      <c r="DE173" s="47">
        <f ca="1">KH_26_OPT4_KTQT_v4[[#This Row],[DT-EXW-05]]+KH_26_OPT4_KTQT_v4[[#This Row],[CPVC-05]]+KH_26_OPT4_KTQT_v4[[#This Row],[CPHH-05]]</f>
        <v>0</v>
      </c>
      <c r="DF173" s="47">
        <f ca="1">KH_26_OPT4_KTQT_v4[[#This Row],[DT-EXW-06]]+KH_26_OPT4_KTQT_v4[[#This Row],[CPVC-06]]+KH_26_OPT4_KTQT_v4[[#This Row],[CPHH-06]]</f>
        <v>0</v>
      </c>
      <c r="DG173" s="47">
        <f ca="1">KH_26_OPT4_KTQT_v4[[#This Row],[DT-EXW-07]]+KH_26_OPT4_KTQT_v4[[#This Row],[CPVC-07]]+KH_26_OPT4_KTQT_v4[[#This Row],[CPHH-07]]</f>
        <v>0</v>
      </c>
      <c r="DH173" s="47">
        <f ca="1">KH_26_OPT4_KTQT_v4[[#This Row],[DT-EXW-08]]+KH_26_OPT4_KTQT_v4[[#This Row],[CPVC-08]]+KH_26_OPT4_KTQT_v4[[#This Row],[CPHH-08]]</f>
        <v>0</v>
      </c>
      <c r="DI173" s="47">
        <f ca="1">KH_26_OPT4_KTQT_v4[[#This Row],[DT-EXW-09]]+KH_26_OPT4_KTQT_v4[[#This Row],[CPVC-09]]+KH_26_OPT4_KTQT_v4[[#This Row],[CPHH-09]]</f>
        <v>0</v>
      </c>
      <c r="DJ173" s="47">
        <f ca="1">KH_26_OPT4_KTQT_v4[[#This Row],[DT-EXW-10]]+KH_26_OPT4_KTQT_v4[[#This Row],[CPVC-10]]+KH_26_OPT4_KTQT_v4[[#This Row],[CPHH-10]]</f>
        <v>0</v>
      </c>
      <c r="DK173" s="47">
        <f ca="1">KH_26_OPT4_KTQT_v4[[#This Row],[DT-EXW-11]]+KH_26_OPT4_KTQT_v4[[#This Row],[CPVC-11]]+KH_26_OPT4_KTQT_v4[[#This Row],[CPHH-11]]</f>
        <v>0</v>
      </c>
      <c r="DL173" s="47">
        <f ca="1">KH_26_OPT4_KTQT_v4[[#This Row],[DT-EXW-12]]+KH_26_OPT4_KTQT_v4[[#This Row],[CPVC-12]]+KH_26_OPT4_KTQT_v4[[#This Row],[CPHH-12]]</f>
        <v>0</v>
      </c>
      <c r="DM173" s="47">
        <f ca="1">SUM(KH_26_OPT4_KTQT_v4[[#This Row],[DT-01]:[DT-12]])</f>
        <v>0</v>
      </c>
      <c r="DN173" s="7"/>
      <c r="DO173" s="7"/>
      <c r="DP173" s="125"/>
      <c r="DQ173" s="136"/>
      <c r="DR173" s="132">
        <f>IFERROR(KH_26_OPT4_KTQT_v4[[#This Row],[DT-EXW-01]]*KH_26_OPT4_KTQT_v4[[#This Row],[%CPDP]],0)</f>
        <v>0</v>
      </c>
      <c r="DS173" s="132">
        <f>IFERROR(KH_26_OPT4_KTQT_v4[[#This Row],[DT-EXW-02]]*KH_26_OPT4_KTQT_v4[[#This Row],[%CPDP]],0)</f>
        <v>0</v>
      </c>
      <c r="DT173" s="132">
        <f>IFERROR(KH_26_OPT4_KTQT_v4[[#This Row],[DT-EXW-03]]*KH_26_OPT4_KTQT_v4[[#This Row],[%CPDP]],0)</f>
        <v>0</v>
      </c>
      <c r="DU173" s="132">
        <f>IFERROR(KH_26_OPT4_KTQT_v4[[#This Row],[DT-EXW-04]]*KH_26_OPT4_KTQT_v4[[#This Row],[%CPDP]],0)</f>
        <v>0</v>
      </c>
      <c r="DV173" s="132">
        <f>IFERROR(KH_26_OPT4_KTQT_v4[[#This Row],[DT-EXW-05]]*KH_26_OPT4_KTQT_v4[[#This Row],[%CPDP]],0)</f>
        <v>0</v>
      </c>
      <c r="DW173" s="132">
        <f>IFERROR(KH_26_OPT4_KTQT_v4[[#This Row],[DT-EXW-06]]*KH_26_OPT4_KTQT_v4[[#This Row],[%CPDP]],0)</f>
        <v>0</v>
      </c>
      <c r="DX173" s="132">
        <f>IFERROR(KH_26_OPT4_KTQT_v4[[#This Row],[DT-EXW-07]]*KH_26_OPT4_KTQT_v4[[#This Row],[%CPDP]],0)</f>
        <v>0</v>
      </c>
      <c r="DY173" s="132">
        <f>IFERROR(KH_26_OPT4_KTQT_v4[[#This Row],[DT-EXW-08]]*KH_26_OPT4_KTQT_v4[[#This Row],[%CPDP]],0)</f>
        <v>0</v>
      </c>
      <c r="DZ173" s="132">
        <f>IFERROR(KH_26_OPT4_KTQT_v4[[#This Row],[DT-EXW-09]]*KH_26_OPT4_KTQT_v4[[#This Row],[%CPDP]],0)</f>
        <v>0</v>
      </c>
      <c r="EA173" s="132">
        <f>IFERROR(KH_26_OPT4_KTQT_v4[[#This Row],[DT-EXW-10]]*KH_26_OPT4_KTQT_v4[[#This Row],[%CPDP]],0)</f>
        <v>0</v>
      </c>
      <c r="EB173" s="132">
        <f>IFERROR(KH_26_OPT4_KTQT_v4[[#This Row],[DT-EXW-11]]*KH_26_OPT4_KTQT_v4[[#This Row],[%CPDP]],0)</f>
        <v>0</v>
      </c>
      <c r="EC173" s="132">
        <f>IFERROR(KH_26_OPT4_KTQT_v4[[#This Row],[DT-EXW-12]]*KH_26_OPT4_KTQT_v4[[#This Row],[%CPDP]],0)</f>
        <v>0</v>
      </c>
      <c r="ED173" s="131">
        <f ca="1">SUM(KH_26_OPT4_KTQT_v4[[#This Row],[CPDP-01]:[CPDP-12]])</f>
        <v>0</v>
      </c>
    </row>
    <row r="174" spans="1:134" ht="14.5" hidden="1" x14ac:dyDescent="0.35">
      <c r="A174" s="18">
        <v>169</v>
      </c>
      <c r="B174" s="71" t="s">
        <v>104</v>
      </c>
      <c r="C174" s="18" t="str">
        <f>IFERROR(_xlfn.XLOOKUP(KH_26_OPT4_KTQT_v4[[#This Row],[Salesman]],MD_Salesman[Salesman],MD_Salesman[SalesManager]),"")</f>
        <v>Quốc Anh</v>
      </c>
      <c r="D174" s="72" t="str">
        <f>IFERROR(INDEX(MD_Customer[Mã khách],MATCH(KH_26_OPT4_KTQT_v4[[#This Row],[Tên khách]],MD_Customer[Tên khách-rút gọn],0)),"")</f>
        <v>200372</v>
      </c>
      <c r="E174" s="7" t="str">
        <f>IFERROR(INDEX(MD_Customer[Parent Account],MATCH(KH_26_OPT4_KTQT_v4[[#This Row],[Tên khách]],MD_Customer[Tên khách-rút gọn],0)),"")</f>
        <v>MERAXIS AG</v>
      </c>
      <c r="F174" s="35" t="s">
        <v>144</v>
      </c>
      <c r="G174" s="7" t="str">
        <f>IFERROR(INDEX(MD_Customer[Phân loại],MATCH(KH_26_OPT4_KTQT_v4[[#This Row],[Tên khách]],MD_Customer[Tên khách-rút gọn],0)),"")</f>
        <v>Hiện hữu</v>
      </c>
      <c r="H174" s="7" t="str">
        <f>IFERROR(INDEX(MD_Customer[Kênh bán hàng],MATCH(KH_26_OPT4_KTQT_v4[[#This Row],[Tên khách]],MD_Customer[Tên khách-rút gọn],0)),"")</f>
        <v>Xuất khẩu</v>
      </c>
      <c r="I174" s="35" t="s">
        <v>319</v>
      </c>
      <c r="J174" s="7" t="str">
        <f>IFERROR(INDEX(MD_Destination[Nước],MATCH(KH_26_OPT4_KTQT_v4[[#This Row],[Địa điểm đến]],MD_Destination[Địa điểm đến],0)),"")</f>
        <v>Đức</v>
      </c>
      <c r="K174" s="7" t="str">
        <f>IFERROR(INDEX(MD_Destination[Khu vực],MATCH(KH_26_OPT4_KTQT_v4[[#This Row],[Địa điểm đến]],MD_Destination[Địa điểm đến],0)),"")</f>
        <v>Châu Âu</v>
      </c>
      <c r="L174" s="35" t="s">
        <v>278</v>
      </c>
      <c r="M174" s="7" t="str">
        <f>IFERROR(INDEX(MD_SKU[Mã SKU],MATCH(KH_26_OPT4_KTQT_v4[[#This Row],[Tên sản phẩm]],MD_SKU[Tên SKU-rút gọn],0)),"")</f>
        <v>110000355</v>
      </c>
      <c r="N174" s="35" t="s">
        <v>469</v>
      </c>
      <c r="O174" s="7" t="str">
        <f>IFERROR(INDEX(MD_SKU[Ngành hàng],MATCH(KH_26_OPT4_KTQT_v4[[#This Row],[Tên sản phẩm]],MD_SKU[Tên SKU-rút gọn],0)),"")</f>
        <v>rPET</v>
      </c>
      <c r="P174" s="7" t="str">
        <f>IFERROR(INDEX(MD_SKU[Nhóm ngành],MATCH(KH_26_OPT4_KTQT_v4[[#This Row],[Tên sản phẩm]],MD_SKU[Tên SKU-rút gọn],0)),"")</f>
        <v>Hạt PET</v>
      </c>
      <c r="Q174" s="7" t="str">
        <f>IFERROR(
   IF(INDEX(MD_SKU[IV/IM],MATCH(KH_26_OPT4_KTQT_v4[[#This Row],[Tên sản phẩm]],MD_SKU[Tên SKU-rút gọn],0))=0,
      "",
      INDEX(MD_SKU[IV/IM],MATCH(KH_26_OPT4_KTQT_v4[[#This Row],[Tên sản phẩm]],MD_SKU[Tên SKU-rút gọn],0))
   ),
"")</f>
        <v>0.80 ± 0.02</v>
      </c>
      <c r="R174" s="44">
        <f>IFERROR(INDEX(MD_SKU[Application],MATCH(KH_26_OPT4_KTQT_v4[[#This Row],[Tên sản phẩm]],MD_SKU[Tên SKU-rút gọn],0)),"")</f>
        <v>0</v>
      </c>
      <c r="S174" s="7" t="str">
        <f>IFERROR(INDEX(MD_SKU[Phân loại],MATCH(KH_26_OPT4_KTQT_v4[[#This Row],[Tên sản phẩm]],MD_SKU[Tên SKU-rút gọn],0)),"")</f>
        <v>Cũ</v>
      </c>
      <c r="T174" s="7" t="s">
        <v>542</v>
      </c>
      <c r="U174" s="7"/>
      <c r="V174" s="70">
        <v>0.8</v>
      </c>
      <c r="W174" s="33">
        <v>22</v>
      </c>
      <c r="X174" s="33">
        <v>22</v>
      </c>
      <c r="Y174" s="33">
        <v>22</v>
      </c>
      <c r="Z174" s="33">
        <v>22</v>
      </c>
      <c r="AA174" s="33">
        <v>22</v>
      </c>
      <c r="AB174" s="33">
        <v>22</v>
      </c>
      <c r="AC174" s="33">
        <v>22</v>
      </c>
      <c r="AD174" s="33">
        <v>22</v>
      </c>
      <c r="AE174" s="33">
        <v>22</v>
      </c>
      <c r="AF174" s="33">
        <v>22</v>
      </c>
      <c r="AG174" s="33">
        <v>22</v>
      </c>
      <c r="AH174" s="33">
        <v>22</v>
      </c>
      <c r="AI174" s="47">
        <f ca="1">SUM(KH_26_OPT4_KTQT_v4[[#This Row],[SL-01]:[SL-12]])</f>
        <v>264</v>
      </c>
      <c r="AJ174" s="47">
        <f ca="1">SUMIFS(DB_25[SL-DB25],DB_25[Mã khách],KH_26_OPT4_KTQT_v4[[#This Row],[Mã khách]],DB_25[Mã sản phẩm],KH_26_OPT4_KTQT_v4[[#This Row],[Mã sản phẩm]])</f>
        <v>220</v>
      </c>
      <c r="AK174" s="20">
        <f ca="1">KH_26_OPT4_KTQT_v4[[#This Row],[SL-KH26]]-KH_26_OPT4_KTQT_v4[[#This Row],[SL-DB25]]</f>
        <v>44</v>
      </c>
      <c r="AL174" s="21">
        <f ca="1">IFERROR(KH_26_OPT4_KTQT_v4[[#This Row],[SL-+/-]]/KH_26_OPT4_KTQT_v4[[#This Row],[SL-DB25]],0)</f>
        <v>0.2</v>
      </c>
      <c r="AM174" s="51">
        <v>1200</v>
      </c>
      <c r="AN174" s="51">
        <v>1200</v>
      </c>
      <c r="AO174" s="51">
        <v>1200</v>
      </c>
      <c r="AP174" s="51">
        <v>1200</v>
      </c>
      <c r="AQ174" s="51">
        <v>1200</v>
      </c>
      <c r="AR174" s="51">
        <v>1200</v>
      </c>
      <c r="AS174" s="51">
        <v>1200</v>
      </c>
      <c r="AT174" s="51">
        <v>1200</v>
      </c>
      <c r="AU174" s="51">
        <v>1200</v>
      </c>
      <c r="AV174" s="51">
        <v>1200</v>
      </c>
      <c r="AW174" s="51">
        <v>1200</v>
      </c>
      <c r="AX174" s="51">
        <v>1200</v>
      </c>
      <c r="AY174" s="23">
        <v>1200</v>
      </c>
      <c r="AZ174" s="7"/>
      <c r="BA174" s="24">
        <f>KH_26_OPT4_KTQT_v4[[#This Row],[GB-DB25]]-KH_26_OPT4_KTQT_v4[[#This Row],[GB-KH25]]</f>
        <v>1200</v>
      </c>
      <c r="BB174" s="21">
        <f>IFERROR(KH_26_OPT4_KTQT_v4[[#This Row],[GB-+/-]]/KH_26_OPT4_KTQT_v4[[#This Row],[GB-KH25]],0)</f>
        <v>0</v>
      </c>
      <c r="BC174" s="21" t="s">
        <v>534</v>
      </c>
      <c r="BD174" s="47">
        <f>KH_26_OPT4_KTQT_v4[[#This Row],[SL-01]]*KH_26_OPT4_KTQT_v4[[#This Row],[GB-01]]*EXR</f>
        <v>699600000</v>
      </c>
      <c r="BE174" s="47">
        <f>KH_26_OPT4_KTQT_v4[[#This Row],[SL-02]]*KH_26_OPT4_KTQT_v4[[#This Row],[GB-02]]*EXR</f>
        <v>699600000</v>
      </c>
      <c r="BF174" s="47">
        <f>KH_26_OPT4_KTQT_v4[[#This Row],[SL-03]]*KH_26_OPT4_KTQT_v4[[#This Row],[GB-03]]*EXR</f>
        <v>699600000</v>
      </c>
      <c r="BG174" s="47">
        <f>KH_26_OPT4_KTQT_v4[[#This Row],[SL-04]]*KH_26_OPT4_KTQT_v4[[#This Row],[GB-04]]*EXR</f>
        <v>699600000</v>
      </c>
      <c r="BH174" s="47">
        <f>KH_26_OPT4_KTQT_v4[[#This Row],[SL-05]]*KH_26_OPT4_KTQT_v4[[#This Row],[GB-05]]*EXR</f>
        <v>699600000</v>
      </c>
      <c r="BI174" s="47">
        <f>KH_26_OPT4_KTQT_v4[[#This Row],[SL-06]]*KH_26_OPT4_KTQT_v4[[#This Row],[GB-06]]*EXR</f>
        <v>699600000</v>
      </c>
      <c r="BJ174" s="47">
        <f>KH_26_OPT4_KTQT_v4[[#This Row],[SL-07]]*KH_26_OPT4_KTQT_v4[[#This Row],[GB-07]]*EXR</f>
        <v>699600000</v>
      </c>
      <c r="BK174" s="47">
        <f>KH_26_OPT4_KTQT_v4[[#This Row],[SL-08]]*KH_26_OPT4_KTQT_v4[[#This Row],[GB-08]]*EXR</f>
        <v>699600000</v>
      </c>
      <c r="BL174" s="47">
        <f>KH_26_OPT4_KTQT_v4[[#This Row],[SL-09]]*KH_26_OPT4_KTQT_v4[[#This Row],[GB-09]]*EXR</f>
        <v>699600000</v>
      </c>
      <c r="BM174" s="47">
        <f>KH_26_OPT4_KTQT_v4[[#This Row],[SL-10]]*KH_26_OPT4_KTQT_v4[[#This Row],[GB-10]]*EXR</f>
        <v>699600000</v>
      </c>
      <c r="BN174" s="47">
        <f>KH_26_OPT4_KTQT_v4[[#This Row],[SL-11]]*KH_26_OPT4_KTQT_v4[[#This Row],[GB-11]]*EXR</f>
        <v>699600000</v>
      </c>
      <c r="BO174" s="47">
        <f>KH_26_OPT4_KTQT_v4[[#This Row],[SL-12]]*KH_26_OPT4_KTQT_v4[[#This Row],[GB-12]]*EXR</f>
        <v>699600000</v>
      </c>
      <c r="BP174" s="47">
        <f ca="1">SUM(KH_26_OPT4_KTQT_v4[[#This Row],[DT-EXW-01]:[DT-EXW-12]])</f>
        <v>8395200000</v>
      </c>
      <c r="BQ174" s="47">
        <f ca="1">SUMIFS(DB_25[DT-DB25],DB_25[Mã khách],KH_26_OPT4_KTQT_v4[[#This Row],[Mã khách]],DB_25[Mã sản phẩm],KH_26_OPT4_KTQT_v4[[#This Row],[Mã sản phẩm]])</f>
        <v>6798341570.615386</v>
      </c>
      <c r="BR174" s="47">
        <f ca="1">KH_26_OPT4_KTQT_v4[[#This Row],[DT-EXW-KH26]]-KH_26_OPT4_KTQT_v4[[#This Row],[DT-EXW-DB25]]</f>
        <v>1596858429.384614</v>
      </c>
      <c r="BS174" s="21">
        <f ca="1">IFERROR(KH_26_OPT4_KTQT_v4[[#This Row],[DT-EXW-+/-]]/KH_26_OPT4_KTQT_v4[[#This Row],[DT-EXW-DB25]],0)</f>
        <v>0.23488940836493838</v>
      </c>
      <c r="BT174" s="139"/>
      <c r="BU174" s="57"/>
      <c r="BV174" s="51"/>
      <c r="BW174" s="47">
        <f>IF(KH_26_OPT4_KTQT_v4[[#This Row],[CPHH-%-SL]]="Dthu",KH_26_OPT4_KTQT_v4[[#This Row],[%HH]]*KH_26_OPT4_KTQT_v4[[#This Row],[DT-EXW-01]],KH_26_OPT4_KTQT_v4[[#This Row],[HH-SL]]*KH_26_OPT4_KTQT_v4[[#This Row],[SL-01]])</f>
        <v>0</v>
      </c>
      <c r="BX174" s="47">
        <f>IF(KH_26_OPT4_KTQT_v4[[#This Row],[CPHH-%-SL]]="Dthu",KH_26_OPT4_KTQT_v4[[#This Row],[%HH]]*KH_26_OPT4_KTQT_v4[[#This Row],[DT-EXW-02]],KH_26_OPT4_KTQT_v4[[#This Row],[HH-SL]]*KH_26_OPT4_KTQT_v4[[#This Row],[SL-02]])</f>
        <v>0</v>
      </c>
      <c r="BY174" s="47">
        <f>IF(KH_26_OPT4_KTQT_v4[[#This Row],[CPHH-%-SL]]="Dthu",KH_26_OPT4_KTQT_v4[[#This Row],[%HH]]*KH_26_OPT4_KTQT_v4[[#This Row],[DT-EXW-03]],KH_26_OPT4_KTQT_v4[[#This Row],[HH-SL]]*KH_26_OPT4_KTQT_v4[[#This Row],[SL-03]])</f>
        <v>0</v>
      </c>
      <c r="BZ174" s="47">
        <f>IF(KH_26_OPT4_KTQT_v4[[#This Row],[CPHH-%-SL]]="Dthu",KH_26_OPT4_KTQT_v4[[#This Row],[%HH]]*KH_26_OPT4_KTQT_v4[[#This Row],[DT-EXW-04]],KH_26_OPT4_KTQT_v4[[#This Row],[HH-SL]]*KH_26_OPT4_KTQT_v4[[#This Row],[SL-04]])</f>
        <v>0</v>
      </c>
      <c r="CA174" s="47">
        <f>IF(KH_26_OPT4_KTQT_v4[[#This Row],[CPHH-%-SL]]="Dthu",KH_26_OPT4_KTQT_v4[[#This Row],[%HH]]*KH_26_OPT4_KTQT_v4[[#This Row],[DT-EXW-05]],KH_26_OPT4_KTQT_v4[[#This Row],[HH-SL]]*KH_26_OPT4_KTQT_v4[[#This Row],[SL-05]])</f>
        <v>0</v>
      </c>
      <c r="CB174" s="47">
        <f>IF(KH_26_OPT4_KTQT_v4[[#This Row],[CPHH-%-SL]]="Dthu",KH_26_OPT4_KTQT_v4[[#This Row],[%HH]]*KH_26_OPT4_KTQT_v4[[#This Row],[DT-EXW-06]],KH_26_OPT4_KTQT_v4[[#This Row],[HH-SL]]*KH_26_OPT4_KTQT_v4[[#This Row],[SL-06]])</f>
        <v>0</v>
      </c>
      <c r="CC174" s="47">
        <f>IF(KH_26_OPT4_KTQT_v4[[#This Row],[CPHH-%-SL]]="Dthu",KH_26_OPT4_KTQT_v4[[#This Row],[%HH]]*KH_26_OPT4_KTQT_v4[[#This Row],[DT-EXW-07]],KH_26_OPT4_KTQT_v4[[#This Row],[HH-SL]]*KH_26_OPT4_KTQT_v4[[#This Row],[SL-07]])</f>
        <v>0</v>
      </c>
      <c r="CD174" s="47">
        <f>IF(KH_26_OPT4_KTQT_v4[[#This Row],[CPHH-%-SL]]="Dthu",KH_26_OPT4_KTQT_v4[[#This Row],[%HH]]*KH_26_OPT4_KTQT_v4[[#This Row],[DT-EXW-08]],KH_26_OPT4_KTQT_v4[[#This Row],[HH-SL]]*KH_26_OPT4_KTQT_v4[[#This Row],[SL-08]])</f>
        <v>0</v>
      </c>
      <c r="CE174" s="47">
        <f>IF(KH_26_OPT4_KTQT_v4[[#This Row],[CPHH-%-SL]]="Dthu",KH_26_OPT4_KTQT_v4[[#This Row],[%HH]]*KH_26_OPT4_KTQT_v4[[#This Row],[DT-EXW-09]],KH_26_OPT4_KTQT_v4[[#This Row],[HH-SL]]*KH_26_OPT4_KTQT_v4[[#This Row],[SL-09]])</f>
        <v>0</v>
      </c>
      <c r="CF174" s="47">
        <f>IF(KH_26_OPT4_KTQT_v4[[#This Row],[CPHH-%-SL]]="Dthu",KH_26_OPT4_KTQT_v4[[#This Row],[%HH]]*KH_26_OPT4_KTQT_v4[[#This Row],[DT-EXW-10]],KH_26_OPT4_KTQT_v4[[#This Row],[HH-SL]]*KH_26_OPT4_KTQT_v4[[#This Row],[SL-10]])</f>
        <v>0</v>
      </c>
      <c r="CG174" s="47">
        <f>IF(KH_26_OPT4_KTQT_v4[[#This Row],[CPHH-%-SL]]="Dthu",KH_26_OPT4_KTQT_v4[[#This Row],[%HH]]*KH_26_OPT4_KTQT_v4[[#This Row],[DT-EXW-11]],KH_26_OPT4_KTQT_v4[[#This Row],[HH-SL]]*KH_26_OPT4_KTQT_v4[[#This Row],[SL-11]])</f>
        <v>0</v>
      </c>
      <c r="CH174" s="47">
        <f>IF(KH_26_OPT4_KTQT_v4[[#This Row],[CPHH-%-SL]]="Dthu",KH_26_OPT4_KTQT_v4[[#This Row],[%HH]]*KH_26_OPT4_KTQT_v4[[#This Row],[DT-EXW-12]],KH_26_OPT4_KTQT_v4[[#This Row],[HH-SL]]*KH_26_OPT4_KTQT_v4[[#This Row],[SL-12]])</f>
        <v>0</v>
      </c>
      <c r="CI174" s="47">
        <f ca="1">SUM(KH_26_OPT4_KTQT_v4[[#This Row],[CPHH-01]:[CPHH-12]])</f>
        <v>0</v>
      </c>
      <c r="CJ174" s="47" cm="1">
        <f t="array" ref="CJ174">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74" s="19">
        <f ca="1">SUM(KH_26_OPT4_KTQT_v4[[#This Row],[ĐGVCNĐ-KXK]:[ĐGVCCT-KXK]])</f>
        <v>530000</v>
      </c>
      <c r="CL174" s="47" cm="1">
        <f t="array" ref="CL174">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530000</v>
      </c>
      <c r="CM174" s="47" cm="1">
        <f t="array" ref="CM174">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74" s="47">
        <f ca="1">(KH_26_OPT4_KTQT_v4[[#This Row],[ĐGVC-KNĐ]]+KH_26_OPT4_KTQT_v4[[#This Row],[ĐGVC-KXK]])*KH_26_OPT4_KTQT_v4[[#This Row],[SL-01]]</f>
        <v>11660000</v>
      </c>
      <c r="CO174" s="47">
        <f ca="1">(KH_26_OPT4_KTQT_v4[[#This Row],[ĐGVC-KNĐ]]+KH_26_OPT4_KTQT_v4[[#This Row],[ĐGVC-KXK]])*KH_26_OPT4_KTQT_v4[[#This Row],[SL-02]]</f>
        <v>11660000</v>
      </c>
      <c r="CP174" s="47">
        <f ca="1">(KH_26_OPT4_KTQT_v4[[#This Row],[ĐGVC-KNĐ]]+KH_26_OPT4_KTQT_v4[[#This Row],[ĐGVC-KXK]])*KH_26_OPT4_KTQT_v4[[#This Row],[SL-03]]</f>
        <v>11660000</v>
      </c>
      <c r="CQ174" s="47">
        <f ca="1">(KH_26_OPT4_KTQT_v4[[#This Row],[ĐGVC-KNĐ]]+KH_26_OPT4_KTQT_v4[[#This Row],[ĐGVC-KXK]])*KH_26_OPT4_KTQT_v4[[#This Row],[SL-04]]</f>
        <v>11660000</v>
      </c>
      <c r="CR174" s="47">
        <f ca="1">(KH_26_OPT4_KTQT_v4[[#This Row],[ĐGVC-KNĐ]]+KH_26_OPT4_KTQT_v4[[#This Row],[ĐGVC-KXK]])*KH_26_OPT4_KTQT_v4[[#This Row],[SL-05]]</f>
        <v>11660000</v>
      </c>
      <c r="CS174" s="47">
        <f ca="1">(KH_26_OPT4_KTQT_v4[[#This Row],[ĐGVC-KNĐ]]+KH_26_OPT4_KTQT_v4[[#This Row],[ĐGVC-KXK]])*KH_26_OPT4_KTQT_v4[[#This Row],[SL-06]]</f>
        <v>11660000</v>
      </c>
      <c r="CT174" s="47">
        <f ca="1">(KH_26_OPT4_KTQT_v4[[#This Row],[ĐGVC-KNĐ]]+KH_26_OPT4_KTQT_v4[[#This Row],[ĐGVC-KXK]])*KH_26_OPT4_KTQT_v4[[#This Row],[SL-07]]</f>
        <v>11660000</v>
      </c>
      <c r="CU174" s="47">
        <f ca="1">(KH_26_OPT4_KTQT_v4[[#This Row],[ĐGVC-KNĐ]]+KH_26_OPT4_KTQT_v4[[#This Row],[ĐGVC-KXK]])*KH_26_OPT4_KTQT_v4[[#This Row],[SL-08]]</f>
        <v>11660000</v>
      </c>
      <c r="CV174" s="47">
        <f ca="1">(KH_26_OPT4_KTQT_v4[[#This Row],[ĐGVC-KNĐ]]+KH_26_OPT4_KTQT_v4[[#This Row],[ĐGVC-KXK]])*KH_26_OPT4_KTQT_v4[[#This Row],[SL-09]]</f>
        <v>11660000</v>
      </c>
      <c r="CW174" s="47">
        <f ca="1">(KH_26_OPT4_KTQT_v4[[#This Row],[ĐGVC-KNĐ]]+KH_26_OPT4_KTQT_v4[[#This Row],[ĐGVC-KXK]])*KH_26_OPT4_KTQT_v4[[#This Row],[SL-10]]</f>
        <v>11660000</v>
      </c>
      <c r="CX174" s="47">
        <f ca="1">(KH_26_OPT4_KTQT_v4[[#This Row],[ĐGVC-KNĐ]]+KH_26_OPT4_KTQT_v4[[#This Row],[ĐGVC-KXK]])*KH_26_OPT4_KTQT_v4[[#This Row],[SL-11]]</f>
        <v>11660000</v>
      </c>
      <c r="CY174" s="47">
        <f ca="1">(KH_26_OPT4_KTQT_v4[[#This Row],[ĐGVC-KNĐ]]+KH_26_OPT4_KTQT_v4[[#This Row],[ĐGVC-KXK]])*KH_26_OPT4_KTQT_v4[[#This Row],[SL-12]]</f>
        <v>11660000</v>
      </c>
      <c r="CZ174" s="47">
        <f ca="1">SUM(KH_26_OPT4_KTQT_v4[[#This Row],[CPVC-01]:[CPVC-12]])</f>
        <v>139920000</v>
      </c>
      <c r="DA174" s="124">
        <f ca="1">KH_26_OPT4_KTQT_v4[[#This Row],[DT-EXW-01]]+KH_26_OPT4_KTQT_v4[[#This Row],[CPVC-01]]+KH_26_OPT4_KTQT_v4[[#This Row],[CPHH-01]]</f>
        <v>711260000</v>
      </c>
      <c r="DB174" s="47">
        <f ca="1">KH_26_OPT4_KTQT_v4[[#This Row],[DT-EXW-02]]+KH_26_OPT4_KTQT_v4[[#This Row],[CPVC-02]]+KH_26_OPT4_KTQT_v4[[#This Row],[CPHH-02]]</f>
        <v>711260000</v>
      </c>
      <c r="DC174" s="47">
        <f ca="1">KH_26_OPT4_KTQT_v4[[#This Row],[DT-EXW-03]]+KH_26_OPT4_KTQT_v4[[#This Row],[CPVC-03]]+KH_26_OPT4_KTQT_v4[[#This Row],[CPHH-03]]</f>
        <v>711260000</v>
      </c>
      <c r="DD174" s="47">
        <f ca="1">KH_26_OPT4_KTQT_v4[[#This Row],[DT-EXW-04]]+KH_26_OPT4_KTQT_v4[[#This Row],[CPVC-04]]+KH_26_OPT4_KTQT_v4[[#This Row],[CPHH-04]]</f>
        <v>711260000</v>
      </c>
      <c r="DE174" s="47">
        <f ca="1">KH_26_OPT4_KTQT_v4[[#This Row],[DT-EXW-05]]+KH_26_OPT4_KTQT_v4[[#This Row],[CPVC-05]]+KH_26_OPT4_KTQT_v4[[#This Row],[CPHH-05]]</f>
        <v>711260000</v>
      </c>
      <c r="DF174" s="47">
        <f ca="1">KH_26_OPT4_KTQT_v4[[#This Row],[DT-EXW-06]]+KH_26_OPT4_KTQT_v4[[#This Row],[CPVC-06]]+KH_26_OPT4_KTQT_v4[[#This Row],[CPHH-06]]</f>
        <v>711260000</v>
      </c>
      <c r="DG174" s="47">
        <f ca="1">KH_26_OPT4_KTQT_v4[[#This Row],[DT-EXW-07]]+KH_26_OPT4_KTQT_v4[[#This Row],[CPVC-07]]+KH_26_OPT4_KTQT_v4[[#This Row],[CPHH-07]]</f>
        <v>711260000</v>
      </c>
      <c r="DH174" s="47">
        <f ca="1">KH_26_OPT4_KTQT_v4[[#This Row],[DT-EXW-08]]+KH_26_OPT4_KTQT_v4[[#This Row],[CPVC-08]]+KH_26_OPT4_KTQT_v4[[#This Row],[CPHH-08]]</f>
        <v>711260000</v>
      </c>
      <c r="DI174" s="47">
        <f ca="1">KH_26_OPT4_KTQT_v4[[#This Row],[DT-EXW-09]]+KH_26_OPT4_KTQT_v4[[#This Row],[CPVC-09]]+KH_26_OPT4_KTQT_v4[[#This Row],[CPHH-09]]</f>
        <v>711260000</v>
      </c>
      <c r="DJ174" s="47">
        <f ca="1">KH_26_OPT4_KTQT_v4[[#This Row],[DT-EXW-10]]+KH_26_OPT4_KTQT_v4[[#This Row],[CPVC-10]]+KH_26_OPT4_KTQT_v4[[#This Row],[CPHH-10]]</f>
        <v>711260000</v>
      </c>
      <c r="DK174" s="47">
        <f ca="1">KH_26_OPT4_KTQT_v4[[#This Row],[DT-EXW-11]]+KH_26_OPT4_KTQT_v4[[#This Row],[CPVC-11]]+KH_26_OPT4_KTQT_v4[[#This Row],[CPHH-11]]</f>
        <v>711260000</v>
      </c>
      <c r="DL174" s="47">
        <f ca="1">KH_26_OPT4_KTQT_v4[[#This Row],[DT-EXW-12]]+KH_26_OPT4_KTQT_v4[[#This Row],[CPVC-12]]+KH_26_OPT4_KTQT_v4[[#This Row],[CPHH-12]]</f>
        <v>711260000</v>
      </c>
      <c r="DM174" s="47">
        <f ca="1">SUM(KH_26_OPT4_KTQT_v4[[#This Row],[DT-01]:[DT-12]])</f>
        <v>8535120000</v>
      </c>
      <c r="DN174" s="7"/>
      <c r="DO174" s="7"/>
      <c r="DP174" s="125"/>
      <c r="DQ174" s="136">
        <v>0.1</v>
      </c>
      <c r="DR174" s="132">
        <f>IFERROR(KH_26_OPT4_KTQT_v4[[#This Row],[DT-EXW-01]]*KH_26_OPT4_KTQT_v4[[#This Row],[%CPDP]],0)</f>
        <v>69960000</v>
      </c>
      <c r="DS174" s="132">
        <f>IFERROR(KH_26_OPT4_KTQT_v4[[#This Row],[DT-EXW-02]]*KH_26_OPT4_KTQT_v4[[#This Row],[%CPDP]],0)</f>
        <v>69960000</v>
      </c>
      <c r="DT174" s="132">
        <f>IFERROR(KH_26_OPT4_KTQT_v4[[#This Row],[DT-EXW-03]]*KH_26_OPT4_KTQT_v4[[#This Row],[%CPDP]],0)</f>
        <v>69960000</v>
      </c>
      <c r="DU174" s="132">
        <f>IFERROR(KH_26_OPT4_KTQT_v4[[#This Row],[DT-EXW-04]]*KH_26_OPT4_KTQT_v4[[#This Row],[%CPDP]],0)</f>
        <v>69960000</v>
      </c>
      <c r="DV174" s="132">
        <f>IFERROR(KH_26_OPT4_KTQT_v4[[#This Row],[DT-EXW-05]]*KH_26_OPT4_KTQT_v4[[#This Row],[%CPDP]],0)</f>
        <v>69960000</v>
      </c>
      <c r="DW174" s="132">
        <f>IFERROR(KH_26_OPT4_KTQT_v4[[#This Row],[DT-EXW-06]]*KH_26_OPT4_KTQT_v4[[#This Row],[%CPDP]],0)</f>
        <v>69960000</v>
      </c>
      <c r="DX174" s="132">
        <f>IFERROR(KH_26_OPT4_KTQT_v4[[#This Row],[DT-EXW-07]]*KH_26_OPT4_KTQT_v4[[#This Row],[%CPDP]],0)</f>
        <v>69960000</v>
      </c>
      <c r="DY174" s="132">
        <f>IFERROR(KH_26_OPT4_KTQT_v4[[#This Row],[DT-EXW-08]]*KH_26_OPT4_KTQT_v4[[#This Row],[%CPDP]],0)</f>
        <v>69960000</v>
      </c>
      <c r="DZ174" s="132">
        <f>IFERROR(KH_26_OPT4_KTQT_v4[[#This Row],[DT-EXW-09]]*KH_26_OPT4_KTQT_v4[[#This Row],[%CPDP]],0)</f>
        <v>69960000</v>
      </c>
      <c r="EA174" s="132">
        <f>IFERROR(KH_26_OPT4_KTQT_v4[[#This Row],[DT-EXW-10]]*KH_26_OPT4_KTQT_v4[[#This Row],[%CPDP]],0)</f>
        <v>69960000</v>
      </c>
      <c r="EB174" s="132">
        <f>IFERROR(KH_26_OPT4_KTQT_v4[[#This Row],[DT-EXW-11]]*KH_26_OPT4_KTQT_v4[[#This Row],[%CPDP]],0)</f>
        <v>69960000</v>
      </c>
      <c r="EC174" s="132">
        <f>IFERROR(KH_26_OPT4_KTQT_v4[[#This Row],[DT-EXW-12]]*KH_26_OPT4_KTQT_v4[[#This Row],[%CPDP]],0)</f>
        <v>69960000</v>
      </c>
      <c r="ED174" s="131">
        <f ca="1">SUM(KH_26_OPT4_KTQT_v4[[#This Row],[CPDP-01]:[CPDP-12]])</f>
        <v>839520000</v>
      </c>
    </row>
    <row r="175" spans="1:134" ht="14.5" hidden="1" x14ac:dyDescent="0.35">
      <c r="A175" s="18">
        <v>170</v>
      </c>
      <c r="B175" s="71" t="s">
        <v>101</v>
      </c>
      <c r="C175" s="18" t="str">
        <f>IFERROR(_xlfn.XLOOKUP(KH_26_OPT4_KTQT_v4[[#This Row],[Salesman]],MD_Salesman[Salesman],MD_Salesman[SalesManager]),"")</f>
        <v>Cường</v>
      </c>
      <c r="D175" s="72" t="str">
        <f>IFERROR(INDEX(MD_Customer[Mã khách],MATCH(KH_26_OPT4_KTQT_v4[[#This Row],[Tên khách]],MD_Customer[Tên khách-rút gọn],0)),"")</f>
        <v>200375</v>
      </c>
      <c r="E175" s="7" t="str">
        <f>IFERROR(INDEX(MD_Customer[Parent Account],MATCH(KH_26_OPT4_KTQT_v4[[#This Row],[Tên khách]],MD_Customer[Tên khách-rút gọn],0)),"")</f>
        <v>Nu-pure</v>
      </c>
      <c r="F175" s="35" t="s">
        <v>147</v>
      </c>
      <c r="G175" s="7" t="str">
        <f>IFERROR(INDEX(MD_Customer[Phân loại],MATCH(KH_26_OPT4_KTQT_v4[[#This Row],[Tên khách]],MD_Customer[Tên khách-rút gọn],0)),"")</f>
        <v>Mới</v>
      </c>
      <c r="H175" s="7" t="str">
        <f>IFERROR(INDEX(MD_Customer[Kênh bán hàng],MATCH(KH_26_OPT4_KTQT_v4[[#This Row],[Tên khách]],MD_Customer[Tên khách-rút gọn],0)),"")</f>
        <v>Xuất khẩu</v>
      </c>
      <c r="I175" s="35" t="s">
        <v>305</v>
      </c>
      <c r="J175" s="7" t="str">
        <f>IFERROR(INDEX(MD_Destination[Nước],MATCH(KH_26_OPT4_KTQT_v4[[#This Row],[Địa điểm đến]],MD_Destination[Địa điểm đến],0)),"")</f>
        <v>Úc</v>
      </c>
      <c r="K175" s="7" t="str">
        <f>IFERROR(INDEX(MD_Destination[Khu vực],MATCH(KH_26_OPT4_KTQT_v4[[#This Row],[Địa điểm đến]],MD_Destination[Địa điểm đến],0)),"")</f>
        <v>Châu Úc</v>
      </c>
      <c r="L175" s="35" t="s">
        <v>285</v>
      </c>
      <c r="M175" s="7" t="str">
        <f>IFERROR(INDEX(MD_SKU[Mã SKU],MATCH(KH_26_OPT4_KTQT_v4[[#This Row],[Tên sản phẩm]],MD_SKU[Tên SKU-rút gọn],0)),"")</f>
        <v>110000354</v>
      </c>
      <c r="N175" s="35" t="s">
        <v>456</v>
      </c>
      <c r="O175" s="7" t="str">
        <f>IFERROR(INDEX(MD_SKU[Ngành hàng],MATCH(KH_26_OPT4_KTQT_v4[[#This Row],[Tên sản phẩm]],MD_SKU[Tên SKU-rút gọn],0)),"")</f>
        <v>rPET</v>
      </c>
      <c r="P175" s="7" t="str">
        <f>IFERROR(INDEX(MD_SKU[Nhóm ngành],MATCH(KH_26_OPT4_KTQT_v4[[#This Row],[Tên sản phẩm]],MD_SKU[Tên SKU-rút gọn],0)),"")</f>
        <v>Hạt PET</v>
      </c>
      <c r="Q175" s="7" t="str">
        <f>IFERROR(
   IF(INDEX(MD_SKU[IV/IM],MATCH(KH_26_OPT4_KTQT_v4[[#This Row],[Tên sản phẩm]],MD_SKU[Tên SKU-rút gọn],0))=0,
      "",
      INDEX(MD_SKU[IV/IM],MATCH(KH_26_OPT4_KTQT_v4[[#This Row],[Tên sản phẩm]],MD_SKU[Tên SKU-rút gọn],0))
   ),
"")</f>
        <v>0.78 ± 0.02</v>
      </c>
      <c r="R175" s="44">
        <f>IFERROR(INDEX(MD_SKU[Application],MATCH(KH_26_OPT4_KTQT_v4[[#This Row],[Tên sản phẩm]],MD_SKU[Tên SKU-rút gọn],0)),"")</f>
        <v>0</v>
      </c>
      <c r="S175" s="7" t="str">
        <f>IFERROR(INDEX(MD_SKU[Phân loại],MATCH(KH_26_OPT4_KTQT_v4[[#This Row],[Tên sản phẩm]],MD_SKU[Tên SKU-rút gọn],0)),"")</f>
        <v>Cũ</v>
      </c>
      <c r="T175" s="7" t="s">
        <v>542</v>
      </c>
      <c r="U175" s="7"/>
      <c r="V175" s="70">
        <v>0.8</v>
      </c>
      <c r="W175" s="33"/>
      <c r="X175" s="33"/>
      <c r="Y175" s="33"/>
      <c r="Z175" s="33"/>
      <c r="AA175" s="33"/>
      <c r="AB175" s="33"/>
      <c r="AC175" s="33"/>
      <c r="AD175" s="33"/>
      <c r="AE175" s="33"/>
      <c r="AF175" s="33"/>
      <c r="AG175" s="33"/>
      <c r="AH175" s="33"/>
      <c r="AI175" s="47">
        <f ca="1">SUM(KH_26_OPT4_KTQT_v4[[#This Row],[SL-01]:[SL-12]])</f>
        <v>0</v>
      </c>
      <c r="AJ175" s="47">
        <f ca="1">SUMIFS(DB_25[SL-DB25],DB_25[Mã khách],KH_26_OPT4_KTQT_v4[[#This Row],[Mã khách]],DB_25[Mã sản phẩm],KH_26_OPT4_KTQT_v4[[#This Row],[Mã sản phẩm]])</f>
        <v>11</v>
      </c>
      <c r="AK175" s="20">
        <f ca="1">KH_26_OPT4_KTQT_v4[[#This Row],[SL-KH26]]-KH_26_OPT4_KTQT_v4[[#This Row],[SL-DB25]]</f>
        <v>-11</v>
      </c>
      <c r="AL175" s="21">
        <f ca="1">IFERROR(KH_26_OPT4_KTQT_v4[[#This Row],[SL-+/-]]/KH_26_OPT4_KTQT_v4[[#This Row],[SL-DB25]],0)</f>
        <v>-1</v>
      </c>
      <c r="AM175" s="51">
        <v>1150</v>
      </c>
      <c r="AN175" s="51">
        <v>1150</v>
      </c>
      <c r="AO175" s="51">
        <v>1150</v>
      </c>
      <c r="AP175" s="51">
        <v>1150</v>
      </c>
      <c r="AQ175" s="51">
        <v>1150</v>
      </c>
      <c r="AR175" s="51">
        <v>1150</v>
      </c>
      <c r="AS175" s="51">
        <v>1150</v>
      </c>
      <c r="AT175" s="51">
        <v>1150</v>
      </c>
      <c r="AU175" s="51">
        <v>1150</v>
      </c>
      <c r="AV175" s="51">
        <v>1150</v>
      </c>
      <c r="AW175" s="51">
        <v>1150</v>
      </c>
      <c r="AX175" s="51">
        <v>1150</v>
      </c>
      <c r="AY175" s="23">
        <v>1150</v>
      </c>
      <c r="AZ175" s="7"/>
      <c r="BA175" s="24">
        <f>KH_26_OPT4_KTQT_v4[[#This Row],[GB-DB25]]-KH_26_OPT4_KTQT_v4[[#This Row],[GB-KH25]]</f>
        <v>1150</v>
      </c>
      <c r="BB175" s="21">
        <f>IFERROR(KH_26_OPT4_KTQT_v4[[#This Row],[GB-+/-]]/KH_26_OPT4_KTQT_v4[[#This Row],[GB-KH25]],0)</f>
        <v>0</v>
      </c>
      <c r="BC175" s="21"/>
      <c r="BD175" s="47">
        <f>KH_26_OPT4_KTQT_v4[[#This Row],[SL-01]]*KH_26_OPT4_KTQT_v4[[#This Row],[GB-01]]*EXR</f>
        <v>0</v>
      </c>
      <c r="BE175" s="47">
        <f>KH_26_OPT4_KTQT_v4[[#This Row],[SL-02]]*KH_26_OPT4_KTQT_v4[[#This Row],[GB-02]]*EXR</f>
        <v>0</v>
      </c>
      <c r="BF175" s="47">
        <f>KH_26_OPT4_KTQT_v4[[#This Row],[SL-03]]*KH_26_OPT4_KTQT_v4[[#This Row],[GB-03]]*EXR</f>
        <v>0</v>
      </c>
      <c r="BG175" s="47">
        <f>KH_26_OPT4_KTQT_v4[[#This Row],[SL-04]]*KH_26_OPT4_KTQT_v4[[#This Row],[GB-04]]*EXR</f>
        <v>0</v>
      </c>
      <c r="BH175" s="47">
        <f>KH_26_OPT4_KTQT_v4[[#This Row],[SL-05]]*KH_26_OPT4_KTQT_v4[[#This Row],[GB-05]]*EXR</f>
        <v>0</v>
      </c>
      <c r="BI175" s="47">
        <f>KH_26_OPT4_KTQT_v4[[#This Row],[SL-06]]*KH_26_OPT4_KTQT_v4[[#This Row],[GB-06]]*EXR</f>
        <v>0</v>
      </c>
      <c r="BJ175" s="47">
        <f>KH_26_OPT4_KTQT_v4[[#This Row],[SL-07]]*KH_26_OPT4_KTQT_v4[[#This Row],[GB-07]]*EXR</f>
        <v>0</v>
      </c>
      <c r="BK175" s="47">
        <f>KH_26_OPT4_KTQT_v4[[#This Row],[SL-08]]*KH_26_OPT4_KTQT_v4[[#This Row],[GB-08]]*EXR</f>
        <v>0</v>
      </c>
      <c r="BL175" s="47">
        <f>KH_26_OPT4_KTQT_v4[[#This Row],[SL-09]]*KH_26_OPT4_KTQT_v4[[#This Row],[GB-09]]*EXR</f>
        <v>0</v>
      </c>
      <c r="BM175" s="47">
        <f>KH_26_OPT4_KTQT_v4[[#This Row],[SL-10]]*KH_26_OPT4_KTQT_v4[[#This Row],[GB-10]]*EXR</f>
        <v>0</v>
      </c>
      <c r="BN175" s="47">
        <f>KH_26_OPT4_KTQT_v4[[#This Row],[SL-11]]*KH_26_OPT4_KTQT_v4[[#This Row],[GB-11]]*EXR</f>
        <v>0</v>
      </c>
      <c r="BO175" s="47">
        <f>KH_26_OPT4_KTQT_v4[[#This Row],[SL-12]]*KH_26_OPT4_KTQT_v4[[#This Row],[GB-12]]*EXR</f>
        <v>0</v>
      </c>
      <c r="BP175" s="47">
        <f ca="1">SUM(KH_26_OPT4_KTQT_v4[[#This Row],[DT-EXW-01]:[DT-EXW-12]])</f>
        <v>0</v>
      </c>
      <c r="BQ175" s="47">
        <f ca="1">SUMIFS(DB_25[DT-DB25],DB_25[Mã khách],KH_26_OPT4_KTQT_v4[[#This Row],[Mã khách]],DB_25[Mã sản phẩm],KH_26_OPT4_KTQT_v4[[#This Row],[Mã sản phẩm]])</f>
        <v>317530208.00000006</v>
      </c>
      <c r="BR175" s="47">
        <f ca="1">KH_26_OPT4_KTQT_v4[[#This Row],[DT-EXW-KH26]]-KH_26_OPT4_KTQT_v4[[#This Row],[DT-EXW-DB25]]</f>
        <v>-317530208.00000006</v>
      </c>
      <c r="BS175" s="21">
        <f ca="1">IFERROR(KH_26_OPT4_KTQT_v4[[#This Row],[DT-EXW-+/-]]/KH_26_OPT4_KTQT_v4[[#This Row],[DT-EXW-DB25]],0)</f>
        <v>-1</v>
      </c>
      <c r="BT175" s="139"/>
      <c r="BU175" s="57"/>
      <c r="BV175" s="51"/>
      <c r="BW175" s="47">
        <f>IF(KH_26_OPT4_KTQT_v4[[#This Row],[CPHH-%-SL]]="Dthu",KH_26_OPT4_KTQT_v4[[#This Row],[%HH]]*KH_26_OPT4_KTQT_v4[[#This Row],[DT-EXW-01]],KH_26_OPT4_KTQT_v4[[#This Row],[HH-SL]]*KH_26_OPT4_KTQT_v4[[#This Row],[SL-01]])</f>
        <v>0</v>
      </c>
      <c r="BX175" s="47">
        <f>IF(KH_26_OPT4_KTQT_v4[[#This Row],[CPHH-%-SL]]="Dthu",KH_26_OPT4_KTQT_v4[[#This Row],[%HH]]*KH_26_OPT4_KTQT_v4[[#This Row],[DT-EXW-02]],KH_26_OPT4_KTQT_v4[[#This Row],[HH-SL]]*KH_26_OPT4_KTQT_v4[[#This Row],[SL-02]])</f>
        <v>0</v>
      </c>
      <c r="BY175" s="47">
        <f>IF(KH_26_OPT4_KTQT_v4[[#This Row],[CPHH-%-SL]]="Dthu",KH_26_OPT4_KTQT_v4[[#This Row],[%HH]]*KH_26_OPT4_KTQT_v4[[#This Row],[DT-EXW-03]],KH_26_OPT4_KTQT_v4[[#This Row],[HH-SL]]*KH_26_OPT4_KTQT_v4[[#This Row],[SL-03]])</f>
        <v>0</v>
      </c>
      <c r="BZ175" s="47">
        <f>IF(KH_26_OPT4_KTQT_v4[[#This Row],[CPHH-%-SL]]="Dthu",KH_26_OPT4_KTQT_v4[[#This Row],[%HH]]*KH_26_OPT4_KTQT_v4[[#This Row],[DT-EXW-04]],KH_26_OPT4_KTQT_v4[[#This Row],[HH-SL]]*KH_26_OPT4_KTQT_v4[[#This Row],[SL-04]])</f>
        <v>0</v>
      </c>
      <c r="CA175" s="47">
        <f>IF(KH_26_OPT4_KTQT_v4[[#This Row],[CPHH-%-SL]]="Dthu",KH_26_OPT4_KTQT_v4[[#This Row],[%HH]]*KH_26_OPT4_KTQT_v4[[#This Row],[DT-EXW-05]],KH_26_OPT4_KTQT_v4[[#This Row],[HH-SL]]*KH_26_OPT4_KTQT_v4[[#This Row],[SL-05]])</f>
        <v>0</v>
      </c>
      <c r="CB175" s="47">
        <f>IF(KH_26_OPT4_KTQT_v4[[#This Row],[CPHH-%-SL]]="Dthu",KH_26_OPT4_KTQT_v4[[#This Row],[%HH]]*KH_26_OPT4_KTQT_v4[[#This Row],[DT-EXW-06]],KH_26_OPT4_KTQT_v4[[#This Row],[HH-SL]]*KH_26_OPT4_KTQT_v4[[#This Row],[SL-06]])</f>
        <v>0</v>
      </c>
      <c r="CC175" s="47">
        <f>IF(KH_26_OPT4_KTQT_v4[[#This Row],[CPHH-%-SL]]="Dthu",KH_26_OPT4_KTQT_v4[[#This Row],[%HH]]*KH_26_OPT4_KTQT_v4[[#This Row],[DT-EXW-07]],KH_26_OPT4_KTQT_v4[[#This Row],[HH-SL]]*KH_26_OPT4_KTQT_v4[[#This Row],[SL-07]])</f>
        <v>0</v>
      </c>
      <c r="CD175" s="47">
        <f>IF(KH_26_OPT4_KTQT_v4[[#This Row],[CPHH-%-SL]]="Dthu",KH_26_OPT4_KTQT_v4[[#This Row],[%HH]]*KH_26_OPT4_KTQT_v4[[#This Row],[DT-EXW-08]],KH_26_OPT4_KTQT_v4[[#This Row],[HH-SL]]*KH_26_OPT4_KTQT_v4[[#This Row],[SL-08]])</f>
        <v>0</v>
      </c>
      <c r="CE175" s="47">
        <f>IF(KH_26_OPT4_KTQT_v4[[#This Row],[CPHH-%-SL]]="Dthu",KH_26_OPT4_KTQT_v4[[#This Row],[%HH]]*KH_26_OPT4_KTQT_v4[[#This Row],[DT-EXW-09]],KH_26_OPT4_KTQT_v4[[#This Row],[HH-SL]]*KH_26_OPT4_KTQT_v4[[#This Row],[SL-09]])</f>
        <v>0</v>
      </c>
      <c r="CF175" s="47">
        <f>IF(KH_26_OPT4_KTQT_v4[[#This Row],[CPHH-%-SL]]="Dthu",KH_26_OPT4_KTQT_v4[[#This Row],[%HH]]*KH_26_OPT4_KTQT_v4[[#This Row],[DT-EXW-10]],KH_26_OPT4_KTQT_v4[[#This Row],[HH-SL]]*KH_26_OPT4_KTQT_v4[[#This Row],[SL-10]])</f>
        <v>0</v>
      </c>
      <c r="CG175" s="47">
        <f>IF(KH_26_OPT4_KTQT_v4[[#This Row],[CPHH-%-SL]]="Dthu",KH_26_OPT4_KTQT_v4[[#This Row],[%HH]]*KH_26_OPT4_KTQT_v4[[#This Row],[DT-EXW-11]],KH_26_OPT4_KTQT_v4[[#This Row],[HH-SL]]*KH_26_OPT4_KTQT_v4[[#This Row],[SL-11]])</f>
        <v>0</v>
      </c>
      <c r="CH175" s="47">
        <f>IF(KH_26_OPT4_KTQT_v4[[#This Row],[CPHH-%-SL]]="Dthu",KH_26_OPT4_KTQT_v4[[#This Row],[%HH]]*KH_26_OPT4_KTQT_v4[[#This Row],[DT-EXW-12]],KH_26_OPT4_KTQT_v4[[#This Row],[HH-SL]]*KH_26_OPT4_KTQT_v4[[#This Row],[SL-12]])</f>
        <v>0</v>
      </c>
      <c r="CI175" s="47">
        <f ca="1">SUM(KH_26_OPT4_KTQT_v4[[#This Row],[CPHH-01]:[CPHH-12]])</f>
        <v>0</v>
      </c>
      <c r="CJ175" s="47" cm="1">
        <f t="array" ref="CJ175">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75" s="19">
        <f ca="1">SUM(KH_26_OPT4_KTQT_v4[[#This Row],[ĐGVCNĐ-KXK]:[ĐGVCCT-KXK]])</f>
        <v>1734545.4545454546</v>
      </c>
      <c r="CL175" s="47" cm="1">
        <f t="array" ref="CL175">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530000</v>
      </c>
      <c r="CM175" s="47" cm="1">
        <f t="array" ref="CM175">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1204545.4545454546</v>
      </c>
      <c r="CN175" s="47">
        <f ca="1">(KH_26_OPT4_KTQT_v4[[#This Row],[ĐGVC-KNĐ]]+KH_26_OPT4_KTQT_v4[[#This Row],[ĐGVC-KXK]])*KH_26_OPT4_KTQT_v4[[#This Row],[SL-01]]</f>
        <v>0</v>
      </c>
      <c r="CO175" s="47">
        <f ca="1">(KH_26_OPT4_KTQT_v4[[#This Row],[ĐGVC-KNĐ]]+KH_26_OPT4_KTQT_v4[[#This Row],[ĐGVC-KXK]])*KH_26_OPT4_KTQT_v4[[#This Row],[SL-02]]</f>
        <v>0</v>
      </c>
      <c r="CP175" s="47">
        <f ca="1">(KH_26_OPT4_KTQT_v4[[#This Row],[ĐGVC-KNĐ]]+KH_26_OPT4_KTQT_v4[[#This Row],[ĐGVC-KXK]])*KH_26_OPT4_KTQT_v4[[#This Row],[SL-03]]</f>
        <v>0</v>
      </c>
      <c r="CQ175" s="47">
        <f ca="1">(KH_26_OPT4_KTQT_v4[[#This Row],[ĐGVC-KNĐ]]+KH_26_OPT4_KTQT_v4[[#This Row],[ĐGVC-KXK]])*KH_26_OPT4_KTQT_v4[[#This Row],[SL-04]]</f>
        <v>0</v>
      </c>
      <c r="CR175" s="47">
        <f ca="1">(KH_26_OPT4_KTQT_v4[[#This Row],[ĐGVC-KNĐ]]+KH_26_OPT4_KTQT_v4[[#This Row],[ĐGVC-KXK]])*KH_26_OPT4_KTQT_v4[[#This Row],[SL-05]]</f>
        <v>0</v>
      </c>
      <c r="CS175" s="47">
        <f ca="1">(KH_26_OPT4_KTQT_v4[[#This Row],[ĐGVC-KNĐ]]+KH_26_OPT4_KTQT_v4[[#This Row],[ĐGVC-KXK]])*KH_26_OPT4_KTQT_v4[[#This Row],[SL-06]]</f>
        <v>0</v>
      </c>
      <c r="CT175" s="47">
        <f ca="1">(KH_26_OPT4_KTQT_v4[[#This Row],[ĐGVC-KNĐ]]+KH_26_OPT4_KTQT_v4[[#This Row],[ĐGVC-KXK]])*KH_26_OPT4_KTQT_v4[[#This Row],[SL-07]]</f>
        <v>0</v>
      </c>
      <c r="CU175" s="47">
        <f ca="1">(KH_26_OPT4_KTQT_v4[[#This Row],[ĐGVC-KNĐ]]+KH_26_OPT4_KTQT_v4[[#This Row],[ĐGVC-KXK]])*KH_26_OPT4_KTQT_v4[[#This Row],[SL-08]]</f>
        <v>0</v>
      </c>
      <c r="CV175" s="47">
        <f ca="1">(KH_26_OPT4_KTQT_v4[[#This Row],[ĐGVC-KNĐ]]+KH_26_OPT4_KTQT_v4[[#This Row],[ĐGVC-KXK]])*KH_26_OPT4_KTQT_v4[[#This Row],[SL-09]]</f>
        <v>0</v>
      </c>
      <c r="CW175" s="47">
        <f ca="1">(KH_26_OPT4_KTQT_v4[[#This Row],[ĐGVC-KNĐ]]+KH_26_OPT4_KTQT_v4[[#This Row],[ĐGVC-KXK]])*KH_26_OPT4_KTQT_v4[[#This Row],[SL-10]]</f>
        <v>0</v>
      </c>
      <c r="CX175" s="47">
        <f ca="1">(KH_26_OPT4_KTQT_v4[[#This Row],[ĐGVC-KNĐ]]+KH_26_OPT4_KTQT_v4[[#This Row],[ĐGVC-KXK]])*KH_26_OPT4_KTQT_v4[[#This Row],[SL-11]]</f>
        <v>0</v>
      </c>
      <c r="CY175" s="47">
        <f ca="1">(KH_26_OPT4_KTQT_v4[[#This Row],[ĐGVC-KNĐ]]+KH_26_OPT4_KTQT_v4[[#This Row],[ĐGVC-KXK]])*KH_26_OPT4_KTQT_v4[[#This Row],[SL-12]]</f>
        <v>0</v>
      </c>
      <c r="CZ175" s="47">
        <f ca="1">SUM(KH_26_OPT4_KTQT_v4[[#This Row],[CPVC-01]:[CPVC-12]])</f>
        <v>0</v>
      </c>
      <c r="DA175" s="124">
        <f ca="1">KH_26_OPT4_KTQT_v4[[#This Row],[DT-EXW-01]]+KH_26_OPT4_KTQT_v4[[#This Row],[CPVC-01]]+KH_26_OPT4_KTQT_v4[[#This Row],[CPHH-01]]</f>
        <v>0</v>
      </c>
      <c r="DB175" s="47">
        <f ca="1">KH_26_OPT4_KTQT_v4[[#This Row],[DT-EXW-02]]+KH_26_OPT4_KTQT_v4[[#This Row],[CPVC-02]]+KH_26_OPT4_KTQT_v4[[#This Row],[CPHH-02]]</f>
        <v>0</v>
      </c>
      <c r="DC175" s="47">
        <f ca="1">KH_26_OPT4_KTQT_v4[[#This Row],[DT-EXW-03]]+KH_26_OPT4_KTQT_v4[[#This Row],[CPVC-03]]+KH_26_OPT4_KTQT_v4[[#This Row],[CPHH-03]]</f>
        <v>0</v>
      </c>
      <c r="DD175" s="47">
        <f ca="1">KH_26_OPT4_KTQT_v4[[#This Row],[DT-EXW-04]]+KH_26_OPT4_KTQT_v4[[#This Row],[CPVC-04]]+KH_26_OPT4_KTQT_v4[[#This Row],[CPHH-04]]</f>
        <v>0</v>
      </c>
      <c r="DE175" s="47">
        <f ca="1">KH_26_OPT4_KTQT_v4[[#This Row],[DT-EXW-05]]+KH_26_OPT4_KTQT_v4[[#This Row],[CPVC-05]]+KH_26_OPT4_KTQT_v4[[#This Row],[CPHH-05]]</f>
        <v>0</v>
      </c>
      <c r="DF175" s="47">
        <f ca="1">KH_26_OPT4_KTQT_v4[[#This Row],[DT-EXW-06]]+KH_26_OPT4_KTQT_v4[[#This Row],[CPVC-06]]+KH_26_OPT4_KTQT_v4[[#This Row],[CPHH-06]]</f>
        <v>0</v>
      </c>
      <c r="DG175" s="47">
        <f ca="1">KH_26_OPT4_KTQT_v4[[#This Row],[DT-EXW-07]]+KH_26_OPT4_KTQT_v4[[#This Row],[CPVC-07]]+KH_26_OPT4_KTQT_v4[[#This Row],[CPHH-07]]</f>
        <v>0</v>
      </c>
      <c r="DH175" s="47">
        <f ca="1">KH_26_OPT4_KTQT_v4[[#This Row],[DT-EXW-08]]+KH_26_OPT4_KTQT_v4[[#This Row],[CPVC-08]]+KH_26_OPT4_KTQT_v4[[#This Row],[CPHH-08]]</f>
        <v>0</v>
      </c>
      <c r="DI175" s="47">
        <f ca="1">KH_26_OPT4_KTQT_v4[[#This Row],[DT-EXW-09]]+KH_26_OPT4_KTQT_v4[[#This Row],[CPVC-09]]+KH_26_OPT4_KTQT_v4[[#This Row],[CPHH-09]]</f>
        <v>0</v>
      </c>
      <c r="DJ175" s="47">
        <f ca="1">KH_26_OPT4_KTQT_v4[[#This Row],[DT-EXW-10]]+KH_26_OPT4_KTQT_v4[[#This Row],[CPVC-10]]+KH_26_OPT4_KTQT_v4[[#This Row],[CPHH-10]]</f>
        <v>0</v>
      </c>
      <c r="DK175" s="47">
        <f ca="1">KH_26_OPT4_KTQT_v4[[#This Row],[DT-EXW-11]]+KH_26_OPT4_KTQT_v4[[#This Row],[CPVC-11]]+KH_26_OPT4_KTQT_v4[[#This Row],[CPHH-11]]</f>
        <v>0</v>
      </c>
      <c r="DL175" s="47">
        <f ca="1">KH_26_OPT4_KTQT_v4[[#This Row],[DT-EXW-12]]+KH_26_OPT4_KTQT_v4[[#This Row],[CPVC-12]]+KH_26_OPT4_KTQT_v4[[#This Row],[CPHH-12]]</f>
        <v>0</v>
      </c>
      <c r="DM175" s="47">
        <f ca="1">SUM(KH_26_OPT4_KTQT_v4[[#This Row],[DT-01]:[DT-12]])</f>
        <v>0</v>
      </c>
      <c r="DN175" s="7"/>
      <c r="DO175" s="7"/>
      <c r="DP175" s="125"/>
      <c r="DQ175" s="136"/>
      <c r="DR175" s="132">
        <f>IFERROR(KH_26_OPT4_KTQT_v4[[#This Row],[DT-EXW-01]]*KH_26_OPT4_KTQT_v4[[#This Row],[%CPDP]],0)</f>
        <v>0</v>
      </c>
      <c r="DS175" s="132">
        <f>IFERROR(KH_26_OPT4_KTQT_v4[[#This Row],[DT-EXW-02]]*KH_26_OPT4_KTQT_v4[[#This Row],[%CPDP]],0)</f>
        <v>0</v>
      </c>
      <c r="DT175" s="132">
        <f>IFERROR(KH_26_OPT4_KTQT_v4[[#This Row],[DT-EXW-03]]*KH_26_OPT4_KTQT_v4[[#This Row],[%CPDP]],0)</f>
        <v>0</v>
      </c>
      <c r="DU175" s="132">
        <f>IFERROR(KH_26_OPT4_KTQT_v4[[#This Row],[DT-EXW-04]]*KH_26_OPT4_KTQT_v4[[#This Row],[%CPDP]],0)</f>
        <v>0</v>
      </c>
      <c r="DV175" s="132">
        <f>IFERROR(KH_26_OPT4_KTQT_v4[[#This Row],[DT-EXW-05]]*KH_26_OPT4_KTQT_v4[[#This Row],[%CPDP]],0)</f>
        <v>0</v>
      </c>
      <c r="DW175" s="132">
        <f>IFERROR(KH_26_OPT4_KTQT_v4[[#This Row],[DT-EXW-06]]*KH_26_OPT4_KTQT_v4[[#This Row],[%CPDP]],0)</f>
        <v>0</v>
      </c>
      <c r="DX175" s="132">
        <f>IFERROR(KH_26_OPT4_KTQT_v4[[#This Row],[DT-EXW-07]]*KH_26_OPT4_KTQT_v4[[#This Row],[%CPDP]],0)</f>
        <v>0</v>
      </c>
      <c r="DY175" s="132">
        <f>IFERROR(KH_26_OPT4_KTQT_v4[[#This Row],[DT-EXW-08]]*KH_26_OPT4_KTQT_v4[[#This Row],[%CPDP]],0)</f>
        <v>0</v>
      </c>
      <c r="DZ175" s="132">
        <f>IFERROR(KH_26_OPT4_KTQT_v4[[#This Row],[DT-EXW-09]]*KH_26_OPT4_KTQT_v4[[#This Row],[%CPDP]],0)</f>
        <v>0</v>
      </c>
      <c r="EA175" s="132">
        <f>IFERROR(KH_26_OPT4_KTQT_v4[[#This Row],[DT-EXW-10]]*KH_26_OPT4_KTQT_v4[[#This Row],[%CPDP]],0)</f>
        <v>0</v>
      </c>
      <c r="EB175" s="132">
        <f>IFERROR(KH_26_OPT4_KTQT_v4[[#This Row],[DT-EXW-11]]*KH_26_OPT4_KTQT_v4[[#This Row],[%CPDP]],0)</f>
        <v>0</v>
      </c>
      <c r="EC175" s="132">
        <f>IFERROR(KH_26_OPT4_KTQT_v4[[#This Row],[DT-EXW-12]]*KH_26_OPT4_KTQT_v4[[#This Row],[%CPDP]],0)</f>
        <v>0</v>
      </c>
      <c r="ED175" s="131">
        <f ca="1">SUM(KH_26_OPT4_KTQT_v4[[#This Row],[CPDP-01]:[CPDP-12]])</f>
        <v>0</v>
      </c>
    </row>
    <row r="176" spans="1:134" ht="14.5" hidden="1" x14ac:dyDescent="0.35">
      <c r="A176" s="18">
        <v>171</v>
      </c>
      <c r="B176" s="71"/>
      <c r="C176" s="18" t="str">
        <f>IFERROR(_xlfn.XLOOKUP(KH_26_OPT4_KTQT_v4[[#This Row],[Salesman]],MD_Salesman[Salesman],MD_Salesman[SalesManager]),"")</f>
        <v/>
      </c>
      <c r="D176" s="72" t="str">
        <f>IFERROR(INDEX(MD_Customer[Mã khách],MATCH(KH_26_OPT4_KTQT_v4[[#This Row],[Tên khách]],MD_Customer[Tên khách-rút gọn],0)),"")</f>
        <v>200344</v>
      </c>
      <c r="E176" s="156" t="str">
        <f>IFERROR(INDEX(MD_Customer[Parent Account],MATCH(KH_26_OPT4_KTQT_v4[[#This Row],[Tên khách]],MD_Customer[Tên khách-rút gọn],0)),"")</f>
        <v>Wiese</v>
      </c>
      <c r="F176" s="35" t="s">
        <v>153</v>
      </c>
      <c r="G176" s="7" t="str">
        <f>IFERROR(INDEX(MD_Customer[Phân loại],MATCH(KH_26_OPT4_KTQT_v4[[#This Row],[Tên khách]],MD_Customer[Tên khách-rút gọn],0)),"")</f>
        <v>Mới</v>
      </c>
      <c r="H176" s="7" t="str">
        <f>IFERROR(INDEX(MD_Customer[Kênh bán hàng],MATCH(KH_26_OPT4_KTQT_v4[[#This Row],[Tên khách]],MD_Customer[Tên khách-rút gọn],0)),"")</f>
        <v>Xuất Khẩu</v>
      </c>
      <c r="I176" s="35" t="s">
        <v>318</v>
      </c>
      <c r="J176" s="7" t="str">
        <f>IFERROR(INDEX(MD_Destination[Nước],MATCH(KH_26_OPT4_KTQT_v4[[#This Row],[Địa điểm đến]],MD_Destination[Địa điểm đến],0)),"")</f>
        <v>Mexico</v>
      </c>
      <c r="K176" s="7" t="str">
        <f>IFERROR(INDEX(MD_Destination[Khu vực],MATCH(KH_26_OPT4_KTQT_v4[[#This Row],[Địa điểm đến]],MD_Destination[Địa điểm đến],0)),"")</f>
        <v>Châu Mỹ</v>
      </c>
      <c r="L176" s="35" t="s">
        <v>278</v>
      </c>
      <c r="M176" s="7" t="str">
        <f>IFERROR(INDEX(MD_SKU[Mã SKU],MATCH(KH_26_OPT4_KTQT_v4[[#This Row],[Tên sản phẩm]],MD_SKU[Tên SKU-rút gọn],0)),"")</f>
        <v>110000332</v>
      </c>
      <c r="N176" s="35" t="s">
        <v>1124</v>
      </c>
      <c r="O176" s="7" t="str">
        <f>IFERROR(INDEX(MD_SKU[Ngành hàng],MATCH(KH_26_OPT4_KTQT_v4[[#This Row],[Tên sản phẩm]],MD_SKU[Tên SKU-rút gọn],0)),"")</f>
        <v>rPET</v>
      </c>
      <c r="P176" s="7" t="str">
        <f>IFERROR(INDEX(MD_SKU[Nhóm ngành],MATCH(KH_26_OPT4_KTQT_v4[[#This Row],[Tên sản phẩm]],MD_SKU[Tên SKU-rút gọn],0)),"")</f>
        <v>Hạt PET</v>
      </c>
      <c r="Q176" s="7" t="str">
        <f>IFERROR(
   IF(INDEX(MD_SKU[IV/IM],MATCH(KH_26_OPT4_KTQT_v4[[#This Row],[Tên sản phẩm]],MD_SKU[Tên SKU-rút gọn],0))=0,
      "",
      INDEX(MD_SKU[IV/IM],MATCH(KH_26_OPT4_KTQT_v4[[#This Row],[Tên sản phẩm]],MD_SKU[Tên SKU-rút gọn],0))
   ),
"")</f>
        <v>0.84 ± 0.03</v>
      </c>
      <c r="R176" s="44">
        <f>IFERROR(INDEX(MD_SKU[Application],MATCH(KH_26_OPT4_KTQT_v4[[#This Row],[Tên sản phẩm]],MD_SKU[Tên SKU-rút gọn],0)),"")</f>
        <v>0</v>
      </c>
      <c r="S176" s="7" t="str">
        <f>IFERROR(INDEX(MD_SKU[Phân loại],MATCH(KH_26_OPT4_KTQT_v4[[#This Row],[Tên sản phẩm]],MD_SKU[Tên SKU-rút gọn],0)),"")</f>
        <v>Cũ</v>
      </c>
      <c r="T176" s="180" t="s">
        <v>541</v>
      </c>
      <c r="U176" s="7" t="s">
        <v>1508</v>
      </c>
      <c r="V176" s="70">
        <v>0.8</v>
      </c>
      <c r="W176" s="33">
        <v>22</v>
      </c>
      <c r="X176" s="33">
        <v>22</v>
      </c>
      <c r="Y176" s="33">
        <v>22</v>
      </c>
      <c r="Z176" s="33">
        <v>22</v>
      </c>
      <c r="AA176" s="33">
        <v>22</v>
      </c>
      <c r="AB176" s="33">
        <v>22</v>
      </c>
      <c r="AC176" s="33">
        <v>22</v>
      </c>
      <c r="AD176" s="33">
        <v>22</v>
      </c>
      <c r="AE176" s="33">
        <v>22</v>
      </c>
      <c r="AF176" s="33">
        <v>22</v>
      </c>
      <c r="AG176" s="33">
        <v>22</v>
      </c>
      <c r="AH176" s="33">
        <v>22</v>
      </c>
      <c r="AI176" s="47">
        <f ca="1">SUM(KH_26_OPT4_KTQT_v4[[#This Row],[SL-01]:[SL-12]])</f>
        <v>264</v>
      </c>
      <c r="AJ176" s="47">
        <f ca="1">SUMIFS(DB_25[SL-DB25],DB_25[Mã khách],KH_26_OPT4_KTQT_v4[[#This Row],[Mã khách]],DB_25[Mã sản phẩm],KH_26_OPT4_KTQT_v4[[#This Row],[Mã sản phẩm]])</f>
        <v>0</v>
      </c>
      <c r="AK176" s="20">
        <f ca="1">KH_26_OPT4_KTQT_v4[[#This Row],[SL-KH26]]-KH_26_OPT4_KTQT_v4[[#This Row],[SL-DB25]]</f>
        <v>264</v>
      </c>
      <c r="AL176" s="21">
        <f ca="1">IFERROR(KH_26_OPT4_KTQT_v4[[#This Row],[SL-+/-]]/KH_26_OPT4_KTQT_v4[[#This Row],[SL-DB25]],0)</f>
        <v>0</v>
      </c>
      <c r="AM176" s="51">
        <v>1250</v>
      </c>
      <c r="AN176" s="51">
        <v>1250</v>
      </c>
      <c r="AO176" s="51">
        <v>1250</v>
      </c>
      <c r="AP176" s="51">
        <v>1250</v>
      </c>
      <c r="AQ176" s="51">
        <v>1250</v>
      </c>
      <c r="AR176" s="51">
        <v>1250</v>
      </c>
      <c r="AS176" s="51">
        <v>1250</v>
      </c>
      <c r="AT176" s="51">
        <v>1250</v>
      </c>
      <c r="AU176" s="51">
        <v>1250</v>
      </c>
      <c r="AV176" s="51">
        <v>1250</v>
      </c>
      <c r="AW176" s="51">
        <v>1250</v>
      </c>
      <c r="AX176" s="51">
        <v>1250</v>
      </c>
      <c r="AY176" s="23">
        <f ca="1">KH_26_OPT4_KTQT_v4[[#This Row],[DT-EXW-KH26]]/KH_26_OPT4_KTQT_v4[[#This Row],[SL-KH26]]/26500</f>
        <v>1250</v>
      </c>
      <c r="AZ176" s="7"/>
      <c r="BA176" s="24">
        <f ca="1">KH_26_OPT4_KTQT_v4[[#This Row],[GB-DB25]]-KH_26_OPT4_KTQT_v4[[#This Row],[GB-KH25]]</f>
        <v>1250</v>
      </c>
      <c r="BB176" s="21">
        <f ca="1">IFERROR(KH_26_OPT4_KTQT_v4[[#This Row],[GB-+/-]]/KH_26_OPT4_KTQT_v4[[#This Row],[GB-KH25]],0)</f>
        <v>0</v>
      </c>
      <c r="BC176" s="21"/>
      <c r="BD176" s="47">
        <f>KH_26_OPT4_KTQT_v4[[#This Row],[SL-01]]*KH_26_OPT4_KTQT_v4[[#This Row],[GB-01]]*EXR</f>
        <v>728750000</v>
      </c>
      <c r="BE176" s="47">
        <f>KH_26_OPT4_KTQT_v4[[#This Row],[SL-02]]*KH_26_OPT4_KTQT_v4[[#This Row],[GB-02]]*EXR</f>
        <v>728750000</v>
      </c>
      <c r="BF176" s="47">
        <f>KH_26_OPT4_KTQT_v4[[#This Row],[SL-03]]*KH_26_OPT4_KTQT_v4[[#This Row],[GB-03]]*EXR</f>
        <v>728750000</v>
      </c>
      <c r="BG176" s="47">
        <f>KH_26_OPT4_KTQT_v4[[#This Row],[SL-04]]*KH_26_OPT4_KTQT_v4[[#This Row],[GB-04]]*EXR</f>
        <v>728750000</v>
      </c>
      <c r="BH176" s="47">
        <f>KH_26_OPT4_KTQT_v4[[#This Row],[SL-05]]*KH_26_OPT4_KTQT_v4[[#This Row],[GB-05]]*EXR</f>
        <v>728750000</v>
      </c>
      <c r="BI176" s="47">
        <f>KH_26_OPT4_KTQT_v4[[#This Row],[SL-06]]*KH_26_OPT4_KTQT_v4[[#This Row],[GB-06]]*EXR</f>
        <v>728750000</v>
      </c>
      <c r="BJ176" s="47">
        <f>KH_26_OPT4_KTQT_v4[[#This Row],[SL-07]]*KH_26_OPT4_KTQT_v4[[#This Row],[GB-07]]*EXR</f>
        <v>728750000</v>
      </c>
      <c r="BK176" s="47">
        <f>KH_26_OPT4_KTQT_v4[[#This Row],[SL-08]]*KH_26_OPT4_KTQT_v4[[#This Row],[GB-08]]*EXR</f>
        <v>728750000</v>
      </c>
      <c r="BL176" s="47">
        <f>KH_26_OPT4_KTQT_v4[[#This Row],[SL-09]]*KH_26_OPT4_KTQT_v4[[#This Row],[GB-09]]*EXR</f>
        <v>728750000</v>
      </c>
      <c r="BM176" s="47">
        <f>KH_26_OPT4_KTQT_v4[[#This Row],[SL-10]]*KH_26_OPT4_KTQT_v4[[#This Row],[GB-10]]*EXR</f>
        <v>728750000</v>
      </c>
      <c r="BN176" s="47">
        <f>KH_26_OPT4_KTQT_v4[[#This Row],[SL-11]]*KH_26_OPT4_KTQT_v4[[#This Row],[GB-11]]*EXR</f>
        <v>728750000</v>
      </c>
      <c r="BO176" s="47">
        <f>KH_26_OPT4_KTQT_v4[[#This Row],[SL-12]]*KH_26_OPT4_KTQT_v4[[#This Row],[GB-12]]*EXR</f>
        <v>728750000</v>
      </c>
      <c r="BP176" s="47">
        <f ca="1">SUM(KH_26_OPT4_KTQT_v4[[#This Row],[DT-EXW-01]:[DT-EXW-12]])</f>
        <v>8745000000</v>
      </c>
      <c r="BQ176" s="47">
        <f ca="1">SUMIFS(DB_25[DT-DB25],DB_25[Mã khách],KH_26_OPT4_KTQT_v4[[#This Row],[Mã khách]],DB_25[Mã sản phẩm],KH_26_OPT4_KTQT_v4[[#This Row],[Mã sản phẩm]])</f>
        <v>0</v>
      </c>
      <c r="BR176" s="19">
        <f ca="1">KH_26_OPT4_KTQT_v4[[#This Row],[DT-EXW-KH26]]-KH_26_OPT4_KTQT_v4[[#This Row],[DT-EXW-DB25]]</f>
        <v>8745000000</v>
      </c>
      <c r="BS176" s="21">
        <f ca="1">IFERROR(KH_26_OPT4_KTQT_v4[[#This Row],[DT-EXW-+/-]]/KH_26_OPT4_KTQT_v4[[#This Row],[DT-EXW-DB25]],0)</f>
        <v>0</v>
      </c>
      <c r="BT176" s="139"/>
      <c r="BU176" s="57"/>
      <c r="BV176" s="57"/>
      <c r="BW176" s="47">
        <f>IF(KH_26_OPT4_KTQT_v4[[#This Row],[CPHH-%-SL]]="Dthu",KH_26_OPT4_KTQT_v4[[#This Row],[%HH]]*KH_26_OPT4_KTQT_v4[[#This Row],[DT-EXW-01]],KH_26_OPT4_KTQT_v4[[#This Row],[HH-SL]]*KH_26_OPT4_KTQT_v4[[#This Row],[SL-01]])</f>
        <v>0</v>
      </c>
      <c r="BX176" s="47">
        <f>IF(KH_26_OPT4_KTQT_v4[[#This Row],[CPHH-%-SL]]="Dthu",KH_26_OPT4_KTQT_v4[[#This Row],[%HH]]*KH_26_OPT4_KTQT_v4[[#This Row],[DT-EXW-02]],KH_26_OPT4_KTQT_v4[[#This Row],[HH-SL]]*KH_26_OPT4_KTQT_v4[[#This Row],[SL-02]])</f>
        <v>0</v>
      </c>
      <c r="BY176" s="47">
        <f>IF(KH_26_OPT4_KTQT_v4[[#This Row],[CPHH-%-SL]]="Dthu",KH_26_OPT4_KTQT_v4[[#This Row],[%HH]]*KH_26_OPT4_KTQT_v4[[#This Row],[DT-EXW-03]],KH_26_OPT4_KTQT_v4[[#This Row],[HH-SL]]*KH_26_OPT4_KTQT_v4[[#This Row],[SL-03]])</f>
        <v>0</v>
      </c>
      <c r="BZ176" s="47">
        <f>IF(KH_26_OPT4_KTQT_v4[[#This Row],[CPHH-%-SL]]="Dthu",KH_26_OPT4_KTQT_v4[[#This Row],[%HH]]*KH_26_OPT4_KTQT_v4[[#This Row],[DT-EXW-04]],KH_26_OPT4_KTQT_v4[[#This Row],[HH-SL]]*KH_26_OPT4_KTQT_v4[[#This Row],[SL-04]])</f>
        <v>0</v>
      </c>
      <c r="CA176" s="47">
        <f>IF(KH_26_OPT4_KTQT_v4[[#This Row],[CPHH-%-SL]]="Dthu",KH_26_OPT4_KTQT_v4[[#This Row],[%HH]]*KH_26_OPT4_KTQT_v4[[#This Row],[DT-EXW-05]],KH_26_OPT4_KTQT_v4[[#This Row],[HH-SL]]*KH_26_OPT4_KTQT_v4[[#This Row],[SL-05]])</f>
        <v>0</v>
      </c>
      <c r="CB176" s="47">
        <f>IF(KH_26_OPT4_KTQT_v4[[#This Row],[CPHH-%-SL]]="Dthu",KH_26_OPT4_KTQT_v4[[#This Row],[%HH]]*KH_26_OPT4_KTQT_v4[[#This Row],[DT-EXW-06]],KH_26_OPT4_KTQT_v4[[#This Row],[HH-SL]]*KH_26_OPT4_KTQT_v4[[#This Row],[SL-06]])</f>
        <v>0</v>
      </c>
      <c r="CC176" s="47">
        <f>IF(KH_26_OPT4_KTQT_v4[[#This Row],[CPHH-%-SL]]="Dthu",KH_26_OPT4_KTQT_v4[[#This Row],[%HH]]*KH_26_OPT4_KTQT_v4[[#This Row],[DT-EXW-07]],KH_26_OPT4_KTQT_v4[[#This Row],[HH-SL]]*KH_26_OPT4_KTQT_v4[[#This Row],[SL-07]])</f>
        <v>0</v>
      </c>
      <c r="CD176" s="47">
        <f>IF(KH_26_OPT4_KTQT_v4[[#This Row],[CPHH-%-SL]]="Dthu",KH_26_OPT4_KTQT_v4[[#This Row],[%HH]]*KH_26_OPT4_KTQT_v4[[#This Row],[DT-EXW-08]],KH_26_OPT4_KTQT_v4[[#This Row],[HH-SL]]*KH_26_OPT4_KTQT_v4[[#This Row],[SL-08]])</f>
        <v>0</v>
      </c>
      <c r="CE176" s="47">
        <f>IF(KH_26_OPT4_KTQT_v4[[#This Row],[CPHH-%-SL]]="Dthu",KH_26_OPT4_KTQT_v4[[#This Row],[%HH]]*KH_26_OPT4_KTQT_v4[[#This Row],[DT-EXW-09]],KH_26_OPT4_KTQT_v4[[#This Row],[HH-SL]]*KH_26_OPT4_KTQT_v4[[#This Row],[SL-09]])</f>
        <v>0</v>
      </c>
      <c r="CF176" s="47">
        <f>IF(KH_26_OPT4_KTQT_v4[[#This Row],[CPHH-%-SL]]="Dthu",KH_26_OPT4_KTQT_v4[[#This Row],[%HH]]*KH_26_OPT4_KTQT_v4[[#This Row],[DT-EXW-10]],KH_26_OPT4_KTQT_v4[[#This Row],[HH-SL]]*KH_26_OPT4_KTQT_v4[[#This Row],[SL-10]])</f>
        <v>0</v>
      </c>
      <c r="CG176" s="47">
        <f>IF(KH_26_OPT4_KTQT_v4[[#This Row],[CPHH-%-SL]]="Dthu",KH_26_OPT4_KTQT_v4[[#This Row],[%HH]]*KH_26_OPT4_KTQT_v4[[#This Row],[DT-EXW-11]],KH_26_OPT4_KTQT_v4[[#This Row],[HH-SL]]*KH_26_OPT4_KTQT_v4[[#This Row],[SL-11]])</f>
        <v>0</v>
      </c>
      <c r="CH176" s="47">
        <f>IF(KH_26_OPT4_KTQT_v4[[#This Row],[CPHH-%-SL]]="Dthu",KH_26_OPT4_KTQT_v4[[#This Row],[%HH]]*KH_26_OPT4_KTQT_v4[[#This Row],[DT-EXW-12]],KH_26_OPT4_KTQT_v4[[#This Row],[HH-SL]]*KH_26_OPT4_KTQT_v4[[#This Row],[SL-12]])</f>
        <v>0</v>
      </c>
      <c r="CI176" s="47">
        <f ca="1">SUM(KH_26_OPT4_KTQT_v4[[#This Row],[CPHH-01]:[CPHH-12]])</f>
        <v>0</v>
      </c>
      <c r="CJ176" s="47" cm="1">
        <f t="array" ref="CJ176">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76" s="19">
        <f ca="1">SUM(KH_26_OPT4_KTQT_v4[[#This Row],[ĐGVCNĐ-KXK]:[ĐGVCCT-KXK]])</f>
        <v>530000</v>
      </c>
      <c r="CL176" s="47" cm="1">
        <f t="array" ref="CL176">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530000</v>
      </c>
      <c r="CM176" s="47" cm="1">
        <f t="array" ref="CM176">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76" s="47">
        <f ca="1">(KH_26_OPT4_KTQT_v4[[#This Row],[ĐGVC-KNĐ]]+KH_26_OPT4_KTQT_v4[[#This Row],[ĐGVC-KXK]])*KH_26_OPT4_KTQT_v4[[#This Row],[SL-01]]</f>
        <v>11660000</v>
      </c>
      <c r="CO176" s="47">
        <f ca="1">(KH_26_OPT4_KTQT_v4[[#This Row],[ĐGVC-KNĐ]]+KH_26_OPT4_KTQT_v4[[#This Row],[ĐGVC-KXK]])*KH_26_OPT4_KTQT_v4[[#This Row],[SL-02]]</f>
        <v>11660000</v>
      </c>
      <c r="CP176" s="47">
        <f ca="1">(KH_26_OPT4_KTQT_v4[[#This Row],[ĐGVC-KNĐ]]+KH_26_OPT4_KTQT_v4[[#This Row],[ĐGVC-KXK]])*KH_26_OPT4_KTQT_v4[[#This Row],[SL-03]]</f>
        <v>11660000</v>
      </c>
      <c r="CQ176" s="47">
        <f ca="1">(KH_26_OPT4_KTQT_v4[[#This Row],[ĐGVC-KNĐ]]+KH_26_OPT4_KTQT_v4[[#This Row],[ĐGVC-KXK]])*KH_26_OPT4_KTQT_v4[[#This Row],[SL-04]]</f>
        <v>11660000</v>
      </c>
      <c r="CR176" s="47">
        <f ca="1">(KH_26_OPT4_KTQT_v4[[#This Row],[ĐGVC-KNĐ]]+KH_26_OPT4_KTQT_v4[[#This Row],[ĐGVC-KXK]])*KH_26_OPT4_KTQT_v4[[#This Row],[SL-05]]</f>
        <v>11660000</v>
      </c>
      <c r="CS176" s="47">
        <f ca="1">(KH_26_OPT4_KTQT_v4[[#This Row],[ĐGVC-KNĐ]]+KH_26_OPT4_KTQT_v4[[#This Row],[ĐGVC-KXK]])*KH_26_OPT4_KTQT_v4[[#This Row],[SL-06]]</f>
        <v>11660000</v>
      </c>
      <c r="CT176" s="47">
        <f ca="1">(KH_26_OPT4_KTQT_v4[[#This Row],[ĐGVC-KNĐ]]+KH_26_OPT4_KTQT_v4[[#This Row],[ĐGVC-KXK]])*KH_26_OPT4_KTQT_v4[[#This Row],[SL-07]]</f>
        <v>11660000</v>
      </c>
      <c r="CU176" s="47">
        <f ca="1">(KH_26_OPT4_KTQT_v4[[#This Row],[ĐGVC-KNĐ]]+KH_26_OPT4_KTQT_v4[[#This Row],[ĐGVC-KXK]])*KH_26_OPT4_KTQT_v4[[#This Row],[SL-08]]</f>
        <v>11660000</v>
      </c>
      <c r="CV176" s="47">
        <f ca="1">(KH_26_OPT4_KTQT_v4[[#This Row],[ĐGVC-KNĐ]]+KH_26_OPT4_KTQT_v4[[#This Row],[ĐGVC-KXK]])*KH_26_OPT4_KTQT_v4[[#This Row],[SL-09]]</f>
        <v>11660000</v>
      </c>
      <c r="CW176" s="47">
        <f ca="1">(KH_26_OPT4_KTQT_v4[[#This Row],[ĐGVC-KNĐ]]+KH_26_OPT4_KTQT_v4[[#This Row],[ĐGVC-KXK]])*KH_26_OPT4_KTQT_v4[[#This Row],[SL-10]]</f>
        <v>11660000</v>
      </c>
      <c r="CX176" s="47">
        <f ca="1">(KH_26_OPT4_KTQT_v4[[#This Row],[ĐGVC-KNĐ]]+KH_26_OPT4_KTQT_v4[[#This Row],[ĐGVC-KXK]])*KH_26_OPT4_KTQT_v4[[#This Row],[SL-11]]</f>
        <v>11660000</v>
      </c>
      <c r="CY176" s="47">
        <f ca="1">(KH_26_OPT4_KTQT_v4[[#This Row],[ĐGVC-KNĐ]]+KH_26_OPT4_KTQT_v4[[#This Row],[ĐGVC-KXK]])*KH_26_OPT4_KTQT_v4[[#This Row],[SL-12]]</f>
        <v>11660000</v>
      </c>
      <c r="CZ176" s="47">
        <f ca="1">SUM(KH_26_OPT4_KTQT_v4[[#This Row],[CPVC-01]:[CPVC-12]])</f>
        <v>139920000</v>
      </c>
      <c r="DA176" s="124">
        <f ca="1">KH_26_OPT4_KTQT_v4[[#This Row],[DT-EXW-01]]+KH_26_OPT4_KTQT_v4[[#This Row],[CPVC-01]]+KH_26_OPT4_KTQT_v4[[#This Row],[CPHH-01]]</f>
        <v>740410000</v>
      </c>
      <c r="DB176" s="47">
        <f ca="1">KH_26_OPT4_KTQT_v4[[#This Row],[DT-EXW-02]]+KH_26_OPT4_KTQT_v4[[#This Row],[CPVC-02]]+KH_26_OPT4_KTQT_v4[[#This Row],[CPHH-02]]</f>
        <v>740410000</v>
      </c>
      <c r="DC176" s="47">
        <f ca="1">KH_26_OPT4_KTQT_v4[[#This Row],[DT-EXW-03]]+KH_26_OPT4_KTQT_v4[[#This Row],[CPVC-03]]+KH_26_OPT4_KTQT_v4[[#This Row],[CPHH-03]]</f>
        <v>740410000</v>
      </c>
      <c r="DD176" s="47">
        <f ca="1">KH_26_OPT4_KTQT_v4[[#This Row],[DT-EXW-04]]+KH_26_OPT4_KTQT_v4[[#This Row],[CPVC-04]]+KH_26_OPT4_KTQT_v4[[#This Row],[CPHH-04]]</f>
        <v>740410000</v>
      </c>
      <c r="DE176" s="47">
        <f ca="1">KH_26_OPT4_KTQT_v4[[#This Row],[DT-EXW-05]]+KH_26_OPT4_KTQT_v4[[#This Row],[CPVC-05]]+KH_26_OPT4_KTQT_v4[[#This Row],[CPHH-05]]</f>
        <v>740410000</v>
      </c>
      <c r="DF176" s="47">
        <f ca="1">KH_26_OPT4_KTQT_v4[[#This Row],[DT-EXW-06]]+KH_26_OPT4_KTQT_v4[[#This Row],[CPVC-06]]+KH_26_OPT4_KTQT_v4[[#This Row],[CPHH-06]]</f>
        <v>740410000</v>
      </c>
      <c r="DG176" s="47">
        <f ca="1">KH_26_OPT4_KTQT_v4[[#This Row],[DT-EXW-07]]+KH_26_OPT4_KTQT_v4[[#This Row],[CPVC-07]]+KH_26_OPT4_KTQT_v4[[#This Row],[CPHH-07]]</f>
        <v>740410000</v>
      </c>
      <c r="DH176" s="47">
        <f ca="1">KH_26_OPT4_KTQT_v4[[#This Row],[DT-EXW-08]]+KH_26_OPT4_KTQT_v4[[#This Row],[CPVC-08]]+KH_26_OPT4_KTQT_v4[[#This Row],[CPHH-08]]</f>
        <v>740410000</v>
      </c>
      <c r="DI176" s="47">
        <f ca="1">KH_26_OPT4_KTQT_v4[[#This Row],[DT-EXW-09]]+KH_26_OPT4_KTQT_v4[[#This Row],[CPVC-09]]+KH_26_OPT4_KTQT_v4[[#This Row],[CPHH-09]]</f>
        <v>740410000</v>
      </c>
      <c r="DJ176" s="47">
        <f ca="1">KH_26_OPT4_KTQT_v4[[#This Row],[DT-EXW-10]]+KH_26_OPT4_KTQT_v4[[#This Row],[CPVC-10]]+KH_26_OPT4_KTQT_v4[[#This Row],[CPHH-10]]</f>
        <v>740410000</v>
      </c>
      <c r="DK176" s="47">
        <f ca="1">KH_26_OPT4_KTQT_v4[[#This Row],[DT-EXW-11]]+KH_26_OPT4_KTQT_v4[[#This Row],[CPVC-11]]+KH_26_OPT4_KTQT_v4[[#This Row],[CPHH-11]]</f>
        <v>740410000</v>
      </c>
      <c r="DL176" s="47">
        <f ca="1">KH_26_OPT4_KTQT_v4[[#This Row],[DT-EXW-12]]+KH_26_OPT4_KTQT_v4[[#This Row],[CPVC-12]]+KH_26_OPT4_KTQT_v4[[#This Row],[CPHH-12]]</f>
        <v>740410000</v>
      </c>
      <c r="DM176" s="47">
        <f ca="1">SUM(KH_26_OPT4_KTQT_v4[[#This Row],[DT-01]:[DT-12]])</f>
        <v>8884920000</v>
      </c>
      <c r="DN176" s="7"/>
      <c r="DO176" s="7"/>
      <c r="DP176" s="125"/>
      <c r="DQ176" s="136"/>
      <c r="DR176" s="132">
        <f>IFERROR(KH_26_OPT4_KTQT_v4[[#This Row],[DT-EXW-01]]*KH_26_OPT4_KTQT_v4[[#This Row],[%CPDP]],0)</f>
        <v>0</v>
      </c>
      <c r="DS176" s="132">
        <f>IFERROR(KH_26_OPT4_KTQT_v4[[#This Row],[DT-EXW-02]]*KH_26_OPT4_KTQT_v4[[#This Row],[%CPDP]],0)</f>
        <v>0</v>
      </c>
      <c r="DT176" s="132">
        <f>IFERROR(KH_26_OPT4_KTQT_v4[[#This Row],[DT-EXW-03]]*KH_26_OPT4_KTQT_v4[[#This Row],[%CPDP]],0)</f>
        <v>0</v>
      </c>
      <c r="DU176" s="132">
        <f>IFERROR(KH_26_OPT4_KTQT_v4[[#This Row],[DT-EXW-04]]*KH_26_OPT4_KTQT_v4[[#This Row],[%CPDP]],0)</f>
        <v>0</v>
      </c>
      <c r="DV176" s="132">
        <f>IFERROR(KH_26_OPT4_KTQT_v4[[#This Row],[DT-EXW-05]]*KH_26_OPT4_KTQT_v4[[#This Row],[%CPDP]],0)</f>
        <v>0</v>
      </c>
      <c r="DW176" s="132">
        <f>IFERROR(KH_26_OPT4_KTQT_v4[[#This Row],[DT-EXW-06]]*KH_26_OPT4_KTQT_v4[[#This Row],[%CPDP]],0)</f>
        <v>0</v>
      </c>
      <c r="DX176" s="132">
        <f>IFERROR(KH_26_OPT4_KTQT_v4[[#This Row],[DT-EXW-07]]*KH_26_OPT4_KTQT_v4[[#This Row],[%CPDP]],0)</f>
        <v>0</v>
      </c>
      <c r="DY176" s="132">
        <f>IFERROR(KH_26_OPT4_KTQT_v4[[#This Row],[DT-EXW-08]]*KH_26_OPT4_KTQT_v4[[#This Row],[%CPDP]],0)</f>
        <v>0</v>
      </c>
      <c r="DZ176" s="132">
        <f>IFERROR(KH_26_OPT4_KTQT_v4[[#This Row],[DT-EXW-09]]*KH_26_OPT4_KTQT_v4[[#This Row],[%CPDP]],0)</f>
        <v>0</v>
      </c>
      <c r="EA176" s="132">
        <f>IFERROR(KH_26_OPT4_KTQT_v4[[#This Row],[DT-EXW-10]]*KH_26_OPT4_KTQT_v4[[#This Row],[%CPDP]],0)</f>
        <v>0</v>
      </c>
      <c r="EB176" s="132">
        <f>IFERROR(KH_26_OPT4_KTQT_v4[[#This Row],[DT-EXW-11]]*KH_26_OPT4_KTQT_v4[[#This Row],[%CPDP]],0)</f>
        <v>0</v>
      </c>
      <c r="EC176" s="132">
        <f>IFERROR(KH_26_OPT4_KTQT_v4[[#This Row],[DT-EXW-12]]*KH_26_OPT4_KTQT_v4[[#This Row],[%CPDP]],0)</f>
        <v>0</v>
      </c>
      <c r="ED176" s="132">
        <f ca="1">SUM(KH_26_OPT4_KTQT_v4[[#This Row],[CPDP-01]:[CPDP-12]])</f>
        <v>0</v>
      </c>
    </row>
    <row r="177" spans="1:134" ht="14.5" hidden="1" x14ac:dyDescent="0.35">
      <c r="A177" s="18">
        <v>172</v>
      </c>
      <c r="B177" s="71"/>
      <c r="C177" s="18" t="str">
        <f>IFERROR(_xlfn.XLOOKUP(KH_26_OPT4_KTQT_v4[[#This Row],[Salesman]],MD_Salesman[Salesman],MD_Salesman[SalesManager]),"")</f>
        <v/>
      </c>
      <c r="D177" s="72" t="str">
        <f>IFERROR(INDEX(MD_Customer[Mã khách],MATCH(KH_26_OPT4_KTQT_v4[[#This Row],[Tên khách]],MD_Customer[Tên khách-rút gọn],0)),"")</f>
        <v>NS26-NEWCUS-023</v>
      </c>
      <c r="E177" s="156" t="str">
        <f>IFERROR(INDEX(MD_Customer[Parent Account],MATCH(KH_26_OPT4_KTQT_v4[[#This Row],[Tên khách]],MD_Customer[Tên khách-rút gọn],0)),"")</f>
        <v>New Developments - Hạt PET - NĐ (WSS03G)</v>
      </c>
      <c r="F177" s="35" t="s">
        <v>1686</v>
      </c>
      <c r="G177" s="7" t="str">
        <f>IFERROR(INDEX(MD_Customer[Phân loại],MATCH(KH_26_OPT4_KTQT_v4[[#This Row],[Tên khách]],MD_Customer[Tên khách-rút gọn],0)),"")</f>
        <v>Mới</v>
      </c>
      <c r="H177" s="7" t="str">
        <f>IFERROR(INDEX(MD_Customer[Kênh bán hàng],MATCH(KH_26_OPT4_KTQT_v4[[#This Row],[Tên khách]],MD_Customer[Tên khách-rút gọn],0)),"")</f>
        <v>Nội địa</v>
      </c>
      <c r="I177" s="35" t="s">
        <v>261</v>
      </c>
      <c r="J177" s="7" t="str">
        <f>IFERROR(INDEX(MD_Destination[Nước],MATCH(KH_26_OPT4_KTQT_v4[[#This Row],[Địa điểm đến]],MD_Destination[Địa điểm đến],0)),"")</f>
        <v>Việt Nam</v>
      </c>
      <c r="K177" s="7" t="str">
        <f>IFERROR(INDEX(MD_Destination[Khu vực],MATCH(KH_26_OPT4_KTQT_v4[[#This Row],[Địa điểm đến]],MD_Destination[Địa điểm đến],0)),"")</f>
        <v>Châu Á</v>
      </c>
      <c r="L177" s="35" t="s">
        <v>260</v>
      </c>
      <c r="M177" s="7" t="str">
        <f>IFERROR(INDEX(MD_SKU[Mã SKU],MATCH(KH_26_OPT4_KTQT_v4[[#This Row],[Tên sản phẩm]],MD_SKU[Tên SKU-rút gọn],0)),"")</f>
        <v>110000359</v>
      </c>
      <c r="N177" s="35" t="s">
        <v>468</v>
      </c>
      <c r="O177" s="7" t="str">
        <f>IFERROR(INDEX(MD_SKU[Ngành hàng],MATCH(KH_26_OPT4_KTQT_v4[[#This Row],[Tên sản phẩm]],MD_SKU[Tên SKU-rút gọn],0)),"")</f>
        <v>rPET</v>
      </c>
      <c r="P177" s="7" t="str">
        <f>IFERROR(INDEX(MD_SKU[Nhóm ngành],MATCH(KH_26_OPT4_KTQT_v4[[#This Row],[Tên sản phẩm]],MD_SKU[Tên SKU-rút gọn],0)),"")</f>
        <v>Hạt PET</v>
      </c>
      <c r="Q177" s="7" t="str">
        <f>IFERROR(
   IF(INDEX(MD_SKU[IV/IM],MATCH(KH_26_OPT4_KTQT_v4[[#This Row],[Tên sản phẩm]],MD_SKU[Tên SKU-rút gọn],0))=0,
      "",
      INDEX(MD_SKU[IV/IM],MATCH(KH_26_OPT4_KTQT_v4[[#This Row],[Tên sản phẩm]],MD_SKU[Tên SKU-rút gọn],0))
   ),
"")</f>
        <v>0.70 ± 0.02</v>
      </c>
      <c r="R177" s="44">
        <f>IFERROR(INDEX(MD_SKU[Application],MATCH(KH_26_OPT4_KTQT_v4[[#This Row],[Tên sản phẩm]],MD_SKU[Tên SKU-rút gọn],0)),"")</f>
        <v>0</v>
      </c>
      <c r="S177" s="7" t="str">
        <f>IFERROR(INDEX(MD_SKU[Phân loại],MATCH(KH_26_OPT4_KTQT_v4[[#This Row],[Tên sản phẩm]],MD_SKU[Tên SKU-rút gọn],0)),"")</f>
        <v>Cũ</v>
      </c>
      <c r="T177" s="7" t="s">
        <v>541</v>
      </c>
      <c r="U177" s="157" t="s">
        <v>1508</v>
      </c>
      <c r="V177" s="70">
        <v>0.8</v>
      </c>
      <c r="W177" s="177">
        <v>494.73594934280482</v>
      </c>
      <c r="X177" s="177">
        <v>427.32758449069945</v>
      </c>
      <c r="Y177" s="177">
        <v>503.0704201424071</v>
      </c>
      <c r="Z177" s="177">
        <v>237.6445353433877</v>
      </c>
      <c r="AA177" s="177">
        <v>519.84945584920183</v>
      </c>
      <c r="AB177" s="177">
        <v>215.46519889426065</v>
      </c>
      <c r="AC177" s="177">
        <v>518.0355336399349</v>
      </c>
      <c r="AD177" s="177">
        <v>238.76251557540661</v>
      </c>
      <c r="AE177" s="177">
        <v>508.63611855555143</v>
      </c>
      <c r="AF177" s="177">
        <v>208.53931409524125</v>
      </c>
      <c r="AG177" s="177">
        <v>518.65614102112932</v>
      </c>
      <c r="AH177" s="177">
        <v>487.93343523669751</v>
      </c>
      <c r="AI177" s="47">
        <f ca="1">SUM(KH_26_OPT4_KTQT_v4[[#This Row],[SL-01]:[SL-12]])</f>
        <v>4878.6562021867239</v>
      </c>
      <c r="AJ177" s="47">
        <f ca="1">SUMIFS(DB_25[SL-DB25],DB_25[Mã khách],KH_26_OPT4_KTQT_v4[[#This Row],[Mã khách]],DB_25[Mã sản phẩm],KH_26_OPT4_KTQT_v4[[#This Row],[Mã sản phẩm]])</f>
        <v>0</v>
      </c>
      <c r="AK177" s="20">
        <f ca="1">KH_26_OPT4_KTQT_v4[[#This Row],[SL-KH26]]-KH_26_OPT4_KTQT_v4[[#This Row],[SL-DB25]]</f>
        <v>4878.6562021867239</v>
      </c>
      <c r="AL177" s="21">
        <f ca="1">IFERROR(KH_26_OPT4_KTQT_v4[[#This Row],[SL-+/-]]/KH_26_OPT4_KTQT_v4[[#This Row],[SL-DB25]],0)</f>
        <v>0</v>
      </c>
      <c r="AM177" s="51">
        <v>970</v>
      </c>
      <c r="AN177" s="51">
        <v>970</v>
      </c>
      <c r="AO177" s="51">
        <v>970</v>
      </c>
      <c r="AP177" s="51">
        <v>970</v>
      </c>
      <c r="AQ177" s="51">
        <v>970</v>
      </c>
      <c r="AR177" s="51">
        <v>970</v>
      </c>
      <c r="AS177" s="51">
        <v>970</v>
      </c>
      <c r="AT177" s="51">
        <v>970</v>
      </c>
      <c r="AU177" s="51">
        <v>970</v>
      </c>
      <c r="AV177" s="51">
        <v>970</v>
      </c>
      <c r="AW177" s="51">
        <v>970</v>
      </c>
      <c r="AX177" s="51">
        <v>970</v>
      </c>
      <c r="AY177" s="23">
        <v>970</v>
      </c>
      <c r="AZ177" s="7"/>
      <c r="BA177" s="24">
        <f>KH_26_OPT4_KTQT_v4[[#This Row],[GB-DB25]]-KH_26_OPT4_KTQT_v4[[#This Row],[GB-KH25]]</f>
        <v>970</v>
      </c>
      <c r="BB177" s="21">
        <f>IFERROR(KH_26_OPT4_KTQT_v4[[#This Row],[GB-+/-]]/KH_26_OPT4_KTQT_v4[[#This Row],[GB-KH25]],0)</f>
        <v>0</v>
      </c>
      <c r="BC177" s="21"/>
      <c r="BD177" s="47">
        <f>KH_26_OPT4_KTQT_v4[[#This Row],[SL-01]]*KH_26_OPT4_KTQT_v4[[#This Row],[GB-01]]*EXR</f>
        <v>12717187577.856796</v>
      </c>
      <c r="BE177" s="47">
        <f>KH_26_OPT4_KTQT_v4[[#This Row],[SL-02]]*KH_26_OPT4_KTQT_v4[[#This Row],[GB-02]]*EXR</f>
        <v>10984455559.333429</v>
      </c>
      <c r="BF177" s="47">
        <f>KH_26_OPT4_KTQT_v4[[#This Row],[SL-03]]*KH_26_OPT4_KTQT_v4[[#This Row],[GB-03]]*EXR</f>
        <v>12931425149.760574</v>
      </c>
      <c r="BG177" s="47">
        <f>KH_26_OPT4_KTQT_v4[[#This Row],[SL-04]]*KH_26_OPT4_KTQT_v4[[#This Row],[GB-04]]*EXR</f>
        <v>6108652781.0017815</v>
      </c>
      <c r="BH177" s="47">
        <f>KH_26_OPT4_KTQT_v4[[#This Row],[SL-05]]*KH_26_OPT4_KTQT_v4[[#This Row],[GB-05]]*EXR</f>
        <v>13362730262.603733</v>
      </c>
      <c r="BI177" s="47">
        <f>KH_26_OPT4_KTQT_v4[[#This Row],[SL-06]]*KH_26_OPT4_KTQT_v4[[#This Row],[GB-06]]*EXR</f>
        <v>5538532937.5769701</v>
      </c>
      <c r="BJ177" s="47">
        <f>KH_26_OPT4_KTQT_v4[[#This Row],[SL-07]]*KH_26_OPT4_KTQT_v4[[#This Row],[GB-07]]*EXR</f>
        <v>13316103392.214527</v>
      </c>
      <c r="BK177" s="47">
        <f>KH_26_OPT4_KTQT_v4[[#This Row],[SL-08]]*KH_26_OPT4_KTQT_v4[[#This Row],[GB-08]]*EXR</f>
        <v>6137390462.8658266</v>
      </c>
      <c r="BL177" s="47">
        <f>KH_26_OPT4_KTQT_v4[[#This Row],[SL-09]]*KH_26_OPT4_KTQT_v4[[#This Row],[GB-09]]*EXR</f>
        <v>13074491427.470449</v>
      </c>
      <c r="BM177" s="47">
        <f>KH_26_OPT4_KTQT_v4[[#This Row],[SL-10]]*KH_26_OPT4_KTQT_v4[[#This Row],[GB-10]]*EXR</f>
        <v>5360503068.8181763</v>
      </c>
      <c r="BN177" s="47">
        <f>KH_26_OPT4_KTQT_v4[[#This Row],[SL-11]]*KH_26_OPT4_KTQT_v4[[#This Row],[GB-11]]*EXR</f>
        <v>13332056104.94813</v>
      </c>
      <c r="BO177" s="47">
        <f>KH_26_OPT4_KTQT_v4[[#This Row],[SL-12]]*KH_26_OPT4_KTQT_v4[[#This Row],[GB-12]]*EXR</f>
        <v>12542328952.75931</v>
      </c>
      <c r="BP177" s="47">
        <f ca="1">SUM(KH_26_OPT4_KTQT_v4[[#This Row],[DT-EXW-01]:[DT-EXW-12]])</f>
        <v>125405857677.2097</v>
      </c>
      <c r="BQ177" s="47">
        <f ca="1">SUMIFS(DB_25[DT-DB25],DB_25[Mã khách],KH_26_OPT4_KTQT_v4[[#This Row],[Mã khách]],DB_25[Mã sản phẩm],KH_26_OPT4_KTQT_v4[[#This Row],[Mã sản phẩm]])</f>
        <v>0</v>
      </c>
      <c r="BR177" s="19">
        <f ca="1">KH_26_OPT4_KTQT_v4[[#This Row],[DT-EXW-KH26]]-KH_26_OPT4_KTQT_v4[[#This Row],[DT-EXW-DB25]]</f>
        <v>125405857677.2097</v>
      </c>
      <c r="BS177" s="21">
        <f ca="1">IFERROR(KH_26_OPT4_KTQT_v4[[#This Row],[DT-EXW-+/-]]/KH_26_OPT4_KTQT_v4[[#This Row],[DT-EXW-DB25]],0)</f>
        <v>0</v>
      </c>
      <c r="BT177" s="139"/>
      <c r="BU177" s="57"/>
      <c r="BV177" s="57"/>
      <c r="BW177" s="47">
        <f>IF(KH_26_OPT4_KTQT_v4[[#This Row],[CPHH-%-SL]]="Dthu",KH_26_OPT4_KTQT_v4[[#This Row],[%HH]]*KH_26_OPT4_KTQT_v4[[#This Row],[DT-EXW-01]],KH_26_OPT4_KTQT_v4[[#This Row],[HH-SL]]*KH_26_OPT4_KTQT_v4[[#This Row],[SL-01]])</f>
        <v>0</v>
      </c>
      <c r="BX177" s="47">
        <f>IF(KH_26_OPT4_KTQT_v4[[#This Row],[CPHH-%-SL]]="Dthu",KH_26_OPT4_KTQT_v4[[#This Row],[%HH]]*KH_26_OPT4_KTQT_v4[[#This Row],[DT-EXW-02]],KH_26_OPT4_KTQT_v4[[#This Row],[HH-SL]]*KH_26_OPT4_KTQT_v4[[#This Row],[SL-02]])</f>
        <v>0</v>
      </c>
      <c r="BY177" s="47">
        <f>IF(KH_26_OPT4_KTQT_v4[[#This Row],[CPHH-%-SL]]="Dthu",KH_26_OPT4_KTQT_v4[[#This Row],[%HH]]*KH_26_OPT4_KTQT_v4[[#This Row],[DT-EXW-03]],KH_26_OPT4_KTQT_v4[[#This Row],[HH-SL]]*KH_26_OPT4_KTQT_v4[[#This Row],[SL-03]])</f>
        <v>0</v>
      </c>
      <c r="BZ177" s="47">
        <f>IF(KH_26_OPT4_KTQT_v4[[#This Row],[CPHH-%-SL]]="Dthu",KH_26_OPT4_KTQT_v4[[#This Row],[%HH]]*KH_26_OPT4_KTQT_v4[[#This Row],[DT-EXW-04]],KH_26_OPT4_KTQT_v4[[#This Row],[HH-SL]]*KH_26_OPT4_KTQT_v4[[#This Row],[SL-04]])</f>
        <v>0</v>
      </c>
      <c r="CA177" s="47">
        <f>IF(KH_26_OPT4_KTQT_v4[[#This Row],[CPHH-%-SL]]="Dthu",KH_26_OPT4_KTQT_v4[[#This Row],[%HH]]*KH_26_OPT4_KTQT_v4[[#This Row],[DT-EXW-05]],KH_26_OPT4_KTQT_v4[[#This Row],[HH-SL]]*KH_26_OPT4_KTQT_v4[[#This Row],[SL-05]])</f>
        <v>0</v>
      </c>
      <c r="CB177" s="47">
        <f>IF(KH_26_OPT4_KTQT_v4[[#This Row],[CPHH-%-SL]]="Dthu",KH_26_OPT4_KTQT_v4[[#This Row],[%HH]]*KH_26_OPT4_KTQT_v4[[#This Row],[DT-EXW-06]],KH_26_OPT4_KTQT_v4[[#This Row],[HH-SL]]*KH_26_OPT4_KTQT_v4[[#This Row],[SL-06]])</f>
        <v>0</v>
      </c>
      <c r="CC177" s="47">
        <f>IF(KH_26_OPT4_KTQT_v4[[#This Row],[CPHH-%-SL]]="Dthu",KH_26_OPT4_KTQT_v4[[#This Row],[%HH]]*KH_26_OPT4_KTQT_v4[[#This Row],[DT-EXW-07]],KH_26_OPT4_KTQT_v4[[#This Row],[HH-SL]]*KH_26_OPT4_KTQT_v4[[#This Row],[SL-07]])</f>
        <v>0</v>
      </c>
      <c r="CD177" s="47">
        <f>IF(KH_26_OPT4_KTQT_v4[[#This Row],[CPHH-%-SL]]="Dthu",KH_26_OPT4_KTQT_v4[[#This Row],[%HH]]*KH_26_OPT4_KTQT_v4[[#This Row],[DT-EXW-08]],KH_26_OPT4_KTQT_v4[[#This Row],[HH-SL]]*KH_26_OPT4_KTQT_v4[[#This Row],[SL-08]])</f>
        <v>0</v>
      </c>
      <c r="CE177" s="47">
        <f>IF(KH_26_OPT4_KTQT_v4[[#This Row],[CPHH-%-SL]]="Dthu",KH_26_OPT4_KTQT_v4[[#This Row],[%HH]]*KH_26_OPT4_KTQT_v4[[#This Row],[DT-EXW-09]],KH_26_OPT4_KTQT_v4[[#This Row],[HH-SL]]*KH_26_OPT4_KTQT_v4[[#This Row],[SL-09]])</f>
        <v>0</v>
      </c>
      <c r="CF177" s="47">
        <f>IF(KH_26_OPT4_KTQT_v4[[#This Row],[CPHH-%-SL]]="Dthu",KH_26_OPT4_KTQT_v4[[#This Row],[%HH]]*KH_26_OPT4_KTQT_v4[[#This Row],[DT-EXW-10]],KH_26_OPT4_KTQT_v4[[#This Row],[HH-SL]]*KH_26_OPT4_KTQT_v4[[#This Row],[SL-10]])</f>
        <v>0</v>
      </c>
      <c r="CG177" s="47">
        <f>IF(KH_26_OPT4_KTQT_v4[[#This Row],[CPHH-%-SL]]="Dthu",KH_26_OPT4_KTQT_v4[[#This Row],[%HH]]*KH_26_OPT4_KTQT_v4[[#This Row],[DT-EXW-11]],KH_26_OPT4_KTQT_v4[[#This Row],[HH-SL]]*KH_26_OPT4_KTQT_v4[[#This Row],[SL-11]])</f>
        <v>0</v>
      </c>
      <c r="CH177" s="47">
        <f>IF(KH_26_OPT4_KTQT_v4[[#This Row],[CPHH-%-SL]]="Dthu",KH_26_OPT4_KTQT_v4[[#This Row],[%HH]]*KH_26_OPT4_KTQT_v4[[#This Row],[DT-EXW-12]],KH_26_OPT4_KTQT_v4[[#This Row],[HH-SL]]*KH_26_OPT4_KTQT_v4[[#This Row],[SL-12]])</f>
        <v>0</v>
      </c>
      <c r="CI177" s="47">
        <f ca="1">SUM(KH_26_OPT4_KTQT_v4[[#This Row],[CPHH-01]:[CPHH-12]])</f>
        <v>0</v>
      </c>
      <c r="CJ177" s="47" cm="1">
        <f t="array" ref="CJ177">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77" s="19">
        <f ca="1">SUM(KH_26_OPT4_KTQT_v4[[#This Row],[ĐGVCNĐ-KXK]:[ĐGVCCT-KXK]])</f>
        <v>0</v>
      </c>
      <c r="CL177" s="47" cm="1">
        <f t="array" ref="CL177">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177" s="47" cm="1">
        <f t="array" ref="CM177">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77" s="47">
        <f ca="1">(KH_26_OPT4_KTQT_v4[[#This Row],[ĐGVC-KNĐ]]+KH_26_OPT4_KTQT_v4[[#This Row],[ĐGVC-KXK]])*KH_26_OPT4_KTQT_v4[[#This Row],[SL-01]]</f>
        <v>0</v>
      </c>
      <c r="CO177" s="47">
        <f ca="1">(KH_26_OPT4_KTQT_v4[[#This Row],[ĐGVC-KNĐ]]+KH_26_OPT4_KTQT_v4[[#This Row],[ĐGVC-KXK]])*KH_26_OPT4_KTQT_v4[[#This Row],[SL-02]]</f>
        <v>0</v>
      </c>
      <c r="CP177" s="47">
        <f ca="1">(KH_26_OPT4_KTQT_v4[[#This Row],[ĐGVC-KNĐ]]+KH_26_OPT4_KTQT_v4[[#This Row],[ĐGVC-KXK]])*KH_26_OPT4_KTQT_v4[[#This Row],[SL-03]]</f>
        <v>0</v>
      </c>
      <c r="CQ177" s="47">
        <f ca="1">(KH_26_OPT4_KTQT_v4[[#This Row],[ĐGVC-KNĐ]]+KH_26_OPT4_KTQT_v4[[#This Row],[ĐGVC-KXK]])*KH_26_OPT4_KTQT_v4[[#This Row],[SL-04]]</f>
        <v>0</v>
      </c>
      <c r="CR177" s="47">
        <f ca="1">(KH_26_OPT4_KTQT_v4[[#This Row],[ĐGVC-KNĐ]]+KH_26_OPT4_KTQT_v4[[#This Row],[ĐGVC-KXK]])*KH_26_OPT4_KTQT_v4[[#This Row],[SL-05]]</f>
        <v>0</v>
      </c>
      <c r="CS177" s="47">
        <f ca="1">(KH_26_OPT4_KTQT_v4[[#This Row],[ĐGVC-KNĐ]]+KH_26_OPT4_KTQT_v4[[#This Row],[ĐGVC-KXK]])*KH_26_OPT4_KTQT_v4[[#This Row],[SL-06]]</f>
        <v>0</v>
      </c>
      <c r="CT177" s="47">
        <f ca="1">(KH_26_OPT4_KTQT_v4[[#This Row],[ĐGVC-KNĐ]]+KH_26_OPT4_KTQT_v4[[#This Row],[ĐGVC-KXK]])*KH_26_OPT4_KTQT_v4[[#This Row],[SL-07]]</f>
        <v>0</v>
      </c>
      <c r="CU177" s="47">
        <f ca="1">(KH_26_OPT4_KTQT_v4[[#This Row],[ĐGVC-KNĐ]]+KH_26_OPT4_KTQT_v4[[#This Row],[ĐGVC-KXK]])*KH_26_OPT4_KTQT_v4[[#This Row],[SL-08]]</f>
        <v>0</v>
      </c>
      <c r="CV177" s="47">
        <f ca="1">(KH_26_OPT4_KTQT_v4[[#This Row],[ĐGVC-KNĐ]]+KH_26_OPT4_KTQT_v4[[#This Row],[ĐGVC-KXK]])*KH_26_OPT4_KTQT_v4[[#This Row],[SL-09]]</f>
        <v>0</v>
      </c>
      <c r="CW177" s="47">
        <f ca="1">(KH_26_OPT4_KTQT_v4[[#This Row],[ĐGVC-KNĐ]]+KH_26_OPT4_KTQT_v4[[#This Row],[ĐGVC-KXK]])*KH_26_OPT4_KTQT_v4[[#This Row],[SL-10]]</f>
        <v>0</v>
      </c>
      <c r="CX177" s="47">
        <f ca="1">(KH_26_OPT4_KTQT_v4[[#This Row],[ĐGVC-KNĐ]]+KH_26_OPT4_KTQT_v4[[#This Row],[ĐGVC-KXK]])*KH_26_OPT4_KTQT_v4[[#This Row],[SL-11]]</f>
        <v>0</v>
      </c>
      <c r="CY177" s="47">
        <f ca="1">(KH_26_OPT4_KTQT_v4[[#This Row],[ĐGVC-KNĐ]]+KH_26_OPT4_KTQT_v4[[#This Row],[ĐGVC-KXK]])*KH_26_OPT4_KTQT_v4[[#This Row],[SL-12]]</f>
        <v>0</v>
      </c>
      <c r="CZ177" s="47">
        <f ca="1">SUM(KH_26_OPT4_KTQT_v4[[#This Row],[CPVC-01]:[CPVC-12]])</f>
        <v>0</v>
      </c>
      <c r="DA177" s="124">
        <f ca="1">KH_26_OPT4_KTQT_v4[[#This Row],[DT-EXW-01]]+KH_26_OPT4_KTQT_v4[[#This Row],[CPVC-01]]+KH_26_OPT4_KTQT_v4[[#This Row],[CPHH-01]]</f>
        <v>12717187577.856796</v>
      </c>
      <c r="DB177" s="47">
        <f ca="1">KH_26_OPT4_KTQT_v4[[#This Row],[DT-EXW-02]]+KH_26_OPT4_KTQT_v4[[#This Row],[CPVC-02]]+KH_26_OPT4_KTQT_v4[[#This Row],[CPHH-02]]</f>
        <v>10984455559.333429</v>
      </c>
      <c r="DC177" s="47">
        <f ca="1">KH_26_OPT4_KTQT_v4[[#This Row],[DT-EXW-03]]+KH_26_OPT4_KTQT_v4[[#This Row],[CPVC-03]]+KH_26_OPT4_KTQT_v4[[#This Row],[CPHH-03]]</f>
        <v>12931425149.760574</v>
      </c>
      <c r="DD177" s="47">
        <f ca="1">KH_26_OPT4_KTQT_v4[[#This Row],[DT-EXW-04]]+KH_26_OPT4_KTQT_v4[[#This Row],[CPVC-04]]+KH_26_OPT4_KTQT_v4[[#This Row],[CPHH-04]]</f>
        <v>6108652781.0017815</v>
      </c>
      <c r="DE177" s="47">
        <f ca="1">KH_26_OPT4_KTQT_v4[[#This Row],[DT-EXW-05]]+KH_26_OPT4_KTQT_v4[[#This Row],[CPVC-05]]+KH_26_OPT4_KTQT_v4[[#This Row],[CPHH-05]]</f>
        <v>13362730262.603733</v>
      </c>
      <c r="DF177" s="47">
        <f ca="1">KH_26_OPT4_KTQT_v4[[#This Row],[DT-EXW-06]]+KH_26_OPT4_KTQT_v4[[#This Row],[CPVC-06]]+KH_26_OPT4_KTQT_v4[[#This Row],[CPHH-06]]</f>
        <v>5538532937.5769701</v>
      </c>
      <c r="DG177" s="47">
        <f ca="1">KH_26_OPT4_KTQT_v4[[#This Row],[DT-EXW-07]]+KH_26_OPT4_KTQT_v4[[#This Row],[CPVC-07]]+KH_26_OPT4_KTQT_v4[[#This Row],[CPHH-07]]</f>
        <v>13316103392.214527</v>
      </c>
      <c r="DH177" s="47">
        <f ca="1">KH_26_OPT4_KTQT_v4[[#This Row],[DT-EXW-08]]+KH_26_OPT4_KTQT_v4[[#This Row],[CPVC-08]]+KH_26_OPT4_KTQT_v4[[#This Row],[CPHH-08]]</f>
        <v>6137390462.8658266</v>
      </c>
      <c r="DI177" s="47">
        <f ca="1">KH_26_OPT4_KTQT_v4[[#This Row],[DT-EXW-09]]+KH_26_OPT4_KTQT_v4[[#This Row],[CPVC-09]]+KH_26_OPT4_KTQT_v4[[#This Row],[CPHH-09]]</f>
        <v>13074491427.470449</v>
      </c>
      <c r="DJ177" s="47">
        <f ca="1">KH_26_OPT4_KTQT_v4[[#This Row],[DT-EXW-10]]+KH_26_OPT4_KTQT_v4[[#This Row],[CPVC-10]]+KH_26_OPT4_KTQT_v4[[#This Row],[CPHH-10]]</f>
        <v>5360503068.8181763</v>
      </c>
      <c r="DK177" s="47">
        <f ca="1">KH_26_OPT4_KTQT_v4[[#This Row],[DT-EXW-11]]+KH_26_OPT4_KTQT_v4[[#This Row],[CPVC-11]]+KH_26_OPT4_KTQT_v4[[#This Row],[CPHH-11]]</f>
        <v>13332056104.94813</v>
      </c>
      <c r="DL177" s="47">
        <f ca="1">KH_26_OPT4_KTQT_v4[[#This Row],[DT-EXW-12]]+KH_26_OPT4_KTQT_v4[[#This Row],[CPVC-12]]+KH_26_OPT4_KTQT_v4[[#This Row],[CPHH-12]]</f>
        <v>12542328952.75931</v>
      </c>
      <c r="DM177" s="47">
        <f ca="1">SUM(KH_26_OPT4_KTQT_v4[[#This Row],[DT-01]:[DT-12]])</f>
        <v>125405857677.2097</v>
      </c>
      <c r="DN177" s="7"/>
      <c r="DO177" s="7"/>
      <c r="DP177" s="125"/>
      <c r="DQ177" s="136"/>
      <c r="DR177" s="132">
        <f>IFERROR(KH_26_OPT4_KTQT_v4[[#This Row],[DT-EXW-01]]*KH_26_OPT4_KTQT_v4[[#This Row],[%CPDP]],0)</f>
        <v>0</v>
      </c>
      <c r="DS177" s="132">
        <f>IFERROR(KH_26_OPT4_KTQT_v4[[#This Row],[DT-EXW-02]]*KH_26_OPT4_KTQT_v4[[#This Row],[%CPDP]],0)</f>
        <v>0</v>
      </c>
      <c r="DT177" s="132">
        <f>IFERROR(KH_26_OPT4_KTQT_v4[[#This Row],[DT-EXW-03]]*KH_26_OPT4_KTQT_v4[[#This Row],[%CPDP]],0)</f>
        <v>0</v>
      </c>
      <c r="DU177" s="132">
        <f>IFERROR(KH_26_OPT4_KTQT_v4[[#This Row],[DT-EXW-04]]*KH_26_OPT4_KTQT_v4[[#This Row],[%CPDP]],0)</f>
        <v>0</v>
      </c>
      <c r="DV177" s="132">
        <f>IFERROR(KH_26_OPT4_KTQT_v4[[#This Row],[DT-EXW-05]]*KH_26_OPT4_KTQT_v4[[#This Row],[%CPDP]],0)</f>
        <v>0</v>
      </c>
      <c r="DW177" s="132">
        <f>IFERROR(KH_26_OPT4_KTQT_v4[[#This Row],[DT-EXW-06]]*KH_26_OPT4_KTQT_v4[[#This Row],[%CPDP]],0)</f>
        <v>0</v>
      </c>
      <c r="DX177" s="132">
        <f>IFERROR(KH_26_OPT4_KTQT_v4[[#This Row],[DT-EXW-07]]*KH_26_OPT4_KTQT_v4[[#This Row],[%CPDP]],0)</f>
        <v>0</v>
      </c>
      <c r="DY177" s="132">
        <f>IFERROR(KH_26_OPT4_KTQT_v4[[#This Row],[DT-EXW-08]]*KH_26_OPT4_KTQT_v4[[#This Row],[%CPDP]],0)</f>
        <v>0</v>
      </c>
      <c r="DZ177" s="132">
        <f>IFERROR(KH_26_OPT4_KTQT_v4[[#This Row],[DT-EXW-09]]*KH_26_OPT4_KTQT_v4[[#This Row],[%CPDP]],0)</f>
        <v>0</v>
      </c>
      <c r="EA177" s="132">
        <f>IFERROR(KH_26_OPT4_KTQT_v4[[#This Row],[DT-EXW-10]]*KH_26_OPT4_KTQT_v4[[#This Row],[%CPDP]],0)</f>
        <v>0</v>
      </c>
      <c r="EB177" s="132">
        <f>IFERROR(KH_26_OPT4_KTQT_v4[[#This Row],[DT-EXW-11]]*KH_26_OPT4_KTQT_v4[[#This Row],[%CPDP]],0)</f>
        <v>0</v>
      </c>
      <c r="EC177" s="132">
        <f>IFERROR(KH_26_OPT4_KTQT_v4[[#This Row],[DT-EXW-12]]*KH_26_OPT4_KTQT_v4[[#This Row],[%CPDP]],0)</f>
        <v>0</v>
      </c>
      <c r="ED177" s="132">
        <f ca="1">SUM(KH_26_OPT4_KTQT_v4[[#This Row],[CPDP-01]:[CPDP-12]])</f>
        <v>0</v>
      </c>
    </row>
    <row r="178" spans="1:134" ht="14.5" hidden="1" x14ac:dyDescent="0.35">
      <c r="A178" s="18">
        <v>173</v>
      </c>
      <c r="B178" s="71"/>
      <c r="C178" s="18" t="str">
        <f>IFERROR(_xlfn.XLOOKUP(KH_26_OPT4_KTQT_v4[[#This Row],[Salesman]],MD_Salesman[Salesman],MD_Salesman[SalesManager]),"")</f>
        <v/>
      </c>
      <c r="D178" s="72" t="str">
        <f>IFERROR(INDEX(MD_Customer[Mã khách],MATCH(KH_26_OPT4_KTQT_v4[[#This Row],[Tên khách]],MD_Customer[Tên khách-rút gọn],0)),"")</f>
        <v>NS26-NEWCUS-024</v>
      </c>
      <c r="E178" s="156" t="str">
        <f>IFERROR(INDEX(MD_Customer[Parent Account],MATCH(KH_26_OPT4_KTQT_v4[[#This Row],[Tên khách]],MD_Customer[Tên khách-rút gọn],0)),"")</f>
        <v>New Developments - Hạt PET - NĐ (iSS01G 1)</v>
      </c>
      <c r="F178" s="35" t="s">
        <v>1696</v>
      </c>
      <c r="G178" s="7" t="str">
        <f>IFERROR(INDEX(MD_Customer[Phân loại],MATCH(KH_26_OPT4_KTQT_v4[[#This Row],[Tên khách]],MD_Customer[Tên khách-rút gọn],0)),"")</f>
        <v>Mới</v>
      </c>
      <c r="H178" s="7" t="str">
        <f>IFERROR(INDEX(MD_Customer[Kênh bán hàng],MATCH(KH_26_OPT4_KTQT_v4[[#This Row],[Tên khách]],MD_Customer[Tên khách-rút gọn],0)),"")</f>
        <v>Nội địa</v>
      </c>
      <c r="I178" s="35" t="s">
        <v>261</v>
      </c>
      <c r="J178" s="7" t="str">
        <f>IFERROR(INDEX(MD_Destination[Nước],MATCH(KH_26_OPT4_KTQT_v4[[#This Row],[Địa điểm đến]],MD_Destination[Địa điểm đến],0)),"")</f>
        <v>Việt Nam</v>
      </c>
      <c r="K178" s="7" t="str">
        <f>IFERROR(INDEX(MD_Destination[Khu vực],MATCH(KH_26_OPT4_KTQT_v4[[#This Row],[Địa điểm đến]],MD_Destination[Địa điểm đến],0)),"")</f>
        <v>Châu Á</v>
      </c>
      <c r="L178" s="35" t="s">
        <v>260</v>
      </c>
      <c r="M178" s="7" t="str">
        <f>IFERROR(INDEX(MD_SKU[Mã SKU],MATCH(KH_26_OPT4_KTQT_v4[[#This Row],[Tên sản phẩm]],MD_SKU[Tên SKU-rút gọn],0)),"")</f>
        <v>110000355</v>
      </c>
      <c r="N178" s="35" t="s">
        <v>469</v>
      </c>
      <c r="O178" s="35" t="str">
        <f>IFERROR(INDEX(MD_SKU[Ngành hàng],MATCH(KH_26_OPT4_KTQT_v4[[#This Row],[Tên sản phẩm]],MD_SKU[Tên SKU-rút gọn],0)),"")</f>
        <v>rPET</v>
      </c>
      <c r="P178" s="7" t="str">
        <f>IFERROR(INDEX(MD_SKU[Nhóm ngành],MATCH(KH_26_OPT4_KTQT_v4[[#This Row],[Tên sản phẩm]],MD_SKU[Tên SKU-rút gọn],0)),"")</f>
        <v>Hạt PET</v>
      </c>
      <c r="Q178" s="7" t="str">
        <f>IFERROR(
   IF(INDEX(MD_SKU[IV/IM],MATCH(KH_26_OPT4_KTQT_v4[[#This Row],[Tên sản phẩm]],MD_SKU[Tên SKU-rút gọn],0))=0,
      "",
      INDEX(MD_SKU[IV/IM],MATCH(KH_26_OPT4_KTQT_v4[[#This Row],[Tên sản phẩm]],MD_SKU[Tên SKU-rút gọn],0))
   ),
"")</f>
        <v>0.80 ± 0.02</v>
      </c>
      <c r="R178" s="44">
        <f>IFERROR(INDEX(MD_SKU[Application],MATCH(KH_26_OPT4_KTQT_v4[[#This Row],[Tên sản phẩm]],MD_SKU[Tên SKU-rút gọn],0)),"")</f>
        <v>0</v>
      </c>
      <c r="S178" s="7" t="str">
        <f>IFERROR(INDEX(MD_SKU[Phân loại],MATCH(KH_26_OPT4_KTQT_v4[[#This Row],[Tên sản phẩm]],MD_SKU[Tên SKU-rút gọn],0)),"")</f>
        <v>Cũ</v>
      </c>
      <c r="T178" s="7" t="s">
        <v>541</v>
      </c>
      <c r="U178" s="157" t="s">
        <v>1508</v>
      </c>
      <c r="V178" s="70">
        <v>0.8</v>
      </c>
      <c r="W178" s="177">
        <v>232.70000000000005</v>
      </c>
      <c r="X178" s="177">
        <v>172.20000000000005</v>
      </c>
      <c r="Y178" s="177">
        <v>194.20000000000005</v>
      </c>
      <c r="Z178" s="177">
        <v>252.5</v>
      </c>
      <c r="AA178" s="177">
        <v>197</v>
      </c>
      <c r="AB178" s="177">
        <v>139.20000000000005</v>
      </c>
      <c r="AC178" s="177">
        <v>162.89999999999998</v>
      </c>
      <c r="AD178" s="177">
        <v>313</v>
      </c>
      <c r="AE178" s="177">
        <v>34.200000000000045</v>
      </c>
      <c r="AF178" s="177">
        <v>181</v>
      </c>
      <c r="AG178" s="177">
        <v>175</v>
      </c>
      <c r="AH178" s="177">
        <v>214</v>
      </c>
      <c r="AI178" s="47">
        <f ca="1">SUM(KH_26_OPT4_KTQT_v4[[#This Row],[SL-01]:[SL-12]])</f>
        <v>2267.9000000000005</v>
      </c>
      <c r="AJ178" s="47">
        <f ca="1">SUMIFS(DB_25[SL-DB25],DB_25[Mã khách],KH_26_OPT4_KTQT_v4[[#This Row],[Mã khách]],DB_25[Mã sản phẩm],KH_26_OPT4_KTQT_v4[[#This Row],[Mã sản phẩm]])</f>
        <v>0</v>
      </c>
      <c r="AK178" s="20">
        <f ca="1">KH_26_OPT4_KTQT_v4[[#This Row],[SL-KH26]]-KH_26_OPT4_KTQT_v4[[#This Row],[SL-DB25]]</f>
        <v>2267.9000000000005</v>
      </c>
      <c r="AL178" s="21">
        <f ca="1">IFERROR(KH_26_OPT4_KTQT_v4[[#This Row],[SL-+/-]]/KH_26_OPT4_KTQT_v4[[#This Row],[SL-DB25]],0)</f>
        <v>0</v>
      </c>
      <c r="AM178" s="51">
        <v>1200</v>
      </c>
      <c r="AN178" s="51">
        <v>1200</v>
      </c>
      <c r="AO178" s="51">
        <v>1200</v>
      </c>
      <c r="AP178" s="51">
        <v>1200</v>
      </c>
      <c r="AQ178" s="51">
        <v>1200</v>
      </c>
      <c r="AR178" s="51">
        <v>1200</v>
      </c>
      <c r="AS178" s="51">
        <v>1200</v>
      </c>
      <c r="AT178" s="51">
        <v>1200</v>
      </c>
      <c r="AU178" s="51">
        <v>1200</v>
      </c>
      <c r="AV178" s="51">
        <v>1200</v>
      </c>
      <c r="AW178" s="51">
        <v>1200</v>
      </c>
      <c r="AX178" s="51">
        <v>1200</v>
      </c>
      <c r="AY178" s="23"/>
      <c r="AZ178" s="7"/>
      <c r="BA178" s="24">
        <f>KH_26_OPT4_KTQT_v4[[#This Row],[GB-DB25]]-KH_26_OPT4_KTQT_v4[[#This Row],[GB-KH25]]</f>
        <v>0</v>
      </c>
      <c r="BB178" s="21">
        <f>IFERROR(KH_26_OPT4_KTQT_v4[[#This Row],[GB-+/-]]/KH_26_OPT4_KTQT_v4[[#This Row],[GB-KH25]],0)</f>
        <v>0</v>
      </c>
      <c r="BC178" s="21"/>
      <c r="BD178" s="47">
        <f>KH_26_OPT4_KTQT_v4[[#This Row],[SL-01]]*KH_26_OPT4_KTQT_v4[[#This Row],[GB-01]]*EXR</f>
        <v>7399860000.0000019</v>
      </c>
      <c r="BE178" s="47">
        <f>KH_26_OPT4_KTQT_v4[[#This Row],[SL-02]]*KH_26_OPT4_KTQT_v4[[#This Row],[GB-02]]*EXR</f>
        <v>5475960000.0000019</v>
      </c>
      <c r="BF178" s="47">
        <f>KH_26_OPT4_KTQT_v4[[#This Row],[SL-03]]*KH_26_OPT4_KTQT_v4[[#This Row],[GB-03]]*EXR</f>
        <v>6175560000.0000019</v>
      </c>
      <c r="BG178" s="47">
        <f>KH_26_OPT4_KTQT_v4[[#This Row],[SL-04]]*KH_26_OPT4_KTQT_v4[[#This Row],[GB-04]]*EXR</f>
        <v>8029500000</v>
      </c>
      <c r="BH178" s="47">
        <f>KH_26_OPT4_KTQT_v4[[#This Row],[SL-05]]*KH_26_OPT4_KTQT_v4[[#This Row],[GB-05]]*EXR</f>
        <v>6264600000</v>
      </c>
      <c r="BI178" s="47">
        <f>KH_26_OPT4_KTQT_v4[[#This Row],[SL-06]]*KH_26_OPT4_KTQT_v4[[#This Row],[GB-06]]*EXR</f>
        <v>4426560000.0000019</v>
      </c>
      <c r="BJ178" s="47">
        <f>KH_26_OPT4_KTQT_v4[[#This Row],[SL-07]]*KH_26_OPT4_KTQT_v4[[#This Row],[GB-07]]*EXR</f>
        <v>5180219999.999999</v>
      </c>
      <c r="BK178" s="47">
        <f>KH_26_OPT4_KTQT_v4[[#This Row],[SL-08]]*KH_26_OPT4_KTQT_v4[[#This Row],[GB-08]]*EXR</f>
        <v>9953400000</v>
      </c>
      <c r="BL178" s="47">
        <f>KH_26_OPT4_KTQT_v4[[#This Row],[SL-09]]*KH_26_OPT4_KTQT_v4[[#This Row],[GB-09]]*EXR</f>
        <v>1087560000.0000014</v>
      </c>
      <c r="BM178" s="47">
        <f>KH_26_OPT4_KTQT_v4[[#This Row],[SL-10]]*KH_26_OPT4_KTQT_v4[[#This Row],[GB-10]]*EXR</f>
        <v>5755800000</v>
      </c>
      <c r="BN178" s="47">
        <f>KH_26_OPT4_KTQT_v4[[#This Row],[SL-11]]*KH_26_OPT4_KTQT_v4[[#This Row],[GB-11]]*EXR</f>
        <v>5565000000</v>
      </c>
      <c r="BO178" s="47">
        <f>KH_26_OPT4_KTQT_v4[[#This Row],[SL-12]]*KH_26_OPT4_KTQT_v4[[#This Row],[GB-12]]*EXR</f>
        <v>6805200000</v>
      </c>
      <c r="BP178" s="47">
        <f ca="1">SUM(KH_26_OPT4_KTQT_v4[[#This Row],[DT-EXW-01]:[DT-EXW-12]])</f>
        <v>72119220000</v>
      </c>
      <c r="BQ178" s="47">
        <f ca="1">SUMIFS(DB_25[DT-DB25],DB_25[Mã khách],KH_26_OPT4_KTQT_v4[[#This Row],[Mã khách]],DB_25[Mã sản phẩm],KH_26_OPT4_KTQT_v4[[#This Row],[Mã sản phẩm]])</f>
        <v>0</v>
      </c>
      <c r="BR178" s="19">
        <f ca="1">KH_26_OPT4_KTQT_v4[[#This Row],[DT-EXW-KH26]]-KH_26_OPT4_KTQT_v4[[#This Row],[DT-EXW-DB25]]</f>
        <v>72119220000</v>
      </c>
      <c r="BS178" s="21">
        <f ca="1">IFERROR(KH_26_OPT4_KTQT_v4[[#This Row],[DT-EXW-+/-]]/KH_26_OPT4_KTQT_v4[[#This Row],[DT-EXW-DB25]],0)</f>
        <v>0</v>
      </c>
      <c r="BT178" s="139"/>
      <c r="BU178" s="57"/>
      <c r="BV178" s="57"/>
      <c r="BW178" s="47">
        <f>IF(KH_26_OPT4_KTQT_v4[[#This Row],[CPHH-%-SL]]="Dthu",KH_26_OPT4_KTQT_v4[[#This Row],[%HH]]*KH_26_OPT4_KTQT_v4[[#This Row],[DT-EXW-01]],KH_26_OPT4_KTQT_v4[[#This Row],[HH-SL]]*KH_26_OPT4_KTQT_v4[[#This Row],[SL-01]])</f>
        <v>0</v>
      </c>
      <c r="BX178" s="47">
        <f>IF(KH_26_OPT4_KTQT_v4[[#This Row],[CPHH-%-SL]]="Dthu",KH_26_OPT4_KTQT_v4[[#This Row],[%HH]]*KH_26_OPT4_KTQT_v4[[#This Row],[DT-EXW-02]],KH_26_OPT4_KTQT_v4[[#This Row],[HH-SL]]*KH_26_OPT4_KTQT_v4[[#This Row],[SL-02]])</f>
        <v>0</v>
      </c>
      <c r="BY178" s="47">
        <f>IF(KH_26_OPT4_KTQT_v4[[#This Row],[CPHH-%-SL]]="Dthu",KH_26_OPT4_KTQT_v4[[#This Row],[%HH]]*KH_26_OPT4_KTQT_v4[[#This Row],[DT-EXW-03]],KH_26_OPT4_KTQT_v4[[#This Row],[HH-SL]]*KH_26_OPT4_KTQT_v4[[#This Row],[SL-03]])</f>
        <v>0</v>
      </c>
      <c r="BZ178" s="47">
        <f>IF(KH_26_OPT4_KTQT_v4[[#This Row],[CPHH-%-SL]]="Dthu",KH_26_OPT4_KTQT_v4[[#This Row],[%HH]]*KH_26_OPT4_KTQT_v4[[#This Row],[DT-EXW-04]],KH_26_OPT4_KTQT_v4[[#This Row],[HH-SL]]*KH_26_OPT4_KTQT_v4[[#This Row],[SL-04]])</f>
        <v>0</v>
      </c>
      <c r="CA178" s="47">
        <f>IF(KH_26_OPT4_KTQT_v4[[#This Row],[CPHH-%-SL]]="Dthu",KH_26_OPT4_KTQT_v4[[#This Row],[%HH]]*KH_26_OPT4_KTQT_v4[[#This Row],[DT-EXW-05]],KH_26_OPT4_KTQT_v4[[#This Row],[HH-SL]]*KH_26_OPT4_KTQT_v4[[#This Row],[SL-05]])</f>
        <v>0</v>
      </c>
      <c r="CB178" s="47">
        <f>IF(KH_26_OPT4_KTQT_v4[[#This Row],[CPHH-%-SL]]="Dthu",KH_26_OPT4_KTQT_v4[[#This Row],[%HH]]*KH_26_OPT4_KTQT_v4[[#This Row],[DT-EXW-06]],KH_26_OPT4_KTQT_v4[[#This Row],[HH-SL]]*KH_26_OPT4_KTQT_v4[[#This Row],[SL-06]])</f>
        <v>0</v>
      </c>
      <c r="CC178" s="47">
        <f>IF(KH_26_OPT4_KTQT_v4[[#This Row],[CPHH-%-SL]]="Dthu",KH_26_OPT4_KTQT_v4[[#This Row],[%HH]]*KH_26_OPT4_KTQT_v4[[#This Row],[DT-EXW-07]],KH_26_OPT4_KTQT_v4[[#This Row],[HH-SL]]*KH_26_OPT4_KTQT_v4[[#This Row],[SL-07]])</f>
        <v>0</v>
      </c>
      <c r="CD178" s="47">
        <f>IF(KH_26_OPT4_KTQT_v4[[#This Row],[CPHH-%-SL]]="Dthu",KH_26_OPT4_KTQT_v4[[#This Row],[%HH]]*KH_26_OPT4_KTQT_v4[[#This Row],[DT-EXW-08]],KH_26_OPT4_KTQT_v4[[#This Row],[HH-SL]]*KH_26_OPT4_KTQT_v4[[#This Row],[SL-08]])</f>
        <v>0</v>
      </c>
      <c r="CE178" s="47">
        <f>IF(KH_26_OPT4_KTQT_v4[[#This Row],[CPHH-%-SL]]="Dthu",KH_26_OPT4_KTQT_v4[[#This Row],[%HH]]*KH_26_OPT4_KTQT_v4[[#This Row],[DT-EXW-09]],KH_26_OPT4_KTQT_v4[[#This Row],[HH-SL]]*KH_26_OPT4_KTQT_v4[[#This Row],[SL-09]])</f>
        <v>0</v>
      </c>
      <c r="CF178" s="47">
        <f>IF(KH_26_OPT4_KTQT_v4[[#This Row],[CPHH-%-SL]]="Dthu",KH_26_OPT4_KTQT_v4[[#This Row],[%HH]]*KH_26_OPT4_KTQT_v4[[#This Row],[DT-EXW-10]],KH_26_OPT4_KTQT_v4[[#This Row],[HH-SL]]*KH_26_OPT4_KTQT_v4[[#This Row],[SL-10]])</f>
        <v>0</v>
      </c>
      <c r="CG178" s="47">
        <f>IF(KH_26_OPT4_KTQT_v4[[#This Row],[CPHH-%-SL]]="Dthu",KH_26_OPT4_KTQT_v4[[#This Row],[%HH]]*KH_26_OPT4_KTQT_v4[[#This Row],[DT-EXW-11]],KH_26_OPT4_KTQT_v4[[#This Row],[HH-SL]]*KH_26_OPT4_KTQT_v4[[#This Row],[SL-11]])</f>
        <v>0</v>
      </c>
      <c r="CH178" s="47">
        <f>IF(KH_26_OPT4_KTQT_v4[[#This Row],[CPHH-%-SL]]="Dthu",KH_26_OPT4_KTQT_v4[[#This Row],[%HH]]*KH_26_OPT4_KTQT_v4[[#This Row],[DT-EXW-12]],KH_26_OPT4_KTQT_v4[[#This Row],[HH-SL]]*KH_26_OPT4_KTQT_v4[[#This Row],[SL-12]])</f>
        <v>0</v>
      </c>
      <c r="CI178" s="47">
        <f ca="1">SUM(KH_26_OPT4_KTQT_v4[[#This Row],[CPHH-01]:[CPHH-12]])</f>
        <v>0</v>
      </c>
      <c r="CJ178" s="47" cm="1">
        <f t="array" ref="CJ178">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78" s="19">
        <f ca="1">SUM(KH_26_OPT4_KTQT_v4[[#This Row],[ĐGVCNĐ-KXK]:[ĐGVCCT-KXK]])</f>
        <v>0</v>
      </c>
      <c r="CL178" s="47" cm="1">
        <f t="array" ref="CL178">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178" s="47" cm="1">
        <f t="array" ref="CM178">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78" s="47">
        <f ca="1">(KH_26_OPT4_KTQT_v4[[#This Row],[ĐGVC-KNĐ]]+KH_26_OPT4_KTQT_v4[[#This Row],[ĐGVC-KXK]])*KH_26_OPT4_KTQT_v4[[#This Row],[SL-01]]</f>
        <v>0</v>
      </c>
      <c r="CO178" s="47">
        <f ca="1">(KH_26_OPT4_KTQT_v4[[#This Row],[ĐGVC-KNĐ]]+KH_26_OPT4_KTQT_v4[[#This Row],[ĐGVC-KXK]])*KH_26_OPT4_KTQT_v4[[#This Row],[SL-02]]</f>
        <v>0</v>
      </c>
      <c r="CP178" s="47">
        <f ca="1">(KH_26_OPT4_KTQT_v4[[#This Row],[ĐGVC-KNĐ]]+KH_26_OPT4_KTQT_v4[[#This Row],[ĐGVC-KXK]])*KH_26_OPT4_KTQT_v4[[#This Row],[SL-03]]</f>
        <v>0</v>
      </c>
      <c r="CQ178" s="47">
        <f ca="1">(KH_26_OPT4_KTQT_v4[[#This Row],[ĐGVC-KNĐ]]+KH_26_OPT4_KTQT_v4[[#This Row],[ĐGVC-KXK]])*KH_26_OPT4_KTQT_v4[[#This Row],[SL-04]]</f>
        <v>0</v>
      </c>
      <c r="CR178" s="47">
        <f ca="1">(KH_26_OPT4_KTQT_v4[[#This Row],[ĐGVC-KNĐ]]+KH_26_OPT4_KTQT_v4[[#This Row],[ĐGVC-KXK]])*KH_26_OPT4_KTQT_v4[[#This Row],[SL-05]]</f>
        <v>0</v>
      </c>
      <c r="CS178" s="47">
        <f ca="1">(KH_26_OPT4_KTQT_v4[[#This Row],[ĐGVC-KNĐ]]+KH_26_OPT4_KTQT_v4[[#This Row],[ĐGVC-KXK]])*KH_26_OPT4_KTQT_v4[[#This Row],[SL-06]]</f>
        <v>0</v>
      </c>
      <c r="CT178" s="47">
        <f ca="1">(KH_26_OPT4_KTQT_v4[[#This Row],[ĐGVC-KNĐ]]+KH_26_OPT4_KTQT_v4[[#This Row],[ĐGVC-KXK]])*KH_26_OPT4_KTQT_v4[[#This Row],[SL-07]]</f>
        <v>0</v>
      </c>
      <c r="CU178" s="47">
        <f ca="1">(KH_26_OPT4_KTQT_v4[[#This Row],[ĐGVC-KNĐ]]+KH_26_OPT4_KTQT_v4[[#This Row],[ĐGVC-KXK]])*KH_26_OPT4_KTQT_v4[[#This Row],[SL-08]]</f>
        <v>0</v>
      </c>
      <c r="CV178" s="47">
        <f ca="1">(KH_26_OPT4_KTQT_v4[[#This Row],[ĐGVC-KNĐ]]+KH_26_OPT4_KTQT_v4[[#This Row],[ĐGVC-KXK]])*KH_26_OPT4_KTQT_v4[[#This Row],[SL-09]]</f>
        <v>0</v>
      </c>
      <c r="CW178" s="47">
        <f ca="1">(KH_26_OPT4_KTQT_v4[[#This Row],[ĐGVC-KNĐ]]+KH_26_OPT4_KTQT_v4[[#This Row],[ĐGVC-KXK]])*KH_26_OPT4_KTQT_v4[[#This Row],[SL-10]]</f>
        <v>0</v>
      </c>
      <c r="CX178" s="47">
        <f ca="1">(KH_26_OPT4_KTQT_v4[[#This Row],[ĐGVC-KNĐ]]+KH_26_OPT4_KTQT_v4[[#This Row],[ĐGVC-KXK]])*KH_26_OPT4_KTQT_v4[[#This Row],[SL-11]]</f>
        <v>0</v>
      </c>
      <c r="CY178" s="47">
        <f ca="1">(KH_26_OPT4_KTQT_v4[[#This Row],[ĐGVC-KNĐ]]+KH_26_OPT4_KTQT_v4[[#This Row],[ĐGVC-KXK]])*KH_26_OPT4_KTQT_v4[[#This Row],[SL-12]]</f>
        <v>0</v>
      </c>
      <c r="CZ178" s="47">
        <f ca="1">SUM(KH_26_OPT4_KTQT_v4[[#This Row],[CPVC-01]:[CPVC-12]])</f>
        <v>0</v>
      </c>
      <c r="DA178" s="124">
        <f ca="1">KH_26_OPT4_KTQT_v4[[#This Row],[DT-EXW-01]]+KH_26_OPT4_KTQT_v4[[#This Row],[CPVC-01]]+KH_26_OPT4_KTQT_v4[[#This Row],[CPHH-01]]</f>
        <v>7399860000.0000019</v>
      </c>
      <c r="DB178" s="47">
        <f ca="1">KH_26_OPT4_KTQT_v4[[#This Row],[DT-EXW-02]]+KH_26_OPT4_KTQT_v4[[#This Row],[CPVC-02]]+KH_26_OPT4_KTQT_v4[[#This Row],[CPHH-02]]</f>
        <v>5475960000.0000019</v>
      </c>
      <c r="DC178" s="47">
        <f ca="1">KH_26_OPT4_KTQT_v4[[#This Row],[DT-EXW-03]]+KH_26_OPT4_KTQT_v4[[#This Row],[CPVC-03]]+KH_26_OPT4_KTQT_v4[[#This Row],[CPHH-03]]</f>
        <v>6175560000.0000019</v>
      </c>
      <c r="DD178" s="47">
        <f ca="1">KH_26_OPT4_KTQT_v4[[#This Row],[DT-EXW-04]]+KH_26_OPT4_KTQT_v4[[#This Row],[CPVC-04]]+KH_26_OPT4_KTQT_v4[[#This Row],[CPHH-04]]</f>
        <v>8029500000</v>
      </c>
      <c r="DE178" s="47">
        <f ca="1">KH_26_OPT4_KTQT_v4[[#This Row],[DT-EXW-05]]+KH_26_OPT4_KTQT_v4[[#This Row],[CPVC-05]]+KH_26_OPT4_KTQT_v4[[#This Row],[CPHH-05]]</f>
        <v>6264600000</v>
      </c>
      <c r="DF178" s="47">
        <f ca="1">KH_26_OPT4_KTQT_v4[[#This Row],[DT-EXW-06]]+KH_26_OPT4_KTQT_v4[[#This Row],[CPVC-06]]+KH_26_OPT4_KTQT_v4[[#This Row],[CPHH-06]]</f>
        <v>4426560000.0000019</v>
      </c>
      <c r="DG178" s="47">
        <f ca="1">KH_26_OPT4_KTQT_v4[[#This Row],[DT-EXW-07]]+KH_26_OPT4_KTQT_v4[[#This Row],[CPVC-07]]+KH_26_OPT4_KTQT_v4[[#This Row],[CPHH-07]]</f>
        <v>5180219999.999999</v>
      </c>
      <c r="DH178" s="47">
        <f ca="1">KH_26_OPT4_KTQT_v4[[#This Row],[DT-EXW-08]]+KH_26_OPT4_KTQT_v4[[#This Row],[CPVC-08]]+KH_26_OPT4_KTQT_v4[[#This Row],[CPHH-08]]</f>
        <v>9953400000</v>
      </c>
      <c r="DI178" s="47">
        <f ca="1">KH_26_OPT4_KTQT_v4[[#This Row],[DT-EXW-09]]+KH_26_OPT4_KTQT_v4[[#This Row],[CPVC-09]]+KH_26_OPT4_KTQT_v4[[#This Row],[CPHH-09]]</f>
        <v>1087560000.0000014</v>
      </c>
      <c r="DJ178" s="47">
        <f ca="1">KH_26_OPT4_KTQT_v4[[#This Row],[DT-EXW-10]]+KH_26_OPT4_KTQT_v4[[#This Row],[CPVC-10]]+KH_26_OPT4_KTQT_v4[[#This Row],[CPHH-10]]</f>
        <v>5755800000</v>
      </c>
      <c r="DK178" s="47">
        <f ca="1">KH_26_OPT4_KTQT_v4[[#This Row],[DT-EXW-11]]+KH_26_OPT4_KTQT_v4[[#This Row],[CPVC-11]]+KH_26_OPT4_KTQT_v4[[#This Row],[CPHH-11]]</f>
        <v>5565000000</v>
      </c>
      <c r="DL178" s="47">
        <f ca="1">KH_26_OPT4_KTQT_v4[[#This Row],[DT-EXW-12]]+KH_26_OPT4_KTQT_v4[[#This Row],[CPVC-12]]+KH_26_OPT4_KTQT_v4[[#This Row],[CPHH-12]]</f>
        <v>6805200000</v>
      </c>
      <c r="DM178" s="47">
        <f ca="1">SUM(KH_26_OPT4_KTQT_v4[[#This Row],[DT-01]:[DT-12]])</f>
        <v>72119220000</v>
      </c>
      <c r="DN178" s="7"/>
      <c r="DO178" s="7"/>
      <c r="DP178" s="125"/>
      <c r="DQ178" s="136"/>
      <c r="DR178" s="132">
        <f>IFERROR(KH_26_OPT4_KTQT_v4[[#This Row],[DT-EXW-01]]*KH_26_OPT4_KTQT_v4[[#This Row],[%CPDP]],0)</f>
        <v>0</v>
      </c>
      <c r="DS178" s="132">
        <f>IFERROR(KH_26_OPT4_KTQT_v4[[#This Row],[DT-EXW-02]]*KH_26_OPT4_KTQT_v4[[#This Row],[%CPDP]],0)</f>
        <v>0</v>
      </c>
      <c r="DT178" s="132">
        <f>IFERROR(KH_26_OPT4_KTQT_v4[[#This Row],[DT-EXW-03]]*KH_26_OPT4_KTQT_v4[[#This Row],[%CPDP]],0)</f>
        <v>0</v>
      </c>
      <c r="DU178" s="132">
        <f>IFERROR(KH_26_OPT4_KTQT_v4[[#This Row],[DT-EXW-04]]*KH_26_OPT4_KTQT_v4[[#This Row],[%CPDP]],0)</f>
        <v>0</v>
      </c>
      <c r="DV178" s="132">
        <f>IFERROR(KH_26_OPT4_KTQT_v4[[#This Row],[DT-EXW-05]]*KH_26_OPT4_KTQT_v4[[#This Row],[%CPDP]],0)</f>
        <v>0</v>
      </c>
      <c r="DW178" s="132">
        <f>IFERROR(KH_26_OPT4_KTQT_v4[[#This Row],[DT-EXW-06]]*KH_26_OPT4_KTQT_v4[[#This Row],[%CPDP]],0)</f>
        <v>0</v>
      </c>
      <c r="DX178" s="132">
        <f>IFERROR(KH_26_OPT4_KTQT_v4[[#This Row],[DT-EXW-07]]*KH_26_OPT4_KTQT_v4[[#This Row],[%CPDP]],0)</f>
        <v>0</v>
      </c>
      <c r="DY178" s="132">
        <f>IFERROR(KH_26_OPT4_KTQT_v4[[#This Row],[DT-EXW-08]]*KH_26_OPT4_KTQT_v4[[#This Row],[%CPDP]],0)</f>
        <v>0</v>
      </c>
      <c r="DZ178" s="132">
        <f>IFERROR(KH_26_OPT4_KTQT_v4[[#This Row],[DT-EXW-09]]*KH_26_OPT4_KTQT_v4[[#This Row],[%CPDP]],0)</f>
        <v>0</v>
      </c>
      <c r="EA178" s="132">
        <f>IFERROR(KH_26_OPT4_KTQT_v4[[#This Row],[DT-EXW-10]]*KH_26_OPT4_KTQT_v4[[#This Row],[%CPDP]],0)</f>
        <v>0</v>
      </c>
      <c r="EB178" s="132">
        <f>IFERROR(KH_26_OPT4_KTQT_v4[[#This Row],[DT-EXW-11]]*KH_26_OPT4_KTQT_v4[[#This Row],[%CPDP]],0)</f>
        <v>0</v>
      </c>
      <c r="EC178" s="132">
        <f>IFERROR(KH_26_OPT4_KTQT_v4[[#This Row],[DT-EXW-12]]*KH_26_OPT4_KTQT_v4[[#This Row],[%CPDP]],0)</f>
        <v>0</v>
      </c>
      <c r="ED178" s="132">
        <f ca="1">SUM(KH_26_OPT4_KTQT_v4[[#This Row],[CPDP-01]:[CPDP-12]])</f>
        <v>0</v>
      </c>
    </row>
    <row r="179" spans="1:134" ht="14.5" hidden="1" x14ac:dyDescent="0.35">
      <c r="A179" s="18"/>
      <c r="B179" s="71"/>
      <c r="C179" s="18" t="str">
        <f>IFERROR(_xlfn.XLOOKUP(KH_26_OPT4_KTQT_v4[[#This Row],[Salesman]],MD_Salesman[Salesman],MD_Salesman[SalesManager]),"")</f>
        <v/>
      </c>
      <c r="D179" s="72" t="str">
        <f>IFERROR(INDEX(MD_Customer[Mã khách],MATCH(KH_26_OPT4_KTQT_v4[[#This Row],[Tên khách]],MD_Customer[Tên khách-rút gọn],0)),"")</f>
        <v>NS26-NEWCUS-001</v>
      </c>
      <c r="E179" s="156" t="str">
        <f>IFERROR(INDEX(MD_Customer[Parent Account],MATCH(KH_26_OPT4_KTQT_v4[[#This Row],[Tên khách]],MD_Customer[Tên khách-rút gọn],0)),"")</f>
        <v>SANOFI-DTP</v>
      </c>
      <c r="F179" s="35" t="s">
        <v>545</v>
      </c>
      <c r="G179" s="7" t="str">
        <f>IFERROR(INDEX(MD_Customer[Phân loại],MATCH(KH_26_OPT4_KTQT_v4[[#This Row],[Tên khách]],MD_Customer[Tên khách-rút gọn],0)),"")</f>
        <v>Mới</v>
      </c>
      <c r="H179" s="7" t="str">
        <f>IFERROR(INDEX(MD_Customer[Kênh bán hàng],MATCH(KH_26_OPT4_KTQT_v4[[#This Row],[Tên khách]],MD_Customer[Tên khách-rút gọn],0)),"")</f>
        <v>Nội địa</v>
      </c>
      <c r="I179" s="35" t="s">
        <v>261</v>
      </c>
      <c r="J179" s="7" t="str">
        <f>IFERROR(INDEX(MD_Destination[Nước],MATCH(KH_26_OPT4_KTQT_v4[[#This Row],[Địa điểm đến]],MD_Destination[Địa điểm đến],0)),"")</f>
        <v>Việt Nam</v>
      </c>
      <c r="K179" s="7" t="str">
        <f>IFERROR(INDEX(MD_Destination[Khu vực],MATCH(KH_26_OPT4_KTQT_v4[[#This Row],[Địa điểm đến]],MD_Destination[Địa điểm đến],0)),"")</f>
        <v>Châu Á</v>
      </c>
      <c r="L179" s="35" t="s">
        <v>260</v>
      </c>
      <c r="M179" s="7" t="str">
        <f>IFERROR(INDEX(MD_SKU[Mã SKU],MATCH(KH_26_OPT4_KTQT_v4[[#This Row],[Tên sản phẩm]],MD_SKU[Tên SKU-rút gọn],0)),"")</f>
        <v>110000495</v>
      </c>
      <c r="N179" s="35" t="s">
        <v>463</v>
      </c>
      <c r="O179" s="35" t="str">
        <f>IFERROR(INDEX(MD_SKU[Ngành hàng],MATCH(KH_26_OPT4_KTQT_v4[[#This Row],[Tên sản phẩm]],MD_SKU[Tên SKU-rút gọn],0)),"")</f>
        <v>rHDPE thổi</v>
      </c>
      <c r="P179" s="7" t="str">
        <f>IFERROR(INDEX(MD_SKU[Nhóm ngành],MATCH(KH_26_OPT4_KTQT_v4[[#This Row],[Tên sản phẩm]],MD_SKU[Tên SKU-rút gọn],0)),"")</f>
        <v>Hạt HD thổi</v>
      </c>
      <c r="Q179" s="7" t="str">
        <f>IFERROR(
   IF(INDEX(MD_SKU[IV/IM],MATCH(KH_26_OPT4_KTQT_v4[[#This Row],[Tên sản phẩm]],MD_SKU[Tên SKU-rút gọn],0))=0,
      "",
      INDEX(MD_SKU[IV/IM],MATCH(KH_26_OPT4_KTQT_v4[[#This Row],[Tên sản phẩm]],MD_SKU[Tên SKU-rút gọn],0))
   ),
"")</f>
        <v/>
      </c>
      <c r="R179" s="44" t="str">
        <f>IFERROR(INDEX(MD_SKU[Application],MATCH(KH_26_OPT4_KTQT_v4[[#This Row],[Tên sản phẩm]],MD_SKU[Tên SKU-rút gọn],0)),"")</f>
        <v>THỔI CHAI</v>
      </c>
      <c r="S179" s="7" t="str">
        <f>IFERROR(INDEX(MD_SKU[Phân loại],MATCH(KH_26_OPT4_KTQT_v4[[#This Row],[Tên sản phẩm]],MD_SKU[Tên SKU-rút gọn],0)),"")</f>
        <v>Cũ</v>
      </c>
      <c r="T179" s="7" t="s">
        <v>541</v>
      </c>
      <c r="U179" s="157" t="s">
        <v>1508</v>
      </c>
      <c r="V179" s="70">
        <v>0.8</v>
      </c>
      <c r="W179" s="177">
        <v>50</v>
      </c>
      <c r="X179" s="177">
        <v>50</v>
      </c>
      <c r="Y179" s="177">
        <v>50</v>
      </c>
      <c r="Z179" s="177">
        <v>50</v>
      </c>
      <c r="AA179" s="177">
        <v>50</v>
      </c>
      <c r="AB179" s="177">
        <v>50</v>
      </c>
      <c r="AC179" s="177">
        <v>50</v>
      </c>
      <c r="AD179" s="177">
        <v>50</v>
      </c>
      <c r="AE179" s="177">
        <v>50</v>
      </c>
      <c r="AF179" s="177">
        <v>50</v>
      </c>
      <c r="AG179" s="177">
        <v>50</v>
      </c>
      <c r="AH179" s="177">
        <v>50</v>
      </c>
      <c r="AI179" s="47">
        <f ca="1">SUM(KH_26_OPT4_KTQT_v4[[#This Row],[SL-01]:[SL-12]])</f>
        <v>600</v>
      </c>
      <c r="AJ179" s="47">
        <f ca="1">SUMIFS(DB_25[SL-DB25],DB_25[Mã khách],KH_26_OPT4_KTQT_v4[[#This Row],[Mã khách]],DB_25[Mã sản phẩm],KH_26_OPT4_KTQT_v4[[#This Row],[Mã sản phẩm]])</f>
        <v>0</v>
      </c>
      <c r="AK179" s="20">
        <f ca="1">KH_26_OPT4_KTQT_v4[[#This Row],[SL-KH26]]-KH_26_OPT4_KTQT_v4[[#This Row],[SL-DB25]]</f>
        <v>600</v>
      </c>
      <c r="AL179" s="21">
        <f ca="1">IFERROR(KH_26_OPT4_KTQT_v4[[#This Row],[SL-+/-]]/KH_26_OPT4_KTQT_v4[[#This Row],[SL-DB25]],0)</f>
        <v>0</v>
      </c>
      <c r="AM179" s="51">
        <v>1210</v>
      </c>
      <c r="AN179" s="51">
        <v>1191</v>
      </c>
      <c r="AO179" s="51">
        <v>1172</v>
      </c>
      <c r="AP179" s="51">
        <v>1153</v>
      </c>
      <c r="AQ179" s="51">
        <v>1134</v>
      </c>
      <c r="AR179" s="51">
        <v>1115</v>
      </c>
      <c r="AS179" s="51">
        <v>1096</v>
      </c>
      <c r="AT179" s="51">
        <v>1077</v>
      </c>
      <c r="AU179" s="51">
        <v>1058</v>
      </c>
      <c r="AV179" s="51">
        <v>1039</v>
      </c>
      <c r="AW179" s="51">
        <v>1020</v>
      </c>
      <c r="AX179" s="51">
        <v>1001</v>
      </c>
      <c r="AY179" s="23"/>
      <c r="AZ179" s="7"/>
      <c r="BA179" s="24">
        <f>KH_26_OPT4_KTQT_v4[[#This Row],[GB-DB25]]-KH_26_OPT4_KTQT_v4[[#This Row],[GB-KH25]]</f>
        <v>0</v>
      </c>
      <c r="BB179" s="21">
        <f>IFERROR(KH_26_OPT4_KTQT_v4[[#This Row],[GB-+/-]]/KH_26_OPT4_KTQT_v4[[#This Row],[GB-KH25]],0)</f>
        <v>0</v>
      </c>
      <c r="BC179" s="21"/>
      <c r="BD179" s="47">
        <f>KH_26_OPT4_KTQT_v4[[#This Row],[SL-01]]*KH_26_OPT4_KTQT_v4[[#This Row],[GB-01]]*EXR</f>
        <v>1603250000</v>
      </c>
      <c r="BE179" s="47">
        <f>KH_26_OPT4_KTQT_v4[[#This Row],[SL-02]]*KH_26_OPT4_KTQT_v4[[#This Row],[GB-02]]*EXR</f>
        <v>1578075000</v>
      </c>
      <c r="BF179" s="47">
        <f>KH_26_OPT4_KTQT_v4[[#This Row],[SL-03]]*KH_26_OPT4_KTQT_v4[[#This Row],[GB-03]]*EXR</f>
        <v>1552900000</v>
      </c>
      <c r="BG179" s="47">
        <f>KH_26_OPT4_KTQT_v4[[#This Row],[SL-04]]*KH_26_OPT4_KTQT_v4[[#This Row],[GB-04]]*EXR</f>
        <v>1527725000</v>
      </c>
      <c r="BH179" s="47">
        <f>KH_26_OPT4_KTQT_v4[[#This Row],[SL-05]]*KH_26_OPT4_KTQT_v4[[#This Row],[GB-05]]*EXR</f>
        <v>1502550000</v>
      </c>
      <c r="BI179" s="47">
        <f>KH_26_OPT4_KTQT_v4[[#This Row],[SL-06]]*KH_26_OPT4_KTQT_v4[[#This Row],[GB-06]]*EXR</f>
        <v>1477375000</v>
      </c>
      <c r="BJ179" s="47">
        <f>KH_26_OPT4_KTQT_v4[[#This Row],[SL-07]]*KH_26_OPT4_KTQT_v4[[#This Row],[GB-07]]*EXR</f>
        <v>1452200000</v>
      </c>
      <c r="BK179" s="47">
        <f>KH_26_OPT4_KTQT_v4[[#This Row],[SL-08]]*KH_26_OPT4_KTQT_v4[[#This Row],[GB-08]]*EXR</f>
        <v>1427025000</v>
      </c>
      <c r="BL179" s="47">
        <f>KH_26_OPT4_KTQT_v4[[#This Row],[SL-09]]*KH_26_OPT4_KTQT_v4[[#This Row],[GB-09]]*EXR</f>
        <v>1401850000</v>
      </c>
      <c r="BM179" s="47">
        <f>KH_26_OPT4_KTQT_v4[[#This Row],[SL-10]]*KH_26_OPT4_KTQT_v4[[#This Row],[GB-10]]*EXR</f>
        <v>1376675000</v>
      </c>
      <c r="BN179" s="47">
        <f>KH_26_OPT4_KTQT_v4[[#This Row],[SL-11]]*KH_26_OPT4_KTQT_v4[[#This Row],[GB-11]]*EXR</f>
        <v>1351500000</v>
      </c>
      <c r="BO179" s="47">
        <f>KH_26_OPT4_KTQT_v4[[#This Row],[SL-12]]*KH_26_OPT4_KTQT_v4[[#This Row],[GB-12]]*EXR</f>
        <v>1326325000</v>
      </c>
      <c r="BP179" s="47">
        <f ca="1">SUM(KH_26_OPT4_KTQT_v4[[#This Row],[DT-EXW-01]:[DT-EXW-12]])</f>
        <v>17577450000</v>
      </c>
      <c r="BQ179" s="47">
        <f ca="1">SUMIFS(DB_25[DT-DB25],DB_25[Mã khách],KH_26_OPT4_KTQT_v4[[#This Row],[Mã khách]],DB_25[Mã sản phẩm],KH_26_OPT4_KTQT_v4[[#This Row],[Mã sản phẩm]])</f>
        <v>0</v>
      </c>
      <c r="BR179" s="19">
        <f ca="1">KH_26_OPT4_KTQT_v4[[#This Row],[DT-EXW-KH26]]-KH_26_OPT4_KTQT_v4[[#This Row],[DT-EXW-DB25]]</f>
        <v>17577450000</v>
      </c>
      <c r="BS179" s="21">
        <f ca="1">IFERROR(KH_26_OPT4_KTQT_v4[[#This Row],[DT-EXW-+/-]]/KH_26_OPT4_KTQT_v4[[#This Row],[DT-EXW-DB25]],0)</f>
        <v>0</v>
      </c>
      <c r="BT179" s="139"/>
      <c r="BU179" s="57"/>
      <c r="BV179" s="57"/>
      <c r="BW179" s="47">
        <f>IF(KH_26_OPT4_KTQT_v4[[#This Row],[CPHH-%-SL]]="Dthu",KH_26_OPT4_KTQT_v4[[#This Row],[%HH]]*KH_26_OPT4_KTQT_v4[[#This Row],[DT-EXW-01]],KH_26_OPT4_KTQT_v4[[#This Row],[HH-SL]]*KH_26_OPT4_KTQT_v4[[#This Row],[SL-01]])</f>
        <v>0</v>
      </c>
      <c r="BX179" s="47">
        <f>IF(KH_26_OPT4_KTQT_v4[[#This Row],[CPHH-%-SL]]="Dthu",KH_26_OPT4_KTQT_v4[[#This Row],[%HH]]*KH_26_OPT4_KTQT_v4[[#This Row],[DT-EXW-02]],KH_26_OPT4_KTQT_v4[[#This Row],[HH-SL]]*KH_26_OPT4_KTQT_v4[[#This Row],[SL-02]])</f>
        <v>0</v>
      </c>
      <c r="BY179" s="47">
        <f>IF(KH_26_OPT4_KTQT_v4[[#This Row],[CPHH-%-SL]]="Dthu",KH_26_OPT4_KTQT_v4[[#This Row],[%HH]]*KH_26_OPT4_KTQT_v4[[#This Row],[DT-EXW-03]],KH_26_OPT4_KTQT_v4[[#This Row],[HH-SL]]*KH_26_OPT4_KTQT_v4[[#This Row],[SL-03]])</f>
        <v>0</v>
      </c>
      <c r="BZ179" s="47">
        <f>IF(KH_26_OPT4_KTQT_v4[[#This Row],[CPHH-%-SL]]="Dthu",KH_26_OPT4_KTQT_v4[[#This Row],[%HH]]*KH_26_OPT4_KTQT_v4[[#This Row],[DT-EXW-04]],KH_26_OPT4_KTQT_v4[[#This Row],[HH-SL]]*KH_26_OPT4_KTQT_v4[[#This Row],[SL-04]])</f>
        <v>0</v>
      </c>
      <c r="CA179" s="47">
        <f>IF(KH_26_OPT4_KTQT_v4[[#This Row],[CPHH-%-SL]]="Dthu",KH_26_OPT4_KTQT_v4[[#This Row],[%HH]]*KH_26_OPT4_KTQT_v4[[#This Row],[DT-EXW-05]],KH_26_OPT4_KTQT_v4[[#This Row],[HH-SL]]*KH_26_OPT4_KTQT_v4[[#This Row],[SL-05]])</f>
        <v>0</v>
      </c>
      <c r="CB179" s="47">
        <f>IF(KH_26_OPT4_KTQT_v4[[#This Row],[CPHH-%-SL]]="Dthu",KH_26_OPT4_KTQT_v4[[#This Row],[%HH]]*KH_26_OPT4_KTQT_v4[[#This Row],[DT-EXW-06]],KH_26_OPT4_KTQT_v4[[#This Row],[HH-SL]]*KH_26_OPT4_KTQT_v4[[#This Row],[SL-06]])</f>
        <v>0</v>
      </c>
      <c r="CC179" s="47">
        <f>IF(KH_26_OPT4_KTQT_v4[[#This Row],[CPHH-%-SL]]="Dthu",KH_26_OPT4_KTQT_v4[[#This Row],[%HH]]*KH_26_OPT4_KTQT_v4[[#This Row],[DT-EXW-07]],KH_26_OPT4_KTQT_v4[[#This Row],[HH-SL]]*KH_26_OPT4_KTQT_v4[[#This Row],[SL-07]])</f>
        <v>0</v>
      </c>
      <c r="CD179" s="47">
        <f>IF(KH_26_OPT4_KTQT_v4[[#This Row],[CPHH-%-SL]]="Dthu",KH_26_OPT4_KTQT_v4[[#This Row],[%HH]]*KH_26_OPT4_KTQT_v4[[#This Row],[DT-EXW-08]],KH_26_OPT4_KTQT_v4[[#This Row],[HH-SL]]*KH_26_OPT4_KTQT_v4[[#This Row],[SL-08]])</f>
        <v>0</v>
      </c>
      <c r="CE179" s="47">
        <f>IF(KH_26_OPT4_KTQT_v4[[#This Row],[CPHH-%-SL]]="Dthu",KH_26_OPT4_KTQT_v4[[#This Row],[%HH]]*KH_26_OPT4_KTQT_v4[[#This Row],[DT-EXW-09]],KH_26_OPT4_KTQT_v4[[#This Row],[HH-SL]]*KH_26_OPT4_KTQT_v4[[#This Row],[SL-09]])</f>
        <v>0</v>
      </c>
      <c r="CF179" s="47">
        <f>IF(KH_26_OPT4_KTQT_v4[[#This Row],[CPHH-%-SL]]="Dthu",KH_26_OPT4_KTQT_v4[[#This Row],[%HH]]*KH_26_OPT4_KTQT_v4[[#This Row],[DT-EXW-10]],KH_26_OPT4_KTQT_v4[[#This Row],[HH-SL]]*KH_26_OPT4_KTQT_v4[[#This Row],[SL-10]])</f>
        <v>0</v>
      </c>
      <c r="CG179" s="47">
        <f>IF(KH_26_OPT4_KTQT_v4[[#This Row],[CPHH-%-SL]]="Dthu",KH_26_OPT4_KTQT_v4[[#This Row],[%HH]]*KH_26_OPT4_KTQT_v4[[#This Row],[DT-EXW-11]],KH_26_OPT4_KTQT_v4[[#This Row],[HH-SL]]*KH_26_OPT4_KTQT_v4[[#This Row],[SL-11]])</f>
        <v>0</v>
      </c>
      <c r="CH179" s="47">
        <f>IF(KH_26_OPT4_KTQT_v4[[#This Row],[CPHH-%-SL]]="Dthu",KH_26_OPT4_KTQT_v4[[#This Row],[%HH]]*KH_26_OPT4_KTQT_v4[[#This Row],[DT-EXW-12]],KH_26_OPT4_KTQT_v4[[#This Row],[HH-SL]]*KH_26_OPT4_KTQT_v4[[#This Row],[SL-12]])</f>
        <v>0</v>
      </c>
      <c r="CI179" s="47">
        <f ca="1">SUM(KH_26_OPT4_KTQT_v4[[#This Row],[CPHH-01]:[CPHH-12]])</f>
        <v>0</v>
      </c>
      <c r="CJ179" s="47" cm="1">
        <f t="array" ref="CJ179">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79" s="19">
        <f ca="1">SUM(KH_26_OPT4_KTQT_v4[[#This Row],[ĐGVCNĐ-KXK]:[ĐGVCCT-KXK]])</f>
        <v>0</v>
      </c>
      <c r="CL179" s="47" cm="1">
        <f t="array" ref="CL179">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179" s="47" cm="1">
        <f t="array" ref="CM179">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79" s="47">
        <f ca="1">(KH_26_OPT4_KTQT_v4[[#This Row],[ĐGVC-KNĐ]]+KH_26_OPT4_KTQT_v4[[#This Row],[ĐGVC-KXK]])*KH_26_OPT4_KTQT_v4[[#This Row],[SL-01]]</f>
        <v>0</v>
      </c>
      <c r="CO179" s="47">
        <f ca="1">(KH_26_OPT4_KTQT_v4[[#This Row],[ĐGVC-KNĐ]]+KH_26_OPT4_KTQT_v4[[#This Row],[ĐGVC-KXK]])*KH_26_OPT4_KTQT_v4[[#This Row],[SL-02]]</f>
        <v>0</v>
      </c>
      <c r="CP179" s="47">
        <f ca="1">(KH_26_OPT4_KTQT_v4[[#This Row],[ĐGVC-KNĐ]]+KH_26_OPT4_KTQT_v4[[#This Row],[ĐGVC-KXK]])*KH_26_OPT4_KTQT_v4[[#This Row],[SL-03]]</f>
        <v>0</v>
      </c>
      <c r="CQ179" s="47">
        <f ca="1">(KH_26_OPT4_KTQT_v4[[#This Row],[ĐGVC-KNĐ]]+KH_26_OPT4_KTQT_v4[[#This Row],[ĐGVC-KXK]])*KH_26_OPT4_KTQT_v4[[#This Row],[SL-04]]</f>
        <v>0</v>
      </c>
      <c r="CR179" s="47">
        <f ca="1">(KH_26_OPT4_KTQT_v4[[#This Row],[ĐGVC-KNĐ]]+KH_26_OPT4_KTQT_v4[[#This Row],[ĐGVC-KXK]])*KH_26_OPT4_KTQT_v4[[#This Row],[SL-05]]</f>
        <v>0</v>
      </c>
      <c r="CS179" s="47">
        <f ca="1">(KH_26_OPT4_KTQT_v4[[#This Row],[ĐGVC-KNĐ]]+KH_26_OPT4_KTQT_v4[[#This Row],[ĐGVC-KXK]])*KH_26_OPT4_KTQT_v4[[#This Row],[SL-06]]</f>
        <v>0</v>
      </c>
      <c r="CT179" s="47">
        <f ca="1">(KH_26_OPT4_KTQT_v4[[#This Row],[ĐGVC-KNĐ]]+KH_26_OPT4_KTQT_v4[[#This Row],[ĐGVC-KXK]])*KH_26_OPT4_KTQT_v4[[#This Row],[SL-07]]</f>
        <v>0</v>
      </c>
      <c r="CU179" s="47">
        <f ca="1">(KH_26_OPT4_KTQT_v4[[#This Row],[ĐGVC-KNĐ]]+KH_26_OPT4_KTQT_v4[[#This Row],[ĐGVC-KXK]])*KH_26_OPT4_KTQT_v4[[#This Row],[SL-08]]</f>
        <v>0</v>
      </c>
      <c r="CV179" s="47">
        <f ca="1">(KH_26_OPT4_KTQT_v4[[#This Row],[ĐGVC-KNĐ]]+KH_26_OPT4_KTQT_v4[[#This Row],[ĐGVC-KXK]])*KH_26_OPT4_KTQT_v4[[#This Row],[SL-09]]</f>
        <v>0</v>
      </c>
      <c r="CW179" s="47">
        <f ca="1">(KH_26_OPT4_KTQT_v4[[#This Row],[ĐGVC-KNĐ]]+KH_26_OPT4_KTQT_v4[[#This Row],[ĐGVC-KXK]])*KH_26_OPT4_KTQT_v4[[#This Row],[SL-10]]</f>
        <v>0</v>
      </c>
      <c r="CX179" s="47">
        <f ca="1">(KH_26_OPT4_KTQT_v4[[#This Row],[ĐGVC-KNĐ]]+KH_26_OPT4_KTQT_v4[[#This Row],[ĐGVC-KXK]])*KH_26_OPT4_KTQT_v4[[#This Row],[SL-11]]</f>
        <v>0</v>
      </c>
      <c r="CY179" s="47">
        <f ca="1">(KH_26_OPT4_KTQT_v4[[#This Row],[ĐGVC-KNĐ]]+KH_26_OPT4_KTQT_v4[[#This Row],[ĐGVC-KXK]])*KH_26_OPT4_KTQT_v4[[#This Row],[SL-12]]</f>
        <v>0</v>
      </c>
      <c r="CZ179" s="47">
        <f ca="1">SUM(KH_26_OPT4_KTQT_v4[[#This Row],[CPVC-01]:[CPVC-12]])</f>
        <v>0</v>
      </c>
      <c r="DA179" s="124">
        <f ca="1">KH_26_OPT4_KTQT_v4[[#This Row],[DT-EXW-01]]+KH_26_OPT4_KTQT_v4[[#This Row],[CPVC-01]]+KH_26_OPT4_KTQT_v4[[#This Row],[CPHH-01]]</f>
        <v>1603250000</v>
      </c>
      <c r="DB179" s="47">
        <f ca="1">KH_26_OPT4_KTQT_v4[[#This Row],[DT-EXW-02]]+KH_26_OPT4_KTQT_v4[[#This Row],[CPVC-02]]+KH_26_OPT4_KTQT_v4[[#This Row],[CPHH-02]]</f>
        <v>1578075000</v>
      </c>
      <c r="DC179" s="47">
        <f ca="1">KH_26_OPT4_KTQT_v4[[#This Row],[DT-EXW-03]]+KH_26_OPT4_KTQT_v4[[#This Row],[CPVC-03]]+KH_26_OPT4_KTQT_v4[[#This Row],[CPHH-03]]</f>
        <v>1552900000</v>
      </c>
      <c r="DD179" s="47">
        <f ca="1">KH_26_OPT4_KTQT_v4[[#This Row],[DT-EXW-04]]+KH_26_OPT4_KTQT_v4[[#This Row],[CPVC-04]]+KH_26_OPT4_KTQT_v4[[#This Row],[CPHH-04]]</f>
        <v>1527725000</v>
      </c>
      <c r="DE179" s="47">
        <f ca="1">KH_26_OPT4_KTQT_v4[[#This Row],[DT-EXW-05]]+KH_26_OPT4_KTQT_v4[[#This Row],[CPVC-05]]+KH_26_OPT4_KTQT_v4[[#This Row],[CPHH-05]]</f>
        <v>1502550000</v>
      </c>
      <c r="DF179" s="47">
        <f ca="1">KH_26_OPT4_KTQT_v4[[#This Row],[DT-EXW-06]]+KH_26_OPT4_KTQT_v4[[#This Row],[CPVC-06]]+KH_26_OPT4_KTQT_v4[[#This Row],[CPHH-06]]</f>
        <v>1477375000</v>
      </c>
      <c r="DG179" s="47">
        <f ca="1">KH_26_OPT4_KTQT_v4[[#This Row],[DT-EXW-07]]+KH_26_OPT4_KTQT_v4[[#This Row],[CPVC-07]]+KH_26_OPT4_KTQT_v4[[#This Row],[CPHH-07]]</f>
        <v>1452200000</v>
      </c>
      <c r="DH179" s="47">
        <f ca="1">KH_26_OPT4_KTQT_v4[[#This Row],[DT-EXW-08]]+KH_26_OPT4_KTQT_v4[[#This Row],[CPVC-08]]+KH_26_OPT4_KTQT_v4[[#This Row],[CPHH-08]]</f>
        <v>1427025000</v>
      </c>
      <c r="DI179" s="47">
        <f ca="1">KH_26_OPT4_KTQT_v4[[#This Row],[DT-EXW-09]]+KH_26_OPT4_KTQT_v4[[#This Row],[CPVC-09]]+KH_26_OPT4_KTQT_v4[[#This Row],[CPHH-09]]</f>
        <v>1401850000</v>
      </c>
      <c r="DJ179" s="47">
        <f ca="1">KH_26_OPT4_KTQT_v4[[#This Row],[DT-EXW-10]]+KH_26_OPT4_KTQT_v4[[#This Row],[CPVC-10]]+KH_26_OPT4_KTQT_v4[[#This Row],[CPHH-10]]</f>
        <v>1376675000</v>
      </c>
      <c r="DK179" s="47">
        <f ca="1">KH_26_OPT4_KTQT_v4[[#This Row],[DT-EXW-11]]+KH_26_OPT4_KTQT_v4[[#This Row],[CPVC-11]]+KH_26_OPT4_KTQT_v4[[#This Row],[CPHH-11]]</f>
        <v>1351500000</v>
      </c>
      <c r="DL179" s="47">
        <f ca="1">KH_26_OPT4_KTQT_v4[[#This Row],[DT-EXW-12]]+KH_26_OPT4_KTQT_v4[[#This Row],[CPVC-12]]+KH_26_OPT4_KTQT_v4[[#This Row],[CPHH-12]]</f>
        <v>1326325000</v>
      </c>
      <c r="DM179" s="47">
        <f ca="1">SUM(KH_26_OPT4_KTQT_v4[[#This Row],[DT-01]:[DT-12]])</f>
        <v>17577450000</v>
      </c>
      <c r="DN179" s="7"/>
      <c r="DO179" s="7"/>
      <c r="DP179" s="125"/>
      <c r="DQ179" s="136"/>
      <c r="DR179" s="132">
        <f>IFERROR(KH_26_OPT4_KTQT_v4[[#This Row],[DT-EXW-01]]*KH_26_OPT4_KTQT_v4[[#This Row],[%CPDP]],0)</f>
        <v>0</v>
      </c>
      <c r="DS179" s="132">
        <f>IFERROR(KH_26_OPT4_KTQT_v4[[#This Row],[DT-EXW-02]]*KH_26_OPT4_KTQT_v4[[#This Row],[%CPDP]],0)</f>
        <v>0</v>
      </c>
      <c r="DT179" s="132">
        <f>IFERROR(KH_26_OPT4_KTQT_v4[[#This Row],[DT-EXW-03]]*KH_26_OPT4_KTQT_v4[[#This Row],[%CPDP]],0)</f>
        <v>0</v>
      </c>
      <c r="DU179" s="132">
        <f>IFERROR(KH_26_OPT4_KTQT_v4[[#This Row],[DT-EXW-04]]*KH_26_OPT4_KTQT_v4[[#This Row],[%CPDP]],0)</f>
        <v>0</v>
      </c>
      <c r="DV179" s="132">
        <f>IFERROR(KH_26_OPT4_KTQT_v4[[#This Row],[DT-EXW-05]]*KH_26_OPT4_KTQT_v4[[#This Row],[%CPDP]],0)</f>
        <v>0</v>
      </c>
      <c r="DW179" s="132">
        <f>IFERROR(KH_26_OPT4_KTQT_v4[[#This Row],[DT-EXW-06]]*KH_26_OPT4_KTQT_v4[[#This Row],[%CPDP]],0)</f>
        <v>0</v>
      </c>
      <c r="DX179" s="132">
        <f>IFERROR(KH_26_OPT4_KTQT_v4[[#This Row],[DT-EXW-07]]*KH_26_OPT4_KTQT_v4[[#This Row],[%CPDP]],0)</f>
        <v>0</v>
      </c>
      <c r="DY179" s="132">
        <f>IFERROR(KH_26_OPT4_KTQT_v4[[#This Row],[DT-EXW-08]]*KH_26_OPT4_KTQT_v4[[#This Row],[%CPDP]],0)</f>
        <v>0</v>
      </c>
      <c r="DZ179" s="132">
        <f>IFERROR(KH_26_OPT4_KTQT_v4[[#This Row],[DT-EXW-09]]*KH_26_OPT4_KTQT_v4[[#This Row],[%CPDP]],0)</f>
        <v>0</v>
      </c>
      <c r="EA179" s="132">
        <f>IFERROR(KH_26_OPT4_KTQT_v4[[#This Row],[DT-EXW-10]]*KH_26_OPT4_KTQT_v4[[#This Row],[%CPDP]],0)</f>
        <v>0</v>
      </c>
      <c r="EB179" s="132">
        <f>IFERROR(KH_26_OPT4_KTQT_v4[[#This Row],[DT-EXW-11]]*KH_26_OPT4_KTQT_v4[[#This Row],[%CPDP]],0)</f>
        <v>0</v>
      </c>
      <c r="EC179" s="132">
        <f>IFERROR(KH_26_OPT4_KTQT_v4[[#This Row],[DT-EXW-12]]*KH_26_OPT4_KTQT_v4[[#This Row],[%CPDP]],0)</f>
        <v>0</v>
      </c>
      <c r="ED179" s="132">
        <f ca="1">SUM(KH_26_OPT4_KTQT_v4[[#This Row],[CPDP-01]:[CPDP-12]])</f>
        <v>0</v>
      </c>
    </row>
    <row r="180" spans="1:134" ht="14.5" hidden="1" x14ac:dyDescent="0.35">
      <c r="A180" s="18"/>
      <c r="B180" s="71"/>
      <c r="C180" s="18" t="str">
        <f>IFERROR(_xlfn.XLOOKUP(KH_26_OPT4_KTQT_v4[[#This Row],[Salesman]],MD_Salesman[Salesman],MD_Salesman[SalesManager]),"")</f>
        <v/>
      </c>
      <c r="D180" s="72" t="str">
        <f>IFERROR(INDEX(MD_Customer[Mã khách],MATCH(KH_26_OPT4_KTQT_v4[[#This Row],[Tên khách]],MD_Customer[Tên khách-rút gọn],0)),"")</f>
        <v>NS26-NEWCUS-025</v>
      </c>
      <c r="E180" s="156" t="str">
        <f>IFERROR(INDEX(MD_Customer[Parent Account],MATCH(KH_26_OPT4_KTQT_v4[[#This Row],[Tên khách]],MD_Customer[Tên khách-rút gọn],0)),"")</f>
        <v>SC JOHNSON</v>
      </c>
      <c r="F180" s="35" t="s">
        <v>1699</v>
      </c>
      <c r="G180" s="7" t="str">
        <f>IFERROR(INDEX(MD_Customer[Phân loại],MATCH(KH_26_OPT4_KTQT_v4[[#This Row],[Tên khách]],MD_Customer[Tên khách-rút gọn],0)),"")</f>
        <v>Mới</v>
      </c>
      <c r="H180" s="7" t="str">
        <f>IFERROR(INDEX(MD_Customer[Kênh bán hàng],MATCH(KH_26_OPT4_KTQT_v4[[#This Row],[Tên khách]],MD_Customer[Tên khách-rút gọn],0)),"")</f>
        <v>Nội địa</v>
      </c>
      <c r="I180" s="35" t="s">
        <v>261</v>
      </c>
      <c r="J180" s="7" t="str">
        <f>IFERROR(INDEX(MD_Destination[Nước],MATCH(KH_26_OPT4_KTQT_v4[[#This Row],[Địa điểm đến]],MD_Destination[Địa điểm đến],0)),"")</f>
        <v>Việt Nam</v>
      </c>
      <c r="K180" s="7" t="str">
        <f>IFERROR(INDEX(MD_Destination[Khu vực],MATCH(KH_26_OPT4_KTQT_v4[[#This Row],[Địa điểm đến]],MD_Destination[Địa điểm đến],0)),"")</f>
        <v>Châu Á</v>
      </c>
      <c r="L180" s="35" t="s">
        <v>260</v>
      </c>
      <c r="M180" s="7" t="str">
        <f>IFERROR(INDEX(MD_SKU[Mã SKU],MATCH(KH_26_OPT4_KTQT_v4[[#This Row],[Tên sản phẩm]],MD_SKU[Tên SKU-rút gọn],0)),"")</f>
        <v>110000443</v>
      </c>
      <c r="N180" s="35" t="s">
        <v>504</v>
      </c>
      <c r="O180" s="35" t="str">
        <f>IFERROR(INDEX(MD_SKU[Ngành hàng],MATCH(KH_26_OPT4_KTQT_v4[[#This Row],[Tên sản phẩm]],MD_SKU[Tên SKU-rút gọn],0)),"")</f>
        <v>rHDPE thổi</v>
      </c>
      <c r="P180" s="7" t="str">
        <f>IFERROR(INDEX(MD_SKU[Nhóm ngành],MATCH(KH_26_OPT4_KTQT_v4[[#This Row],[Tên sản phẩm]],MD_SKU[Tên SKU-rút gọn],0)),"")</f>
        <v>Hạt HD thổi</v>
      </c>
      <c r="Q180" s="7" t="str">
        <f>IFERROR(
   IF(INDEX(MD_SKU[IV/IM],MATCH(KH_26_OPT4_KTQT_v4[[#This Row],[Tên sản phẩm]],MD_SKU[Tên SKU-rút gọn],0))=0,
      "",
      INDEX(MD_SKU[IV/IM],MATCH(KH_26_OPT4_KTQT_v4[[#This Row],[Tên sản phẩm]],MD_SKU[Tên SKU-rút gọn],0))
   ),
"")</f>
        <v/>
      </c>
      <c r="R180" s="44" t="str">
        <f>IFERROR(INDEX(MD_SKU[Application],MATCH(KH_26_OPT4_KTQT_v4[[#This Row],[Tên sản phẩm]],MD_SKU[Tên SKU-rút gọn],0)),"")</f>
        <v>THỔI CHAI</v>
      </c>
      <c r="S180" s="7" t="str">
        <f>IFERROR(INDEX(MD_SKU[Phân loại],MATCH(KH_26_OPT4_KTQT_v4[[#This Row],[Tên sản phẩm]],MD_SKU[Tên SKU-rút gọn],0)),"")</f>
        <v>Cũ</v>
      </c>
      <c r="T180" s="7" t="s">
        <v>541</v>
      </c>
      <c r="U180" s="157" t="s">
        <v>1508</v>
      </c>
      <c r="V180" s="70">
        <v>0.8</v>
      </c>
      <c r="W180" s="177">
        <v>25</v>
      </c>
      <c r="X180" s="177">
        <v>25</v>
      </c>
      <c r="Y180" s="177">
        <v>25</v>
      </c>
      <c r="Z180" s="177">
        <v>25</v>
      </c>
      <c r="AA180" s="177">
        <v>25</v>
      </c>
      <c r="AB180" s="177">
        <v>25</v>
      </c>
      <c r="AC180" s="177">
        <v>25</v>
      </c>
      <c r="AD180" s="177">
        <v>25</v>
      </c>
      <c r="AE180" s="177">
        <v>25</v>
      </c>
      <c r="AF180" s="177">
        <v>25</v>
      </c>
      <c r="AG180" s="177">
        <v>25</v>
      </c>
      <c r="AH180" s="177">
        <v>25</v>
      </c>
      <c r="AI180" s="47">
        <f ca="1">SUM(KH_26_OPT4_KTQT_v4[[#This Row],[SL-01]:[SL-12]])</f>
        <v>300</v>
      </c>
      <c r="AJ180" s="47">
        <f ca="1">SUMIFS(DB_25[SL-DB25],DB_25[Mã khách],KH_26_OPT4_KTQT_v4[[#This Row],[Mã khách]],DB_25[Mã sản phẩm],KH_26_OPT4_KTQT_v4[[#This Row],[Mã sản phẩm]])</f>
        <v>0</v>
      </c>
      <c r="AK180" s="20">
        <f ca="1">KH_26_OPT4_KTQT_v4[[#This Row],[SL-KH26]]-KH_26_OPT4_KTQT_v4[[#This Row],[SL-DB25]]</f>
        <v>300</v>
      </c>
      <c r="AL180" s="21">
        <f ca="1">IFERROR(KH_26_OPT4_KTQT_v4[[#This Row],[SL-+/-]]/KH_26_OPT4_KTQT_v4[[#This Row],[SL-DB25]],0)</f>
        <v>0</v>
      </c>
      <c r="AM180" s="51">
        <v>1260</v>
      </c>
      <c r="AN180" s="51">
        <v>1241</v>
      </c>
      <c r="AO180" s="51">
        <v>1222</v>
      </c>
      <c r="AP180" s="51">
        <v>1203</v>
      </c>
      <c r="AQ180" s="51">
        <v>1184</v>
      </c>
      <c r="AR180" s="51">
        <v>1165</v>
      </c>
      <c r="AS180" s="51">
        <v>1146</v>
      </c>
      <c r="AT180" s="51">
        <v>1127</v>
      </c>
      <c r="AU180" s="51">
        <v>1108</v>
      </c>
      <c r="AV180" s="51">
        <v>1089</v>
      </c>
      <c r="AW180" s="51">
        <v>1070</v>
      </c>
      <c r="AX180" s="51">
        <v>1051</v>
      </c>
      <c r="AY180" s="23"/>
      <c r="AZ180" s="7"/>
      <c r="BA180" s="24">
        <f>KH_26_OPT4_KTQT_v4[[#This Row],[GB-DB25]]-KH_26_OPT4_KTQT_v4[[#This Row],[GB-KH25]]</f>
        <v>0</v>
      </c>
      <c r="BB180" s="21">
        <f>IFERROR(KH_26_OPT4_KTQT_v4[[#This Row],[GB-+/-]]/KH_26_OPT4_KTQT_v4[[#This Row],[GB-KH25]],0)</f>
        <v>0</v>
      </c>
      <c r="BC180" s="21"/>
      <c r="BD180" s="47">
        <f>KH_26_OPT4_KTQT_v4[[#This Row],[SL-01]]*KH_26_OPT4_KTQT_v4[[#This Row],[GB-01]]*EXR</f>
        <v>834750000</v>
      </c>
      <c r="BE180" s="47">
        <f>KH_26_OPT4_KTQT_v4[[#This Row],[SL-02]]*KH_26_OPT4_KTQT_v4[[#This Row],[GB-02]]*EXR</f>
        <v>822162500</v>
      </c>
      <c r="BF180" s="47">
        <f>KH_26_OPT4_KTQT_v4[[#This Row],[SL-03]]*KH_26_OPT4_KTQT_v4[[#This Row],[GB-03]]*EXR</f>
        <v>809575000</v>
      </c>
      <c r="BG180" s="47">
        <f>KH_26_OPT4_KTQT_v4[[#This Row],[SL-04]]*KH_26_OPT4_KTQT_v4[[#This Row],[GB-04]]*EXR</f>
        <v>796987500</v>
      </c>
      <c r="BH180" s="47">
        <f>KH_26_OPT4_KTQT_v4[[#This Row],[SL-05]]*KH_26_OPT4_KTQT_v4[[#This Row],[GB-05]]*EXR</f>
        <v>784400000</v>
      </c>
      <c r="BI180" s="47">
        <f>KH_26_OPT4_KTQT_v4[[#This Row],[SL-06]]*KH_26_OPT4_KTQT_v4[[#This Row],[GB-06]]*EXR</f>
        <v>771812500</v>
      </c>
      <c r="BJ180" s="47">
        <f>KH_26_OPT4_KTQT_v4[[#This Row],[SL-07]]*KH_26_OPT4_KTQT_v4[[#This Row],[GB-07]]*EXR</f>
        <v>759225000</v>
      </c>
      <c r="BK180" s="47">
        <f>KH_26_OPT4_KTQT_v4[[#This Row],[SL-08]]*KH_26_OPT4_KTQT_v4[[#This Row],[GB-08]]*EXR</f>
        <v>746637500</v>
      </c>
      <c r="BL180" s="47">
        <f>KH_26_OPT4_KTQT_v4[[#This Row],[SL-09]]*KH_26_OPT4_KTQT_v4[[#This Row],[GB-09]]*EXR</f>
        <v>734050000</v>
      </c>
      <c r="BM180" s="47">
        <f>KH_26_OPT4_KTQT_v4[[#This Row],[SL-10]]*KH_26_OPT4_KTQT_v4[[#This Row],[GB-10]]*EXR</f>
        <v>721462500</v>
      </c>
      <c r="BN180" s="47">
        <f>KH_26_OPT4_KTQT_v4[[#This Row],[SL-11]]*KH_26_OPT4_KTQT_v4[[#This Row],[GB-11]]*EXR</f>
        <v>708875000</v>
      </c>
      <c r="BO180" s="47">
        <f>KH_26_OPT4_KTQT_v4[[#This Row],[SL-12]]*KH_26_OPT4_KTQT_v4[[#This Row],[GB-12]]*EXR</f>
        <v>696287500</v>
      </c>
      <c r="BP180" s="47">
        <f ca="1">SUM(KH_26_OPT4_KTQT_v4[[#This Row],[DT-EXW-01]:[DT-EXW-12]])</f>
        <v>9186225000</v>
      </c>
      <c r="BQ180" s="47">
        <f ca="1">SUMIFS(DB_25[DT-DB25],DB_25[Mã khách],KH_26_OPT4_KTQT_v4[[#This Row],[Mã khách]],DB_25[Mã sản phẩm],KH_26_OPT4_KTQT_v4[[#This Row],[Mã sản phẩm]])</f>
        <v>0</v>
      </c>
      <c r="BR180" s="19">
        <f ca="1">KH_26_OPT4_KTQT_v4[[#This Row],[DT-EXW-KH26]]-KH_26_OPT4_KTQT_v4[[#This Row],[DT-EXW-DB25]]</f>
        <v>9186225000</v>
      </c>
      <c r="BS180" s="21">
        <f ca="1">IFERROR(KH_26_OPT4_KTQT_v4[[#This Row],[DT-EXW-+/-]]/KH_26_OPT4_KTQT_v4[[#This Row],[DT-EXW-DB25]],0)</f>
        <v>0</v>
      </c>
      <c r="BT180" s="139"/>
      <c r="BU180" s="57"/>
      <c r="BV180" s="57"/>
      <c r="BW180" s="47">
        <f>IF(KH_26_OPT4_KTQT_v4[[#This Row],[CPHH-%-SL]]="Dthu",KH_26_OPT4_KTQT_v4[[#This Row],[%HH]]*KH_26_OPT4_KTQT_v4[[#This Row],[DT-EXW-01]],KH_26_OPT4_KTQT_v4[[#This Row],[HH-SL]]*KH_26_OPT4_KTQT_v4[[#This Row],[SL-01]])</f>
        <v>0</v>
      </c>
      <c r="BX180" s="47">
        <f>IF(KH_26_OPT4_KTQT_v4[[#This Row],[CPHH-%-SL]]="Dthu",KH_26_OPT4_KTQT_v4[[#This Row],[%HH]]*KH_26_OPT4_KTQT_v4[[#This Row],[DT-EXW-02]],KH_26_OPT4_KTQT_v4[[#This Row],[HH-SL]]*KH_26_OPT4_KTQT_v4[[#This Row],[SL-02]])</f>
        <v>0</v>
      </c>
      <c r="BY180" s="47">
        <f>IF(KH_26_OPT4_KTQT_v4[[#This Row],[CPHH-%-SL]]="Dthu",KH_26_OPT4_KTQT_v4[[#This Row],[%HH]]*KH_26_OPT4_KTQT_v4[[#This Row],[DT-EXW-03]],KH_26_OPT4_KTQT_v4[[#This Row],[HH-SL]]*KH_26_OPT4_KTQT_v4[[#This Row],[SL-03]])</f>
        <v>0</v>
      </c>
      <c r="BZ180" s="47">
        <f>IF(KH_26_OPT4_KTQT_v4[[#This Row],[CPHH-%-SL]]="Dthu",KH_26_OPT4_KTQT_v4[[#This Row],[%HH]]*KH_26_OPT4_KTQT_v4[[#This Row],[DT-EXW-04]],KH_26_OPT4_KTQT_v4[[#This Row],[HH-SL]]*KH_26_OPT4_KTQT_v4[[#This Row],[SL-04]])</f>
        <v>0</v>
      </c>
      <c r="CA180" s="47">
        <f>IF(KH_26_OPT4_KTQT_v4[[#This Row],[CPHH-%-SL]]="Dthu",KH_26_OPT4_KTQT_v4[[#This Row],[%HH]]*KH_26_OPT4_KTQT_v4[[#This Row],[DT-EXW-05]],KH_26_OPT4_KTQT_v4[[#This Row],[HH-SL]]*KH_26_OPT4_KTQT_v4[[#This Row],[SL-05]])</f>
        <v>0</v>
      </c>
      <c r="CB180" s="47">
        <f>IF(KH_26_OPT4_KTQT_v4[[#This Row],[CPHH-%-SL]]="Dthu",KH_26_OPT4_KTQT_v4[[#This Row],[%HH]]*KH_26_OPT4_KTQT_v4[[#This Row],[DT-EXW-06]],KH_26_OPT4_KTQT_v4[[#This Row],[HH-SL]]*KH_26_OPT4_KTQT_v4[[#This Row],[SL-06]])</f>
        <v>0</v>
      </c>
      <c r="CC180" s="47">
        <f>IF(KH_26_OPT4_KTQT_v4[[#This Row],[CPHH-%-SL]]="Dthu",KH_26_OPT4_KTQT_v4[[#This Row],[%HH]]*KH_26_OPT4_KTQT_v4[[#This Row],[DT-EXW-07]],KH_26_OPT4_KTQT_v4[[#This Row],[HH-SL]]*KH_26_OPT4_KTQT_v4[[#This Row],[SL-07]])</f>
        <v>0</v>
      </c>
      <c r="CD180" s="47">
        <f>IF(KH_26_OPT4_KTQT_v4[[#This Row],[CPHH-%-SL]]="Dthu",KH_26_OPT4_KTQT_v4[[#This Row],[%HH]]*KH_26_OPT4_KTQT_v4[[#This Row],[DT-EXW-08]],KH_26_OPT4_KTQT_v4[[#This Row],[HH-SL]]*KH_26_OPT4_KTQT_v4[[#This Row],[SL-08]])</f>
        <v>0</v>
      </c>
      <c r="CE180" s="47">
        <f>IF(KH_26_OPT4_KTQT_v4[[#This Row],[CPHH-%-SL]]="Dthu",KH_26_OPT4_KTQT_v4[[#This Row],[%HH]]*KH_26_OPT4_KTQT_v4[[#This Row],[DT-EXW-09]],KH_26_OPT4_KTQT_v4[[#This Row],[HH-SL]]*KH_26_OPT4_KTQT_v4[[#This Row],[SL-09]])</f>
        <v>0</v>
      </c>
      <c r="CF180" s="47">
        <f>IF(KH_26_OPT4_KTQT_v4[[#This Row],[CPHH-%-SL]]="Dthu",KH_26_OPT4_KTQT_v4[[#This Row],[%HH]]*KH_26_OPT4_KTQT_v4[[#This Row],[DT-EXW-10]],KH_26_OPT4_KTQT_v4[[#This Row],[HH-SL]]*KH_26_OPT4_KTQT_v4[[#This Row],[SL-10]])</f>
        <v>0</v>
      </c>
      <c r="CG180" s="47">
        <f>IF(KH_26_OPT4_KTQT_v4[[#This Row],[CPHH-%-SL]]="Dthu",KH_26_OPT4_KTQT_v4[[#This Row],[%HH]]*KH_26_OPT4_KTQT_v4[[#This Row],[DT-EXW-11]],KH_26_OPT4_KTQT_v4[[#This Row],[HH-SL]]*KH_26_OPT4_KTQT_v4[[#This Row],[SL-11]])</f>
        <v>0</v>
      </c>
      <c r="CH180" s="47">
        <f>IF(KH_26_OPT4_KTQT_v4[[#This Row],[CPHH-%-SL]]="Dthu",KH_26_OPT4_KTQT_v4[[#This Row],[%HH]]*KH_26_OPT4_KTQT_v4[[#This Row],[DT-EXW-12]],KH_26_OPT4_KTQT_v4[[#This Row],[HH-SL]]*KH_26_OPT4_KTQT_v4[[#This Row],[SL-12]])</f>
        <v>0</v>
      </c>
      <c r="CI180" s="47">
        <f ca="1">SUM(KH_26_OPT4_KTQT_v4[[#This Row],[CPHH-01]:[CPHH-12]])</f>
        <v>0</v>
      </c>
      <c r="CJ180" s="47" cm="1">
        <f t="array" ref="CJ180">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80" s="19">
        <f ca="1">SUM(KH_26_OPT4_KTQT_v4[[#This Row],[ĐGVCNĐ-KXK]:[ĐGVCCT-KXK]])</f>
        <v>0</v>
      </c>
      <c r="CL180" s="47" cm="1">
        <f t="array" ref="CL180">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180" s="47" cm="1">
        <f t="array" ref="CM180">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80" s="47">
        <f ca="1">(KH_26_OPT4_KTQT_v4[[#This Row],[ĐGVC-KNĐ]]+KH_26_OPT4_KTQT_v4[[#This Row],[ĐGVC-KXK]])*KH_26_OPT4_KTQT_v4[[#This Row],[SL-01]]</f>
        <v>0</v>
      </c>
      <c r="CO180" s="47">
        <f ca="1">(KH_26_OPT4_KTQT_v4[[#This Row],[ĐGVC-KNĐ]]+KH_26_OPT4_KTQT_v4[[#This Row],[ĐGVC-KXK]])*KH_26_OPT4_KTQT_v4[[#This Row],[SL-02]]</f>
        <v>0</v>
      </c>
      <c r="CP180" s="47">
        <f ca="1">(KH_26_OPT4_KTQT_v4[[#This Row],[ĐGVC-KNĐ]]+KH_26_OPT4_KTQT_v4[[#This Row],[ĐGVC-KXK]])*KH_26_OPT4_KTQT_v4[[#This Row],[SL-03]]</f>
        <v>0</v>
      </c>
      <c r="CQ180" s="47">
        <f ca="1">(KH_26_OPT4_KTQT_v4[[#This Row],[ĐGVC-KNĐ]]+KH_26_OPT4_KTQT_v4[[#This Row],[ĐGVC-KXK]])*KH_26_OPT4_KTQT_v4[[#This Row],[SL-04]]</f>
        <v>0</v>
      </c>
      <c r="CR180" s="47">
        <f ca="1">(KH_26_OPT4_KTQT_v4[[#This Row],[ĐGVC-KNĐ]]+KH_26_OPT4_KTQT_v4[[#This Row],[ĐGVC-KXK]])*KH_26_OPT4_KTQT_v4[[#This Row],[SL-05]]</f>
        <v>0</v>
      </c>
      <c r="CS180" s="47">
        <f ca="1">(KH_26_OPT4_KTQT_v4[[#This Row],[ĐGVC-KNĐ]]+KH_26_OPT4_KTQT_v4[[#This Row],[ĐGVC-KXK]])*KH_26_OPT4_KTQT_v4[[#This Row],[SL-06]]</f>
        <v>0</v>
      </c>
      <c r="CT180" s="47">
        <f ca="1">(KH_26_OPT4_KTQT_v4[[#This Row],[ĐGVC-KNĐ]]+KH_26_OPT4_KTQT_v4[[#This Row],[ĐGVC-KXK]])*KH_26_OPT4_KTQT_v4[[#This Row],[SL-07]]</f>
        <v>0</v>
      </c>
      <c r="CU180" s="47">
        <f ca="1">(KH_26_OPT4_KTQT_v4[[#This Row],[ĐGVC-KNĐ]]+KH_26_OPT4_KTQT_v4[[#This Row],[ĐGVC-KXK]])*KH_26_OPT4_KTQT_v4[[#This Row],[SL-08]]</f>
        <v>0</v>
      </c>
      <c r="CV180" s="47">
        <f ca="1">(KH_26_OPT4_KTQT_v4[[#This Row],[ĐGVC-KNĐ]]+KH_26_OPT4_KTQT_v4[[#This Row],[ĐGVC-KXK]])*KH_26_OPT4_KTQT_v4[[#This Row],[SL-09]]</f>
        <v>0</v>
      </c>
      <c r="CW180" s="47">
        <f ca="1">(KH_26_OPT4_KTQT_v4[[#This Row],[ĐGVC-KNĐ]]+KH_26_OPT4_KTQT_v4[[#This Row],[ĐGVC-KXK]])*KH_26_OPT4_KTQT_v4[[#This Row],[SL-10]]</f>
        <v>0</v>
      </c>
      <c r="CX180" s="47">
        <f ca="1">(KH_26_OPT4_KTQT_v4[[#This Row],[ĐGVC-KNĐ]]+KH_26_OPT4_KTQT_v4[[#This Row],[ĐGVC-KXK]])*KH_26_OPT4_KTQT_v4[[#This Row],[SL-11]]</f>
        <v>0</v>
      </c>
      <c r="CY180" s="47">
        <f ca="1">(KH_26_OPT4_KTQT_v4[[#This Row],[ĐGVC-KNĐ]]+KH_26_OPT4_KTQT_v4[[#This Row],[ĐGVC-KXK]])*KH_26_OPT4_KTQT_v4[[#This Row],[SL-12]]</f>
        <v>0</v>
      </c>
      <c r="CZ180" s="47">
        <f ca="1">SUM(KH_26_OPT4_KTQT_v4[[#This Row],[CPVC-01]:[CPVC-12]])</f>
        <v>0</v>
      </c>
      <c r="DA180" s="124">
        <f ca="1">KH_26_OPT4_KTQT_v4[[#This Row],[DT-EXW-01]]+KH_26_OPT4_KTQT_v4[[#This Row],[CPVC-01]]+KH_26_OPT4_KTQT_v4[[#This Row],[CPHH-01]]</f>
        <v>834750000</v>
      </c>
      <c r="DB180" s="47">
        <f ca="1">KH_26_OPT4_KTQT_v4[[#This Row],[DT-EXW-02]]+KH_26_OPT4_KTQT_v4[[#This Row],[CPVC-02]]+KH_26_OPT4_KTQT_v4[[#This Row],[CPHH-02]]</f>
        <v>822162500</v>
      </c>
      <c r="DC180" s="47">
        <f ca="1">KH_26_OPT4_KTQT_v4[[#This Row],[DT-EXW-03]]+KH_26_OPT4_KTQT_v4[[#This Row],[CPVC-03]]+KH_26_OPT4_KTQT_v4[[#This Row],[CPHH-03]]</f>
        <v>809575000</v>
      </c>
      <c r="DD180" s="47">
        <f ca="1">KH_26_OPT4_KTQT_v4[[#This Row],[DT-EXW-04]]+KH_26_OPT4_KTQT_v4[[#This Row],[CPVC-04]]+KH_26_OPT4_KTQT_v4[[#This Row],[CPHH-04]]</f>
        <v>796987500</v>
      </c>
      <c r="DE180" s="47">
        <f ca="1">KH_26_OPT4_KTQT_v4[[#This Row],[DT-EXW-05]]+KH_26_OPT4_KTQT_v4[[#This Row],[CPVC-05]]+KH_26_OPT4_KTQT_v4[[#This Row],[CPHH-05]]</f>
        <v>784400000</v>
      </c>
      <c r="DF180" s="47">
        <f ca="1">KH_26_OPT4_KTQT_v4[[#This Row],[DT-EXW-06]]+KH_26_OPT4_KTQT_v4[[#This Row],[CPVC-06]]+KH_26_OPT4_KTQT_v4[[#This Row],[CPHH-06]]</f>
        <v>771812500</v>
      </c>
      <c r="DG180" s="47">
        <f ca="1">KH_26_OPT4_KTQT_v4[[#This Row],[DT-EXW-07]]+KH_26_OPT4_KTQT_v4[[#This Row],[CPVC-07]]+KH_26_OPT4_KTQT_v4[[#This Row],[CPHH-07]]</f>
        <v>759225000</v>
      </c>
      <c r="DH180" s="47">
        <f ca="1">KH_26_OPT4_KTQT_v4[[#This Row],[DT-EXW-08]]+KH_26_OPT4_KTQT_v4[[#This Row],[CPVC-08]]+KH_26_OPT4_KTQT_v4[[#This Row],[CPHH-08]]</f>
        <v>746637500</v>
      </c>
      <c r="DI180" s="47">
        <f ca="1">KH_26_OPT4_KTQT_v4[[#This Row],[DT-EXW-09]]+KH_26_OPT4_KTQT_v4[[#This Row],[CPVC-09]]+KH_26_OPT4_KTQT_v4[[#This Row],[CPHH-09]]</f>
        <v>734050000</v>
      </c>
      <c r="DJ180" s="47">
        <f ca="1">KH_26_OPT4_KTQT_v4[[#This Row],[DT-EXW-10]]+KH_26_OPT4_KTQT_v4[[#This Row],[CPVC-10]]+KH_26_OPT4_KTQT_v4[[#This Row],[CPHH-10]]</f>
        <v>721462500</v>
      </c>
      <c r="DK180" s="47">
        <f ca="1">KH_26_OPT4_KTQT_v4[[#This Row],[DT-EXW-11]]+KH_26_OPT4_KTQT_v4[[#This Row],[CPVC-11]]+KH_26_OPT4_KTQT_v4[[#This Row],[CPHH-11]]</f>
        <v>708875000</v>
      </c>
      <c r="DL180" s="47">
        <f ca="1">KH_26_OPT4_KTQT_v4[[#This Row],[DT-EXW-12]]+KH_26_OPT4_KTQT_v4[[#This Row],[CPVC-12]]+KH_26_OPT4_KTQT_v4[[#This Row],[CPHH-12]]</f>
        <v>696287500</v>
      </c>
      <c r="DM180" s="47">
        <f ca="1">SUM(KH_26_OPT4_KTQT_v4[[#This Row],[DT-01]:[DT-12]])</f>
        <v>9186225000</v>
      </c>
      <c r="DN180" s="7"/>
      <c r="DO180" s="7"/>
      <c r="DP180" s="125"/>
      <c r="DQ180" s="136"/>
      <c r="DR180" s="132">
        <f>IFERROR(KH_26_OPT4_KTQT_v4[[#This Row],[DT-EXW-01]]*KH_26_OPT4_KTQT_v4[[#This Row],[%CPDP]],0)</f>
        <v>0</v>
      </c>
      <c r="DS180" s="132">
        <f>IFERROR(KH_26_OPT4_KTQT_v4[[#This Row],[DT-EXW-02]]*KH_26_OPT4_KTQT_v4[[#This Row],[%CPDP]],0)</f>
        <v>0</v>
      </c>
      <c r="DT180" s="132">
        <f>IFERROR(KH_26_OPT4_KTQT_v4[[#This Row],[DT-EXW-03]]*KH_26_OPT4_KTQT_v4[[#This Row],[%CPDP]],0)</f>
        <v>0</v>
      </c>
      <c r="DU180" s="132">
        <f>IFERROR(KH_26_OPT4_KTQT_v4[[#This Row],[DT-EXW-04]]*KH_26_OPT4_KTQT_v4[[#This Row],[%CPDP]],0)</f>
        <v>0</v>
      </c>
      <c r="DV180" s="132">
        <f>IFERROR(KH_26_OPT4_KTQT_v4[[#This Row],[DT-EXW-05]]*KH_26_OPT4_KTQT_v4[[#This Row],[%CPDP]],0)</f>
        <v>0</v>
      </c>
      <c r="DW180" s="132">
        <f>IFERROR(KH_26_OPT4_KTQT_v4[[#This Row],[DT-EXW-06]]*KH_26_OPT4_KTQT_v4[[#This Row],[%CPDP]],0)</f>
        <v>0</v>
      </c>
      <c r="DX180" s="132">
        <f>IFERROR(KH_26_OPT4_KTQT_v4[[#This Row],[DT-EXW-07]]*KH_26_OPT4_KTQT_v4[[#This Row],[%CPDP]],0)</f>
        <v>0</v>
      </c>
      <c r="DY180" s="132">
        <f>IFERROR(KH_26_OPT4_KTQT_v4[[#This Row],[DT-EXW-08]]*KH_26_OPT4_KTQT_v4[[#This Row],[%CPDP]],0)</f>
        <v>0</v>
      </c>
      <c r="DZ180" s="132">
        <f>IFERROR(KH_26_OPT4_KTQT_v4[[#This Row],[DT-EXW-09]]*KH_26_OPT4_KTQT_v4[[#This Row],[%CPDP]],0)</f>
        <v>0</v>
      </c>
      <c r="EA180" s="132">
        <f>IFERROR(KH_26_OPT4_KTQT_v4[[#This Row],[DT-EXW-10]]*KH_26_OPT4_KTQT_v4[[#This Row],[%CPDP]],0)</f>
        <v>0</v>
      </c>
      <c r="EB180" s="132">
        <f>IFERROR(KH_26_OPT4_KTQT_v4[[#This Row],[DT-EXW-11]]*KH_26_OPT4_KTQT_v4[[#This Row],[%CPDP]],0)</f>
        <v>0</v>
      </c>
      <c r="EC180" s="132">
        <f>IFERROR(KH_26_OPT4_KTQT_v4[[#This Row],[DT-EXW-12]]*KH_26_OPT4_KTQT_v4[[#This Row],[%CPDP]],0)</f>
        <v>0</v>
      </c>
      <c r="ED180" s="132">
        <f ca="1">SUM(KH_26_OPT4_KTQT_v4[[#This Row],[CPDP-01]:[CPDP-12]])</f>
        <v>0</v>
      </c>
    </row>
    <row r="181" spans="1:134" ht="14.5" hidden="1" x14ac:dyDescent="0.35">
      <c r="A181" s="18"/>
      <c r="B181" s="71"/>
      <c r="C181" s="18" t="str">
        <f>IFERROR(_xlfn.XLOOKUP(KH_26_OPT4_KTQT_v4[[#This Row],[Salesman]],MD_Salesman[Salesman],MD_Salesman[SalesManager]),"")</f>
        <v/>
      </c>
      <c r="D181" s="72" t="str">
        <f>IFERROR(INDEX(MD_Customer[Mã khách],MATCH(KH_26_OPT4_KTQT_v4[[#This Row],[Tên khách]],MD_Customer[Tên khách-rút gọn],0)),"")</f>
        <v>NS26-NEWCUS-026</v>
      </c>
      <c r="E181" s="156" t="str">
        <f>IFERROR(INDEX(MD_Customer[Parent Account],MATCH(KH_26_OPT4_KTQT_v4[[#This Row],[Tên khách]],MD_Customer[Tên khách-rút gọn],0)),"")</f>
        <v>NISHIN</v>
      </c>
      <c r="F181" s="35" t="s">
        <v>1701</v>
      </c>
      <c r="G181" s="7" t="str">
        <f>IFERROR(INDEX(MD_Customer[Phân loại],MATCH(KH_26_OPT4_KTQT_v4[[#This Row],[Tên khách]],MD_Customer[Tên khách-rút gọn],0)),"")</f>
        <v>Mới</v>
      </c>
      <c r="H181" s="7" t="str">
        <f>IFERROR(INDEX(MD_Customer[Kênh bán hàng],MATCH(KH_26_OPT4_KTQT_v4[[#This Row],[Tên khách]],MD_Customer[Tên khách-rút gọn],0)),"")</f>
        <v>Xuất khẩu</v>
      </c>
      <c r="I181" s="35" t="s">
        <v>295</v>
      </c>
      <c r="J181" s="7" t="str">
        <f>IFERROR(INDEX(MD_Destination[Nước],MATCH(KH_26_OPT4_KTQT_v4[[#This Row],[Địa điểm đến]],MD_Destination[Địa điểm đến],0)),"")</f>
        <v>Nhật</v>
      </c>
      <c r="K181" s="7" t="str">
        <f>IFERROR(INDEX(MD_Destination[Khu vực],MATCH(KH_26_OPT4_KTQT_v4[[#This Row],[Địa điểm đến]],MD_Destination[Địa điểm đến],0)),"")</f>
        <v>Châu Á</v>
      </c>
      <c r="L181" s="35" t="s">
        <v>278</v>
      </c>
      <c r="M181" s="7" t="str">
        <f>IFERROR(INDEX(MD_SKU[Mã SKU],MATCH(KH_26_OPT4_KTQT_v4[[#This Row],[Tên sản phẩm]],MD_SKU[Tên SKU-rút gọn],0)),"")</f>
        <v>110000443</v>
      </c>
      <c r="N181" s="35" t="s">
        <v>504</v>
      </c>
      <c r="O181" s="35" t="str">
        <f>IFERROR(INDEX(MD_SKU[Ngành hàng],MATCH(KH_26_OPT4_KTQT_v4[[#This Row],[Tên sản phẩm]],MD_SKU[Tên SKU-rút gọn],0)),"")</f>
        <v>rHDPE thổi</v>
      </c>
      <c r="P181" s="7" t="str">
        <f>IFERROR(INDEX(MD_SKU[Nhóm ngành],MATCH(KH_26_OPT4_KTQT_v4[[#This Row],[Tên sản phẩm]],MD_SKU[Tên SKU-rút gọn],0)),"")</f>
        <v>Hạt HD thổi</v>
      </c>
      <c r="Q181" s="7" t="str">
        <f>IFERROR(
   IF(INDEX(MD_SKU[IV/IM],MATCH(KH_26_OPT4_KTQT_v4[[#This Row],[Tên sản phẩm]],MD_SKU[Tên SKU-rút gọn],0))=0,
      "",
      INDEX(MD_SKU[IV/IM],MATCH(KH_26_OPT4_KTQT_v4[[#This Row],[Tên sản phẩm]],MD_SKU[Tên SKU-rút gọn],0))
   ),
"")</f>
        <v/>
      </c>
      <c r="R181" s="44" t="str">
        <f>IFERROR(INDEX(MD_SKU[Application],MATCH(KH_26_OPT4_KTQT_v4[[#This Row],[Tên sản phẩm]],MD_SKU[Tên SKU-rút gọn],0)),"")</f>
        <v>THỔI CHAI</v>
      </c>
      <c r="S181" s="7" t="str">
        <f>IFERROR(INDEX(MD_SKU[Phân loại],MATCH(KH_26_OPT4_KTQT_v4[[#This Row],[Tên sản phẩm]],MD_SKU[Tên SKU-rút gọn],0)),"")</f>
        <v>Cũ</v>
      </c>
      <c r="T181" s="7" t="s">
        <v>541</v>
      </c>
      <c r="U181" s="157" t="s">
        <v>1508</v>
      </c>
      <c r="V181" s="70">
        <v>0.8</v>
      </c>
      <c r="W181" s="177">
        <v>25</v>
      </c>
      <c r="X181" s="177">
        <v>25</v>
      </c>
      <c r="Y181" s="177">
        <v>25</v>
      </c>
      <c r="Z181" s="177">
        <v>25</v>
      </c>
      <c r="AA181" s="177">
        <v>25</v>
      </c>
      <c r="AB181" s="177">
        <v>25</v>
      </c>
      <c r="AC181" s="177">
        <v>25</v>
      </c>
      <c r="AD181" s="177">
        <v>25</v>
      </c>
      <c r="AE181" s="177">
        <v>25</v>
      </c>
      <c r="AF181" s="177">
        <v>25</v>
      </c>
      <c r="AG181" s="177">
        <v>25</v>
      </c>
      <c r="AH181" s="177">
        <v>25</v>
      </c>
      <c r="AI181" s="47">
        <f ca="1">SUM(KH_26_OPT4_KTQT_v4[[#This Row],[SL-01]:[SL-12]])</f>
        <v>300</v>
      </c>
      <c r="AJ181" s="47">
        <f ca="1">SUMIFS(DB_25[SL-DB25],DB_25[Mã khách],KH_26_OPT4_KTQT_v4[[#This Row],[Mã khách]],DB_25[Mã sản phẩm],KH_26_OPT4_KTQT_v4[[#This Row],[Mã sản phẩm]])</f>
        <v>0</v>
      </c>
      <c r="AK181" s="20">
        <f ca="1">KH_26_OPT4_KTQT_v4[[#This Row],[SL-KH26]]-KH_26_OPT4_KTQT_v4[[#This Row],[SL-DB25]]</f>
        <v>300</v>
      </c>
      <c r="AL181" s="21">
        <f ca="1">IFERROR(KH_26_OPT4_KTQT_v4[[#This Row],[SL-+/-]]/KH_26_OPT4_KTQT_v4[[#This Row],[SL-DB25]],0)</f>
        <v>0</v>
      </c>
      <c r="AM181" s="51">
        <v>1260</v>
      </c>
      <c r="AN181" s="51">
        <v>1241</v>
      </c>
      <c r="AO181" s="51">
        <v>1222</v>
      </c>
      <c r="AP181" s="51">
        <v>1203</v>
      </c>
      <c r="AQ181" s="51">
        <v>1184</v>
      </c>
      <c r="AR181" s="51">
        <v>1165</v>
      </c>
      <c r="AS181" s="51">
        <v>1146</v>
      </c>
      <c r="AT181" s="51">
        <v>1127</v>
      </c>
      <c r="AU181" s="51">
        <v>1108</v>
      </c>
      <c r="AV181" s="51">
        <v>1089</v>
      </c>
      <c r="AW181" s="51">
        <v>1070</v>
      </c>
      <c r="AX181" s="51">
        <v>1051</v>
      </c>
      <c r="AY181" s="23"/>
      <c r="AZ181" s="7"/>
      <c r="BA181" s="24">
        <f>KH_26_OPT4_KTQT_v4[[#This Row],[GB-DB25]]-KH_26_OPT4_KTQT_v4[[#This Row],[GB-KH25]]</f>
        <v>0</v>
      </c>
      <c r="BB181" s="21">
        <f>IFERROR(KH_26_OPT4_KTQT_v4[[#This Row],[GB-+/-]]/KH_26_OPT4_KTQT_v4[[#This Row],[GB-KH25]],0)</f>
        <v>0</v>
      </c>
      <c r="BC181" s="21"/>
      <c r="BD181" s="47">
        <f>KH_26_OPT4_KTQT_v4[[#This Row],[SL-01]]*KH_26_OPT4_KTQT_v4[[#This Row],[GB-01]]*EXR</f>
        <v>834750000</v>
      </c>
      <c r="BE181" s="47">
        <f>KH_26_OPT4_KTQT_v4[[#This Row],[SL-02]]*KH_26_OPT4_KTQT_v4[[#This Row],[GB-02]]*EXR</f>
        <v>822162500</v>
      </c>
      <c r="BF181" s="47">
        <f>KH_26_OPT4_KTQT_v4[[#This Row],[SL-03]]*KH_26_OPT4_KTQT_v4[[#This Row],[GB-03]]*EXR</f>
        <v>809575000</v>
      </c>
      <c r="BG181" s="47">
        <f>KH_26_OPT4_KTQT_v4[[#This Row],[SL-04]]*KH_26_OPT4_KTQT_v4[[#This Row],[GB-04]]*EXR</f>
        <v>796987500</v>
      </c>
      <c r="BH181" s="47">
        <f>KH_26_OPT4_KTQT_v4[[#This Row],[SL-05]]*KH_26_OPT4_KTQT_v4[[#This Row],[GB-05]]*EXR</f>
        <v>784400000</v>
      </c>
      <c r="BI181" s="47">
        <f>KH_26_OPT4_KTQT_v4[[#This Row],[SL-06]]*KH_26_OPT4_KTQT_v4[[#This Row],[GB-06]]*EXR</f>
        <v>771812500</v>
      </c>
      <c r="BJ181" s="47">
        <f>KH_26_OPT4_KTQT_v4[[#This Row],[SL-07]]*KH_26_OPT4_KTQT_v4[[#This Row],[GB-07]]*EXR</f>
        <v>759225000</v>
      </c>
      <c r="BK181" s="47">
        <f>KH_26_OPT4_KTQT_v4[[#This Row],[SL-08]]*KH_26_OPT4_KTQT_v4[[#This Row],[GB-08]]*EXR</f>
        <v>746637500</v>
      </c>
      <c r="BL181" s="47">
        <f>KH_26_OPT4_KTQT_v4[[#This Row],[SL-09]]*KH_26_OPT4_KTQT_v4[[#This Row],[GB-09]]*EXR</f>
        <v>734050000</v>
      </c>
      <c r="BM181" s="47">
        <f>KH_26_OPT4_KTQT_v4[[#This Row],[SL-10]]*KH_26_OPT4_KTQT_v4[[#This Row],[GB-10]]*EXR</f>
        <v>721462500</v>
      </c>
      <c r="BN181" s="47">
        <f>KH_26_OPT4_KTQT_v4[[#This Row],[SL-11]]*KH_26_OPT4_KTQT_v4[[#This Row],[GB-11]]*EXR</f>
        <v>708875000</v>
      </c>
      <c r="BO181" s="47">
        <f>KH_26_OPT4_KTQT_v4[[#This Row],[SL-12]]*KH_26_OPT4_KTQT_v4[[#This Row],[GB-12]]*EXR</f>
        <v>696287500</v>
      </c>
      <c r="BP181" s="47">
        <f ca="1">SUM(KH_26_OPT4_KTQT_v4[[#This Row],[DT-EXW-01]:[DT-EXW-12]])</f>
        <v>9186225000</v>
      </c>
      <c r="BQ181" s="47">
        <f ca="1">SUMIFS(DB_25[DT-DB25],DB_25[Mã khách],KH_26_OPT4_KTQT_v4[[#This Row],[Mã khách]],DB_25[Mã sản phẩm],KH_26_OPT4_KTQT_v4[[#This Row],[Mã sản phẩm]])</f>
        <v>0</v>
      </c>
      <c r="BR181" s="19">
        <f ca="1">KH_26_OPT4_KTQT_v4[[#This Row],[DT-EXW-KH26]]-KH_26_OPT4_KTQT_v4[[#This Row],[DT-EXW-DB25]]</f>
        <v>9186225000</v>
      </c>
      <c r="BS181" s="21">
        <f ca="1">IFERROR(KH_26_OPT4_KTQT_v4[[#This Row],[DT-EXW-+/-]]/KH_26_OPT4_KTQT_v4[[#This Row],[DT-EXW-DB25]],0)</f>
        <v>0</v>
      </c>
      <c r="BT181" s="139"/>
      <c r="BU181" s="57"/>
      <c r="BV181" s="57"/>
      <c r="BW181" s="47">
        <f>IF(KH_26_OPT4_KTQT_v4[[#This Row],[CPHH-%-SL]]="Dthu",KH_26_OPT4_KTQT_v4[[#This Row],[%HH]]*KH_26_OPT4_KTQT_v4[[#This Row],[DT-EXW-01]],KH_26_OPT4_KTQT_v4[[#This Row],[HH-SL]]*KH_26_OPT4_KTQT_v4[[#This Row],[SL-01]])</f>
        <v>0</v>
      </c>
      <c r="BX181" s="47">
        <f>IF(KH_26_OPT4_KTQT_v4[[#This Row],[CPHH-%-SL]]="Dthu",KH_26_OPT4_KTQT_v4[[#This Row],[%HH]]*KH_26_OPT4_KTQT_v4[[#This Row],[DT-EXW-02]],KH_26_OPT4_KTQT_v4[[#This Row],[HH-SL]]*KH_26_OPT4_KTQT_v4[[#This Row],[SL-02]])</f>
        <v>0</v>
      </c>
      <c r="BY181" s="47">
        <f>IF(KH_26_OPT4_KTQT_v4[[#This Row],[CPHH-%-SL]]="Dthu",KH_26_OPT4_KTQT_v4[[#This Row],[%HH]]*KH_26_OPT4_KTQT_v4[[#This Row],[DT-EXW-03]],KH_26_OPT4_KTQT_v4[[#This Row],[HH-SL]]*KH_26_OPT4_KTQT_v4[[#This Row],[SL-03]])</f>
        <v>0</v>
      </c>
      <c r="BZ181" s="47">
        <f>IF(KH_26_OPT4_KTQT_v4[[#This Row],[CPHH-%-SL]]="Dthu",KH_26_OPT4_KTQT_v4[[#This Row],[%HH]]*KH_26_OPT4_KTQT_v4[[#This Row],[DT-EXW-04]],KH_26_OPT4_KTQT_v4[[#This Row],[HH-SL]]*KH_26_OPT4_KTQT_v4[[#This Row],[SL-04]])</f>
        <v>0</v>
      </c>
      <c r="CA181" s="47">
        <f>IF(KH_26_OPT4_KTQT_v4[[#This Row],[CPHH-%-SL]]="Dthu",KH_26_OPT4_KTQT_v4[[#This Row],[%HH]]*KH_26_OPT4_KTQT_v4[[#This Row],[DT-EXW-05]],KH_26_OPT4_KTQT_v4[[#This Row],[HH-SL]]*KH_26_OPT4_KTQT_v4[[#This Row],[SL-05]])</f>
        <v>0</v>
      </c>
      <c r="CB181" s="47">
        <f>IF(KH_26_OPT4_KTQT_v4[[#This Row],[CPHH-%-SL]]="Dthu",KH_26_OPT4_KTQT_v4[[#This Row],[%HH]]*KH_26_OPT4_KTQT_v4[[#This Row],[DT-EXW-06]],KH_26_OPT4_KTQT_v4[[#This Row],[HH-SL]]*KH_26_OPT4_KTQT_v4[[#This Row],[SL-06]])</f>
        <v>0</v>
      </c>
      <c r="CC181" s="47">
        <f>IF(KH_26_OPT4_KTQT_v4[[#This Row],[CPHH-%-SL]]="Dthu",KH_26_OPT4_KTQT_v4[[#This Row],[%HH]]*KH_26_OPT4_KTQT_v4[[#This Row],[DT-EXW-07]],KH_26_OPT4_KTQT_v4[[#This Row],[HH-SL]]*KH_26_OPT4_KTQT_v4[[#This Row],[SL-07]])</f>
        <v>0</v>
      </c>
      <c r="CD181" s="47">
        <f>IF(KH_26_OPT4_KTQT_v4[[#This Row],[CPHH-%-SL]]="Dthu",KH_26_OPT4_KTQT_v4[[#This Row],[%HH]]*KH_26_OPT4_KTQT_v4[[#This Row],[DT-EXW-08]],KH_26_OPT4_KTQT_v4[[#This Row],[HH-SL]]*KH_26_OPT4_KTQT_v4[[#This Row],[SL-08]])</f>
        <v>0</v>
      </c>
      <c r="CE181" s="47">
        <f>IF(KH_26_OPT4_KTQT_v4[[#This Row],[CPHH-%-SL]]="Dthu",KH_26_OPT4_KTQT_v4[[#This Row],[%HH]]*KH_26_OPT4_KTQT_v4[[#This Row],[DT-EXW-09]],KH_26_OPT4_KTQT_v4[[#This Row],[HH-SL]]*KH_26_OPT4_KTQT_v4[[#This Row],[SL-09]])</f>
        <v>0</v>
      </c>
      <c r="CF181" s="47">
        <f>IF(KH_26_OPT4_KTQT_v4[[#This Row],[CPHH-%-SL]]="Dthu",KH_26_OPT4_KTQT_v4[[#This Row],[%HH]]*KH_26_OPT4_KTQT_v4[[#This Row],[DT-EXW-10]],KH_26_OPT4_KTQT_v4[[#This Row],[HH-SL]]*KH_26_OPT4_KTQT_v4[[#This Row],[SL-10]])</f>
        <v>0</v>
      </c>
      <c r="CG181" s="47">
        <f>IF(KH_26_OPT4_KTQT_v4[[#This Row],[CPHH-%-SL]]="Dthu",KH_26_OPT4_KTQT_v4[[#This Row],[%HH]]*KH_26_OPT4_KTQT_v4[[#This Row],[DT-EXW-11]],KH_26_OPT4_KTQT_v4[[#This Row],[HH-SL]]*KH_26_OPT4_KTQT_v4[[#This Row],[SL-11]])</f>
        <v>0</v>
      </c>
      <c r="CH181" s="47">
        <f>IF(KH_26_OPT4_KTQT_v4[[#This Row],[CPHH-%-SL]]="Dthu",KH_26_OPT4_KTQT_v4[[#This Row],[%HH]]*KH_26_OPT4_KTQT_v4[[#This Row],[DT-EXW-12]],KH_26_OPT4_KTQT_v4[[#This Row],[HH-SL]]*KH_26_OPT4_KTQT_v4[[#This Row],[SL-12]])</f>
        <v>0</v>
      </c>
      <c r="CI181" s="47">
        <f ca="1">SUM(KH_26_OPT4_KTQT_v4[[#This Row],[CPHH-01]:[CPHH-12]])</f>
        <v>0</v>
      </c>
      <c r="CJ181" s="47" cm="1">
        <f t="array" ref="CJ181">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81" s="19">
        <f ca="1">SUM(KH_26_OPT4_KTQT_v4[[#This Row],[ĐGVCNĐ-KXK]:[ĐGVCCT-KXK]])</f>
        <v>530000</v>
      </c>
      <c r="CL181" s="47" cm="1">
        <f t="array" ref="CL181">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530000</v>
      </c>
      <c r="CM181" s="47" cm="1">
        <f t="array" ref="CM181">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81" s="47">
        <f ca="1">(KH_26_OPT4_KTQT_v4[[#This Row],[ĐGVC-KNĐ]]+KH_26_OPT4_KTQT_v4[[#This Row],[ĐGVC-KXK]])*KH_26_OPT4_KTQT_v4[[#This Row],[SL-01]]</f>
        <v>13250000</v>
      </c>
      <c r="CO181" s="47">
        <f ca="1">(KH_26_OPT4_KTQT_v4[[#This Row],[ĐGVC-KNĐ]]+KH_26_OPT4_KTQT_v4[[#This Row],[ĐGVC-KXK]])*KH_26_OPT4_KTQT_v4[[#This Row],[SL-02]]</f>
        <v>13250000</v>
      </c>
      <c r="CP181" s="47">
        <f ca="1">(KH_26_OPT4_KTQT_v4[[#This Row],[ĐGVC-KNĐ]]+KH_26_OPT4_KTQT_v4[[#This Row],[ĐGVC-KXK]])*KH_26_OPT4_KTQT_v4[[#This Row],[SL-03]]</f>
        <v>13250000</v>
      </c>
      <c r="CQ181" s="47">
        <f ca="1">(KH_26_OPT4_KTQT_v4[[#This Row],[ĐGVC-KNĐ]]+KH_26_OPT4_KTQT_v4[[#This Row],[ĐGVC-KXK]])*KH_26_OPT4_KTQT_v4[[#This Row],[SL-04]]</f>
        <v>13250000</v>
      </c>
      <c r="CR181" s="47">
        <f ca="1">(KH_26_OPT4_KTQT_v4[[#This Row],[ĐGVC-KNĐ]]+KH_26_OPT4_KTQT_v4[[#This Row],[ĐGVC-KXK]])*KH_26_OPT4_KTQT_v4[[#This Row],[SL-05]]</f>
        <v>13250000</v>
      </c>
      <c r="CS181" s="47">
        <f ca="1">(KH_26_OPT4_KTQT_v4[[#This Row],[ĐGVC-KNĐ]]+KH_26_OPT4_KTQT_v4[[#This Row],[ĐGVC-KXK]])*KH_26_OPT4_KTQT_v4[[#This Row],[SL-06]]</f>
        <v>13250000</v>
      </c>
      <c r="CT181" s="47">
        <f ca="1">(KH_26_OPT4_KTQT_v4[[#This Row],[ĐGVC-KNĐ]]+KH_26_OPT4_KTQT_v4[[#This Row],[ĐGVC-KXK]])*KH_26_OPT4_KTQT_v4[[#This Row],[SL-07]]</f>
        <v>13250000</v>
      </c>
      <c r="CU181" s="47">
        <f ca="1">(KH_26_OPT4_KTQT_v4[[#This Row],[ĐGVC-KNĐ]]+KH_26_OPT4_KTQT_v4[[#This Row],[ĐGVC-KXK]])*KH_26_OPT4_KTQT_v4[[#This Row],[SL-08]]</f>
        <v>13250000</v>
      </c>
      <c r="CV181" s="47">
        <f ca="1">(KH_26_OPT4_KTQT_v4[[#This Row],[ĐGVC-KNĐ]]+KH_26_OPT4_KTQT_v4[[#This Row],[ĐGVC-KXK]])*KH_26_OPT4_KTQT_v4[[#This Row],[SL-09]]</f>
        <v>13250000</v>
      </c>
      <c r="CW181" s="47">
        <f ca="1">(KH_26_OPT4_KTQT_v4[[#This Row],[ĐGVC-KNĐ]]+KH_26_OPT4_KTQT_v4[[#This Row],[ĐGVC-KXK]])*KH_26_OPT4_KTQT_v4[[#This Row],[SL-10]]</f>
        <v>13250000</v>
      </c>
      <c r="CX181" s="47">
        <f ca="1">(KH_26_OPT4_KTQT_v4[[#This Row],[ĐGVC-KNĐ]]+KH_26_OPT4_KTQT_v4[[#This Row],[ĐGVC-KXK]])*KH_26_OPT4_KTQT_v4[[#This Row],[SL-11]]</f>
        <v>13250000</v>
      </c>
      <c r="CY181" s="47">
        <f ca="1">(KH_26_OPT4_KTQT_v4[[#This Row],[ĐGVC-KNĐ]]+KH_26_OPT4_KTQT_v4[[#This Row],[ĐGVC-KXK]])*KH_26_OPT4_KTQT_v4[[#This Row],[SL-12]]</f>
        <v>13250000</v>
      </c>
      <c r="CZ181" s="47">
        <f ca="1">SUM(KH_26_OPT4_KTQT_v4[[#This Row],[CPVC-01]:[CPVC-12]])</f>
        <v>159000000</v>
      </c>
      <c r="DA181" s="124">
        <f ca="1">KH_26_OPT4_KTQT_v4[[#This Row],[DT-EXW-01]]+KH_26_OPT4_KTQT_v4[[#This Row],[CPVC-01]]+KH_26_OPT4_KTQT_v4[[#This Row],[CPHH-01]]</f>
        <v>848000000</v>
      </c>
      <c r="DB181" s="47">
        <f ca="1">KH_26_OPT4_KTQT_v4[[#This Row],[DT-EXW-02]]+KH_26_OPT4_KTQT_v4[[#This Row],[CPVC-02]]+KH_26_OPT4_KTQT_v4[[#This Row],[CPHH-02]]</f>
        <v>835412500</v>
      </c>
      <c r="DC181" s="47">
        <f ca="1">KH_26_OPT4_KTQT_v4[[#This Row],[DT-EXW-03]]+KH_26_OPT4_KTQT_v4[[#This Row],[CPVC-03]]+KH_26_OPT4_KTQT_v4[[#This Row],[CPHH-03]]</f>
        <v>822825000</v>
      </c>
      <c r="DD181" s="47">
        <f ca="1">KH_26_OPT4_KTQT_v4[[#This Row],[DT-EXW-04]]+KH_26_OPT4_KTQT_v4[[#This Row],[CPVC-04]]+KH_26_OPT4_KTQT_v4[[#This Row],[CPHH-04]]</f>
        <v>810237500</v>
      </c>
      <c r="DE181" s="47">
        <f ca="1">KH_26_OPT4_KTQT_v4[[#This Row],[DT-EXW-05]]+KH_26_OPT4_KTQT_v4[[#This Row],[CPVC-05]]+KH_26_OPT4_KTQT_v4[[#This Row],[CPHH-05]]</f>
        <v>797650000</v>
      </c>
      <c r="DF181" s="47">
        <f ca="1">KH_26_OPT4_KTQT_v4[[#This Row],[DT-EXW-06]]+KH_26_OPT4_KTQT_v4[[#This Row],[CPVC-06]]+KH_26_OPT4_KTQT_v4[[#This Row],[CPHH-06]]</f>
        <v>785062500</v>
      </c>
      <c r="DG181" s="47">
        <f ca="1">KH_26_OPT4_KTQT_v4[[#This Row],[DT-EXW-07]]+KH_26_OPT4_KTQT_v4[[#This Row],[CPVC-07]]+KH_26_OPT4_KTQT_v4[[#This Row],[CPHH-07]]</f>
        <v>772475000</v>
      </c>
      <c r="DH181" s="47">
        <f ca="1">KH_26_OPT4_KTQT_v4[[#This Row],[DT-EXW-08]]+KH_26_OPT4_KTQT_v4[[#This Row],[CPVC-08]]+KH_26_OPT4_KTQT_v4[[#This Row],[CPHH-08]]</f>
        <v>759887500</v>
      </c>
      <c r="DI181" s="47">
        <f ca="1">KH_26_OPT4_KTQT_v4[[#This Row],[DT-EXW-09]]+KH_26_OPT4_KTQT_v4[[#This Row],[CPVC-09]]+KH_26_OPT4_KTQT_v4[[#This Row],[CPHH-09]]</f>
        <v>747300000</v>
      </c>
      <c r="DJ181" s="47">
        <f ca="1">KH_26_OPT4_KTQT_v4[[#This Row],[DT-EXW-10]]+KH_26_OPT4_KTQT_v4[[#This Row],[CPVC-10]]+KH_26_OPT4_KTQT_v4[[#This Row],[CPHH-10]]</f>
        <v>734712500</v>
      </c>
      <c r="DK181" s="47">
        <f ca="1">KH_26_OPT4_KTQT_v4[[#This Row],[DT-EXW-11]]+KH_26_OPT4_KTQT_v4[[#This Row],[CPVC-11]]+KH_26_OPT4_KTQT_v4[[#This Row],[CPHH-11]]</f>
        <v>722125000</v>
      </c>
      <c r="DL181" s="47">
        <f ca="1">KH_26_OPT4_KTQT_v4[[#This Row],[DT-EXW-12]]+KH_26_OPT4_KTQT_v4[[#This Row],[CPVC-12]]+KH_26_OPT4_KTQT_v4[[#This Row],[CPHH-12]]</f>
        <v>709537500</v>
      </c>
      <c r="DM181" s="47">
        <f ca="1">SUM(KH_26_OPT4_KTQT_v4[[#This Row],[DT-01]:[DT-12]])</f>
        <v>9345225000</v>
      </c>
      <c r="DN181" s="7"/>
      <c r="DO181" s="7"/>
      <c r="DP181" s="125"/>
      <c r="DQ181" s="136"/>
      <c r="DR181" s="132">
        <f>IFERROR(KH_26_OPT4_KTQT_v4[[#This Row],[DT-EXW-01]]*KH_26_OPT4_KTQT_v4[[#This Row],[%CPDP]],0)</f>
        <v>0</v>
      </c>
      <c r="DS181" s="132">
        <f>IFERROR(KH_26_OPT4_KTQT_v4[[#This Row],[DT-EXW-02]]*KH_26_OPT4_KTQT_v4[[#This Row],[%CPDP]],0)</f>
        <v>0</v>
      </c>
      <c r="DT181" s="132">
        <f>IFERROR(KH_26_OPT4_KTQT_v4[[#This Row],[DT-EXW-03]]*KH_26_OPT4_KTQT_v4[[#This Row],[%CPDP]],0)</f>
        <v>0</v>
      </c>
      <c r="DU181" s="132">
        <f>IFERROR(KH_26_OPT4_KTQT_v4[[#This Row],[DT-EXW-04]]*KH_26_OPT4_KTQT_v4[[#This Row],[%CPDP]],0)</f>
        <v>0</v>
      </c>
      <c r="DV181" s="132">
        <f>IFERROR(KH_26_OPT4_KTQT_v4[[#This Row],[DT-EXW-05]]*KH_26_OPT4_KTQT_v4[[#This Row],[%CPDP]],0)</f>
        <v>0</v>
      </c>
      <c r="DW181" s="132">
        <f>IFERROR(KH_26_OPT4_KTQT_v4[[#This Row],[DT-EXW-06]]*KH_26_OPT4_KTQT_v4[[#This Row],[%CPDP]],0)</f>
        <v>0</v>
      </c>
      <c r="DX181" s="132">
        <f>IFERROR(KH_26_OPT4_KTQT_v4[[#This Row],[DT-EXW-07]]*KH_26_OPT4_KTQT_v4[[#This Row],[%CPDP]],0)</f>
        <v>0</v>
      </c>
      <c r="DY181" s="132">
        <f>IFERROR(KH_26_OPT4_KTQT_v4[[#This Row],[DT-EXW-08]]*KH_26_OPT4_KTQT_v4[[#This Row],[%CPDP]],0)</f>
        <v>0</v>
      </c>
      <c r="DZ181" s="132">
        <f>IFERROR(KH_26_OPT4_KTQT_v4[[#This Row],[DT-EXW-09]]*KH_26_OPT4_KTQT_v4[[#This Row],[%CPDP]],0)</f>
        <v>0</v>
      </c>
      <c r="EA181" s="132">
        <f>IFERROR(KH_26_OPT4_KTQT_v4[[#This Row],[DT-EXW-10]]*KH_26_OPT4_KTQT_v4[[#This Row],[%CPDP]],0)</f>
        <v>0</v>
      </c>
      <c r="EB181" s="132">
        <f>IFERROR(KH_26_OPT4_KTQT_v4[[#This Row],[DT-EXW-11]]*KH_26_OPT4_KTQT_v4[[#This Row],[%CPDP]],0)</f>
        <v>0</v>
      </c>
      <c r="EC181" s="132">
        <f>IFERROR(KH_26_OPT4_KTQT_v4[[#This Row],[DT-EXW-12]]*KH_26_OPT4_KTQT_v4[[#This Row],[%CPDP]],0)</f>
        <v>0</v>
      </c>
      <c r="ED181" s="132">
        <f ca="1">SUM(KH_26_OPT4_KTQT_v4[[#This Row],[CPDP-01]:[CPDP-12]])</f>
        <v>0</v>
      </c>
    </row>
    <row r="182" spans="1:134" ht="14.5" hidden="1" x14ac:dyDescent="0.35">
      <c r="A182" s="18"/>
      <c r="B182" s="71"/>
      <c r="C182" s="18" t="str">
        <f>IFERROR(_xlfn.XLOOKUP(KH_26_OPT4_KTQT_v4[[#This Row],[Salesman]],MD_Salesman[Salesman],MD_Salesman[SalesManager]),"")</f>
        <v/>
      </c>
      <c r="D182" s="72" t="str">
        <f>IFERROR(INDEX(MD_Customer[Mã khách],MATCH(KH_26_OPT4_KTQT_v4[[#This Row],[Tên khách]],MD_Customer[Tên khách-rút gọn],0)),"")</f>
        <v>NS26-NEWCUS-026</v>
      </c>
      <c r="E182" s="156" t="str">
        <f>IFERROR(INDEX(MD_Customer[Parent Account],MATCH(KH_26_OPT4_KTQT_v4[[#This Row],[Tên khách]],MD_Customer[Tên khách-rút gọn],0)),"")</f>
        <v>NISHIN</v>
      </c>
      <c r="F182" s="35" t="s">
        <v>1701</v>
      </c>
      <c r="G182" s="7" t="str">
        <f>IFERROR(INDEX(MD_Customer[Phân loại],MATCH(KH_26_OPT4_KTQT_v4[[#This Row],[Tên khách]],MD_Customer[Tên khách-rút gọn],0)),"")</f>
        <v>Mới</v>
      </c>
      <c r="H182" s="7" t="str">
        <f>IFERROR(INDEX(MD_Customer[Kênh bán hàng],MATCH(KH_26_OPT4_KTQT_v4[[#This Row],[Tên khách]],MD_Customer[Tên khách-rút gọn],0)),"")</f>
        <v>Xuất khẩu</v>
      </c>
      <c r="I182" s="35" t="s">
        <v>295</v>
      </c>
      <c r="J182" s="7" t="str">
        <f>IFERROR(INDEX(MD_Destination[Nước],MATCH(KH_26_OPT4_KTQT_v4[[#This Row],[Địa điểm đến]],MD_Destination[Địa điểm đến],0)),"")</f>
        <v>Nhật</v>
      </c>
      <c r="K182" s="7" t="str">
        <f>IFERROR(INDEX(MD_Destination[Khu vực],MATCH(KH_26_OPT4_KTQT_v4[[#This Row],[Địa điểm đến]],MD_Destination[Địa điểm đến],0)),"")</f>
        <v>Châu Á</v>
      </c>
      <c r="L182" s="35" t="s">
        <v>278</v>
      </c>
      <c r="M182" s="7" t="str">
        <f>IFERROR(INDEX(MD_SKU[Mã SKU],MATCH(KH_26_OPT4_KTQT_v4[[#This Row],[Tên sản phẩm]],MD_SKU[Tên SKU-rút gọn],0)),"")</f>
        <v>110000495</v>
      </c>
      <c r="N182" s="35" t="s">
        <v>463</v>
      </c>
      <c r="O182" s="35" t="str">
        <f>IFERROR(INDEX(MD_SKU[Ngành hàng],MATCH(KH_26_OPT4_KTQT_v4[[#This Row],[Tên sản phẩm]],MD_SKU[Tên SKU-rút gọn],0)),"")</f>
        <v>rHDPE thổi</v>
      </c>
      <c r="P182" s="7" t="str">
        <f>IFERROR(INDEX(MD_SKU[Nhóm ngành],MATCH(KH_26_OPT4_KTQT_v4[[#This Row],[Tên sản phẩm]],MD_SKU[Tên SKU-rút gọn],0)),"")</f>
        <v>Hạt HD thổi</v>
      </c>
      <c r="Q182" s="7" t="str">
        <f>IFERROR(
   IF(INDEX(MD_SKU[IV/IM],MATCH(KH_26_OPT4_KTQT_v4[[#This Row],[Tên sản phẩm]],MD_SKU[Tên SKU-rút gọn],0))=0,
      "",
      INDEX(MD_SKU[IV/IM],MATCH(KH_26_OPT4_KTQT_v4[[#This Row],[Tên sản phẩm]],MD_SKU[Tên SKU-rút gọn],0))
   ),
"")</f>
        <v/>
      </c>
      <c r="R182" s="44" t="str">
        <f>IFERROR(INDEX(MD_SKU[Application],MATCH(KH_26_OPT4_KTQT_v4[[#This Row],[Tên sản phẩm]],MD_SKU[Tên SKU-rút gọn],0)),"")</f>
        <v>THỔI CHAI</v>
      </c>
      <c r="S182" s="7" t="str">
        <f>IFERROR(INDEX(MD_SKU[Phân loại],MATCH(KH_26_OPT4_KTQT_v4[[#This Row],[Tên sản phẩm]],MD_SKU[Tên SKU-rút gọn],0)),"")</f>
        <v>Cũ</v>
      </c>
      <c r="T182" s="7" t="s">
        <v>541</v>
      </c>
      <c r="U182" s="157" t="s">
        <v>1508</v>
      </c>
      <c r="V182" s="70">
        <v>0.8</v>
      </c>
      <c r="W182" s="177">
        <v>25</v>
      </c>
      <c r="X182" s="177">
        <v>25</v>
      </c>
      <c r="Y182" s="177">
        <v>25</v>
      </c>
      <c r="Z182" s="177">
        <v>25</v>
      </c>
      <c r="AA182" s="177">
        <v>25</v>
      </c>
      <c r="AB182" s="177">
        <v>25</v>
      </c>
      <c r="AC182" s="177">
        <v>25</v>
      </c>
      <c r="AD182" s="177">
        <v>25</v>
      </c>
      <c r="AE182" s="177">
        <v>25</v>
      </c>
      <c r="AF182" s="177">
        <v>25</v>
      </c>
      <c r="AG182" s="177">
        <v>25</v>
      </c>
      <c r="AH182" s="177">
        <v>25</v>
      </c>
      <c r="AI182" s="47">
        <f ca="1">SUM(KH_26_OPT4_KTQT_v4[[#This Row],[SL-01]:[SL-12]])</f>
        <v>300</v>
      </c>
      <c r="AJ182" s="47">
        <f ca="1">SUMIFS(DB_25[SL-DB25],DB_25[Mã khách],KH_26_OPT4_KTQT_v4[[#This Row],[Mã khách]],DB_25[Mã sản phẩm],KH_26_OPT4_KTQT_v4[[#This Row],[Mã sản phẩm]])</f>
        <v>0</v>
      </c>
      <c r="AK182" s="20">
        <f ca="1">KH_26_OPT4_KTQT_v4[[#This Row],[SL-KH26]]-KH_26_OPT4_KTQT_v4[[#This Row],[SL-DB25]]</f>
        <v>300</v>
      </c>
      <c r="AL182" s="21">
        <f ca="1">IFERROR(KH_26_OPT4_KTQT_v4[[#This Row],[SL-+/-]]/KH_26_OPT4_KTQT_v4[[#This Row],[SL-DB25]],0)</f>
        <v>0</v>
      </c>
      <c r="AM182" s="51">
        <v>1210</v>
      </c>
      <c r="AN182" s="51">
        <v>1191</v>
      </c>
      <c r="AO182" s="51">
        <v>1172</v>
      </c>
      <c r="AP182" s="51">
        <v>1153</v>
      </c>
      <c r="AQ182" s="51">
        <v>1134</v>
      </c>
      <c r="AR182" s="51">
        <v>1115</v>
      </c>
      <c r="AS182" s="51">
        <v>1096</v>
      </c>
      <c r="AT182" s="51">
        <v>1077</v>
      </c>
      <c r="AU182" s="51">
        <v>1058</v>
      </c>
      <c r="AV182" s="51">
        <v>1039</v>
      </c>
      <c r="AW182" s="51">
        <v>1020</v>
      </c>
      <c r="AX182" s="51">
        <v>1001</v>
      </c>
      <c r="AY182" s="23"/>
      <c r="AZ182" s="7"/>
      <c r="BA182" s="24">
        <f>KH_26_OPT4_KTQT_v4[[#This Row],[GB-DB25]]-KH_26_OPT4_KTQT_v4[[#This Row],[GB-KH25]]</f>
        <v>0</v>
      </c>
      <c r="BB182" s="21">
        <f>IFERROR(KH_26_OPT4_KTQT_v4[[#This Row],[GB-+/-]]/KH_26_OPT4_KTQT_v4[[#This Row],[GB-KH25]],0)</f>
        <v>0</v>
      </c>
      <c r="BC182" s="21"/>
      <c r="BD182" s="47">
        <f>KH_26_OPT4_KTQT_v4[[#This Row],[SL-01]]*KH_26_OPT4_KTQT_v4[[#This Row],[GB-01]]*EXR</f>
        <v>801625000</v>
      </c>
      <c r="BE182" s="47">
        <f>KH_26_OPT4_KTQT_v4[[#This Row],[SL-02]]*KH_26_OPT4_KTQT_v4[[#This Row],[GB-02]]*EXR</f>
        <v>789037500</v>
      </c>
      <c r="BF182" s="47">
        <f>KH_26_OPT4_KTQT_v4[[#This Row],[SL-03]]*KH_26_OPT4_KTQT_v4[[#This Row],[GB-03]]*EXR</f>
        <v>776450000</v>
      </c>
      <c r="BG182" s="47">
        <f>KH_26_OPT4_KTQT_v4[[#This Row],[SL-04]]*KH_26_OPT4_KTQT_v4[[#This Row],[GB-04]]*EXR</f>
        <v>763862500</v>
      </c>
      <c r="BH182" s="47">
        <f>KH_26_OPT4_KTQT_v4[[#This Row],[SL-05]]*KH_26_OPT4_KTQT_v4[[#This Row],[GB-05]]*EXR</f>
        <v>751275000</v>
      </c>
      <c r="BI182" s="47">
        <f>KH_26_OPT4_KTQT_v4[[#This Row],[SL-06]]*KH_26_OPT4_KTQT_v4[[#This Row],[GB-06]]*EXR</f>
        <v>738687500</v>
      </c>
      <c r="BJ182" s="47">
        <f>KH_26_OPT4_KTQT_v4[[#This Row],[SL-07]]*KH_26_OPT4_KTQT_v4[[#This Row],[GB-07]]*EXR</f>
        <v>726100000</v>
      </c>
      <c r="BK182" s="47">
        <f>KH_26_OPT4_KTQT_v4[[#This Row],[SL-08]]*KH_26_OPT4_KTQT_v4[[#This Row],[GB-08]]*EXR</f>
        <v>713512500</v>
      </c>
      <c r="BL182" s="47">
        <f>KH_26_OPT4_KTQT_v4[[#This Row],[SL-09]]*KH_26_OPT4_KTQT_v4[[#This Row],[GB-09]]*EXR</f>
        <v>700925000</v>
      </c>
      <c r="BM182" s="47">
        <f>KH_26_OPT4_KTQT_v4[[#This Row],[SL-10]]*KH_26_OPT4_KTQT_v4[[#This Row],[GB-10]]*EXR</f>
        <v>688337500</v>
      </c>
      <c r="BN182" s="47">
        <f>KH_26_OPT4_KTQT_v4[[#This Row],[SL-11]]*KH_26_OPT4_KTQT_v4[[#This Row],[GB-11]]*EXR</f>
        <v>675750000</v>
      </c>
      <c r="BO182" s="47">
        <f>KH_26_OPT4_KTQT_v4[[#This Row],[SL-12]]*KH_26_OPT4_KTQT_v4[[#This Row],[GB-12]]*EXR</f>
        <v>663162500</v>
      </c>
      <c r="BP182" s="47">
        <f ca="1">SUM(KH_26_OPT4_KTQT_v4[[#This Row],[DT-EXW-01]:[DT-EXW-12]])</f>
        <v>8788725000</v>
      </c>
      <c r="BQ182" s="47">
        <f ca="1">SUMIFS(DB_25[DT-DB25],DB_25[Mã khách],KH_26_OPT4_KTQT_v4[[#This Row],[Mã khách]],DB_25[Mã sản phẩm],KH_26_OPT4_KTQT_v4[[#This Row],[Mã sản phẩm]])</f>
        <v>0</v>
      </c>
      <c r="BR182" s="19">
        <f ca="1">KH_26_OPT4_KTQT_v4[[#This Row],[DT-EXW-KH26]]-KH_26_OPT4_KTQT_v4[[#This Row],[DT-EXW-DB25]]</f>
        <v>8788725000</v>
      </c>
      <c r="BS182" s="21">
        <f ca="1">IFERROR(KH_26_OPT4_KTQT_v4[[#This Row],[DT-EXW-+/-]]/KH_26_OPT4_KTQT_v4[[#This Row],[DT-EXW-DB25]],0)</f>
        <v>0</v>
      </c>
      <c r="BT182" s="139"/>
      <c r="BU182" s="57"/>
      <c r="BV182" s="57"/>
      <c r="BW182" s="47">
        <f>IF(KH_26_OPT4_KTQT_v4[[#This Row],[CPHH-%-SL]]="Dthu",KH_26_OPT4_KTQT_v4[[#This Row],[%HH]]*KH_26_OPT4_KTQT_v4[[#This Row],[DT-EXW-01]],KH_26_OPT4_KTQT_v4[[#This Row],[HH-SL]]*KH_26_OPT4_KTQT_v4[[#This Row],[SL-01]])</f>
        <v>0</v>
      </c>
      <c r="BX182" s="47">
        <f>IF(KH_26_OPT4_KTQT_v4[[#This Row],[CPHH-%-SL]]="Dthu",KH_26_OPT4_KTQT_v4[[#This Row],[%HH]]*KH_26_OPT4_KTQT_v4[[#This Row],[DT-EXW-02]],KH_26_OPT4_KTQT_v4[[#This Row],[HH-SL]]*KH_26_OPT4_KTQT_v4[[#This Row],[SL-02]])</f>
        <v>0</v>
      </c>
      <c r="BY182" s="47">
        <f>IF(KH_26_OPT4_KTQT_v4[[#This Row],[CPHH-%-SL]]="Dthu",KH_26_OPT4_KTQT_v4[[#This Row],[%HH]]*KH_26_OPT4_KTQT_v4[[#This Row],[DT-EXW-03]],KH_26_OPT4_KTQT_v4[[#This Row],[HH-SL]]*KH_26_OPT4_KTQT_v4[[#This Row],[SL-03]])</f>
        <v>0</v>
      </c>
      <c r="BZ182" s="47">
        <f>IF(KH_26_OPT4_KTQT_v4[[#This Row],[CPHH-%-SL]]="Dthu",KH_26_OPT4_KTQT_v4[[#This Row],[%HH]]*KH_26_OPT4_KTQT_v4[[#This Row],[DT-EXW-04]],KH_26_OPT4_KTQT_v4[[#This Row],[HH-SL]]*KH_26_OPT4_KTQT_v4[[#This Row],[SL-04]])</f>
        <v>0</v>
      </c>
      <c r="CA182" s="47">
        <f>IF(KH_26_OPT4_KTQT_v4[[#This Row],[CPHH-%-SL]]="Dthu",KH_26_OPT4_KTQT_v4[[#This Row],[%HH]]*KH_26_OPT4_KTQT_v4[[#This Row],[DT-EXW-05]],KH_26_OPT4_KTQT_v4[[#This Row],[HH-SL]]*KH_26_OPT4_KTQT_v4[[#This Row],[SL-05]])</f>
        <v>0</v>
      </c>
      <c r="CB182" s="47">
        <f>IF(KH_26_OPT4_KTQT_v4[[#This Row],[CPHH-%-SL]]="Dthu",KH_26_OPT4_KTQT_v4[[#This Row],[%HH]]*KH_26_OPT4_KTQT_v4[[#This Row],[DT-EXW-06]],KH_26_OPT4_KTQT_v4[[#This Row],[HH-SL]]*KH_26_OPT4_KTQT_v4[[#This Row],[SL-06]])</f>
        <v>0</v>
      </c>
      <c r="CC182" s="47">
        <f>IF(KH_26_OPT4_KTQT_v4[[#This Row],[CPHH-%-SL]]="Dthu",KH_26_OPT4_KTQT_v4[[#This Row],[%HH]]*KH_26_OPT4_KTQT_v4[[#This Row],[DT-EXW-07]],KH_26_OPT4_KTQT_v4[[#This Row],[HH-SL]]*KH_26_OPT4_KTQT_v4[[#This Row],[SL-07]])</f>
        <v>0</v>
      </c>
      <c r="CD182" s="47">
        <f>IF(KH_26_OPT4_KTQT_v4[[#This Row],[CPHH-%-SL]]="Dthu",KH_26_OPT4_KTQT_v4[[#This Row],[%HH]]*KH_26_OPT4_KTQT_v4[[#This Row],[DT-EXW-08]],KH_26_OPT4_KTQT_v4[[#This Row],[HH-SL]]*KH_26_OPT4_KTQT_v4[[#This Row],[SL-08]])</f>
        <v>0</v>
      </c>
      <c r="CE182" s="47">
        <f>IF(KH_26_OPT4_KTQT_v4[[#This Row],[CPHH-%-SL]]="Dthu",KH_26_OPT4_KTQT_v4[[#This Row],[%HH]]*KH_26_OPT4_KTQT_v4[[#This Row],[DT-EXW-09]],KH_26_OPT4_KTQT_v4[[#This Row],[HH-SL]]*KH_26_OPT4_KTQT_v4[[#This Row],[SL-09]])</f>
        <v>0</v>
      </c>
      <c r="CF182" s="47">
        <f>IF(KH_26_OPT4_KTQT_v4[[#This Row],[CPHH-%-SL]]="Dthu",KH_26_OPT4_KTQT_v4[[#This Row],[%HH]]*KH_26_OPT4_KTQT_v4[[#This Row],[DT-EXW-10]],KH_26_OPT4_KTQT_v4[[#This Row],[HH-SL]]*KH_26_OPT4_KTQT_v4[[#This Row],[SL-10]])</f>
        <v>0</v>
      </c>
      <c r="CG182" s="47">
        <f>IF(KH_26_OPT4_KTQT_v4[[#This Row],[CPHH-%-SL]]="Dthu",KH_26_OPT4_KTQT_v4[[#This Row],[%HH]]*KH_26_OPT4_KTQT_v4[[#This Row],[DT-EXW-11]],KH_26_OPT4_KTQT_v4[[#This Row],[HH-SL]]*KH_26_OPT4_KTQT_v4[[#This Row],[SL-11]])</f>
        <v>0</v>
      </c>
      <c r="CH182" s="47">
        <f>IF(KH_26_OPT4_KTQT_v4[[#This Row],[CPHH-%-SL]]="Dthu",KH_26_OPT4_KTQT_v4[[#This Row],[%HH]]*KH_26_OPT4_KTQT_v4[[#This Row],[DT-EXW-12]],KH_26_OPT4_KTQT_v4[[#This Row],[HH-SL]]*KH_26_OPT4_KTQT_v4[[#This Row],[SL-12]])</f>
        <v>0</v>
      </c>
      <c r="CI182" s="47">
        <f ca="1">SUM(KH_26_OPT4_KTQT_v4[[#This Row],[CPHH-01]:[CPHH-12]])</f>
        <v>0</v>
      </c>
      <c r="CJ182" s="47" cm="1">
        <f t="array" ref="CJ182">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82" s="19">
        <f ca="1">SUM(KH_26_OPT4_KTQT_v4[[#This Row],[ĐGVCNĐ-KXK]:[ĐGVCCT-KXK]])</f>
        <v>530000</v>
      </c>
      <c r="CL182" s="47" cm="1">
        <f t="array" ref="CL182">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530000</v>
      </c>
      <c r="CM182" s="47" cm="1">
        <f t="array" ref="CM182">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82" s="47">
        <f ca="1">(KH_26_OPT4_KTQT_v4[[#This Row],[ĐGVC-KNĐ]]+KH_26_OPT4_KTQT_v4[[#This Row],[ĐGVC-KXK]])*KH_26_OPT4_KTQT_v4[[#This Row],[SL-01]]</f>
        <v>13250000</v>
      </c>
      <c r="CO182" s="47">
        <f ca="1">(KH_26_OPT4_KTQT_v4[[#This Row],[ĐGVC-KNĐ]]+KH_26_OPT4_KTQT_v4[[#This Row],[ĐGVC-KXK]])*KH_26_OPT4_KTQT_v4[[#This Row],[SL-02]]</f>
        <v>13250000</v>
      </c>
      <c r="CP182" s="47">
        <f ca="1">(KH_26_OPT4_KTQT_v4[[#This Row],[ĐGVC-KNĐ]]+KH_26_OPT4_KTQT_v4[[#This Row],[ĐGVC-KXK]])*KH_26_OPT4_KTQT_v4[[#This Row],[SL-03]]</f>
        <v>13250000</v>
      </c>
      <c r="CQ182" s="47">
        <f ca="1">(KH_26_OPT4_KTQT_v4[[#This Row],[ĐGVC-KNĐ]]+KH_26_OPT4_KTQT_v4[[#This Row],[ĐGVC-KXK]])*KH_26_OPT4_KTQT_v4[[#This Row],[SL-04]]</f>
        <v>13250000</v>
      </c>
      <c r="CR182" s="47">
        <f ca="1">(KH_26_OPT4_KTQT_v4[[#This Row],[ĐGVC-KNĐ]]+KH_26_OPT4_KTQT_v4[[#This Row],[ĐGVC-KXK]])*KH_26_OPT4_KTQT_v4[[#This Row],[SL-05]]</f>
        <v>13250000</v>
      </c>
      <c r="CS182" s="47">
        <f ca="1">(KH_26_OPT4_KTQT_v4[[#This Row],[ĐGVC-KNĐ]]+KH_26_OPT4_KTQT_v4[[#This Row],[ĐGVC-KXK]])*KH_26_OPT4_KTQT_v4[[#This Row],[SL-06]]</f>
        <v>13250000</v>
      </c>
      <c r="CT182" s="47">
        <f ca="1">(KH_26_OPT4_KTQT_v4[[#This Row],[ĐGVC-KNĐ]]+KH_26_OPT4_KTQT_v4[[#This Row],[ĐGVC-KXK]])*KH_26_OPT4_KTQT_v4[[#This Row],[SL-07]]</f>
        <v>13250000</v>
      </c>
      <c r="CU182" s="47">
        <f ca="1">(KH_26_OPT4_KTQT_v4[[#This Row],[ĐGVC-KNĐ]]+KH_26_OPT4_KTQT_v4[[#This Row],[ĐGVC-KXK]])*KH_26_OPT4_KTQT_v4[[#This Row],[SL-08]]</f>
        <v>13250000</v>
      </c>
      <c r="CV182" s="47">
        <f ca="1">(KH_26_OPT4_KTQT_v4[[#This Row],[ĐGVC-KNĐ]]+KH_26_OPT4_KTQT_v4[[#This Row],[ĐGVC-KXK]])*KH_26_OPT4_KTQT_v4[[#This Row],[SL-09]]</f>
        <v>13250000</v>
      </c>
      <c r="CW182" s="47">
        <f ca="1">(KH_26_OPT4_KTQT_v4[[#This Row],[ĐGVC-KNĐ]]+KH_26_OPT4_KTQT_v4[[#This Row],[ĐGVC-KXK]])*KH_26_OPT4_KTQT_v4[[#This Row],[SL-10]]</f>
        <v>13250000</v>
      </c>
      <c r="CX182" s="47">
        <f ca="1">(KH_26_OPT4_KTQT_v4[[#This Row],[ĐGVC-KNĐ]]+KH_26_OPT4_KTQT_v4[[#This Row],[ĐGVC-KXK]])*KH_26_OPT4_KTQT_v4[[#This Row],[SL-11]]</f>
        <v>13250000</v>
      </c>
      <c r="CY182" s="47">
        <f ca="1">(KH_26_OPT4_KTQT_v4[[#This Row],[ĐGVC-KNĐ]]+KH_26_OPT4_KTQT_v4[[#This Row],[ĐGVC-KXK]])*KH_26_OPT4_KTQT_v4[[#This Row],[SL-12]]</f>
        <v>13250000</v>
      </c>
      <c r="CZ182" s="47">
        <f ca="1">SUM(KH_26_OPT4_KTQT_v4[[#This Row],[CPVC-01]:[CPVC-12]])</f>
        <v>159000000</v>
      </c>
      <c r="DA182" s="124">
        <f ca="1">KH_26_OPT4_KTQT_v4[[#This Row],[DT-EXW-01]]+KH_26_OPT4_KTQT_v4[[#This Row],[CPVC-01]]+KH_26_OPT4_KTQT_v4[[#This Row],[CPHH-01]]</f>
        <v>814875000</v>
      </c>
      <c r="DB182" s="47">
        <f ca="1">KH_26_OPT4_KTQT_v4[[#This Row],[DT-EXW-02]]+KH_26_OPT4_KTQT_v4[[#This Row],[CPVC-02]]+KH_26_OPT4_KTQT_v4[[#This Row],[CPHH-02]]</f>
        <v>802287500</v>
      </c>
      <c r="DC182" s="47">
        <f ca="1">KH_26_OPT4_KTQT_v4[[#This Row],[DT-EXW-03]]+KH_26_OPT4_KTQT_v4[[#This Row],[CPVC-03]]+KH_26_OPT4_KTQT_v4[[#This Row],[CPHH-03]]</f>
        <v>789700000</v>
      </c>
      <c r="DD182" s="47">
        <f ca="1">KH_26_OPT4_KTQT_v4[[#This Row],[DT-EXW-04]]+KH_26_OPT4_KTQT_v4[[#This Row],[CPVC-04]]+KH_26_OPT4_KTQT_v4[[#This Row],[CPHH-04]]</f>
        <v>777112500</v>
      </c>
      <c r="DE182" s="47">
        <f ca="1">KH_26_OPT4_KTQT_v4[[#This Row],[DT-EXW-05]]+KH_26_OPT4_KTQT_v4[[#This Row],[CPVC-05]]+KH_26_OPT4_KTQT_v4[[#This Row],[CPHH-05]]</f>
        <v>764525000</v>
      </c>
      <c r="DF182" s="47">
        <f ca="1">KH_26_OPT4_KTQT_v4[[#This Row],[DT-EXW-06]]+KH_26_OPT4_KTQT_v4[[#This Row],[CPVC-06]]+KH_26_OPT4_KTQT_v4[[#This Row],[CPHH-06]]</f>
        <v>751937500</v>
      </c>
      <c r="DG182" s="47">
        <f ca="1">KH_26_OPT4_KTQT_v4[[#This Row],[DT-EXW-07]]+KH_26_OPT4_KTQT_v4[[#This Row],[CPVC-07]]+KH_26_OPT4_KTQT_v4[[#This Row],[CPHH-07]]</f>
        <v>739350000</v>
      </c>
      <c r="DH182" s="47">
        <f ca="1">KH_26_OPT4_KTQT_v4[[#This Row],[DT-EXW-08]]+KH_26_OPT4_KTQT_v4[[#This Row],[CPVC-08]]+KH_26_OPT4_KTQT_v4[[#This Row],[CPHH-08]]</f>
        <v>726762500</v>
      </c>
      <c r="DI182" s="47">
        <f ca="1">KH_26_OPT4_KTQT_v4[[#This Row],[DT-EXW-09]]+KH_26_OPT4_KTQT_v4[[#This Row],[CPVC-09]]+KH_26_OPT4_KTQT_v4[[#This Row],[CPHH-09]]</f>
        <v>714175000</v>
      </c>
      <c r="DJ182" s="47">
        <f ca="1">KH_26_OPT4_KTQT_v4[[#This Row],[DT-EXW-10]]+KH_26_OPT4_KTQT_v4[[#This Row],[CPVC-10]]+KH_26_OPT4_KTQT_v4[[#This Row],[CPHH-10]]</f>
        <v>701587500</v>
      </c>
      <c r="DK182" s="47">
        <f ca="1">KH_26_OPT4_KTQT_v4[[#This Row],[DT-EXW-11]]+KH_26_OPT4_KTQT_v4[[#This Row],[CPVC-11]]+KH_26_OPT4_KTQT_v4[[#This Row],[CPHH-11]]</f>
        <v>689000000</v>
      </c>
      <c r="DL182" s="47">
        <f ca="1">KH_26_OPT4_KTQT_v4[[#This Row],[DT-EXW-12]]+KH_26_OPT4_KTQT_v4[[#This Row],[CPVC-12]]+KH_26_OPT4_KTQT_v4[[#This Row],[CPHH-12]]</f>
        <v>676412500</v>
      </c>
      <c r="DM182" s="47">
        <f ca="1">SUM(KH_26_OPT4_KTQT_v4[[#This Row],[DT-01]:[DT-12]])</f>
        <v>8947725000</v>
      </c>
      <c r="DN182" s="7"/>
      <c r="DO182" s="7"/>
      <c r="DP182" s="125"/>
      <c r="DQ182" s="136"/>
      <c r="DR182" s="132">
        <f>IFERROR(KH_26_OPT4_KTQT_v4[[#This Row],[DT-EXW-01]]*KH_26_OPT4_KTQT_v4[[#This Row],[%CPDP]],0)</f>
        <v>0</v>
      </c>
      <c r="DS182" s="132">
        <f>IFERROR(KH_26_OPT4_KTQT_v4[[#This Row],[DT-EXW-02]]*KH_26_OPT4_KTQT_v4[[#This Row],[%CPDP]],0)</f>
        <v>0</v>
      </c>
      <c r="DT182" s="132">
        <f>IFERROR(KH_26_OPT4_KTQT_v4[[#This Row],[DT-EXW-03]]*KH_26_OPT4_KTQT_v4[[#This Row],[%CPDP]],0)</f>
        <v>0</v>
      </c>
      <c r="DU182" s="132">
        <f>IFERROR(KH_26_OPT4_KTQT_v4[[#This Row],[DT-EXW-04]]*KH_26_OPT4_KTQT_v4[[#This Row],[%CPDP]],0)</f>
        <v>0</v>
      </c>
      <c r="DV182" s="132">
        <f>IFERROR(KH_26_OPT4_KTQT_v4[[#This Row],[DT-EXW-05]]*KH_26_OPT4_KTQT_v4[[#This Row],[%CPDP]],0)</f>
        <v>0</v>
      </c>
      <c r="DW182" s="132">
        <f>IFERROR(KH_26_OPT4_KTQT_v4[[#This Row],[DT-EXW-06]]*KH_26_OPT4_KTQT_v4[[#This Row],[%CPDP]],0)</f>
        <v>0</v>
      </c>
      <c r="DX182" s="132">
        <f>IFERROR(KH_26_OPT4_KTQT_v4[[#This Row],[DT-EXW-07]]*KH_26_OPT4_KTQT_v4[[#This Row],[%CPDP]],0)</f>
        <v>0</v>
      </c>
      <c r="DY182" s="132">
        <f>IFERROR(KH_26_OPT4_KTQT_v4[[#This Row],[DT-EXW-08]]*KH_26_OPT4_KTQT_v4[[#This Row],[%CPDP]],0)</f>
        <v>0</v>
      </c>
      <c r="DZ182" s="132">
        <f>IFERROR(KH_26_OPT4_KTQT_v4[[#This Row],[DT-EXW-09]]*KH_26_OPT4_KTQT_v4[[#This Row],[%CPDP]],0)</f>
        <v>0</v>
      </c>
      <c r="EA182" s="132">
        <f>IFERROR(KH_26_OPT4_KTQT_v4[[#This Row],[DT-EXW-10]]*KH_26_OPT4_KTQT_v4[[#This Row],[%CPDP]],0)</f>
        <v>0</v>
      </c>
      <c r="EB182" s="132">
        <f>IFERROR(KH_26_OPT4_KTQT_v4[[#This Row],[DT-EXW-11]]*KH_26_OPT4_KTQT_v4[[#This Row],[%CPDP]],0)</f>
        <v>0</v>
      </c>
      <c r="EC182" s="132">
        <f>IFERROR(KH_26_OPT4_KTQT_v4[[#This Row],[DT-EXW-12]]*KH_26_OPT4_KTQT_v4[[#This Row],[%CPDP]],0)</f>
        <v>0</v>
      </c>
      <c r="ED182" s="132">
        <f ca="1">SUM(KH_26_OPT4_KTQT_v4[[#This Row],[CPDP-01]:[CPDP-12]])</f>
        <v>0</v>
      </c>
    </row>
    <row r="183" spans="1:134" ht="14.5" hidden="1" x14ac:dyDescent="0.35">
      <c r="A183" s="18"/>
      <c r="B183" s="71"/>
      <c r="C183" s="18" t="str">
        <f>IFERROR(_xlfn.XLOOKUP(KH_26_OPT4_KTQT_v4[[#This Row],[Salesman]],MD_Salesman[Salesman],MD_Salesman[SalesManager]),"")</f>
        <v/>
      </c>
      <c r="D183" s="72" t="str">
        <f>IFERROR(INDEX(MD_Customer[Mã khách],MATCH(KH_26_OPT4_KTQT_v4[[#This Row],[Tên khách]],MD_Customer[Tên khách-rút gọn],0)),"")</f>
        <v>NS26-NEWCUS-027</v>
      </c>
      <c r="E183" s="156" t="str">
        <f>IFERROR(INDEX(MD_Customer[Parent Account],MATCH(KH_26_OPT4_KTQT_v4[[#This Row],[Tên khách]],MD_Customer[Tên khách-rút gọn],0)),"")</f>
        <v>New Developments - Hạt PET - NĐ (rHDPE thổi)</v>
      </c>
      <c r="F183" s="35" t="s">
        <v>1704</v>
      </c>
      <c r="G183" s="7" t="str">
        <f>IFERROR(INDEX(MD_Customer[Phân loại],MATCH(KH_26_OPT4_KTQT_v4[[#This Row],[Tên khách]],MD_Customer[Tên khách-rút gọn],0)),"")</f>
        <v>Mới</v>
      </c>
      <c r="H183" s="7" t="str">
        <f>IFERROR(INDEX(MD_Customer[Kênh bán hàng],MATCH(KH_26_OPT4_KTQT_v4[[#This Row],[Tên khách]],MD_Customer[Tên khách-rút gọn],0)),"")</f>
        <v>Nội địa</v>
      </c>
      <c r="I183" s="35" t="s">
        <v>261</v>
      </c>
      <c r="J183" s="7" t="str">
        <f>IFERROR(INDEX(MD_Destination[Nước],MATCH(KH_26_OPT4_KTQT_v4[[#This Row],[Địa điểm đến]],MD_Destination[Địa điểm đến],0)),"")</f>
        <v>Việt Nam</v>
      </c>
      <c r="K183" s="7" t="str">
        <f>IFERROR(INDEX(MD_Destination[Khu vực],MATCH(KH_26_OPT4_KTQT_v4[[#This Row],[Địa điểm đến]],MD_Destination[Địa điểm đến],0)),"")</f>
        <v>Châu Á</v>
      </c>
      <c r="L183" s="35" t="s">
        <v>260</v>
      </c>
      <c r="M183" s="7" t="str">
        <f>IFERROR(INDEX(MD_SKU[Mã SKU],MATCH(KH_26_OPT4_KTQT_v4[[#This Row],[Tên sản phẩm]],MD_SKU[Tên SKU-rút gọn],0)),"")</f>
        <v>110000495</v>
      </c>
      <c r="N183" s="35" t="s">
        <v>463</v>
      </c>
      <c r="O183" s="35" t="str">
        <f>IFERROR(INDEX(MD_SKU[Ngành hàng],MATCH(KH_26_OPT4_KTQT_v4[[#This Row],[Tên sản phẩm]],MD_SKU[Tên SKU-rút gọn],0)),"")</f>
        <v>rHDPE thổi</v>
      </c>
      <c r="P183" s="7" t="str">
        <f>IFERROR(INDEX(MD_SKU[Nhóm ngành],MATCH(KH_26_OPT4_KTQT_v4[[#This Row],[Tên sản phẩm]],MD_SKU[Tên SKU-rút gọn],0)),"")</f>
        <v>Hạt HD thổi</v>
      </c>
      <c r="Q183" s="7" t="str">
        <f>IFERROR(
   IF(INDEX(MD_SKU[IV/IM],MATCH(KH_26_OPT4_KTQT_v4[[#This Row],[Tên sản phẩm]],MD_SKU[Tên SKU-rút gọn],0))=0,
      "",
      INDEX(MD_SKU[IV/IM],MATCH(KH_26_OPT4_KTQT_v4[[#This Row],[Tên sản phẩm]],MD_SKU[Tên SKU-rút gọn],0))
   ),
"")</f>
        <v/>
      </c>
      <c r="R183" s="44" t="str">
        <f>IFERROR(INDEX(MD_SKU[Application],MATCH(KH_26_OPT4_KTQT_v4[[#This Row],[Tên sản phẩm]],MD_SKU[Tên SKU-rút gọn],0)),"")</f>
        <v>THỔI CHAI</v>
      </c>
      <c r="S183" s="7" t="str">
        <f>IFERROR(INDEX(MD_SKU[Phân loại],MATCH(KH_26_OPT4_KTQT_v4[[#This Row],[Tên sản phẩm]],MD_SKU[Tên SKU-rút gọn],0)),"")</f>
        <v>Cũ</v>
      </c>
      <c r="T183" s="7" t="s">
        <v>541</v>
      </c>
      <c r="U183" s="157" t="s">
        <v>1508</v>
      </c>
      <c r="V183" s="70">
        <v>0.8</v>
      </c>
      <c r="W183" s="177">
        <v>25</v>
      </c>
      <c r="X183" s="177">
        <v>25</v>
      </c>
      <c r="Y183" s="177">
        <v>25</v>
      </c>
      <c r="Z183" s="177">
        <v>25</v>
      </c>
      <c r="AA183" s="177">
        <v>25</v>
      </c>
      <c r="AB183" s="177">
        <v>25</v>
      </c>
      <c r="AC183" s="177">
        <v>25</v>
      </c>
      <c r="AD183" s="177">
        <v>25</v>
      </c>
      <c r="AE183" s="177">
        <v>25</v>
      </c>
      <c r="AF183" s="177">
        <v>25</v>
      </c>
      <c r="AG183" s="177">
        <v>25</v>
      </c>
      <c r="AH183" s="177">
        <v>25</v>
      </c>
      <c r="AI183" s="47">
        <f ca="1">SUM(KH_26_OPT4_KTQT_v4[[#This Row],[SL-01]:[SL-12]])</f>
        <v>300</v>
      </c>
      <c r="AJ183" s="47">
        <f ca="1">SUMIFS(DB_25[SL-DB25],DB_25[Mã khách],KH_26_OPT4_KTQT_v4[[#This Row],[Mã khách]],DB_25[Mã sản phẩm],KH_26_OPT4_KTQT_v4[[#This Row],[Mã sản phẩm]])</f>
        <v>0</v>
      </c>
      <c r="AK183" s="20">
        <f ca="1">KH_26_OPT4_KTQT_v4[[#This Row],[SL-KH26]]-KH_26_OPT4_KTQT_v4[[#This Row],[SL-DB25]]</f>
        <v>300</v>
      </c>
      <c r="AL183" s="21">
        <f ca="1">IFERROR(KH_26_OPT4_KTQT_v4[[#This Row],[SL-+/-]]/KH_26_OPT4_KTQT_v4[[#This Row],[SL-DB25]],0)</f>
        <v>0</v>
      </c>
      <c r="AM183" s="51">
        <v>1210</v>
      </c>
      <c r="AN183" s="51">
        <v>1191</v>
      </c>
      <c r="AO183" s="51">
        <v>1172</v>
      </c>
      <c r="AP183" s="51">
        <v>1153</v>
      </c>
      <c r="AQ183" s="51">
        <v>1134</v>
      </c>
      <c r="AR183" s="51">
        <v>1115</v>
      </c>
      <c r="AS183" s="51">
        <v>1096</v>
      </c>
      <c r="AT183" s="51">
        <v>1077</v>
      </c>
      <c r="AU183" s="51">
        <v>1058</v>
      </c>
      <c r="AV183" s="51">
        <v>1039</v>
      </c>
      <c r="AW183" s="51">
        <v>1020</v>
      </c>
      <c r="AX183" s="51">
        <v>1001</v>
      </c>
      <c r="AY183" s="23"/>
      <c r="AZ183" s="7"/>
      <c r="BA183" s="24">
        <f>KH_26_OPT4_KTQT_v4[[#This Row],[GB-DB25]]-KH_26_OPT4_KTQT_v4[[#This Row],[GB-KH25]]</f>
        <v>0</v>
      </c>
      <c r="BB183" s="21">
        <f>IFERROR(KH_26_OPT4_KTQT_v4[[#This Row],[GB-+/-]]/KH_26_OPT4_KTQT_v4[[#This Row],[GB-KH25]],0)</f>
        <v>0</v>
      </c>
      <c r="BC183" s="21"/>
      <c r="BD183" s="47">
        <f>KH_26_OPT4_KTQT_v4[[#This Row],[SL-01]]*KH_26_OPT4_KTQT_v4[[#This Row],[GB-01]]*EXR</f>
        <v>801625000</v>
      </c>
      <c r="BE183" s="47">
        <f>KH_26_OPT4_KTQT_v4[[#This Row],[SL-02]]*KH_26_OPT4_KTQT_v4[[#This Row],[GB-02]]*EXR</f>
        <v>789037500</v>
      </c>
      <c r="BF183" s="47">
        <f>KH_26_OPT4_KTQT_v4[[#This Row],[SL-03]]*KH_26_OPT4_KTQT_v4[[#This Row],[GB-03]]*EXR</f>
        <v>776450000</v>
      </c>
      <c r="BG183" s="47">
        <f>KH_26_OPT4_KTQT_v4[[#This Row],[SL-04]]*KH_26_OPT4_KTQT_v4[[#This Row],[GB-04]]*EXR</f>
        <v>763862500</v>
      </c>
      <c r="BH183" s="47">
        <f>KH_26_OPT4_KTQT_v4[[#This Row],[SL-05]]*KH_26_OPT4_KTQT_v4[[#This Row],[GB-05]]*EXR</f>
        <v>751275000</v>
      </c>
      <c r="BI183" s="47">
        <f>KH_26_OPT4_KTQT_v4[[#This Row],[SL-06]]*KH_26_OPT4_KTQT_v4[[#This Row],[GB-06]]*EXR</f>
        <v>738687500</v>
      </c>
      <c r="BJ183" s="47">
        <f>KH_26_OPT4_KTQT_v4[[#This Row],[SL-07]]*KH_26_OPT4_KTQT_v4[[#This Row],[GB-07]]*EXR</f>
        <v>726100000</v>
      </c>
      <c r="BK183" s="47">
        <f>KH_26_OPT4_KTQT_v4[[#This Row],[SL-08]]*KH_26_OPT4_KTQT_v4[[#This Row],[GB-08]]*EXR</f>
        <v>713512500</v>
      </c>
      <c r="BL183" s="47">
        <f>KH_26_OPT4_KTQT_v4[[#This Row],[SL-09]]*KH_26_OPT4_KTQT_v4[[#This Row],[GB-09]]*EXR</f>
        <v>700925000</v>
      </c>
      <c r="BM183" s="47">
        <f>KH_26_OPT4_KTQT_v4[[#This Row],[SL-10]]*KH_26_OPT4_KTQT_v4[[#This Row],[GB-10]]*EXR</f>
        <v>688337500</v>
      </c>
      <c r="BN183" s="47">
        <f>KH_26_OPT4_KTQT_v4[[#This Row],[SL-11]]*KH_26_OPT4_KTQT_v4[[#This Row],[GB-11]]*EXR</f>
        <v>675750000</v>
      </c>
      <c r="BO183" s="47">
        <f>KH_26_OPT4_KTQT_v4[[#This Row],[SL-12]]*KH_26_OPT4_KTQT_v4[[#This Row],[GB-12]]*EXR</f>
        <v>663162500</v>
      </c>
      <c r="BP183" s="47">
        <f ca="1">SUM(KH_26_OPT4_KTQT_v4[[#This Row],[DT-EXW-01]:[DT-EXW-12]])</f>
        <v>8788725000</v>
      </c>
      <c r="BQ183" s="47">
        <f ca="1">SUMIFS(DB_25[DT-DB25],DB_25[Mã khách],KH_26_OPT4_KTQT_v4[[#This Row],[Mã khách]],DB_25[Mã sản phẩm],KH_26_OPT4_KTQT_v4[[#This Row],[Mã sản phẩm]])</f>
        <v>0</v>
      </c>
      <c r="BR183" s="19">
        <f ca="1">KH_26_OPT4_KTQT_v4[[#This Row],[DT-EXW-KH26]]-KH_26_OPT4_KTQT_v4[[#This Row],[DT-EXW-DB25]]</f>
        <v>8788725000</v>
      </c>
      <c r="BS183" s="21">
        <f ca="1">IFERROR(KH_26_OPT4_KTQT_v4[[#This Row],[DT-EXW-+/-]]/KH_26_OPT4_KTQT_v4[[#This Row],[DT-EXW-DB25]],0)</f>
        <v>0</v>
      </c>
      <c r="BT183" s="139"/>
      <c r="BU183" s="57"/>
      <c r="BV183" s="57"/>
      <c r="BW183" s="47">
        <f>IF(KH_26_OPT4_KTQT_v4[[#This Row],[CPHH-%-SL]]="Dthu",KH_26_OPT4_KTQT_v4[[#This Row],[%HH]]*KH_26_OPT4_KTQT_v4[[#This Row],[DT-EXW-01]],KH_26_OPT4_KTQT_v4[[#This Row],[HH-SL]]*KH_26_OPT4_KTQT_v4[[#This Row],[SL-01]])</f>
        <v>0</v>
      </c>
      <c r="BX183" s="47">
        <f>IF(KH_26_OPT4_KTQT_v4[[#This Row],[CPHH-%-SL]]="Dthu",KH_26_OPT4_KTQT_v4[[#This Row],[%HH]]*KH_26_OPT4_KTQT_v4[[#This Row],[DT-EXW-02]],KH_26_OPT4_KTQT_v4[[#This Row],[HH-SL]]*KH_26_OPT4_KTQT_v4[[#This Row],[SL-02]])</f>
        <v>0</v>
      </c>
      <c r="BY183" s="47">
        <f>IF(KH_26_OPT4_KTQT_v4[[#This Row],[CPHH-%-SL]]="Dthu",KH_26_OPT4_KTQT_v4[[#This Row],[%HH]]*KH_26_OPT4_KTQT_v4[[#This Row],[DT-EXW-03]],KH_26_OPT4_KTQT_v4[[#This Row],[HH-SL]]*KH_26_OPT4_KTQT_v4[[#This Row],[SL-03]])</f>
        <v>0</v>
      </c>
      <c r="BZ183" s="47">
        <f>IF(KH_26_OPT4_KTQT_v4[[#This Row],[CPHH-%-SL]]="Dthu",KH_26_OPT4_KTQT_v4[[#This Row],[%HH]]*KH_26_OPT4_KTQT_v4[[#This Row],[DT-EXW-04]],KH_26_OPT4_KTQT_v4[[#This Row],[HH-SL]]*KH_26_OPT4_KTQT_v4[[#This Row],[SL-04]])</f>
        <v>0</v>
      </c>
      <c r="CA183" s="47">
        <f>IF(KH_26_OPT4_KTQT_v4[[#This Row],[CPHH-%-SL]]="Dthu",KH_26_OPT4_KTQT_v4[[#This Row],[%HH]]*KH_26_OPT4_KTQT_v4[[#This Row],[DT-EXW-05]],KH_26_OPT4_KTQT_v4[[#This Row],[HH-SL]]*KH_26_OPT4_KTQT_v4[[#This Row],[SL-05]])</f>
        <v>0</v>
      </c>
      <c r="CB183" s="47">
        <f>IF(KH_26_OPT4_KTQT_v4[[#This Row],[CPHH-%-SL]]="Dthu",KH_26_OPT4_KTQT_v4[[#This Row],[%HH]]*KH_26_OPT4_KTQT_v4[[#This Row],[DT-EXW-06]],KH_26_OPT4_KTQT_v4[[#This Row],[HH-SL]]*KH_26_OPT4_KTQT_v4[[#This Row],[SL-06]])</f>
        <v>0</v>
      </c>
      <c r="CC183" s="47">
        <f>IF(KH_26_OPT4_KTQT_v4[[#This Row],[CPHH-%-SL]]="Dthu",KH_26_OPT4_KTQT_v4[[#This Row],[%HH]]*KH_26_OPT4_KTQT_v4[[#This Row],[DT-EXW-07]],KH_26_OPT4_KTQT_v4[[#This Row],[HH-SL]]*KH_26_OPT4_KTQT_v4[[#This Row],[SL-07]])</f>
        <v>0</v>
      </c>
      <c r="CD183" s="47">
        <f>IF(KH_26_OPT4_KTQT_v4[[#This Row],[CPHH-%-SL]]="Dthu",KH_26_OPT4_KTQT_v4[[#This Row],[%HH]]*KH_26_OPT4_KTQT_v4[[#This Row],[DT-EXW-08]],KH_26_OPT4_KTQT_v4[[#This Row],[HH-SL]]*KH_26_OPT4_KTQT_v4[[#This Row],[SL-08]])</f>
        <v>0</v>
      </c>
      <c r="CE183" s="47">
        <f>IF(KH_26_OPT4_KTQT_v4[[#This Row],[CPHH-%-SL]]="Dthu",KH_26_OPT4_KTQT_v4[[#This Row],[%HH]]*KH_26_OPT4_KTQT_v4[[#This Row],[DT-EXW-09]],KH_26_OPT4_KTQT_v4[[#This Row],[HH-SL]]*KH_26_OPT4_KTQT_v4[[#This Row],[SL-09]])</f>
        <v>0</v>
      </c>
      <c r="CF183" s="47">
        <f>IF(KH_26_OPT4_KTQT_v4[[#This Row],[CPHH-%-SL]]="Dthu",KH_26_OPT4_KTQT_v4[[#This Row],[%HH]]*KH_26_OPT4_KTQT_v4[[#This Row],[DT-EXW-10]],KH_26_OPT4_KTQT_v4[[#This Row],[HH-SL]]*KH_26_OPT4_KTQT_v4[[#This Row],[SL-10]])</f>
        <v>0</v>
      </c>
      <c r="CG183" s="47">
        <f>IF(KH_26_OPT4_KTQT_v4[[#This Row],[CPHH-%-SL]]="Dthu",KH_26_OPT4_KTQT_v4[[#This Row],[%HH]]*KH_26_OPT4_KTQT_v4[[#This Row],[DT-EXW-11]],KH_26_OPT4_KTQT_v4[[#This Row],[HH-SL]]*KH_26_OPT4_KTQT_v4[[#This Row],[SL-11]])</f>
        <v>0</v>
      </c>
      <c r="CH183" s="47">
        <f>IF(KH_26_OPT4_KTQT_v4[[#This Row],[CPHH-%-SL]]="Dthu",KH_26_OPT4_KTQT_v4[[#This Row],[%HH]]*KH_26_OPT4_KTQT_v4[[#This Row],[DT-EXW-12]],KH_26_OPT4_KTQT_v4[[#This Row],[HH-SL]]*KH_26_OPT4_KTQT_v4[[#This Row],[SL-12]])</f>
        <v>0</v>
      </c>
      <c r="CI183" s="47">
        <f ca="1">SUM(KH_26_OPT4_KTQT_v4[[#This Row],[CPHH-01]:[CPHH-12]])</f>
        <v>0</v>
      </c>
      <c r="CJ183" s="47" cm="1">
        <f t="array" ref="CJ183">IFERROR(IF(KH_26_OPT4_KTQT_v4[[#This Row],[Kênh bán hàng]]="Nội địa",_xlfn.XLOOKUP(KH_26_OPT4_KTQT_v4[[#This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K183" s="19">
        <f ca="1">SUM(KH_26_OPT4_KTQT_v4[[#This Row],[ĐGVCNĐ-KXK]:[ĐGVCCT-KXK]])</f>
        <v>0</v>
      </c>
      <c r="CL183" s="47" cm="1">
        <f t="array" ref="CL183">IFERROR(IF(KH_26_OPT4_KTQT_v4[[#This Row],[Kênh bán hàng]]="xuất khẩu",_xlfn.XLOOKUP(KH_26_OPT4_KTQT_v4[[#This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Row],[Incoterm]],ĐGVC!$A$6:$A$201&amp;ĐGVC!$B$6:$B$201&amp;ĐGVC!$C$6:$C$201&amp;ĐGVC!$D$6:$D$201&amp;ĐGVC!$E$6:$E$201,ĐGVC!$O$6:$O$201),0),0)</f>
        <v>0</v>
      </c>
      <c r="CM183" s="47" cm="1">
        <f t="array" ref="CM183">IFERROR(_xlfn.XLOOKUP(KH_26_OPT4_KTQT_v4[[#This Row],[Tên khách]]&amp;KH_26_OPT4_KTQT_v4[[#This Row],[Kênh bán hàng]]&amp;KH_26_OPT4_KTQT_v4[[#This Row],[Địa điểm đến]]&amp;KH_26_OPT4_KTQT_v4[[#This Row],[Nước đến]]&amp;KH_26_OPT4_KTQT_v4[[#This Row],[Incoterm]],ĐGVC!$A$6:$A$201&amp;ĐGVC!$B$6:$B$201&amp;ĐGVC!$C$6:$C$201&amp;ĐGVC!$D$6:$D$201&amp;ĐGVC!$E$6:$E$201,ĐGVC!$Y$6:$Y$201),0)</f>
        <v>0</v>
      </c>
      <c r="CN183" s="47">
        <f ca="1">(KH_26_OPT4_KTQT_v4[[#This Row],[ĐGVC-KNĐ]]+KH_26_OPT4_KTQT_v4[[#This Row],[ĐGVC-KXK]])*KH_26_OPT4_KTQT_v4[[#This Row],[SL-01]]</f>
        <v>0</v>
      </c>
      <c r="CO183" s="47">
        <f ca="1">(KH_26_OPT4_KTQT_v4[[#This Row],[ĐGVC-KNĐ]]+KH_26_OPT4_KTQT_v4[[#This Row],[ĐGVC-KXK]])*KH_26_OPT4_KTQT_v4[[#This Row],[SL-02]]</f>
        <v>0</v>
      </c>
      <c r="CP183" s="47">
        <f ca="1">(KH_26_OPT4_KTQT_v4[[#This Row],[ĐGVC-KNĐ]]+KH_26_OPT4_KTQT_v4[[#This Row],[ĐGVC-KXK]])*KH_26_OPT4_KTQT_v4[[#This Row],[SL-03]]</f>
        <v>0</v>
      </c>
      <c r="CQ183" s="47">
        <f ca="1">(KH_26_OPT4_KTQT_v4[[#This Row],[ĐGVC-KNĐ]]+KH_26_OPT4_KTQT_v4[[#This Row],[ĐGVC-KXK]])*KH_26_OPT4_KTQT_v4[[#This Row],[SL-04]]</f>
        <v>0</v>
      </c>
      <c r="CR183" s="47">
        <f ca="1">(KH_26_OPT4_KTQT_v4[[#This Row],[ĐGVC-KNĐ]]+KH_26_OPT4_KTQT_v4[[#This Row],[ĐGVC-KXK]])*KH_26_OPT4_KTQT_v4[[#This Row],[SL-05]]</f>
        <v>0</v>
      </c>
      <c r="CS183" s="47">
        <f ca="1">(KH_26_OPT4_KTQT_v4[[#This Row],[ĐGVC-KNĐ]]+KH_26_OPT4_KTQT_v4[[#This Row],[ĐGVC-KXK]])*KH_26_OPT4_KTQT_v4[[#This Row],[SL-06]]</f>
        <v>0</v>
      </c>
      <c r="CT183" s="47">
        <f ca="1">(KH_26_OPT4_KTQT_v4[[#This Row],[ĐGVC-KNĐ]]+KH_26_OPT4_KTQT_v4[[#This Row],[ĐGVC-KXK]])*KH_26_OPT4_KTQT_v4[[#This Row],[SL-07]]</f>
        <v>0</v>
      </c>
      <c r="CU183" s="47">
        <f ca="1">(KH_26_OPT4_KTQT_v4[[#This Row],[ĐGVC-KNĐ]]+KH_26_OPT4_KTQT_v4[[#This Row],[ĐGVC-KXK]])*KH_26_OPT4_KTQT_v4[[#This Row],[SL-08]]</f>
        <v>0</v>
      </c>
      <c r="CV183" s="47">
        <f ca="1">(KH_26_OPT4_KTQT_v4[[#This Row],[ĐGVC-KNĐ]]+KH_26_OPT4_KTQT_v4[[#This Row],[ĐGVC-KXK]])*KH_26_OPT4_KTQT_v4[[#This Row],[SL-09]]</f>
        <v>0</v>
      </c>
      <c r="CW183" s="47">
        <f ca="1">(KH_26_OPT4_KTQT_v4[[#This Row],[ĐGVC-KNĐ]]+KH_26_OPT4_KTQT_v4[[#This Row],[ĐGVC-KXK]])*KH_26_OPT4_KTQT_v4[[#This Row],[SL-10]]</f>
        <v>0</v>
      </c>
      <c r="CX183" s="47">
        <f ca="1">(KH_26_OPT4_KTQT_v4[[#This Row],[ĐGVC-KNĐ]]+KH_26_OPT4_KTQT_v4[[#This Row],[ĐGVC-KXK]])*KH_26_OPT4_KTQT_v4[[#This Row],[SL-11]]</f>
        <v>0</v>
      </c>
      <c r="CY183" s="47">
        <f ca="1">(KH_26_OPT4_KTQT_v4[[#This Row],[ĐGVC-KNĐ]]+KH_26_OPT4_KTQT_v4[[#This Row],[ĐGVC-KXK]])*KH_26_OPT4_KTQT_v4[[#This Row],[SL-12]]</f>
        <v>0</v>
      </c>
      <c r="CZ183" s="47">
        <f ca="1">SUM(KH_26_OPT4_KTQT_v4[[#This Row],[CPVC-01]:[CPVC-12]])</f>
        <v>0</v>
      </c>
      <c r="DA183" s="124">
        <f ca="1">KH_26_OPT4_KTQT_v4[[#This Row],[DT-EXW-01]]+KH_26_OPT4_KTQT_v4[[#This Row],[CPVC-01]]+KH_26_OPT4_KTQT_v4[[#This Row],[CPHH-01]]</f>
        <v>801625000</v>
      </c>
      <c r="DB183" s="47">
        <f ca="1">KH_26_OPT4_KTQT_v4[[#This Row],[DT-EXW-02]]+KH_26_OPT4_KTQT_v4[[#This Row],[CPVC-02]]+KH_26_OPT4_KTQT_v4[[#This Row],[CPHH-02]]</f>
        <v>789037500</v>
      </c>
      <c r="DC183" s="47">
        <f ca="1">KH_26_OPT4_KTQT_v4[[#This Row],[DT-EXW-03]]+KH_26_OPT4_KTQT_v4[[#This Row],[CPVC-03]]+KH_26_OPT4_KTQT_v4[[#This Row],[CPHH-03]]</f>
        <v>776450000</v>
      </c>
      <c r="DD183" s="47">
        <f ca="1">KH_26_OPT4_KTQT_v4[[#This Row],[DT-EXW-04]]+KH_26_OPT4_KTQT_v4[[#This Row],[CPVC-04]]+KH_26_OPT4_KTQT_v4[[#This Row],[CPHH-04]]</f>
        <v>763862500</v>
      </c>
      <c r="DE183" s="47">
        <f ca="1">KH_26_OPT4_KTQT_v4[[#This Row],[DT-EXW-05]]+KH_26_OPT4_KTQT_v4[[#This Row],[CPVC-05]]+KH_26_OPT4_KTQT_v4[[#This Row],[CPHH-05]]</f>
        <v>751275000</v>
      </c>
      <c r="DF183" s="47">
        <f ca="1">KH_26_OPT4_KTQT_v4[[#This Row],[DT-EXW-06]]+KH_26_OPT4_KTQT_v4[[#This Row],[CPVC-06]]+KH_26_OPT4_KTQT_v4[[#This Row],[CPHH-06]]</f>
        <v>738687500</v>
      </c>
      <c r="DG183" s="47">
        <f ca="1">KH_26_OPT4_KTQT_v4[[#This Row],[DT-EXW-07]]+KH_26_OPT4_KTQT_v4[[#This Row],[CPVC-07]]+KH_26_OPT4_KTQT_v4[[#This Row],[CPHH-07]]</f>
        <v>726100000</v>
      </c>
      <c r="DH183" s="47">
        <f ca="1">KH_26_OPT4_KTQT_v4[[#This Row],[DT-EXW-08]]+KH_26_OPT4_KTQT_v4[[#This Row],[CPVC-08]]+KH_26_OPT4_KTQT_v4[[#This Row],[CPHH-08]]</f>
        <v>713512500</v>
      </c>
      <c r="DI183" s="47">
        <f ca="1">KH_26_OPT4_KTQT_v4[[#This Row],[DT-EXW-09]]+KH_26_OPT4_KTQT_v4[[#This Row],[CPVC-09]]+KH_26_OPT4_KTQT_v4[[#This Row],[CPHH-09]]</f>
        <v>700925000</v>
      </c>
      <c r="DJ183" s="47">
        <f ca="1">KH_26_OPT4_KTQT_v4[[#This Row],[DT-EXW-10]]+KH_26_OPT4_KTQT_v4[[#This Row],[CPVC-10]]+KH_26_OPT4_KTQT_v4[[#This Row],[CPHH-10]]</f>
        <v>688337500</v>
      </c>
      <c r="DK183" s="47">
        <f ca="1">KH_26_OPT4_KTQT_v4[[#This Row],[DT-EXW-11]]+KH_26_OPT4_KTQT_v4[[#This Row],[CPVC-11]]+KH_26_OPT4_KTQT_v4[[#This Row],[CPHH-11]]</f>
        <v>675750000</v>
      </c>
      <c r="DL183" s="47">
        <f ca="1">KH_26_OPT4_KTQT_v4[[#This Row],[DT-EXW-12]]+KH_26_OPT4_KTQT_v4[[#This Row],[CPVC-12]]+KH_26_OPT4_KTQT_v4[[#This Row],[CPHH-12]]</f>
        <v>663162500</v>
      </c>
      <c r="DM183" s="47">
        <f ca="1">SUM(KH_26_OPT4_KTQT_v4[[#This Row],[DT-01]:[DT-12]])</f>
        <v>8788725000</v>
      </c>
      <c r="DN183" s="7"/>
      <c r="DO183" s="7"/>
      <c r="DP183" s="125"/>
      <c r="DQ183" s="136"/>
      <c r="DR183" s="132">
        <f>IFERROR(KH_26_OPT4_KTQT_v4[[#This Row],[DT-EXW-01]]*KH_26_OPT4_KTQT_v4[[#This Row],[%CPDP]],0)</f>
        <v>0</v>
      </c>
      <c r="DS183" s="132">
        <f>IFERROR(KH_26_OPT4_KTQT_v4[[#This Row],[DT-EXW-02]]*KH_26_OPT4_KTQT_v4[[#This Row],[%CPDP]],0)</f>
        <v>0</v>
      </c>
      <c r="DT183" s="132">
        <f>IFERROR(KH_26_OPT4_KTQT_v4[[#This Row],[DT-EXW-03]]*KH_26_OPT4_KTQT_v4[[#This Row],[%CPDP]],0)</f>
        <v>0</v>
      </c>
      <c r="DU183" s="132">
        <f>IFERROR(KH_26_OPT4_KTQT_v4[[#This Row],[DT-EXW-04]]*KH_26_OPT4_KTQT_v4[[#This Row],[%CPDP]],0)</f>
        <v>0</v>
      </c>
      <c r="DV183" s="132">
        <f>IFERROR(KH_26_OPT4_KTQT_v4[[#This Row],[DT-EXW-05]]*KH_26_OPT4_KTQT_v4[[#This Row],[%CPDP]],0)</f>
        <v>0</v>
      </c>
      <c r="DW183" s="132">
        <f>IFERROR(KH_26_OPT4_KTQT_v4[[#This Row],[DT-EXW-06]]*KH_26_OPT4_KTQT_v4[[#This Row],[%CPDP]],0)</f>
        <v>0</v>
      </c>
      <c r="DX183" s="132">
        <f>IFERROR(KH_26_OPT4_KTQT_v4[[#This Row],[DT-EXW-07]]*KH_26_OPT4_KTQT_v4[[#This Row],[%CPDP]],0)</f>
        <v>0</v>
      </c>
      <c r="DY183" s="132">
        <f>IFERROR(KH_26_OPT4_KTQT_v4[[#This Row],[DT-EXW-08]]*KH_26_OPT4_KTQT_v4[[#This Row],[%CPDP]],0)</f>
        <v>0</v>
      </c>
      <c r="DZ183" s="132">
        <f>IFERROR(KH_26_OPT4_KTQT_v4[[#This Row],[DT-EXW-09]]*KH_26_OPT4_KTQT_v4[[#This Row],[%CPDP]],0)</f>
        <v>0</v>
      </c>
      <c r="EA183" s="132">
        <f>IFERROR(KH_26_OPT4_KTQT_v4[[#This Row],[DT-EXW-10]]*KH_26_OPT4_KTQT_v4[[#This Row],[%CPDP]],0)</f>
        <v>0</v>
      </c>
      <c r="EB183" s="132">
        <f>IFERROR(KH_26_OPT4_KTQT_v4[[#This Row],[DT-EXW-11]]*KH_26_OPT4_KTQT_v4[[#This Row],[%CPDP]],0)</f>
        <v>0</v>
      </c>
      <c r="EC183" s="132">
        <f>IFERROR(KH_26_OPT4_KTQT_v4[[#This Row],[DT-EXW-12]]*KH_26_OPT4_KTQT_v4[[#This Row],[%CPDP]],0)</f>
        <v>0</v>
      </c>
      <c r="ED183" s="132">
        <f ca="1">SUM(KH_26_OPT4_KTQT_v4[[#This Row],[CPDP-01]:[CPDP-12]])</f>
        <v>0</v>
      </c>
    </row>
    <row r="184" spans="1:134" hidden="1" thickBot="1" x14ac:dyDescent="0.4">
      <c r="A184" s="25" t="s">
        <v>510</v>
      </c>
      <c r="B184" s="25"/>
      <c r="C184" s="73"/>
      <c r="D184" s="73"/>
      <c r="E184" s="73" t="str">
        <f>IFERROR(INDEX(MD_Customer[Parent Account],MATCH(KH_26_OPT4_KTQT_v4[[#This Row],[Tên khách]],MD_Customer[Tên khách-rút gọn],0)),"")</f>
        <v/>
      </c>
      <c r="F184" s="25"/>
      <c r="G184" s="26"/>
      <c r="H184" s="26"/>
      <c r="I184" s="26"/>
      <c r="J184" s="26"/>
      <c r="K184" s="26"/>
      <c r="L184" s="26"/>
      <c r="M184" s="26"/>
      <c r="N184" s="26"/>
      <c r="O184" s="26"/>
      <c r="P184" s="26"/>
      <c r="Q184" s="26"/>
      <c r="R184" s="26"/>
      <c r="S184" s="26"/>
      <c r="T184" s="26"/>
      <c r="U184" s="26"/>
      <c r="V184" s="26"/>
      <c r="W184" s="26"/>
      <c r="X184" s="26"/>
      <c r="Y184" s="26"/>
      <c r="Z184" s="26"/>
      <c r="AA184" s="26"/>
      <c r="AB184" s="26"/>
      <c r="AC184" s="26"/>
      <c r="AD184" s="26"/>
      <c r="AE184" s="26"/>
      <c r="AF184" s="26"/>
      <c r="AG184" s="26"/>
      <c r="AH184" s="26"/>
      <c r="AI184" s="26"/>
      <c r="AJ184" s="26"/>
      <c r="AK184" s="26"/>
      <c r="AL184" s="26"/>
      <c r="AM184" s="26"/>
      <c r="AN184" s="26"/>
      <c r="AO184" s="26"/>
      <c r="AP184" s="26"/>
      <c r="AQ184" s="26"/>
      <c r="AR184" s="26"/>
      <c r="AS184" s="26"/>
      <c r="AT184" s="26"/>
      <c r="AU184" s="26"/>
      <c r="AV184" s="26"/>
      <c r="AW184" s="26"/>
      <c r="AX184" s="26"/>
      <c r="AY184" s="26"/>
      <c r="AZ184" s="26"/>
      <c r="BA184" s="26"/>
      <c r="BB184" s="26"/>
      <c r="BC184" s="26"/>
      <c r="BD184" s="26"/>
      <c r="BE184" s="26"/>
      <c r="BF184" s="26"/>
      <c r="BG184" s="26"/>
      <c r="BH184" s="26"/>
      <c r="BI184" s="26"/>
      <c r="BJ184" s="26"/>
      <c r="BK184" s="26"/>
      <c r="BL184" s="26"/>
      <c r="BM184" s="26"/>
      <c r="BN184" s="26"/>
      <c r="BO184" s="26"/>
      <c r="BP184" s="26"/>
      <c r="BQ184" s="26"/>
      <c r="BR184" s="26"/>
      <c r="BS184" s="26"/>
      <c r="BT184" s="26"/>
      <c r="BU184" s="26"/>
      <c r="BV184" s="26"/>
      <c r="BW184" s="26"/>
      <c r="BX184" s="26"/>
      <c r="BY184" s="26"/>
      <c r="BZ184" s="26"/>
      <c r="CA184" s="26"/>
      <c r="CB184" s="26"/>
      <c r="CC184" s="26"/>
      <c r="CD184" s="26"/>
      <c r="CE184" s="26"/>
      <c r="CF184" s="26"/>
      <c r="CG184" s="26"/>
      <c r="CH184" s="26"/>
      <c r="CI184" s="26"/>
      <c r="CJ184" s="29"/>
      <c r="CK184" s="29"/>
      <c r="CL184" s="29"/>
      <c r="CM184" s="29"/>
      <c r="CN184" s="48"/>
      <c r="CO184" s="48"/>
      <c r="CP184" s="48"/>
      <c r="CQ184" s="48"/>
      <c r="CR184" s="48"/>
      <c r="CS184" s="48"/>
      <c r="CT184" s="48"/>
      <c r="CU184" s="48"/>
      <c r="CV184" s="48"/>
      <c r="CW184" s="48"/>
      <c r="CX184" s="48"/>
      <c r="CY184" s="48"/>
      <c r="CZ184" s="48"/>
      <c r="DA184" s="126"/>
      <c r="DB184" s="127"/>
      <c r="DC184" s="127"/>
      <c r="DD184" s="127"/>
      <c r="DE184" s="127"/>
      <c r="DF184" s="127"/>
      <c r="DG184" s="127"/>
      <c r="DH184" s="127"/>
      <c r="DI184" s="127"/>
      <c r="DJ184" s="127"/>
      <c r="DK184" s="127"/>
      <c r="DL184" s="127"/>
      <c r="DM184" s="127"/>
      <c r="DN184" s="128"/>
      <c r="DO184" s="128"/>
      <c r="DP184" s="129"/>
      <c r="DQ184" s="137"/>
      <c r="DR184" s="133"/>
      <c r="DS184" s="133"/>
      <c r="DT184" s="133"/>
      <c r="DU184" s="133"/>
      <c r="DV184" s="133"/>
      <c r="DW184" s="133"/>
      <c r="DX184" s="133"/>
      <c r="DY184" s="133"/>
      <c r="DZ184" s="133"/>
      <c r="EA184" s="133"/>
      <c r="EB184" s="133"/>
      <c r="EC184" s="133"/>
      <c r="ED184" s="133"/>
    </row>
    <row r="185" spans="1:134" ht="14.5" x14ac:dyDescent="0.35"/>
    <row r="186" spans="1:134" ht="14.5" x14ac:dyDescent="0.35">
      <c r="AI186" s="1"/>
      <c r="AM186" s="46"/>
      <c r="AX186" s="46"/>
    </row>
    <row r="187" spans="1:134" ht="14.5" x14ac:dyDescent="0.35">
      <c r="AM187" s="46"/>
      <c r="AX187" s="46"/>
    </row>
    <row r="188" spans="1:134" ht="14.5" x14ac:dyDescent="0.35">
      <c r="W188" s="99"/>
      <c r="X188" s="99"/>
      <c r="Y188" s="99"/>
      <c r="Z188" s="99"/>
      <c r="AA188" s="99"/>
      <c r="AB188" s="99"/>
      <c r="AC188" s="99"/>
      <c r="AD188" s="99"/>
      <c r="AE188" s="99"/>
      <c r="AF188" s="99"/>
      <c r="AG188" s="99"/>
      <c r="AH188" s="99"/>
      <c r="AM188" s="46"/>
      <c r="AX188" s="46"/>
    </row>
    <row r="189" spans="1:134" ht="14.5" x14ac:dyDescent="0.35">
      <c r="W189" s="99"/>
      <c r="X189" s="99"/>
      <c r="Y189" s="99"/>
      <c r="Z189" s="99"/>
      <c r="AA189" s="80"/>
      <c r="AB189" s="99"/>
      <c r="AC189" s="99"/>
      <c r="AD189" s="99"/>
      <c r="AE189" s="99"/>
      <c r="AF189" s="99"/>
      <c r="AG189" s="99"/>
      <c r="AH189" s="99"/>
      <c r="AM189" s="152"/>
      <c r="AN189" s="117"/>
      <c r="AO189" s="117"/>
      <c r="AP189" s="118"/>
      <c r="AQ189" s="117"/>
      <c r="AR189" s="117"/>
      <c r="AS189" s="117"/>
      <c r="AT189" s="117"/>
      <c r="AU189" s="117"/>
      <c r="AV189" s="117"/>
      <c r="AW189" s="117"/>
      <c r="AX189" s="152"/>
    </row>
    <row r="190" spans="1:134" ht="14.5" x14ac:dyDescent="0.35">
      <c r="AI190" s="80"/>
      <c r="AM190" s="99"/>
      <c r="AN190" s="99"/>
      <c r="AO190" s="99"/>
      <c r="AP190" s="99"/>
      <c r="AQ190" s="99"/>
      <c r="AR190" s="99"/>
      <c r="AS190" s="99"/>
      <c r="AT190" s="99"/>
      <c r="AU190" s="99"/>
      <c r="AV190" s="99"/>
      <c r="AW190" s="99"/>
      <c r="AX190" s="99"/>
    </row>
    <row r="191" spans="1:134" ht="15" customHeight="1" x14ac:dyDescent="0.35">
      <c r="W191" s="46"/>
      <c r="X191" s="46"/>
      <c r="Y191" s="46"/>
      <c r="Z191" s="46"/>
      <c r="AA191" s="46"/>
      <c r="AB191" s="46"/>
      <c r="AC191" s="46"/>
      <c r="AD191" s="46"/>
      <c r="AE191" s="46"/>
      <c r="AF191" s="46"/>
      <c r="AG191" s="46"/>
      <c r="AH191" s="46"/>
      <c r="AI191" s="99"/>
      <c r="AM191" s="100"/>
      <c r="AN191" s="80"/>
    </row>
    <row r="192" spans="1:134" ht="15" customHeight="1" x14ac:dyDescent="0.35">
      <c r="AM192" s="100"/>
      <c r="AN192" s="100"/>
      <c r="AO192" s="100"/>
      <c r="AP192" s="100"/>
      <c r="AQ192" s="100"/>
      <c r="AR192" s="100"/>
      <c r="AS192" s="100"/>
      <c r="AT192" s="100"/>
      <c r="AU192" s="100"/>
      <c r="AV192" s="100"/>
      <c r="AW192" s="100"/>
      <c r="AX192" s="100"/>
    </row>
    <row r="193" spans="10:50" ht="15" customHeight="1" x14ac:dyDescent="0.35">
      <c r="AM193" s="46"/>
      <c r="AN193" s="99"/>
      <c r="AO193" s="99"/>
      <c r="AP193" s="99"/>
      <c r="AQ193" s="99"/>
      <c r="AR193" s="99"/>
      <c r="AS193" s="99"/>
      <c r="AT193" s="99"/>
      <c r="AU193" s="99"/>
      <c r="AV193" s="99"/>
      <c r="AW193" s="99"/>
      <c r="AX193" s="152"/>
    </row>
    <row r="194" spans="10:50" ht="15" customHeight="1" x14ac:dyDescent="0.35">
      <c r="AM194" s="46"/>
      <c r="AN194" s="46"/>
      <c r="AO194" s="46"/>
      <c r="AP194" s="46"/>
      <c r="AQ194" s="46"/>
      <c r="AR194" s="46"/>
      <c r="AS194" s="46"/>
      <c r="AT194" s="46"/>
      <c r="AU194" s="46"/>
      <c r="AV194" s="46"/>
      <c r="AW194" s="46"/>
      <c r="AX194" s="46"/>
    </row>
    <row r="195" spans="10:50" ht="15" customHeight="1" x14ac:dyDescent="0.35">
      <c r="AM195" s="99"/>
      <c r="AN195" s="99"/>
      <c r="AO195" s="99"/>
      <c r="AP195" s="99"/>
      <c r="AQ195" s="99"/>
      <c r="AR195" s="99"/>
      <c r="AS195" s="99"/>
      <c r="AT195" s="99"/>
      <c r="AU195" s="99"/>
      <c r="AV195" s="99"/>
      <c r="AW195" s="99"/>
      <c r="AX195" s="99"/>
    </row>
    <row r="196" spans="10:50" ht="15" customHeight="1" x14ac:dyDescent="0.35">
      <c r="W196" s="46"/>
      <c r="X196" s="46"/>
      <c r="Y196" s="46"/>
      <c r="Z196" s="46"/>
      <c r="AA196" s="46"/>
      <c r="AB196" s="46"/>
      <c r="AC196" s="46"/>
      <c r="AD196" s="46"/>
      <c r="AE196" s="46"/>
      <c r="AF196" s="46"/>
      <c r="AG196" s="46"/>
      <c r="AH196" s="46"/>
      <c r="AI196" s="99"/>
    </row>
    <row r="201" spans="10:50" ht="15" customHeight="1" x14ac:dyDescent="0.35">
      <c r="K201" s="46"/>
      <c r="L201" s="41"/>
    </row>
    <row r="202" spans="10:50" ht="15" customHeight="1" x14ac:dyDescent="0.35">
      <c r="K202" s="41"/>
    </row>
    <row r="204" spans="10:50" ht="15" customHeight="1" x14ac:dyDescent="0.35">
      <c r="J204" t="s">
        <v>537</v>
      </c>
    </row>
  </sheetData>
  <mergeCells count="50">
    <mergeCell ref="DQ3:EC3"/>
    <mergeCell ref="ED3:ED4"/>
    <mergeCell ref="CZ3:CZ4"/>
    <mergeCell ref="DA3:DL3"/>
    <mergeCell ref="DM3:DM4"/>
    <mergeCell ref="DN3:DN4"/>
    <mergeCell ref="DO3:DO4"/>
    <mergeCell ref="DP3:DP4"/>
    <mergeCell ref="CN3:CY3"/>
    <mergeCell ref="BD3:BO3"/>
    <mergeCell ref="BP3:BP4"/>
    <mergeCell ref="BQ3:BQ4"/>
    <mergeCell ref="BR3:BR4"/>
    <mergeCell ref="BS3:BS4"/>
    <mergeCell ref="BT3:CH3"/>
    <mergeCell ref="CI3:CI4"/>
    <mergeCell ref="CJ3:CJ4"/>
    <mergeCell ref="CK3:CK4"/>
    <mergeCell ref="CL3:CL4"/>
    <mergeCell ref="CM3:CM4"/>
    <mergeCell ref="BB3:BB4"/>
    <mergeCell ref="S3:S4"/>
    <mergeCell ref="V3:V4"/>
    <mergeCell ref="W3:AH3"/>
    <mergeCell ref="AI3:AI4"/>
    <mergeCell ref="AJ3:AJ4"/>
    <mergeCell ref="AK3:AK4"/>
    <mergeCell ref="AL3:AL4"/>
    <mergeCell ref="AM3:AX3"/>
    <mergeCell ref="AY3:AY4"/>
    <mergeCell ref="AZ3:AZ4"/>
    <mergeCell ref="BA3:BA4"/>
    <mergeCell ref="R3:R4"/>
    <mergeCell ref="G3:G4"/>
    <mergeCell ref="H3:H4"/>
    <mergeCell ref="I3:I4"/>
    <mergeCell ref="J3:J4"/>
    <mergeCell ref="K3:K4"/>
    <mergeCell ref="L3:L4"/>
    <mergeCell ref="M3:M4"/>
    <mergeCell ref="N3:N4"/>
    <mergeCell ref="O3:O4"/>
    <mergeCell ref="P3:P4"/>
    <mergeCell ref="Q3:Q4"/>
    <mergeCell ref="F3:F4"/>
    <mergeCell ref="A3:A4"/>
    <mergeCell ref="B3:B4"/>
    <mergeCell ref="C3:C4"/>
    <mergeCell ref="D3:D4"/>
    <mergeCell ref="E3:E4"/>
  </mergeCells>
  <dataValidations count="7">
    <dataValidation type="list" allowBlank="1" showInputMessage="1" showErrorMessage="1" sqref="F171:F183 F6:F169" xr:uid="{AC3E6C3B-29FE-43AF-86EC-BE71E9652B6A}">
      <formula1>INDIRECT("MD_Customer[tên khách-rút gọn]")</formula1>
    </dataValidation>
    <dataValidation type="list" allowBlank="1" showInputMessage="1" showErrorMessage="1" sqref="N6:N183" xr:uid="{5FAA29B0-179A-4878-9504-E08C015F7ADB}">
      <formula1>INDIRECT("MD_SKU[Tên SKU-rút gọn]")</formula1>
    </dataValidation>
    <dataValidation type="list" allowBlank="1" showInputMessage="1" showErrorMessage="1" sqref="L6:L183" xr:uid="{D04254BF-82CD-4093-A63E-F1851B715AAB}">
      <formula1>INDIRECT("MD_Incoterm[Incoterm]")</formula1>
    </dataValidation>
    <dataValidation type="list" allowBlank="1" showInputMessage="1" showErrorMessage="1" sqref="V6:V183" xr:uid="{E6016AB4-09F2-4408-BB46-1E226397DABF}">
      <formula1>INDIRECT("MD_Possible[Mức độ khả thi]")</formula1>
    </dataValidation>
    <dataValidation type="list" allowBlank="1" showInputMessage="1" showErrorMessage="1" sqref="B6:B183" xr:uid="{AFCF2699-9FFF-4F2C-A936-43433D285E6C}">
      <formula1>INDIRECT("MD_Salesman[salesman]")</formula1>
    </dataValidation>
    <dataValidation type="list" allowBlank="1" showInputMessage="1" showErrorMessage="1" sqref="I6:I183" xr:uid="{FB787A48-3165-4604-9250-0EFB3CB74587}">
      <formula1>INDIRECT("MD_Destination[Địa điểm đến]")</formula1>
    </dataValidation>
    <dataValidation type="list" allowBlank="1" showInputMessage="1" showErrorMessage="1" sqref="BT6:BT184" xr:uid="{4466A7AE-DA56-4124-B1B8-C1BE553E95CB}">
      <formula1>"Dthu, SL"</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DEB0F-7E03-440C-A7D5-F13B39FF7FF2}">
  <dimension ref="B2:K54"/>
  <sheetViews>
    <sheetView showGridLines="0" zoomScaleNormal="100" workbookViewId="0">
      <pane ySplit="4" topLeftCell="A25" activePane="bottomLeft" state="frozen"/>
      <selection pane="bottomLeft" activeCell="I48" sqref="I48"/>
    </sheetView>
  </sheetViews>
  <sheetFormatPr defaultRowHeight="14.5" outlineLevelRow="1" x14ac:dyDescent="0.35"/>
  <cols>
    <col min="1" max="1" width="4.58203125" customWidth="1"/>
    <col min="2" max="2" width="35.83203125" bestFit="1" customWidth="1"/>
    <col min="3" max="3" width="11.5" customWidth="1"/>
    <col min="4" max="4" width="11.5" hidden="1" customWidth="1"/>
    <col min="5" max="5" width="12.75" customWidth="1"/>
    <col min="6" max="6" width="10.08203125" customWidth="1"/>
    <col min="7" max="7" width="10.83203125" customWidth="1"/>
    <col min="8" max="8" width="8.75" customWidth="1"/>
    <col min="9" max="9" width="24.33203125" bestFit="1" customWidth="1"/>
    <col min="10" max="10" width="9.83203125" bestFit="1" customWidth="1"/>
  </cols>
  <sheetData>
    <row r="2" spans="2:11" s="1" customFormat="1" x14ac:dyDescent="0.35">
      <c r="B2" s="1" t="s">
        <v>553</v>
      </c>
      <c r="J2" s="103">
        <f>J3-H3</f>
        <v>-651.90000000000146</v>
      </c>
    </row>
    <row r="3" spans="2:11" s="174" customFormat="1" ht="17" x14ac:dyDescent="0.4">
      <c r="B3" s="174" t="s">
        <v>1691</v>
      </c>
      <c r="E3" s="175" t="s">
        <v>554</v>
      </c>
      <c r="H3" s="176">
        <f>H6+H14+H24+H34</f>
        <v>46346.956201430934</v>
      </c>
      <c r="J3" s="176">
        <f>J6+J14+J24+J34</f>
        <v>45695.056201430933</v>
      </c>
    </row>
    <row r="4" spans="2:11" s="101" customFormat="1" ht="39.75" customHeight="1" x14ac:dyDescent="0.35">
      <c r="B4" s="172" t="s">
        <v>88</v>
      </c>
      <c r="C4" s="173" t="s">
        <v>555</v>
      </c>
      <c r="D4" s="173" t="s">
        <v>556</v>
      </c>
      <c r="E4" s="173" t="s">
        <v>553</v>
      </c>
      <c r="F4" s="173" t="s">
        <v>557</v>
      </c>
      <c r="G4" s="173" t="s">
        <v>558</v>
      </c>
      <c r="H4" s="173" t="s">
        <v>87</v>
      </c>
      <c r="I4" s="173" t="s">
        <v>225</v>
      </c>
      <c r="J4" s="173" t="s">
        <v>1690</v>
      </c>
    </row>
    <row r="5" spans="2:11" s="1" customFormat="1" x14ac:dyDescent="0.35">
      <c r="B5" s="159" t="s">
        <v>559</v>
      </c>
      <c r="C5" s="159"/>
      <c r="D5" s="159"/>
      <c r="E5" s="159">
        <v>800</v>
      </c>
      <c r="F5" s="159"/>
      <c r="G5" s="159"/>
      <c r="H5" s="159"/>
      <c r="I5" s="159"/>
      <c r="J5" s="159"/>
    </row>
    <row r="6" spans="2:11" s="1" customFormat="1" x14ac:dyDescent="0.35">
      <c r="B6" s="168" t="s">
        <v>1</v>
      </c>
      <c r="C6" s="168" t="s">
        <v>92</v>
      </c>
      <c r="D6" s="168"/>
      <c r="E6" s="168">
        <v>1260</v>
      </c>
      <c r="F6" s="168">
        <v>800</v>
      </c>
      <c r="G6" s="169">
        <f>'Giá bán 2026'!$E6/'Giá bán 2026'!$F6-1</f>
        <v>0.57499999999999996</v>
      </c>
      <c r="H6" s="170">
        <v>9857</v>
      </c>
      <c r="I6" s="168"/>
      <c r="J6" s="170">
        <v>10000</v>
      </c>
      <c r="K6" s="103">
        <f>J6-E6</f>
        <v>8740</v>
      </c>
    </row>
    <row r="7" spans="2:11" s="158" customFormat="1" outlineLevel="1" x14ac:dyDescent="0.35">
      <c r="B7" s="160" t="s">
        <v>540</v>
      </c>
      <c r="C7" s="161"/>
      <c r="D7" s="161"/>
      <c r="E7" s="161"/>
      <c r="F7" s="161"/>
      <c r="G7" s="162"/>
      <c r="H7" s="163">
        <v>2068</v>
      </c>
      <c r="I7" s="161"/>
      <c r="J7" s="163"/>
    </row>
    <row r="8" spans="2:11" s="158" customFormat="1" outlineLevel="1" x14ac:dyDescent="0.35">
      <c r="B8" s="160" t="s">
        <v>99</v>
      </c>
      <c r="C8" s="161"/>
      <c r="D8" s="161"/>
      <c r="E8" s="161"/>
      <c r="F8" s="161"/>
      <c r="G8" s="162"/>
      <c r="H8" s="163">
        <v>792</v>
      </c>
      <c r="I8" s="161"/>
      <c r="J8" s="163"/>
    </row>
    <row r="9" spans="2:11" s="158" customFormat="1" outlineLevel="1" x14ac:dyDescent="0.35">
      <c r="B9" s="160" t="s">
        <v>129</v>
      </c>
      <c r="C9" s="161"/>
      <c r="D9" s="161"/>
      <c r="E9" s="161"/>
      <c r="F9" s="161"/>
      <c r="G9" s="162"/>
      <c r="H9" s="163">
        <v>264</v>
      </c>
      <c r="I9" s="161"/>
      <c r="J9" s="163"/>
    </row>
    <row r="10" spans="2:11" s="158" customFormat="1" outlineLevel="1" x14ac:dyDescent="0.35">
      <c r="B10" s="160" t="s">
        <v>126</v>
      </c>
      <c r="C10" s="161"/>
      <c r="D10" s="161"/>
      <c r="E10" s="161"/>
      <c r="F10" s="161"/>
      <c r="G10" s="162"/>
      <c r="H10" s="163">
        <v>264</v>
      </c>
      <c r="I10" s="161"/>
      <c r="J10" s="163"/>
    </row>
    <row r="11" spans="2:11" s="158" customFormat="1" outlineLevel="1" x14ac:dyDescent="0.35">
      <c r="B11" s="160" t="s">
        <v>542</v>
      </c>
      <c r="C11" s="161"/>
      <c r="D11" s="161"/>
      <c r="E11" s="161"/>
      <c r="F11" s="161"/>
      <c r="G11" s="162"/>
      <c r="H11" s="163">
        <v>330</v>
      </c>
      <c r="I11" s="161"/>
      <c r="J11" s="163"/>
    </row>
    <row r="12" spans="2:11" s="158" customFormat="1" outlineLevel="1" x14ac:dyDescent="0.35">
      <c r="B12" s="160" t="s">
        <v>541</v>
      </c>
      <c r="C12" s="161"/>
      <c r="D12" s="161"/>
      <c r="E12" s="161"/>
      <c r="F12" s="161"/>
      <c r="G12" s="162"/>
      <c r="H12" s="163">
        <v>2855</v>
      </c>
      <c r="I12" s="161"/>
      <c r="J12" s="163"/>
    </row>
    <row r="13" spans="2:11" x14ac:dyDescent="0.35">
      <c r="B13" s="7"/>
      <c r="C13" s="7"/>
      <c r="D13" s="7"/>
      <c r="E13" s="7"/>
      <c r="F13" s="7"/>
      <c r="G13" s="164"/>
      <c r="H13" s="164"/>
      <c r="I13" s="7"/>
      <c r="J13" s="110"/>
    </row>
    <row r="14" spans="2:11" s="1" customFormat="1" x14ac:dyDescent="0.35">
      <c r="B14" s="168" t="s">
        <v>1</v>
      </c>
      <c r="C14" s="168" t="s">
        <v>91</v>
      </c>
      <c r="D14" s="168"/>
      <c r="E14" s="168">
        <v>1200</v>
      </c>
      <c r="F14" s="168">
        <v>800</v>
      </c>
      <c r="G14" s="169">
        <f>'Giá bán 2026'!$E14/'Giá bán 2026'!$F14-1</f>
        <v>0.5</v>
      </c>
      <c r="H14" s="170">
        <v>10794.9</v>
      </c>
      <c r="I14" s="168" t="s">
        <v>560</v>
      </c>
      <c r="J14" s="170">
        <v>10000</v>
      </c>
      <c r="K14" s="103">
        <f>J14-E14</f>
        <v>8800</v>
      </c>
    </row>
    <row r="15" spans="2:11" s="158" customFormat="1" outlineLevel="1" x14ac:dyDescent="0.35">
      <c r="B15" s="160" t="s">
        <v>9</v>
      </c>
      <c r="C15" s="161"/>
      <c r="D15" s="161"/>
      <c r="E15" s="161"/>
      <c r="F15" s="161"/>
      <c r="G15" s="162"/>
      <c r="H15" s="163">
        <v>3960</v>
      </c>
      <c r="I15" s="161"/>
      <c r="J15" s="163"/>
    </row>
    <row r="16" spans="2:11" s="158" customFormat="1" outlineLevel="1" x14ac:dyDescent="0.35">
      <c r="B16" s="160" t="s">
        <v>121</v>
      </c>
      <c r="C16" s="161"/>
      <c r="D16" s="161"/>
      <c r="E16" s="161"/>
      <c r="F16" s="161"/>
      <c r="G16" s="162"/>
      <c r="H16" s="163">
        <v>528</v>
      </c>
      <c r="I16" s="161"/>
      <c r="J16" s="163"/>
    </row>
    <row r="17" spans="2:10" s="158" customFormat="1" outlineLevel="1" x14ac:dyDescent="0.35">
      <c r="B17" s="160" t="s">
        <v>46</v>
      </c>
      <c r="C17" s="161"/>
      <c r="D17" s="161"/>
      <c r="E17" s="161"/>
      <c r="F17" s="161"/>
      <c r="G17" s="162"/>
      <c r="H17" s="163">
        <v>528</v>
      </c>
      <c r="I17" s="161"/>
      <c r="J17" s="163"/>
    </row>
    <row r="18" spans="2:10" s="158" customFormat="1" outlineLevel="1" x14ac:dyDescent="0.35">
      <c r="B18" s="160" t="s">
        <v>123</v>
      </c>
      <c r="C18" s="161"/>
      <c r="D18" s="161"/>
      <c r="E18" s="161"/>
      <c r="F18" s="161"/>
      <c r="G18" s="162"/>
      <c r="H18" s="163">
        <v>440</v>
      </c>
      <c r="I18" s="161"/>
      <c r="J18" s="163"/>
    </row>
    <row r="19" spans="2:10" s="158" customFormat="1" outlineLevel="1" x14ac:dyDescent="0.35">
      <c r="B19" s="160" t="s">
        <v>124</v>
      </c>
      <c r="C19" s="161"/>
      <c r="D19" s="161"/>
      <c r="E19" s="161"/>
      <c r="F19" s="161"/>
      <c r="G19" s="162"/>
      <c r="H19" s="163">
        <v>420</v>
      </c>
      <c r="I19" s="161"/>
      <c r="J19" s="163"/>
    </row>
    <row r="20" spans="2:10" s="158" customFormat="1" outlineLevel="1" x14ac:dyDescent="0.35">
      <c r="B20" s="160" t="s">
        <v>133</v>
      </c>
      <c r="C20" s="161"/>
      <c r="D20" s="161"/>
      <c r="E20" s="161"/>
      <c r="F20" s="161"/>
      <c r="G20" s="162"/>
      <c r="H20" s="163">
        <v>176</v>
      </c>
      <c r="I20" s="161"/>
      <c r="J20" s="163"/>
    </row>
    <row r="21" spans="2:10" s="158" customFormat="1" outlineLevel="1" x14ac:dyDescent="0.35">
      <c r="B21" s="160" t="s">
        <v>132</v>
      </c>
      <c r="C21" s="161"/>
      <c r="D21" s="161"/>
      <c r="E21" s="161"/>
      <c r="F21" s="161"/>
      <c r="G21" s="162"/>
      <c r="H21" s="163">
        <v>176</v>
      </c>
      <c r="I21" s="161"/>
      <c r="J21" s="163"/>
    </row>
    <row r="22" spans="2:10" s="158" customFormat="1" outlineLevel="1" x14ac:dyDescent="0.35">
      <c r="B22" s="160" t="s">
        <v>542</v>
      </c>
      <c r="C22" s="161"/>
      <c r="D22" s="161"/>
      <c r="E22" s="161"/>
      <c r="F22" s="161"/>
      <c r="G22" s="162"/>
      <c r="H22" s="163">
        <v>847</v>
      </c>
      <c r="I22" s="161"/>
      <c r="J22" s="163"/>
    </row>
    <row r="23" spans="2:10" x14ac:dyDescent="0.35">
      <c r="B23" s="7"/>
      <c r="C23" s="7"/>
      <c r="D23" s="7"/>
      <c r="E23" s="7"/>
      <c r="F23" s="7"/>
      <c r="G23" s="164"/>
      <c r="H23" s="110"/>
      <c r="I23" s="7"/>
      <c r="J23" s="110"/>
    </row>
    <row r="24" spans="2:10" s="1" customFormat="1" x14ac:dyDescent="0.35">
      <c r="B24" s="168" t="s">
        <v>1</v>
      </c>
      <c r="C24" s="168" t="s">
        <v>561</v>
      </c>
      <c r="D24" s="168"/>
      <c r="E24" s="168">
        <f>'Giá bán 2026'!$F24*1.3</f>
        <v>1040</v>
      </c>
      <c r="F24" s="168">
        <v>800</v>
      </c>
      <c r="G24" s="169">
        <f>'Giá bán 2026'!$E24/'Giá bán 2026'!$F24-1</f>
        <v>0.30000000000000004</v>
      </c>
      <c r="H24" s="170">
        <v>12136.9</v>
      </c>
      <c r="I24" s="168"/>
      <c r="J24" s="171">
        <f>'Giá bán 2026'!$H24</f>
        <v>12136.9</v>
      </c>
    </row>
    <row r="25" spans="2:10" s="158" customFormat="1" outlineLevel="1" x14ac:dyDescent="0.35">
      <c r="B25" s="160" t="s">
        <v>6</v>
      </c>
      <c r="C25" s="161"/>
      <c r="D25" s="161"/>
      <c r="E25" s="161"/>
      <c r="F25" s="161"/>
      <c r="G25" s="162"/>
      <c r="H25" s="163">
        <v>6000</v>
      </c>
      <c r="I25" s="161"/>
      <c r="J25" s="163"/>
    </row>
    <row r="26" spans="2:10" s="158" customFormat="1" outlineLevel="1" x14ac:dyDescent="0.35">
      <c r="B26" s="160" t="s">
        <v>5</v>
      </c>
      <c r="C26" s="161"/>
      <c r="D26" s="161"/>
      <c r="E26" s="161"/>
      <c r="F26" s="161"/>
      <c r="G26" s="162"/>
      <c r="H26" s="163">
        <v>3036</v>
      </c>
      <c r="I26" s="161"/>
      <c r="J26" s="163"/>
    </row>
    <row r="27" spans="2:10" s="158" customFormat="1" outlineLevel="1" x14ac:dyDescent="0.35">
      <c r="B27" s="160" t="s">
        <v>122</v>
      </c>
      <c r="C27" s="161"/>
      <c r="D27" s="161"/>
      <c r="E27" s="161"/>
      <c r="F27" s="161"/>
      <c r="G27" s="162"/>
      <c r="H27" s="163">
        <v>482.9</v>
      </c>
      <c r="I27" s="161"/>
      <c r="J27" s="163"/>
    </row>
    <row r="28" spans="2:10" s="158" customFormat="1" outlineLevel="1" x14ac:dyDescent="0.35">
      <c r="B28" s="160" t="s">
        <v>100</v>
      </c>
      <c r="C28" s="161"/>
      <c r="D28" s="161"/>
      <c r="E28" s="161"/>
      <c r="F28" s="161"/>
      <c r="G28" s="162"/>
      <c r="H28" s="163">
        <v>264</v>
      </c>
      <c r="I28" s="161"/>
      <c r="J28" s="163"/>
    </row>
    <row r="29" spans="2:10" s="158" customFormat="1" outlineLevel="1" x14ac:dyDescent="0.35">
      <c r="B29" s="160" t="s">
        <v>130</v>
      </c>
      <c r="C29" s="161"/>
      <c r="D29" s="161"/>
      <c r="E29" s="161"/>
      <c r="F29" s="161"/>
      <c r="G29" s="162"/>
      <c r="H29" s="163">
        <v>264</v>
      </c>
      <c r="I29" s="161"/>
      <c r="J29" s="163"/>
    </row>
    <row r="30" spans="2:10" s="158" customFormat="1" outlineLevel="1" x14ac:dyDescent="0.35">
      <c r="B30" s="160" t="s">
        <v>102</v>
      </c>
      <c r="C30" s="161"/>
      <c r="D30" s="161"/>
      <c r="E30" s="161"/>
      <c r="F30" s="161"/>
      <c r="G30" s="162"/>
      <c r="H30" s="163">
        <v>132</v>
      </c>
      <c r="I30" s="161"/>
      <c r="J30" s="163"/>
    </row>
    <row r="31" spans="2:10" s="158" customFormat="1" outlineLevel="1" x14ac:dyDescent="0.35">
      <c r="B31" s="160" t="s">
        <v>47</v>
      </c>
      <c r="C31" s="161"/>
      <c r="D31" s="161"/>
      <c r="E31" s="161"/>
      <c r="F31" s="161"/>
      <c r="G31" s="162"/>
      <c r="H31" s="163">
        <v>132</v>
      </c>
      <c r="I31" s="161"/>
      <c r="J31" s="163"/>
    </row>
    <row r="32" spans="2:10" s="158" customFormat="1" x14ac:dyDescent="0.35">
      <c r="B32" s="160"/>
      <c r="C32" s="161"/>
      <c r="D32" s="161"/>
      <c r="E32" s="161"/>
      <c r="F32" s="161"/>
      <c r="G32" s="162"/>
      <c r="H32" s="163"/>
      <c r="I32" s="161"/>
      <c r="J32" s="163"/>
    </row>
    <row r="33" spans="2:10" hidden="1" x14ac:dyDescent="0.35">
      <c r="B33" s="7" t="s">
        <v>1</v>
      </c>
      <c r="C33" s="7" t="s">
        <v>90</v>
      </c>
      <c r="D33" s="7"/>
      <c r="E33" s="7">
        <f>'Giá bán 2026'!$F33*1.3</f>
        <v>1040</v>
      </c>
      <c r="F33" s="7">
        <v>800</v>
      </c>
      <c r="G33" s="164">
        <f>'Giá bán 2026'!$E33/'Giá bán 2026'!$F33-1</f>
        <v>0.30000000000000004</v>
      </c>
      <c r="H33" s="110"/>
      <c r="I33" s="7"/>
      <c r="J33" s="165">
        <f>'Giá bán 2026'!$H33</f>
        <v>0</v>
      </c>
    </row>
    <row r="34" spans="2:10" s="1" customFormat="1" x14ac:dyDescent="0.35">
      <c r="B34" s="168" t="s">
        <v>1</v>
      </c>
      <c r="C34" s="168" t="s">
        <v>89</v>
      </c>
      <c r="D34" s="168"/>
      <c r="E34" s="168">
        <f>E24-70</f>
        <v>970</v>
      </c>
      <c r="F34" s="168">
        <v>780</v>
      </c>
      <c r="G34" s="169">
        <f>'Giá bán 2026'!$E34/'Giá bán 2026'!$F34-1</f>
        <v>0.24358974358974361</v>
      </c>
      <c r="H34" s="170">
        <v>13558.156201430933</v>
      </c>
      <c r="I34" s="168"/>
      <c r="J34" s="171">
        <f>'Giá bán 2026'!$H34</f>
        <v>13558.156201430933</v>
      </c>
    </row>
    <row r="35" spans="2:10" s="158" customFormat="1" outlineLevel="1" x14ac:dyDescent="0.35">
      <c r="B35" s="160" t="s">
        <v>15</v>
      </c>
      <c r="C35" s="161"/>
      <c r="D35" s="161"/>
      <c r="E35" s="161"/>
      <c r="F35" s="161"/>
      <c r="G35" s="162"/>
      <c r="H35" s="163">
        <v>880</v>
      </c>
      <c r="I35" s="161"/>
      <c r="J35" s="163"/>
    </row>
    <row r="36" spans="2:10" s="158" customFormat="1" outlineLevel="1" x14ac:dyDescent="0.35">
      <c r="B36" s="160" t="s">
        <v>125</v>
      </c>
      <c r="C36" s="161"/>
      <c r="D36" s="161"/>
      <c r="E36" s="161"/>
      <c r="F36" s="161"/>
      <c r="G36" s="162"/>
      <c r="H36" s="163">
        <v>220</v>
      </c>
      <c r="I36" s="161"/>
      <c r="J36" s="163"/>
    </row>
    <row r="37" spans="2:10" s="158" customFormat="1" outlineLevel="1" x14ac:dyDescent="0.35">
      <c r="B37" s="160" t="s">
        <v>131</v>
      </c>
      <c r="C37" s="161"/>
      <c r="D37" s="161"/>
      <c r="E37" s="161"/>
      <c r="F37" s="161"/>
      <c r="G37" s="162"/>
      <c r="H37" s="163">
        <v>220</v>
      </c>
      <c r="I37" s="161"/>
      <c r="J37" s="163"/>
    </row>
    <row r="38" spans="2:10" s="158" customFormat="1" outlineLevel="1" x14ac:dyDescent="0.35">
      <c r="B38" s="160" t="s">
        <v>128</v>
      </c>
      <c r="C38" s="161"/>
      <c r="D38" s="161"/>
      <c r="E38" s="161"/>
      <c r="F38" s="161"/>
      <c r="G38" s="162"/>
      <c r="H38" s="163">
        <v>132</v>
      </c>
      <c r="I38" s="161"/>
      <c r="J38" s="163"/>
    </row>
    <row r="39" spans="2:10" s="158" customFormat="1" outlineLevel="1" x14ac:dyDescent="0.35">
      <c r="B39" s="160" t="s">
        <v>542</v>
      </c>
      <c r="C39" s="161"/>
      <c r="D39" s="161"/>
      <c r="E39" s="161"/>
      <c r="F39" s="161"/>
      <c r="G39" s="162"/>
      <c r="H39" s="163">
        <v>27.5</v>
      </c>
      <c r="I39" s="161"/>
      <c r="J39" s="163"/>
    </row>
    <row r="40" spans="2:10" s="158" customFormat="1" outlineLevel="1" x14ac:dyDescent="0.35">
      <c r="B40" s="160" t="s">
        <v>541</v>
      </c>
      <c r="C40" s="161"/>
      <c r="D40" s="161"/>
      <c r="E40" s="161"/>
      <c r="F40" s="161"/>
      <c r="G40" s="162"/>
      <c r="H40" s="163">
        <v>5362.0999962378855</v>
      </c>
      <c r="I40" s="161"/>
      <c r="J40" s="163"/>
    </row>
    <row r="41" spans="2:10" s="158" customFormat="1" x14ac:dyDescent="0.35">
      <c r="B41" s="160"/>
      <c r="C41" s="161"/>
      <c r="D41" s="161"/>
      <c r="E41" s="161"/>
      <c r="F41" s="161"/>
      <c r="G41" s="162"/>
      <c r="H41" s="163"/>
      <c r="I41" s="161"/>
      <c r="J41" s="163"/>
    </row>
    <row r="42" spans="2:10" x14ac:dyDescent="0.35">
      <c r="B42" s="7" t="s">
        <v>10</v>
      </c>
      <c r="C42" s="7"/>
      <c r="D42" s="7"/>
      <c r="E42" s="7">
        <f>ROUNDUP('Giá bán 2026'!$F42*0.75,-1)</f>
        <v>550</v>
      </c>
      <c r="F42" s="7">
        <v>730</v>
      </c>
      <c r="G42" s="164">
        <f>'Giá bán 2026'!$E42/'Giá bán 2026'!$F42-1</f>
        <v>-0.24657534246575341</v>
      </c>
      <c r="H42" s="110">
        <v>1039.0438000000001</v>
      </c>
      <c r="I42" s="7"/>
      <c r="J42" s="165">
        <f>'Giá bán 2026'!$H42</f>
        <v>1039.0438000000001</v>
      </c>
    </row>
    <row r="43" spans="2:10" x14ac:dyDescent="0.35">
      <c r="B43" s="7" t="s">
        <v>14</v>
      </c>
      <c r="C43" s="7"/>
      <c r="D43" s="7"/>
      <c r="E43" s="7">
        <v>750</v>
      </c>
      <c r="F43" s="166" t="s">
        <v>562</v>
      </c>
      <c r="G43" s="166" t="s">
        <v>562</v>
      </c>
      <c r="H43" s="167">
        <v>0</v>
      </c>
      <c r="I43" s="7"/>
      <c r="J43" s="165">
        <f>'Giá bán 2026'!$H43</f>
        <v>0</v>
      </c>
    </row>
    <row r="44" spans="2:10" x14ac:dyDescent="0.35">
      <c r="B44" s="7" t="s">
        <v>563</v>
      </c>
      <c r="C44" s="7"/>
      <c r="D44" s="7"/>
      <c r="E44" s="7">
        <v>800</v>
      </c>
      <c r="F44" s="7"/>
      <c r="G44" s="164" t="e">
        <f>'Giá bán 2026'!$E44/'Giá bán 2026'!$F44-1</f>
        <v>#DIV/0!</v>
      </c>
      <c r="H44" s="110"/>
      <c r="I44" s="7"/>
      <c r="J44" s="7"/>
    </row>
    <row r="45" spans="2:10" x14ac:dyDescent="0.35">
      <c r="B45" s="7" t="s">
        <v>564</v>
      </c>
      <c r="C45" s="7"/>
      <c r="D45" s="7" t="s">
        <v>41</v>
      </c>
      <c r="E45" s="7">
        <f>E46+50</f>
        <v>1050</v>
      </c>
      <c r="F45" s="7">
        <v>800</v>
      </c>
      <c r="G45" s="164">
        <f>'Giá bán 2026'!$E45/'Giá bán 2026'!$F45-1</f>
        <v>0.3125</v>
      </c>
      <c r="H45" s="110"/>
      <c r="I45" s="7"/>
      <c r="J45" s="7"/>
    </row>
    <row r="46" spans="2:10" x14ac:dyDescent="0.35">
      <c r="B46" s="7" t="s">
        <v>565</v>
      </c>
      <c r="C46" s="7"/>
      <c r="D46" s="7" t="s">
        <v>41</v>
      </c>
      <c r="E46" s="7">
        <v>1000</v>
      </c>
      <c r="F46" s="7">
        <v>800</v>
      </c>
      <c r="G46" s="164">
        <f>'Giá bán 2026'!$E46/'Giá bán 2026'!$F46-1</f>
        <v>0.25</v>
      </c>
      <c r="H46" s="110"/>
      <c r="I46" s="7"/>
      <c r="J46" s="7"/>
    </row>
    <row r="47" spans="2:10" x14ac:dyDescent="0.35">
      <c r="B47" s="7" t="s">
        <v>3</v>
      </c>
      <c r="C47" s="7"/>
      <c r="D47" s="7" t="s">
        <v>49</v>
      </c>
      <c r="E47" s="7">
        <v>600</v>
      </c>
      <c r="F47" s="7">
        <v>800</v>
      </c>
      <c r="G47" s="164">
        <f>'Giá bán 2026'!$E47/'Giá bán 2026'!$F47-1</f>
        <v>-0.25</v>
      </c>
      <c r="H47" s="110"/>
      <c r="I47" s="7"/>
      <c r="J47" s="7"/>
    </row>
    <row r="48" spans="2:10" x14ac:dyDescent="0.35">
      <c r="B48" s="7" t="s">
        <v>2</v>
      </c>
      <c r="C48" s="7"/>
      <c r="D48" s="7"/>
      <c r="E48" s="7">
        <f>E44*0.8</f>
        <v>640</v>
      </c>
      <c r="F48" s="7">
        <v>800</v>
      </c>
      <c r="G48" s="164">
        <f>'Giá bán 2026'!$E48/'Giá bán 2026'!$F48-1</f>
        <v>-0.19999999999999996</v>
      </c>
      <c r="H48" s="110"/>
      <c r="I48" s="7"/>
      <c r="J48" s="7"/>
    </row>
    <row r="49" spans="2:10" x14ac:dyDescent="0.35">
      <c r="B49" s="7" t="s">
        <v>17</v>
      </c>
      <c r="C49" s="7"/>
      <c r="D49" s="7"/>
      <c r="E49" s="7">
        <v>500</v>
      </c>
      <c r="F49" s="7"/>
      <c r="G49" s="164"/>
      <c r="H49" s="110"/>
      <c r="I49" s="7"/>
      <c r="J49" s="7"/>
    </row>
    <row r="50" spans="2:10" x14ac:dyDescent="0.35">
      <c r="B50" s="7" t="s">
        <v>12</v>
      </c>
      <c r="C50" s="7"/>
      <c r="D50" s="7"/>
      <c r="E50" s="7">
        <f>E44*0.7</f>
        <v>560</v>
      </c>
      <c r="F50" s="166" t="s">
        <v>562</v>
      </c>
      <c r="G50" s="166" t="s">
        <v>562</v>
      </c>
      <c r="H50" s="167"/>
      <c r="I50" s="7"/>
      <c r="J50" s="7"/>
    </row>
    <row r="51" spans="2:10" x14ac:dyDescent="0.35">
      <c r="B51" s="7"/>
      <c r="C51" s="7"/>
      <c r="D51" s="7"/>
      <c r="E51" s="7"/>
      <c r="F51" s="7"/>
      <c r="G51" s="164" t="e">
        <f>'Giá bán 2026'!$E51/'Giá bán 2026'!$F51-1</f>
        <v>#DIV/0!</v>
      </c>
      <c r="H51" s="110"/>
      <c r="I51" s="7"/>
      <c r="J51" s="7"/>
    </row>
    <row r="52" spans="2:10" x14ac:dyDescent="0.35">
      <c r="B52" s="7" t="s">
        <v>566</v>
      </c>
      <c r="C52" s="7"/>
      <c r="D52" s="7"/>
      <c r="E52" s="7">
        <v>870</v>
      </c>
      <c r="F52" s="7">
        <v>870</v>
      </c>
      <c r="G52" s="164">
        <f>'Giá bán 2026'!$E52/'Giá bán 2026'!$F52-1</f>
        <v>0</v>
      </c>
      <c r="H52" s="110"/>
      <c r="I52" s="7"/>
      <c r="J52" s="7"/>
    </row>
    <row r="53" spans="2:10" x14ac:dyDescent="0.35">
      <c r="B53" s="7" t="s">
        <v>7</v>
      </c>
      <c r="C53" s="7"/>
      <c r="D53" s="7"/>
      <c r="E53" s="7">
        <f>ROUNDUP('Giá bán 2026'!$F53*0.8,-1)</f>
        <v>700</v>
      </c>
      <c r="F53" s="7">
        <v>870</v>
      </c>
      <c r="G53" s="164">
        <f>'Giá bán 2026'!$E53/'Giá bán 2026'!$F53-1</f>
        <v>-0.1954022988505747</v>
      </c>
      <c r="H53" s="110"/>
      <c r="I53" s="7"/>
      <c r="J53" s="7"/>
    </row>
    <row r="54" spans="2:10" x14ac:dyDescent="0.35">
      <c r="B54" s="7" t="s">
        <v>19</v>
      </c>
      <c r="C54" s="7"/>
      <c r="D54" s="7"/>
      <c r="E54" s="7">
        <v>600</v>
      </c>
      <c r="F54" s="166" t="s">
        <v>562</v>
      </c>
      <c r="G54" s="166" t="s">
        <v>562</v>
      </c>
      <c r="H54" s="167"/>
      <c r="I54" s="7"/>
      <c r="J54" s="7"/>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9341C-EFAD-4508-B365-6A1C797C3346}">
  <sheetPr>
    <tabColor theme="7" tint="0.79998168889431442"/>
  </sheetPr>
  <dimension ref="A1:BW186"/>
  <sheetViews>
    <sheetView showGridLines="0" zoomScale="85" zoomScaleNormal="85" workbookViewId="0">
      <pane xSplit="14" ySplit="5" topLeftCell="O46" activePane="bottomRight" state="frozen"/>
      <selection pane="topRight" activeCell="O1" sqref="O1"/>
      <selection pane="bottomLeft" activeCell="A6" sqref="A6"/>
      <selection pane="bottomRight" activeCell="L18" sqref="L18"/>
    </sheetView>
  </sheetViews>
  <sheetFormatPr defaultRowHeight="14.5" outlineLevelCol="1" x14ac:dyDescent="0.35"/>
  <cols>
    <col min="2" max="2" width="8.5" hidden="1" customWidth="1" outlineLevel="1"/>
    <col min="3" max="3" width="9" hidden="1" customWidth="1" outlineLevel="1"/>
    <col min="4" max="4" width="10.75" customWidth="1" collapsed="1"/>
    <col min="5" max="5" width="35.08203125" bestFit="1" customWidth="1"/>
    <col min="6" max="6" width="14.33203125" hidden="1" customWidth="1"/>
    <col min="7" max="7" width="13.5" hidden="1" customWidth="1" outlineLevel="1"/>
    <col min="8" max="9" width="12.75" hidden="1" customWidth="1" outlineLevel="1"/>
    <col min="10" max="10" width="9.75" hidden="1" customWidth="1" outlineLevel="1"/>
    <col min="11" max="11" width="13.75" customWidth="1" collapsed="1"/>
    <col min="12" max="12" width="20.25" customWidth="1"/>
    <col min="13" max="13" width="10.33203125" hidden="1" customWidth="1"/>
    <col min="14" max="14" width="10.75" hidden="1" customWidth="1"/>
    <col min="15" max="19" width="12.33203125" customWidth="1" outlineLevel="1"/>
    <col min="20" max="20" width="10.75" customWidth="1" outlineLevel="1"/>
    <col min="21" max="22" width="12.33203125" customWidth="1" outlineLevel="1"/>
    <col min="23" max="26" width="9" customWidth="1" outlineLevel="1"/>
    <col min="27" max="27" width="12.5" customWidth="1"/>
    <col min="28" max="28" width="9.33203125" customWidth="1"/>
    <col min="29" max="29" width="13.33203125" bestFit="1" customWidth="1"/>
    <col min="30" max="30" width="9.33203125" customWidth="1"/>
    <col min="43" max="44" width="9.75" customWidth="1"/>
    <col min="46" max="46" width="9.75" customWidth="1"/>
    <col min="47" max="55" width="17.08203125" bestFit="1" customWidth="1"/>
    <col min="59" max="59" width="19.5" bestFit="1" customWidth="1"/>
    <col min="60" max="60" width="9.75" customWidth="1"/>
    <col min="62" max="62" width="9.33203125" customWidth="1"/>
    <col min="63" max="63" width="14.5" bestFit="1" customWidth="1"/>
    <col min="64" max="64" width="13.5" bestFit="1" customWidth="1"/>
    <col min="65" max="66" width="13.08203125" bestFit="1" customWidth="1"/>
    <col min="67" max="67" width="12.75" bestFit="1" customWidth="1"/>
    <col min="68" max="70" width="13.08203125" bestFit="1" customWidth="1"/>
    <col min="71" max="71" width="12.5" bestFit="1" customWidth="1"/>
    <col min="72" max="72" width="15.5" bestFit="1" customWidth="1"/>
    <col min="73" max="73" width="15.08203125" bestFit="1" customWidth="1"/>
    <col min="74" max="74" width="15.5" bestFit="1" customWidth="1"/>
    <col min="75" max="75" width="18.5" bestFit="1" customWidth="1"/>
  </cols>
  <sheetData>
    <row r="1" spans="1:75" s="76" customFormat="1" x14ac:dyDescent="0.35">
      <c r="G1" s="77" t="s">
        <v>567</v>
      </c>
      <c r="L1" s="77" t="s">
        <v>567</v>
      </c>
      <c r="M1" s="77" t="s">
        <v>567</v>
      </c>
      <c r="W1" s="76">
        <v>9</v>
      </c>
      <c r="AU1" s="77">
        <v>1</v>
      </c>
      <c r="AV1" s="76">
        <v>2</v>
      </c>
      <c r="AW1" s="76">
        <v>3</v>
      </c>
      <c r="AX1" s="76">
        <v>4</v>
      </c>
      <c r="AY1" s="76">
        <v>5</v>
      </c>
      <c r="AZ1" s="76">
        <v>6</v>
      </c>
      <c r="BA1" s="76">
        <v>7</v>
      </c>
      <c r="BB1" s="76">
        <v>8</v>
      </c>
      <c r="BC1" s="77">
        <v>9</v>
      </c>
      <c r="BD1" s="77">
        <v>10</v>
      </c>
      <c r="BE1" s="76">
        <v>11</v>
      </c>
      <c r="BF1" s="76">
        <v>12</v>
      </c>
      <c r="BK1" s="76">
        <v>1</v>
      </c>
      <c r="BL1" s="76">
        <v>2</v>
      </c>
      <c r="BM1" s="76">
        <v>3</v>
      </c>
      <c r="BN1" s="76">
        <v>4</v>
      </c>
      <c r="BO1" s="76">
        <v>5</v>
      </c>
      <c r="BP1" s="76">
        <v>6</v>
      </c>
      <c r="BQ1" s="76">
        <v>7</v>
      </c>
      <c r="BR1" s="76">
        <v>8</v>
      </c>
      <c r="BS1" s="76">
        <v>9</v>
      </c>
      <c r="BT1" s="76">
        <v>10</v>
      </c>
      <c r="BU1" s="76">
        <v>11</v>
      </c>
      <c r="BV1" s="76">
        <v>12</v>
      </c>
    </row>
    <row r="2" spans="1:75" ht="13.5" customHeight="1" x14ac:dyDescent="0.35">
      <c r="G2" s="12"/>
      <c r="O2" s="79"/>
      <c r="AA2" s="46">
        <f ca="1">SUBTOTAL(9,DB_25[SL-DB25])</f>
        <v>45872.393700000037</v>
      </c>
      <c r="BD2" s="22">
        <v>26200</v>
      </c>
      <c r="BE2" s="22">
        <v>26200</v>
      </c>
      <c r="BF2" s="22">
        <v>26200</v>
      </c>
      <c r="BG2" s="81">
        <f ca="1">SUBTOTAL(9,DB_25[DT-DB25])</f>
        <v>1173790786737.9851</v>
      </c>
    </row>
    <row r="3" spans="1:75" s="10" customFormat="1" x14ac:dyDescent="0.35">
      <c r="A3" s="189" t="s">
        <v>223</v>
      </c>
      <c r="B3" s="189" t="s">
        <v>333</v>
      </c>
      <c r="C3" s="189" t="s">
        <v>334</v>
      </c>
      <c r="D3" s="189" t="s">
        <v>335</v>
      </c>
      <c r="E3" s="189" t="s">
        <v>431</v>
      </c>
      <c r="F3" s="189" t="s">
        <v>338</v>
      </c>
      <c r="G3" s="189" t="s">
        <v>245</v>
      </c>
      <c r="H3" s="189" t="s">
        <v>246</v>
      </c>
      <c r="I3" s="189" t="s">
        <v>247</v>
      </c>
      <c r="J3" s="189" t="s">
        <v>248</v>
      </c>
      <c r="K3" s="190" t="s">
        <v>339</v>
      </c>
      <c r="L3" s="190" t="s">
        <v>432</v>
      </c>
      <c r="M3" s="190" t="s">
        <v>0</v>
      </c>
      <c r="N3" s="190" t="s">
        <v>341</v>
      </c>
      <c r="O3" s="193" t="s">
        <v>568</v>
      </c>
      <c r="P3" s="193"/>
      <c r="Q3" s="193"/>
      <c r="R3" s="193"/>
      <c r="S3" s="193"/>
      <c r="T3" s="193"/>
      <c r="U3" s="193"/>
      <c r="V3" s="193"/>
      <c r="W3" s="193"/>
      <c r="X3" s="193"/>
      <c r="Y3" s="193"/>
      <c r="Z3" s="193"/>
      <c r="AA3" s="194" t="s">
        <v>345</v>
      </c>
      <c r="AB3" s="194" t="s">
        <v>569</v>
      </c>
      <c r="AC3" s="195" t="s">
        <v>346</v>
      </c>
      <c r="AD3" s="195" t="s">
        <v>347</v>
      </c>
      <c r="AE3" s="196" t="s">
        <v>570</v>
      </c>
      <c r="AF3" s="196"/>
      <c r="AG3" s="196"/>
      <c r="AH3" s="196"/>
      <c r="AI3" s="196"/>
      <c r="AJ3" s="196"/>
      <c r="AK3" s="196"/>
      <c r="AL3" s="196"/>
      <c r="AM3" s="196"/>
      <c r="AN3" s="196"/>
      <c r="AO3" s="196"/>
      <c r="AP3" s="196"/>
      <c r="AQ3" s="192" t="s">
        <v>345</v>
      </c>
      <c r="AR3" s="192" t="s">
        <v>569</v>
      </c>
      <c r="AS3" s="191" t="s">
        <v>346</v>
      </c>
      <c r="AT3" s="191" t="s">
        <v>347</v>
      </c>
      <c r="AU3" s="198" t="s">
        <v>348</v>
      </c>
      <c r="AV3" s="198"/>
      <c r="AW3" s="198"/>
      <c r="AX3" s="198"/>
      <c r="AY3" s="198"/>
      <c r="AZ3" s="198"/>
      <c r="BA3" s="198"/>
      <c r="BB3" s="198"/>
      <c r="BC3" s="198"/>
      <c r="BD3" s="198"/>
      <c r="BE3" s="198"/>
      <c r="BF3" s="198"/>
      <c r="BG3" s="199" t="s">
        <v>345</v>
      </c>
      <c r="BH3" s="199" t="s">
        <v>569</v>
      </c>
      <c r="BI3" s="200" t="s">
        <v>346</v>
      </c>
      <c r="BJ3" s="200" t="s">
        <v>347</v>
      </c>
      <c r="BK3" s="214" t="s">
        <v>571</v>
      </c>
      <c r="BL3" s="214"/>
      <c r="BM3" s="214"/>
      <c r="BN3" s="214"/>
      <c r="BO3" s="214"/>
      <c r="BP3" s="214"/>
      <c r="BQ3" s="214"/>
      <c r="BR3" s="214"/>
      <c r="BS3" s="214"/>
      <c r="BT3" s="214"/>
      <c r="BU3" s="214"/>
      <c r="BV3" s="214"/>
      <c r="BW3" s="215" t="s">
        <v>345</v>
      </c>
    </row>
    <row r="4" spans="1:75" s="15" customFormat="1" x14ac:dyDescent="0.35">
      <c r="A4" s="189"/>
      <c r="B4" s="189"/>
      <c r="C4" s="189"/>
      <c r="D4" s="189"/>
      <c r="E4" s="189"/>
      <c r="F4" s="189"/>
      <c r="G4" s="189"/>
      <c r="H4" s="189"/>
      <c r="I4" s="189"/>
      <c r="J4" s="189"/>
      <c r="K4" s="190"/>
      <c r="L4" s="190"/>
      <c r="M4" s="190"/>
      <c r="N4" s="190"/>
      <c r="O4" s="11" t="s">
        <v>357</v>
      </c>
      <c r="P4" s="11" t="s">
        <v>358</v>
      </c>
      <c r="Q4" s="11" t="s">
        <v>359</v>
      </c>
      <c r="R4" s="11" t="s">
        <v>360</v>
      </c>
      <c r="S4" s="11" t="s">
        <v>361</v>
      </c>
      <c r="T4" s="11" t="s">
        <v>362</v>
      </c>
      <c r="U4" s="11" t="s">
        <v>363</v>
      </c>
      <c r="V4" s="11" t="s">
        <v>364</v>
      </c>
      <c r="W4" s="11" t="s">
        <v>365</v>
      </c>
      <c r="X4" s="75" t="s">
        <v>366</v>
      </c>
      <c r="Y4" s="75" t="s">
        <v>367</v>
      </c>
      <c r="Z4" s="75" t="s">
        <v>368</v>
      </c>
      <c r="AA4" s="194"/>
      <c r="AB4" s="194"/>
      <c r="AC4" s="194"/>
      <c r="AD4" s="194"/>
      <c r="AE4" s="16" t="s">
        <v>369</v>
      </c>
      <c r="AF4" s="16" t="s">
        <v>370</v>
      </c>
      <c r="AG4" s="16" t="s">
        <v>371</v>
      </c>
      <c r="AH4" s="16" t="s">
        <v>372</v>
      </c>
      <c r="AI4" s="16" t="s">
        <v>373</v>
      </c>
      <c r="AJ4" s="16" t="s">
        <v>374</v>
      </c>
      <c r="AK4" s="16" t="s">
        <v>375</v>
      </c>
      <c r="AL4" s="16" t="s">
        <v>376</v>
      </c>
      <c r="AM4" s="16" t="s">
        <v>377</v>
      </c>
      <c r="AN4" s="78" t="s">
        <v>378</v>
      </c>
      <c r="AO4" s="78" t="s">
        <v>379</v>
      </c>
      <c r="AP4" s="78" t="s">
        <v>380</v>
      </c>
      <c r="AQ4" s="192"/>
      <c r="AR4" s="192"/>
      <c r="AS4" s="192"/>
      <c r="AT4" s="192"/>
      <c r="AU4" s="17" t="s">
        <v>418</v>
      </c>
      <c r="AV4" s="17" t="s">
        <v>419</v>
      </c>
      <c r="AW4" s="17" t="s">
        <v>420</v>
      </c>
      <c r="AX4" s="17" t="s">
        <v>421</v>
      </c>
      <c r="AY4" s="17" t="s">
        <v>422</v>
      </c>
      <c r="AZ4" s="17" t="s">
        <v>423</v>
      </c>
      <c r="BA4" s="17" t="s">
        <v>424</v>
      </c>
      <c r="BB4" s="17" t="s">
        <v>425</v>
      </c>
      <c r="BC4" s="17" t="s">
        <v>426</v>
      </c>
      <c r="BD4" s="108" t="s">
        <v>427</v>
      </c>
      <c r="BE4" s="108" t="s">
        <v>428</v>
      </c>
      <c r="BF4" s="108" t="s">
        <v>429</v>
      </c>
      <c r="BG4" s="199"/>
      <c r="BH4" s="199"/>
      <c r="BI4" s="199"/>
      <c r="BJ4" s="199"/>
      <c r="BK4" s="108" t="s">
        <v>418</v>
      </c>
      <c r="BL4" s="108" t="s">
        <v>419</v>
      </c>
      <c r="BM4" s="108" t="s">
        <v>420</v>
      </c>
      <c r="BN4" s="108" t="s">
        <v>421</v>
      </c>
      <c r="BO4" s="108" t="s">
        <v>422</v>
      </c>
      <c r="BP4" s="108" t="s">
        <v>423</v>
      </c>
      <c r="BQ4" s="108" t="s">
        <v>424</v>
      </c>
      <c r="BR4" s="108" t="s">
        <v>425</v>
      </c>
      <c r="BS4" s="108" t="s">
        <v>426</v>
      </c>
      <c r="BT4" s="108" t="s">
        <v>427</v>
      </c>
      <c r="BU4" s="108" t="s">
        <v>428</v>
      </c>
      <c r="BV4" s="108" t="s">
        <v>429</v>
      </c>
      <c r="BW4" s="215"/>
    </row>
    <row r="5" spans="1:75" s="14" customFormat="1" x14ac:dyDescent="0.35">
      <c r="A5" s="13" t="s">
        <v>223</v>
      </c>
      <c r="B5" s="13" t="s">
        <v>333</v>
      </c>
      <c r="C5" s="13" t="s">
        <v>334</v>
      </c>
      <c r="D5" s="14" t="s">
        <v>335</v>
      </c>
      <c r="E5" s="14" t="s">
        <v>431</v>
      </c>
      <c r="F5" s="14" t="s">
        <v>338</v>
      </c>
      <c r="G5" s="14" t="s">
        <v>245</v>
      </c>
      <c r="H5" s="14" t="s">
        <v>246</v>
      </c>
      <c r="I5" s="14" t="s">
        <v>247</v>
      </c>
      <c r="J5" s="14" t="s">
        <v>248</v>
      </c>
      <c r="K5" s="14" t="s">
        <v>339</v>
      </c>
      <c r="L5" s="14" t="s">
        <v>432</v>
      </c>
      <c r="M5" s="14" t="s">
        <v>0</v>
      </c>
      <c r="N5" s="14" t="s">
        <v>341</v>
      </c>
      <c r="O5" s="14" t="s">
        <v>357</v>
      </c>
      <c r="P5" s="14" t="s">
        <v>358</v>
      </c>
      <c r="Q5" s="14" t="s">
        <v>359</v>
      </c>
      <c r="R5" s="14" t="s">
        <v>360</v>
      </c>
      <c r="S5" s="14" t="s">
        <v>361</v>
      </c>
      <c r="T5" s="14" t="s">
        <v>362</v>
      </c>
      <c r="U5" s="14" t="s">
        <v>363</v>
      </c>
      <c r="V5" s="14" t="s">
        <v>364</v>
      </c>
      <c r="W5" s="14" t="s">
        <v>365</v>
      </c>
      <c r="X5" s="14" t="s">
        <v>366</v>
      </c>
      <c r="Y5" s="14" t="s">
        <v>367</v>
      </c>
      <c r="Z5" s="14" t="s">
        <v>368</v>
      </c>
      <c r="AA5" s="14" t="s">
        <v>434</v>
      </c>
      <c r="AB5" s="14" t="s">
        <v>572</v>
      </c>
      <c r="AC5" s="14" t="s">
        <v>435</v>
      </c>
      <c r="AD5" s="14" t="s">
        <v>436</v>
      </c>
      <c r="AE5" s="14" t="s">
        <v>369</v>
      </c>
      <c r="AF5" s="14" t="s">
        <v>370</v>
      </c>
      <c r="AG5" s="14" t="s">
        <v>371</v>
      </c>
      <c r="AH5" s="14" t="s">
        <v>372</v>
      </c>
      <c r="AI5" s="14" t="s">
        <v>373</v>
      </c>
      <c r="AJ5" s="14" t="s">
        <v>374</v>
      </c>
      <c r="AK5" s="14" t="s">
        <v>375</v>
      </c>
      <c r="AL5" s="14" t="s">
        <v>376</v>
      </c>
      <c r="AM5" s="14" t="s">
        <v>377</v>
      </c>
      <c r="AN5" s="14" t="s">
        <v>378</v>
      </c>
      <c r="AO5" s="14" t="s">
        <v>379</v>
      </c>
      <c r="AP5" s="14" t="s">
        <v>380</v>
      </c>
      <c r="AQ5" s="14" t="s">
        <v>437</v>
      </c>
      <c r="AR5" s="14" t="s">
        <v>438</v>
      </c>
      <c r="AS5" s="14" t="s">
        <v>439</v>
      </c>
      <c r="AT5" s="14" t="s">
        <v>440</v>
      </c>
      <c r="AU5" s="14" t="s">
        <v>418</v>
      </c>
      <c r="AV5" s="14" t="s">
        <v>419</v>
      </c>
      <c r="AW5" s="14" t="s">
        <v>420</v>
      </c>
      <c r="AX5" s="14" t="s">
        <v>421</v>
      </c>
      <c r="AY5" s="14" t="s">
        <v>422</v>
      </c>
      <c r="AZ5" s="14" t="s">
        <v>423</v>
      </c>
      <c r="BA5" s="14" t="s">
        <v>424</v>
      </c>
      <c r="BB5" s="14" t="s">
        <v>425</v>
      </c>
      <c r="BC5" s="14" t="s">
        <v>426</v>
      </c>
      <c r="BD5" s="14" t="s">
        <v>427</v>
      </c>
      <c r="BE5" s="14" t="s">
        <v>428</v>
      </c>
      <c r="BF5" s="14" t="s">
        <v>429</v>
      </c>
      <c r="BG5" s="14" t="s">
        <v>453</v>
      </c>
      <c r="BH5" s="14" t="s">
        <v>573</v>
      </c>
      <c r="BI5" s="14" t="s">
        <v>454</v>
      </c>
      <c r="BJ5" s="14" t="s">
        <v>455</v>
      </c>
      <c r="BK5" s="14" t="s">
        <v>574</v>
      </c>
      <c r="BL5" s="14" t="s">
        <v>575</v>
      </c>
      <c r="BM5" s="14" t="s">
        <v>576</v>
      </c>
      <c r="BN5" s="14" t="s">
        <v>577</v>
      </c>
      <c r="BO5" s="14" t="s">
        <v>578</v>
      </c>
      <c r="BP5" s="14" t="s">
        <v>579</v>
      </c>
      <c r="BQ5" s="14" t="s">
        <v>580</v>
      </c>
      <c r="BR5" s="14" t="s">
        <v>581</v>
      </c>
      <c r="BS5" s="14" t="s">
        <v>582</v>
      </c>
      <c r="BT5" s="14" t="s">
        <v>583</v>
      </c>
      <c r="BU5" s="14" t="s">
        <v>584</v>
      </c>
      <c r="BV5" s="14" t="s">
        <v>585</v>
      </c>
      <c r="BW5" s="14" t="s">
        <v>586</v>
      </c>
    </row>
    <row r="6" spans="1:75" x14ac:dyDescent="0.35">
      <c r="A6" s="18">
        <f>ROWS($A$6:A6)</f>
        <v>1</v>
      </c>
      <c r="B6" s="18" t="s">
        <v>110</v>
      </c>
      <c r="C6" s="18" t="str">
        <f>IFERROR(_xlfn.XLOOKUP(DB_25[[#This Row],[Salesman]],MD_Salesman[Salesman],MD_Salesman[SalesManager]),"")</f>
        <v>Quốc Anh</v>
      </c>
      <c r="D6" s="7" t="s">
        <v>587</v>
      </c>
      <c r="E6" s="7" t="s">
        <v>6</v>
      </c>
      <c r="F6" s="7"/>
      <c r="G6" s="7" t="str">
        <f>_xlfn.XLOOKUP(DB_25[[#This Row],[Mã khách]],MD_Customer[Mã khách],MD_Customer[Kênh bán hàng])</f>
        <v>Xuất khẩu</v>
      </c>
      <c r="H6" s="7"/>
      <c r="I6" s="7"/>
      <c r="J6" s="7"/>
      <c r="K6" s="7" t="s">
        <v>171</v>
      </c>
      <c r="L6" s="7" t="str">
        <f>_xlfn.XLOOKUP(DB_25[[#This Row],[Mã sản phẩm]],MD_SKU[Mã SKU],MD_SKU[Tên SKU-rút gọn])</f>
        <v>WSS01G 1</v>
      </c>
      <c r="M6" s="7" t="str">
        <f>_xlfn.XLOOKUP(DB_25[[#This Row],[Mã sản phẩm]],MD_SKU[Mã SKU],MD_SKU[Nhóm ngành])</f>
        <v>Hạt PET</v>
      </c>
      <c r="N6" s="7"/>
      <c r="O6" s="47">
        <v>2376</v>
      </c>
      <c r="P6" s="47">
        <v>1672</v>
      </c>
      <c r="Q6" s="47">
        <v>1078</v>
      </c>
      <c r="R6" s="47">
        <v>1408</v>
      </c>
      <c r="S6" s="47">
        <v>1320</v>
      </c>
      <c r="T6" s="47">
        <v>748</v>
      </c>
      <c r="U6" s="47">
        <v>1672</v>
      </c>
      <c r="V6" s="47">
        <v>1210</v>
      </c>
      <c r="W6" s="110">
        <f ca="1">SUMIFS(Data_Actual_LG_EXW[SL],Data_Actual_LG_EXW[Year],2025,Data_Actual_LG_EXW[Month],'DB 2025'!W$1,Data_Actual_LG_EXW[Mã KH],DB_25[[#This Row],[Mã khách]],Data_Actual_LG_EXW[Mã SKU],DB_25[[#This Row],[Mã sản phẩm]])/10^3</f>
        <v>638</v>
      </c>
      <c r="X6" s="33">
        <v>440</v>
      </c>
      <c r="Y6" s="33">
        <v>220</v>
      </c>
      <c r="Z6" s="33">
        <v>220</v>
      </c>
      <c r="AA6" s="19">
        <f ca="1">SUM(DB_25[[#This Row],[SL-01]:[SL-12]])</f>
        <v>13002</v>
      </c>
      <c r="AB6" s="7"/>
      <c r="AC6" s="20">
        <f ca="1">DB_25[[#This Row],[SL-DB25]]-DB_25[[#This Row],[SL-KH25]]</f>
        <v>13002</v>
      </c>
      <c r="AD6" s="21">
        <f ca="1">IFERROR(DB_25[[#This Row],[SL-+/-]]/DB_25[[#This Row],[SL-KH25]],0)</f>
        <v>0</v>
      </c>
      <c r="AE6" s="23">
        <v>1183.0551080113785</v>
      </c>
      <c r="AF6" s="23">
        <v>1241.6584481541286</v>
      </c>
      <c r="AG6" s="23">
        <v>1214.3585887667361</v>
      </c>
      <c r="AH6" s="23">
        <v>1188.9136319730985</v>
      </c>
      <c r="AI6" s="23">
        <v>1184.9669641700184</v>
      </c>
      <c r="AJ6" s="23">
        <v>1186.5499595466035</v>
      </c>
      <c r="AK6" s="23">
        <v>1187.182429703922</v>
      </c>
      <c r="AL6" s="23">
        <v>1129.8111164027766</v>
      </c>
      <c r="AM6" s="111">
        <v>1171.062000888026</v>
      </c>
      <c r="AN6" s="51">
        <f ca="1">IFERROR(SUM(DB_25[[#This Row],[DT-01-USD]:[DT-09-USD]])/SUM(DB_25[[#This Row],[SL-01]:[SL-09]]),0)</f>
        <v>1189.6497778239202</v>
      </c>
      <c r="AO6" s="51">
        <f ca="1">DB_25[[#This Row],[GB-10]]</f>
        <v>1189.6497778239202</v>
      </c>
      <c r="AP6" s="51">
        <f ca="1">DB_25[[#This Row],[GB-11]]</f>
        <v>1189.6497778239202</v>
      </c>
      <c r="AQ6" s="7"/>
      <c r="AR6" s="7"/>
      <c r="AS6" s="7"/>
      <c r="AT6" s="7"/>
      <c r="AU6" s="47">
        <v>70849673649.551422</v>
      </c>
      <c r="AV6" s="47">
        <v>52322652910.188538</v>
      </c>
      <c r="AW6" s="47">
        <v>33221215970.876911</v>
      </c>
      <c r="AX6" s="47">
        <v>42923087263.785164</v>
      </c>
      <c r="AY6" s="47">
        <v>40324169719.567215</v>
      </c>
      <c r="AZ6" s="47">
        <v>23004235451.941124</v>
      </c>
      <c r="BA6" s="47">
        <v>51607371948.868752</v>
      </c>
      <c r="BB6" s="47">
        <v>35726873370.472473</v>
      </c>
      <c r="BC6" s="47">
        <v>19583403328.989571</v>
      </c>
      <c r="BD6" s="19">
        <f ca="1">DB_25[[#This Row],[SL-10]]*DB_25[[#This Row],[GB-10]]*BD$2/10^3</f>
        <v>13714282.638754152</v>
      </c>
      <c r="BE6" s="19">
        <f ca="1">DB_25[[#This Row],[SL-11]]*DB_25[[#This Row],[GB-11]]*BE$2/10^3</f>
        <v>6857141.3193770759</v>
      </c>
      <c r="BF6" s="19">
        <f ca="1">DB_25[[#This Row],[SL-12]]*DB_25[[#This Row],[GB-12]]*BF$2/10^3</f>
        <v>6857141.3193770759</v>
      </c>
      <c r="BG6" s="47">
        <f ca="1">SUM(DB_25[[#This Row],[DT-01]:[DT-12]])</f>
        <v>369590112179.51868</v>
      </c>
      <c r="BH6" s="7"/>
      <c r="BI6" s="7"/>
      <c r="BJ6" s="7"/>
      <c r="BK6" s="50">
        <v>2810938.9366350351</v>
      </c>
      <c r="BL6" s="109">
        <v>2076052.925313703</v>
      </c>
      <c r="BM6" s="109">
        <v>1309078.5586905417</v>
      </c>
      <c r="BN6" s="109">
        <v>1673990.3938181228</v>
      </c>
      <c r="BO6" s="109">
        <v>1564156.3927044242</v>
      </c>
      <c r="BP6" s="109">
        <v>887539.36974085949</v>
      </c>
      <c r="BQ6" s="109">
        <v>1984969.0224649576</v>
      </c>
      <c r="BR6" s="109">
        <v>1367071.4508473596</v>
      </c>
      <c r="BS6" s="109">
        <v>747137.55656656064</v>
      </c>
      <c r="BT6" s="147">
        <f ca="1">DB_25[[#This Row],[SL-10]]*DB_25[[#This Row],[GB-10]]</f>
        <v>523445.9022425249</v>
      </c>
      <c r="BU6" s="147">
        <f ca="1">DB_25[[#This Row],[SL-11]]*DB_25[[#This Row],[GB-11]]</f>
        <v>261722.95112126245</v>
      </c>
      <c r="BV6" s="147">
        <f ca="1">DB_25[[#This Row],[SL-12]]*DB_25[[#This Row],[GB-12]]</f>
        <v>261722.95112126245</v>
      </c>
      <c r="BW6" s="50">
        <f ca="1">SUM(DB_25[[#This Row],[DT-01-USD]:[DT-12-USD]])</f>
        <v>15467826.411266612</v>
      </c>
    </row>
    <row r="7" spans="1:75" x14ac:dyDescent="0.35">
      <c r="A7" s="18">
        <f>ROWS($A$6:A7)</f>
        <v>2</v>
      </c>
      <c r="B7" s="18" t="s">
        <v>104</v>
      </c>
      <c r="C7" s="18" t="str">
        <f>IFERROR(_xlfn.XLOOKUP(DB_25[[#This Row],[Salesman]],MD_Salesman[Salesman],MD_Salesman[SalesManager]),"")</f>
        <v>Quốc Anh</v>
      </c>
      <c r="D7" s="7" t="s">
        <v>588</v>
      </c>
      <c r="E7" s="7" t="s">
        <v>9</v>
      </c>
      <c r="F7" s="7"/>
      <c r="G7" s="7" t="str">
        <f>_xlfn.XLOOKUP(DB_25[[#This Row],[Mã khách]],MD_Customer[Mã khách],MD_Customer[Kênh bán hàng])</f>
        <v>Xuất khẩu</v>
      </c>
      <c r="H7" s="7"/>
      <c r="I7" s="7"/>
      <c r="J7" s="7"/>
      <c r="K7" s="7" t="s">
        <v>172</v>
      </c>
      <c r="L7" s="7" t="str">
        <f>_xlfn.XLOOKUP(DB_25[[#This Row],[Mã sản phẩm]],MD_SKU[Mã SKU],MD_SKU[Tên SKU-rút gọn])</f>
        <v>iSS01G 1</v>
      </c>
      <c r="M7" s="7" t="str">
        <f>_xlfn.XLOOKUP(DB_25[[#This Row],[Mã sản phẩm]],MD_SKU[Mã SKU],MD_SKU[Nhóm ngành])</f>
        <v>Hạt PET</v>
      </c>
      <c r="N7" s="7"/>
      <c r="O7" s="47">
        <v>0</v>
      </c>
      <c r="P7" s="47">
        <v>880</v>
      </c>
      <c r="Q7" s="47">
        <v>880</v>
      </c>
      <c r="R7" s="47">
        <v>880</v>
      </c>
      <c r="S7" s="47">
        <v>880</v>
      </c>
      <c r="T7" s="47">
        <v>880</v>
      </c>
      <c r="U7" s="47">
        <v>880</v>
      </c>
      <c r="V7" s="47">
        <v>880</v>
      </c>
      <c r="W7" s="110">
        <f ca="1">SUMIFS(Data_Actual_LG_EXW[SL],Data_Actual_LG_EXW[Year],2025,Data_Actual_LG_EXW[Month],'DB 2025'!W$1,Data_Actual_LG_EXW[Mã KH],DB_25[[#This Row],[Mã khách]],Data_Actual_LG_EXW[Mã SKU],DB_25[[#This Row],[Mã sản phẩm]])/10^3</f>
        <v>0</v>
      </c>
      <c r="X7" s="33"/>
      <c r="Y7" s="33"/>
      <c r="Z7" s="33"/>
      <c r="AA7" s="19">
        <f ca="1">SUM(DB_25[[#This Row],[SL-01]:[SL-12]])</f>
        <v>6160</v>
      </c>
      <c r="AB7" s="7"/>
      <c r="AC7" s="20">
        <f ca="1">DB_25[[#This Row],[SL-DB25]]-DB_25[[#This Row],[SL-KH25]]</f>
        <v>6160</v>
      </c>
      <c r="AD7" s="21">
        <f ca="1">IFERROR(DB_25[[#This Row],[SL-+/-]]/DB_25[[#This Row],[SL-KH25]],0)</f>
        <v>0</v>
      </c>
      <c r="AE7" s="23">
        <v>0</v>
      </c>
      <c r="AF7" s="23">
        <v>1231.5599905457982</v>
      </c>
      <c r="AG7" s="23">
        <v>1231.0385069380955</v>
      </c>
      <c r="AH7" s="23">
        <v>1230.6675638214542</v>
      </c>
      <c r="AI7" s="23">
        <v>1230.6794975792704</v>
      </c>
      <c r="AJ7" s="23">
        <v>1230.7906210613646</v>
      </c>
      <c r="AK7" s="23">
        <v>1230.9330769874773</v>
      </c>
      <c r="AL7" s="23">
        <v>1231.108241429449</v>
      </c>
      <c r="AM7" s="111">
        <v>0</v>
      </c>
      <c r="AN7" s="51">
        <f ca="1">IFERROR(SUM(DB_25[[#This Row],[DT-01-USD]:[DT-09-USD]])/SUM(DB_25[[#This Row],[SL-01]:[SL-09]]),0)</f>
        <v>1230.9682140518441</v>
      </c>
      <c r="AO7" s="51">
        <f ca="1">DB_25[[#This Row],[GB-10]]</f>
        <v>1230.9682140518441</v>
      </c>
      <c r="AP7" s="51">
        <f ca="1">DB_25[[#This Row],[GB-11]]</f>
        <v>1230.9682140518441</v>
      </c>
      <c r="AQ7" s="7"/>
      <c r="AR7" s="7"/>
      <c r="AS7" s="7"/>
      <c r="AT7" s="7"/>
      <c r="AU7" s="47">
        <v>0</v>
      </c>
      <c r="AV7" s="47">
        <v>27456034839.461521</v>
      </c>
      <c r="AW7" s="47">
        <v>27441960956.000019</v>
      </c>
      <c r="AX7" s="47">
        <v>27846343370.487629</v>
      </c>
      <c r="AY7" s="47">
        <v>27916980922.278152</v>
      </c>
      <c r="AZ7" s="47">
        <v>28046766412.342525</v>
      </c>
      <c r="BA7" s="47">
        <v>28131252023.562485</v>
      </c>
      <c r="BB7" s="47">
        <v>28376306478.532722</v>
      </c>
      <c r="BC7" s="47">
        <v>0</v>
      </c>
      <c r="BD7" s="19">
        <f ca="1">DB_25[[#This Row],[SL-10]]*DB_25[[#This Row],[GB-10]]*BD$2/10^3</f>
        <v>0</v>
      </c>
      <c r="BE7" s="19">
        <f ca="1">DB_25[[#This Row],[SL-11]]*DB_25[[#This Row],[GB-11]]*BE$2/10^3</f>
        <v>0</v>
      </c>
      <c r="BF7" s="19">
        <f ca="1">DB_25[[#This Row],[SL-12]]*DB_25[[#This Row],[GB-12]]*BF$2/10^3</f>
        <v>0</v>
      </c>
      <c r="BG7" s="47">
        <f ca="1">SUM(DB_25[[#This Row],[DT-01]:[DT-12]])</f>
        <v>195215645002.66504</v>
      </c>
      <c r="BH7" s="7"/>
      <c r="BI7" s="7"/>
      <c r="BJ7" s="7"/>
      <c r="BK7" s="50">
        <v>0</v>
      </c>
      <c r="BL7" s="109">
        <v>1083772.7916803025</v>
      </c>
      <c r="BM7" s="109">
        <v>1083313.8861055239</v>
      </c>
      <c r="BN7" s="109">
        <v>1082987.4561628797</v>
      </c>
      <c r="BO7" s="109">
        <v>1082997.9578697579</v>
      </c>
      <c r="BP7" s="109">
        <v>1083095.7465340008</v>
      </c>
      <c r="BQ7" s="109">
        <v>1083221.1077489799</v>
      </c>
      <c r="BR7" s="109">
        <v>1083375.2524579151</v>
      </c>
      <c r="BS7" s="109">
        <v>0</v>
      </c>
      <c r="BT7" s="147">
        <f ca="1">DB_25[[#This Row],[SL-10]]*DB_25[[#This Row],[GB-10]]</f>
        <v>0</v>
      </c>
      <c r="BU7" s="147">
        <f ca="1">DB_25[[#This Row],[SL-11]]*DB_25[[#This Row],[GB-11]]</f>
        <v>0</v>
      </c>
      <c r="BV7" s="147">
        <f ca="1">DB_25[[#This Row],[SL-12]]*DB_25[[#This Row],[GB-12]]</f>
        <v>0</v>
      </c>
      <c r="BW7" s="47">
        <f ca="1">SUM(DB_25[[#This Row],[DT-01-USD]:[DT-12-USD]])</f>
        <v>7582764.1985593596</v>
      </c>
    </row>
    <row r="8" spans="1:75" x14ac:dyDescent="0.35">
      <c r="A8" s="18">
        <f>ROWS($A$6:A8)</f>
        <v>3</v>
      </c>
      <c r="B8" s="18" t="s">
        <v>95</v>
      </c>
      <c r="C8" s="18" t="str">
        <f>IFERROR(_xlfn.XLOOKUP(DB_25[[#This Row],[Salesman]],MD_Salesman[Salesman],MD_Salesman[SalesManager]),"")</f>
        <v>Cường</v>
      </c>
      <c r="D8" s="7" t="s">
        <v>589</v>
      </c>
      <c r="E8" s="7" t="s">
        <v>322</v>
      </c>
      <c r="F8" s="7"/>
      <c r="G8" s="7" t="str">
        <f>_xlfn.XLOOKUP(DB_25[[#This Row],[Mã khách]],MD_Customer[Mã khách],MD_Customer[Kênh bán hàng])</f>
        <v>Nội địa</v>
      </c>
      <c r="H8" s="7"/>
      <c r="I8" s="7"/>
      <c r="J8" s="7"/>
      <c r="K8" s="7" t="s">
        <v>171</v>
      </c>
      <c r="L8" s="7" t="str">
        <f>_xlfn.XLOOKUP(DB_25[[#This Row],[Mã sản phẩm]],MD_SKU[Mã SKU],MD_SKU[Tên SKU-rút gọn])</f>
        <v>WSS01G 1</v>
      </c>
      <c r="M8" s="7" t="str">
        <f>_xlfn.XLOOKUP(DB_25[[#This Row],[Mã sản phẩm]],MD_SKU[Mã SKU],MD_SKU[Nhóm ngành])</f>
        <v>Hạt PET</v>
      </c>
      <c r="N8" s="7"/>
      <c r="O8" s="47">
        <v>242</v>
      </c>
      <c r="P8" s="47">
        <v>352</v>
      </c>
      <c r="Q8" s="47">
        <v>227.7</v>
      </c>
      <c r="R8" s="47">
        <v>176</v>
      </c>
      <c r="S8" s="47">
        <v>220</v>
      </c>
      <c r="T8" s="47">
        <v>286</v>
      </c>
      <c r="U8" s="47">
        <v>176</v>
      </c>
      <c r="V8" s="47">
        <v>330</v>
      </c>
      <c r="W8" s="110">
        <f ca="1">SUMIFS(Data_Actual_LG_EXW[SL],Data_Actual_LG_EXW[Year],2025,Data_Actual_LG_EXW[Month],'DB 2025'!W$1,Data_Actual_LG_EXW[Mã KH],DB_25[[#This Row],[Mã khách]],Data_Actual_LG_EXW[Mã SKU],DB_25[[#This Row],[Mã sản phẩm]])/10^3</f>
        <v>330</v>
      </c>
      <c r="X8" s="33">
        <v>298</v>
      </c>
      <c r="Y8" s="33">
        <v>298</v>
      </c>
      <c r="Z8" s="33">
        <v>330</v>
      </c>
      <c r="AA8" s="19">
        <f ca="1">SUM(DB_25[[#This Row],[SL-01]:[SL-12]])</f>
        <v>3265.7</v>
      </c>
      <c r="AB8" s="7"/>
      <c r="AC8" s="20">
        <f ca="1">DB_25[[#This Row],[SL-DB25]]-DB_25[[#This Row],[SL-KH25]]</f>
        <v>3265.7</v>
      </c>
      <c r="AD8" s="21">
        <f ca="1">IFERROR(DB_25[[#This Row],[SL-+/-]]/DB_25[[#This Row],[SL-KH25]],0)</f>
        <v>0</v>
      </c>
      <c r="AE8" s="23">
        <v>1281.2223365337695</v>
      </c>
      <c r="AF8" s="23">
        <v>1294.7524695019474</v>
      </c>
      <c r="AG8" s="23">
        <v>1287.3274169623865</v>
      </c>
      <c r="AH8" s="23">
        <v>1234.8117947426433</v>
      </c>
      <c r="AI8" s="23">
        <v>1232.3987755597204</v>
      </c>
      <c r="AJ8" s="23">
        <v>1225.9281291137379</v>
      </c>
      <c r="AK8" s="23">
        <v>1233.8530488375081</v>
      </c>
      <c r="AL8" s="23">
        <v>1261.0245929041405</v>
      </c>
      <c r="AM8" s="111">
        <v>1257.3335775655471</v>
      </c>
      <c r="AN8" s="51">
        <f ca="1">IFERROR(SUM(DB_25[[#This Row],[DT-01-USD]:[DT-09-USD]])/SUM(DB_25[[#This Row],[SL-01]:[SL-09]]),0)</f>
        <v>1259.2296071389342</v>
      </c>
      <c r="AO8" s="51">
        <f ca="1">DB_25[[#This Row],[GB-10]]</f>
        <v>1259.2296071389342</v>
      </c>
      <c r="AP8" s="51">
        <f ca="1">DB_25[[#This Row],[GB-11]]</f>
        <v>1259.2296071389342</v>
      </c>
      <c r="AQ8" s="7"/>
      <c r="AR8" s="7"/>
      <c r="AS8" s="7"/>
      <c r="AT8" s="7"/>
      <c r="AU8" s="47">
        <v>7814573898.4808025</v>
      </c>
      <c r="AV8" s="47">
        <v>11517840311.96347</v>
      </c>
      <c r="AW8" s="47">
        <v>7437833364.951334</v>
      </c>
      <c r="AX8" s="47">
        <v>5579023302.8246021</v>
      </c>
      <c r="AY8" s="47">
        <v>6989360356.5862694</v>
      </c>
      <c r="AZ8" s="47">
        <v>9086168463.5633621</v>
      </c>
      <c r="BA8" s="47">
        <v>5643518146.7651405</v>
      </c>
      <c r="BB8" s="47">
        <v>10874923182.145329</v>
      </c>
      <c r="BC8" s="47">
        <v>10875258865.72238</v>
      </c>
      <c r="BD8" s="19">
        <f ca="1">DB_25[[#This Row],[SL-10]]*DB_25[[#This Row],[GB-10]]*BD$2/10^3</f>
        <v>9831561.0806979425</v>
      </c>
      <c r="BE8" s="19">
        <f ca="1">DB_25[[#This Row],[SL-11]]*DB_25[[#This Row],[GB-11]]*BE$2/10^3</f>
        <v>9831561.0806979425</v>
      </c>
      <c r="BF8" s="19">
        <f ca="1">DB_25[[#This Row],[SL-12]]*DB_25[[#This Row],[GB-12]]*BF$2/10^3</f>
        <v>10887299.183323225</v>
      </c>
      <c r="BG8" s="47">
        <f ca="1">SUM(DB_25[[#This Row],[DT-01]:[DT-12]])</f>
        <v>75849050314.347412</v>
      </c>
      <c r="BH8" s="7"/>
      <c r="BI8" s="7"/>
      <c r="BJ8" s="7"/>
      <c r="BK8" s="50">
        <v>310055.80544117221</v>
      </c>
      <c r="BL8" s="109">
        <v>455752.86926468549</v>
      </c>
      <c r="BM8" s="109">
        <v>293124.45284233539</v>
      </c>
      <c r="BN8" s="109">
        <v>217326.87587470521</v>
      </c>
      <c r="BO8" s="109">
        <v>271127.73062313849</v>
      </c>
      <c r="BP8" s="109">
        <v>350615.44492652902</v>
      </c>
      <c r="BQ8" s="109">
        <v>217158.13659540145</v>
      </c>
      <c r="BR8" s="109">
        <v>416138.11565836635</v>
      </c>
      <c r="BS8" s="109">
        <v>414920.08059663052</v>
      </c>
      <c r="BT8" s="147">
        <f ca="1">DB_25[[#This Row],[SL-10]]*DB_25[[#This Row],[GB-10]]</f>
        <v>375250.42292740237</v>
      </c>
      <c r="BU8" s="147">
        <f ca="1">DB_25[[#This Row],[SL-11]]*DB_25[[#This Row],[GB-11]]</f>
        <v>375250.42292740237</v>
      </c>
      <c r="BV8" s="147">
        <f ca="1">DB_25[[#This Row],[SL-12]]*DB_25[[#This Row],[GB-12]]</f>
        <v>415545.7703558483</v>
      </c>
      <c r="BW8" s="47">
        <f ca="1">SUM(DB_25[[#This Row],[DT-01-USD]:[DT-12-USD]])</f>
        <v>4112266.128033617</v>
      </c>
    </row>
    <row r="9" spans="1:75" x14ac:dyDescent="0.35">
      <c r="A9" s="18">
        <f>ROWS($A$6:A9)</f>
        <v>4</v>
      </c>
      <c r="B9" s="18" t="s">
        <v>97</v>
      </c>
      <c r="C9" s="18" t="str">
        <f>IFERROR(_xlfn.XLOOKUP(DB_25[[#This Row],[Salesman]],MD_Salesman[Salesman],MD_Salesman[SalesManager]),"")</f>
        <v>Cường</v>
      </c>
      <c r="D9" s="7" t="s">
        <v>590</v>
      </c>
      <c r="E9" s="7" t="s">
        <v>500</v>
      </c>
      <c r="F9" s="7"/>
      <c r="G9" s="7" t="str">
        <f>_xlfn.XLOOKUP(DB_25[[#This Row],[Mã khách]],MD_Customer[Mã khách],MD_Customer[Kênh bán hàng])</f>
        <v>Nội địa</v>
      </c>
      <c r="H9" s="7"/>
      <c r="I9" s="7"/>
      <c r="J9" s="7"/>
      <c r="K9" s="7" t="s">
        <v>168</v>
      </c>
      <c r="L9" s="7" t="str">
        <f>_xlfn.XLOOKUP(DB_25[[#This Row],[Mã sản phẩm]],MD_SKU[Mã SKU],MD_SKU[Tên SKU-rút gọn])</f>
        <v>iSS1084G</v>
      </c>
      <c r="M9" s="7" t="str">
        <f>_xlfn.XLOOKUP(DB_25[[#This Row],[Mã sản phẩm]],MD_SKU[Mã SKU],MD_SKU[Nhóm ngành])</f>
        <v>Hạt PET</v>
      </c>
      <c r="N9" s="7"/>
      <c r="O9" s="47">
        <v>154</v>
      </c>
      <c r="P9" s="47">
        <v>484</v>
      </c>
      <c r="Q9" s="47">
        <v>154</v>
      </c>
      <c r="R9" s="47">
        <v>374</v>
      </c>
      <c r="S9" s="47">
        <v>330</v>
      </c>
      <c r="T9" s="47">
        <v>351.63299999999998</v>
      </c>
      <c r="U9" s="47">
        <v>132</v>
      </c>
      <c r="V9" s="47">
        <v>616</v>
      </c>
      <c r="W9" s="110">
        <f ca="1">SUMIFS(Data_Actual_LG_EXW[SL],Data_Actual_LG_EXW[Year],2025,Data_Actual_LG_EXW[Month],'DB 2025'!W$1,Data_Actual_LG_EXW[Mã KH],DB_25[[#This Row],[Mã khách]],Data_Actual_LG_EXW[Mã SKU],DB_25[[#This Row],[Mã sản phẩm]])/10^3</f>
        <v>126.5</v>
      </c>
      <c r="X9" s="33">
        <v>110</v>
      </c>
      <c r="Y9" s="33">
        <v>110</v>
      </c>
      <c r="Z9" s="33">
        <v>110</v>
      </c>
      <c r="AA9" s="19">
        <f ca="1">SUM(DB_25[[#This Row],[SL-01]:[SL-12]])</f>
        <v>3052.1329999999998</v>
      </c>
      <c r="AB9" s="7"/>
      <c r="AC9" s="20">
        <f ca="1">DB_25[[#This Row],[SL-DB25]]-DB_25[[#This Row],[SL-KH25]]</f>
        <v>3052.1329999999998</v>
      </c>
      <c r="AD9" s="21">
        <f ca="1">IFERROR(DB_25[[#This Row],[SL-+/-]]/DB_25[[#This Row],[SL-KH25]],0)</f>
        <v>0</v>
      </c>
      <c r="AE9" s="23">
        <v>1446.9592788379882</v>
      </c>
      <c r="AF9" s="23">
        <v>1401.3250009843905</v>
      </c>
      <c r="AG9" s="23">
        <v>1364.2032212831966</v>
      </c>
      <c r="AH9" s="23">
        <v>1343.7074732422957</v>
      </c>
      <c r="AI9" s="23">
        <v>1374.0044183741813</v>
      </c>
      <c r="AJ9" s="23">
        <v>1340.6906617227489</v>
      </c>
      <c r="AK9" s="23">
        <v>1372.4129153203342</v>
      </c>
      <c r="AL9" s="23">
        <v>1340.9874929699081</v>
      </c>
      <c r="AM9" s="111">
        <v>1100.8870723817586</v>
      </c>
      <c r="AN9" s="51">
        <f ca="1">IFERROR(SUM(DB_25[[#This Row],[DT-01-USD]:[DT-09-USD]])/SUM(DB_25[[#This Row],[SL-01]:[SL-09]]),0)</f>
        <v>1353.7282980489204</v>
      </c>
      <c r="AO9" s="51">
        <f ca="1">DB_25[[#This Row],[GB-10]]</f>
        <v>1353.7282980489204</v>
      </c>
      <c r="AP9" s="51">
        <f ca="1">DB_25[[#This Row],[GB-11]]</f>
        <v>1353.7282980489204</v>
      </c>
      <c r="AQ9" s="7"/>
      <c r="AR9" s="7"/>
      <c r="AS9" s="7"/>
      <c r="AT9" s="7"/>
      <c r="AU9" s="47">
        <v>5616198704.1602678</v>
      </c>
      <c r="AV9" s="47">
        <v>17140594209.466776</v>
      </c>
      <c r="AW9" s="47">
        <v>5330822062.6648149</v>
      </c>
      <c r="AX9" s="47">
        <v>12900931617.106562</v>
      </c>
      <c r="AY9" s="47">
        <v>11688682513.333336</v>
      </c>
      <c r="AZ9" s="47">
        <v>12217095022.07506</v>
      </c>
      <c r="BA9" s="47">
        <v>4707957645.2170134</v>
      </c>
      <c r="BB9" s="47">
        <v>21587091934.453716</v>
      </c>
      <c r="BC9" s="47">
        <v>3650130966.0000033</v>
      </c>
      <c r="BD9" s="19">
        <f ca="1">DB_25[[#This Row],[SL-10]]*DB_25[[#This Row],[GB-10]]*BD$2/10^3</f>
        <v>3901444.9549769885</v>
      </c>
      <c r="BE9" s="19">
        <f ca="1">DB_25[[#This Row],[SL-11]]*DB_25[[#This Row],[GB-11]]*BE$2/10^3</f>
        <v>3901444.9549769885</v>
      </c>
      <c r="BF9" s="19">
        <f ca="1">DB_25[[#This Row],[SL-12]]*DB_25[[#This Row],[GB-12]]*BF$2/10^3</f>
        <v>3901444.9549769885</v>
      </c>
      <c r="BG9" s="47">
        <f ca="1">SUM(DB_25[[#This Row],[DT-01]:[DT-12]])</f>
        <v>94851209009.342468</v>
      </c>
      <c r="BH9" s="7"/>
      <c r="BI9" s="7"/>
      <c r="BJ9" s="7"/>
      <c r="BK9" s="50">
        <v>222831.72894105018</v>
      </c>
      <c r="BL9" s="109">
        <v>678241.300476445</v>
      </c>
      <c r="BM9" s="109">
        <v>210087.29607761226</v>
      </c>
      <c r="BN9" s="109">
        <v>502546.5949926186</v>
      </c>
      <c r="BO9" s="109">
        <v>453421.45806347986</v>
      </c>
      <c r="BP9" s="109">
        <v>471431.07945355534</v>
      </c>
      <c r="BQ9" s="109">
        <v>181158.5048222841</v>
      </c>
      <c r="BR9" s="109">
        <v>826048.29566946335</v>
      </c>
      <c r="BS9" s="109">
        <v>139262.21465629246</v>
      </c>
      <c r="BT9" s="147">
        <f ca="1">DB_25[[#This Row],[SL-10]]*DB_25[[#This Row],[GB-10]]</f>
        <v>148910.11278538124</v>
      </c>
      <c r="BU9" s="147">
        <f ca="1">DB_25[[#This Row],[SL-11]]*DB_25[[#This Row],[GB-11]]</f>
        <v>148910.11278538124</v>
      </c>
      <c r="BV9" s="147">
        <f ca="1">DB_25[[#This Row],[SL-12]]*DB_25[[#This Row],[GB-12]]</f>
        <v>148910.11278538124</v>
      </c>
      <c r="BW9" s="47">
        <f ca="1">SUM(DB_25[[#This Row],[DT-01-USD]:[DT-12-USD]])</f>
        <v>4131758.8115089452</v>
      </c>
    </row>
    <row r="10" spans="1:75" x14ac:dyDescent="0.35">
      <c r="A10" s="18">
        <f>ROWS($A$6:A10)</f>
        <v>5</v>
      </c>
      <c r="B10" s="18" t="s">
        <v>95</v>
      </c>
      <c r="C10" s="18" t="str">
        <f>IFERROR(_xlfn.XLOOKUP(DB_25[[#This Row],[Salesman]],MD_Salesman[Salesman],MD_Salesman[SalesManager]),"")</f>
        <v>Cường</v>
      </c>
      <c r="D10" s="7" t="s">
        <v>591</v>
      </c>
      <c r="E10" s="7" t="s">
        <v>121</v>
      </c>
      <c r="F10" s="7"/>
      <c r="G10" s="7" t="str">
        <f>_xlfn.XLOOKUP(DB_25[[#This Row],[Mã khách]],MD_Customer[Mã khách],MD_Customer[Kênh bán hàng])</f>
        <v>Xuất khẩu</v>
      </c>
      <c r="H10" s="7"/>
      <c r="I10" s="7"/>
      <c r="J10" s="7"/>
      <c r="K10" s="7" t="s">
        <v>172</v>
      </c>
      <c r="L10" s="7" t="str">
        <f>_xlfn.XLOOKUP(DB_25[[#This Row],[Mã sản phẩm]],MD_SKU[Mã SKU],MD_SKU[Tên SKU-rút gọn])</f>
        <v>iSS01G 1</v>
      </c>
      <c r="M10" s="7" t="str">
        <f>_xlfn.XLOOKUP(DB_25[[#This Row],[Mã sản phẩm]],MD_SKU[Mã SKU],MD_SKU[Nhóm ngành])</f>
        <v>Hạt PET</v>
      </c>
      <c r="N10" s="7"/>
      <c r="O10" s="47">
        <v>0</v>
      </c>
      <c r="P10" s="47">
        <v>330</v>
      </c>
      <c r="Q10" s="47">
        <v>770</v>
      </c>
      <c r="R10" s="47">
        <v>0</v>
      </c>
      <c r="S10" s="47">
        <v>440</v>
      </c>
      <c r="T10" s="47">
        <v>154</v>
      </c>
      <c r="U10" s="47">
        <v>0</v>
      </c>
      <c r="V10" s="47">
        <v>0</v>
      </c>
      <c r="W10" s="110">
        <f ca="1">SUMIFS(Data_Actual_LG_EXW[SL],Data_Actual_LG_EXW[Year],2025,Data_Actual_LG_EXW[Month],'DB 2025'!W$1,Data_Actual_LG_EXW[Mã KH],DB_25[[#This Row],[Mã khách]],Data_Actual_LG_EXW[Mã SKU],DB_25[[#This Row],[Mã sản phẩm]])/10^3</f>
        <v>0</v>
      </c>
      <c r="X10" s="33"/>
      <c r="Y10" s="33"/>
      <c r="Z10" s="33"/>
      <c r="AA10" s="19">
        <f ca="1">SUM(DB_25[[#This Row],[SL-01]:[SL-12]])</f>
        <v>1694</v>
      </c>
      <c r="AB10" s="7"/>
      <c r="AC10" s="20">
        <f ca="1">DB_25[[#This Row],[SL-DB25]]-DB_25[[#This Row],[SL-KH25]]</f>
        <v>1694</v>
      </c>
      <c r="AD10" s="21">
        <f ca="1">IFERROR(DB_25[[#This Row],[SL-+/-]]/DB_25[[#This Row],[SL-KH25]],0)</f>
        <v>0</v>
      </c>
      <c r="AE10" s="23">
        <v>0</v>
      </c>
      <c r="AF10" s="23">
        <v>1224.4531827423075</v>
      </c>
      <c r="AG10" s="23">
        <v>1225.6717472209493</v>
      </c>
      <c r="AH10" s="23">
        <v>0</v>
      </c>
      <c r="AI10" s="23">
        <v>1283.6761484409712</v>
      </c>
      <c r="AJ10" s="23">
        <v>1262.4029383767327</v>
      </c>
      <c r="AK10" s="23">
        <v>0</v>
      </c>
      <c r="AL10" s="23">
        <v>0</v>
      </c>
      <c r="AM10" s="111">
        <v>0</v>
      </c>
      <c r="AN10" s="51">
        <f ca="1">IFERROR(SUM(DB_25[[#This Row],[DT-01-USD]:[DT-09-USD]])/SUM(DB_25[[#This Row],[SL-01]:[SL-09]]),0)</f>
        <v>1243.8396419652518</v>
      </c>
      <c r="AO10" s="51">
        <f ca="1">DB_25[[#This Row],[GB-10]]</f>
        <v>1243.8396419652518</v>
      </c>
      <c r="AP10" s="51">
        <f ca="1">DB_25[[#This Row],[GB-11]]</f>
        <v>1243.8396419652518</v>
      </c>
      <c r="AQ10" s="7"/>
      <c r="AR10" s="7"/>
      <c r="AS10" s="7"/>
      <c r="AT10" s="7"/>
      <c r="AU10" s="47">
        <v>0</v>
      </c>
      <c r="AV10" s="47">
        <v>10243163100.230768</v>
      </c>
      <c r="AW10" s="47">
        <v>23958197995.375</v>
      </c>
      <c r="AX10" s="47">
        <v>0</v>
      </c>
      <c r="AY10" s="47">
        <v>14564670984.139074</v>
      </c>
      <c r="AZ10" s="47">
        <v>5044940862.6349363</v>
      </c>
      <c r="BA10" s="47">
        <v>0</v>
      </c>
      <c r="BB10" s="47">
        <v>0</v>
      </c>
      <c r="BC10" s="47">
        <v>0</v>
      </c>
      <c r="BD10" s="19">
        <f ca="1">DB_25[[#This Row],[SL-10]]*DB_25[[#This Row],[GB-10]]*BD$2/10^3</f>
        <v>0</v>
      </c>
      <c r="BE10" s="19">
        <f ca="1">DB_25[[#This Row],[SL-11]]*DB_25[[#This Row],[GB-11]]*BE$2/10^3</f>
        <v>0</v>
      </c>
      <c r="BF10" s="19">
        <f ca="1">DB_25[[#This Row],[SL-12]]*DB_25[[#This Row],[GB-12]]*BF$2/10^3</f>
        <v>0</v>
      </c>
      <c r="BG10" s="47">
        <f ca="1">SUM(DB_25[[#This Row],[DT-01]:[DT-12]])</f>
        <v>53810972942.379776</v>
      </c>
      <c r="BH10" s="7"/>
      <c r="BI10" s="7"/>
      <c r="BJ10" s="7"/>
      <c r="BK10" s="50">
        <v>0</v>
      </c>
      <c r="BL10" s="109">
        <v>404069.55030496145</v>
      </c>
      <c r="BM10" s="109">
        <v>943767.24536013103</v>
      </c>
      <c r="BN10" s="109">
        <v>0</v>
      </c>
      <c r="BO10" s="109">
        <v>564817.50531402731</v>
      </c>
      <c r="BP10" s="109">
        <v>194410.05251001683</v>
      </c>
      <c r="BQ10" s="109">
        <v>0</v>
      </c>
      <c r="BR10" s="109">
        <v>0</v>
      </c>
      <c r="BS10" s="109">
        <v>0</v>
      </c>
      <c r="BT10" s="147">
        <f ca="1">DB_25[[#This Row],[SL-10]]*DB_25[[#This Row],[GB-10]]</f>
        <v>0</v>
      </c>
      <c r="BU10" s="147">
        <f ca="1">DB_25[[#This Row],[SL-11]]*DB_25[[#This Row],[GB-11]]</f>
        <v>0</v>
      </c>
      <c r="BV10" s="147">
        <f ca="1">DB_25[[#This Row],[SL-12]]*DB_25[[#This Row],[GB-12]]</f>
        <v>0</v>
      </c>
      <c r="BW10" s="47">
        <f ca="1">SUM(DB_25[[#This Row],[DT-01-USD]:[DT-12-USD]])</f>
        <v>2107064.3534891363</v>
      </c>
    </row>
    <row r="11" spans="1:75" x14ac:dyDescent="0.35">
      <c r="A11" s="18">
        <f>ROWS($A$6:A11)</f>
        <v>6</v>
      </c>
      <c r="B11" s="18" t="s">
        <v>115</v>
      </c>
      <c r="C11" s="18" t="str">
        <f>IFERROR(_xlfn.XLOOKUP(DB_25[[#This Row],[Salesman]],MD_Salesman[Salesman],MD_Salesman[SalesManager]),"")</f>
        <v>Quốc Anh</v>
      </c>
      <c r="D11" s="7" t="s">
        <v>592</v>
      </c>
      <c r="E11" s="7" t="s">
        <v>23</v>
      </c>
      <c r="F11" s="7"/>
      <c r="G11" s="7" t="str">
        <f>_xlfn.XLOOKUP(DB_25[[#This Row],[Mã khách]],MD_Customer[Mã khách],MD_Customer[Kênh bán hàng])</f>
        <v>Nội địa</v>
      </c>
      <c r="H11" s="7"/>
      <c r="I11" s="7"/>
      <c r="J11" s="7"/>
      <c r="K11" s="7" t="s">
        <v>182</v>
      </c>
      <c r="L11" s="7" t="str">
        <f>_xlfn.XLOOKUP(DB_25[[#This Row],[Mã sản phẩm]],MD_SKU[Mã SKU],MD_SKU[Tên SKU-rút gọn])</f>
        <v>WSS05SB</v>
      </c>
      <c r="M11" s="7" t="str">
        <f>_xlfn.XLOOKUP(DB_25[[#This Row],[Mã sản phẩm]],MD_SKU[Mã SKU],MD_SKU[Nhóm ngành])</f>
        <v>Hạt Xơ sợi</v>
      </c>
      <c r="N11" s="7"/>
      <c r="O11" s="47">
        <v>0</v>
      </c>
      <c r="P11" s="47">
        <v>0</v>
      </c>
      <c r="Q11" s="47">
        <v>0</v>
      </c>
      <c r="R11" s="47">
        <v>0</v>
      </c>
      <c r="S11" s="47">
        <v>0</v>
      </c>
      <c r="T11" s="47">
        <v>46.9</v>
      </c>
      <c r="U11" s="47">
        <v>249.55</v>
      </c>
      <c r="V11" s="47">
        <v>51.5</v>
      </c>
      <c r="W11" s="110">
        <f ca="1">SUMIFS(Data_Actual_LG_EXW[SL],Data_Actual_LG_EXW[Year],2025,Data_Actual_LG_EXW[Month],'DB 2025'!W$1,Data_Actual_LG_EXW[Mã KH],DB_25[[#This Row],[Mã khách]],Data_Actual_LG_EXW[Mã SKU],DB_25[[#This Row],[Mã sản phẩm]])/10^3</f>
        <v>0</v>
      </c>
      <c r="X11" s="33">
        <v>250</v>
      </c>
      <c r="Y11" s="33">
        <v>200</v>
      </c>
      <c r="Z11" s="33">
        <v>200</v>
      </c>
      <c r="AA11" s="19">
        <f ca="1">SUM(DB_25[[#This Row],[SL-01]:[SL-12]])</f>
        <v>997.95</v>
      </c>
      <c r="AB11" s="7"/>
      <c r="AC11" s="20">
        <f ca="1">DB_25[[#This Row],[SL-DB25]]-DB_25[[#This Row],[SL-KH25]]</f>
        <v>997.95</v>
      </c>
      <c r="AD11" s="21">
        <f ca="1">IFERROR(DB_25[[#This Row],[SL-+/-]]/DB_25[[#This Row],[SL-KH25]],0)</f>
        <v>0</v>
      </c>
      <c r="AE11" s="23">
        <v>0</v>
      </c>
      <c r="AF11" s="23">
        <v>0</v>
      </c>
      <c r="AG11" s="23">
        <v>0</v>
      </c>
      <c r="AH11" s="23">
        <v>0</v>
      </c>
      <c r="AI11" s="23">
        <v>0</v>
      </c>
      <c r="AJ11" s="23">
        <v>669.32556987010548</v>
      </c>
      <c r="AK11" s="23">
        <v>663.39983064293995</v>
      </c>
      <c r="AL11" s="23">
        <v>644.48445774787263</v>
      </c>
      <c r="AM11" s="111">
        <v>0</v>
      </c>
      <c r="AN11" s="51">
        <f ca="1">IFERROR(SUM(DB_25[[#This Row],[DT-01-USD]:[DT-09-USD]])/SUM(DB_25[[#This Row],[SL-01]:[SL-09]]),0)</f>
        <v>661.39889793898294</v>
      </c>
      <c r="AO11" s="51">
        <f ca="1">DB_25[[#This Row],[GB-10]]</f>
        <v>661.39889793898294</v>
      </c>
      <c r="AP11" s="51">
        <f ca="1">DB_25[[#This Row],[GB-11]]</f>
        <v>661.39889793898294</v>
      </c>
      <c r="AQ11" s="7"/>
      <c r="AR11" s="7"/>
      <c r="AS11" s="7"/>
      <c r="AT11" s="7"/>
      <c r="AU11" s="47">
        <v>0</v>
      </c>
      <c r="AV11" s="47">
        <v>0</v>
      </c>
      <c r="AW11" s="47">
        <v>0</v>
      </c>
      <c r="AX11" s="47">
        <v>0</v>
      </c>
      <c r="AY11" s="47">
        <v>0</v>
      </c>
      <c r="AZ11" s="47">
        <v>813504576.66624844</v>
      </c>
      <c r="BA11" s="47">
        <v>4302360028.0613003</v>
      </c>
      <c r="BB11" s="47">
        <v>867377953.08373702</v>
      </c>
      <c r="BC11" s="47">
        <v>0</v>
      </c>
      <c r="BD11" s="19">
        <f ca="1">DB_25[[#This Row],[SL-10]]*DB_25[[#This Row],[GB-10]]*BD$2/10^3</f>
        <v>4332162.7815003386</v>
      </c>
      <c r="BE11" s="19">
        <f ca="1">DB_25[[#This Row],[SL-11]]*DB_25[[#This Row],[GB-11]]*BE$2/10^3</f>
        <v>3465730.2252002708</v>
      </c>
      <c r="BF11" s="19">
        <f ca="1">DB_25[[#This Row],[SL-12]]*DB_25[[#This Row],[GB-12]]*BF$2/10^3</f>
        <v>3465730.2252002708</v>
      </c>
      <c r="BG11" s="47">
        <f ca="1">SUM(DB_25[[#This Row],[DT-01]:[DT-12]])</f>
        <v>5994506181.0431871</v>
      </c>
      <c r="BH11" s="7"/>
      <c r="BI11" s="7"/>
      <c r="BJ11" s="7"/>
      <c r="BK11" s="50">
        <v>0</v>
      </c>
      <c r="BL11" s="109">
        <v>0</v>
      </c>
      <c r="BM11" s="109">
        <v>0</v>
      </c>
      <c r="BN11" s="109">
        <v>0</v>
      </c>
      <c r="BO11" s="109">
        <v>0</v>
      </c>
      <c r="BP11" s="109">
        <v>31391.369226907947</v>
      </c>
      <c r="BQ11" s="109">
        <v>165551.42773694568</v>
      </c>
      <c r="BR11" s="109">
        <v>33190.949574015438</v>
      </c>
      <c r="BS11" s="109">
        <v>0</v>
      </c>
      <c r="BT11" s="147">
        <f ca="1">DB_25[[#This Row],[SL-10]]*DB_25[[#This Row],[GB-10]]</f>
        <v>165349.72448474573</v>
      </c>
      <c r="BU11" s="147">
        <f ca="1">DB_25[[#This Row],[SL-11]]*DB_25[[#This Row],[GB-11]]</f>
        <v>132279.7795877966</v>
      </c>
      <c r="BV11" s="147">
        <f ca="1">DB_25[[#This Row],[SL-12]]*DB_25[[#This Row],[GB-12]]</f>
        <v>132279.7795877966</v>
      </c>
      <c r="BW11" s="47">
        <f ca="1">SUM(DB_25[[#This Row],[DT-01-USD]:[DT-12-USD]])</f>
        <v>660043.03019820806</v>
      </c>
    </row>
    <row r="12" spans="1:75" x14ac:dyDescent="0.35">
      <c r="A12" s="18">
        <f>ROWS($A$6:A12)</f>
        <v>7</v>
      </c>
      <c r="B12" s="18" t="s">
        <v>104</v>
      </c>
      <c r="C12" s="18" t="str">
        <f>IFERROR(_xlfn.XLOOKUP(DB_25[[#This Row],[Salesman]],MD_Salesman[Salesman],MD_Salesman[SalesManager]),"")</f>
        <v>Quốc Anh</v>
      </c>
      <c r="D12" s="7" t="s">
        <v>593</v>
      </c>
      <c r="E12" s="7" t="s">
        <v>46</v>
      </c>
      <c r="F12" s="7"/>
      <c r="G12" s="7" t="str">
        <f>_xlfn.XLOOKUP(DB_25[[#This Row],[Mã khách]],MD_Customer[Mã khách],MD_Customer[Kênh bán hàng])</f>
        <v>Xuất khẩu</v>
      </c>
      <c r="H12" s="7"/>
      <c r="I12" s="7"/>
      <c r="J12" s="7"/>
      <c r="K12" s="7" t="s">
        <v>172</v>
      </c>
      <c r="L12" s="7" t="str">
        <f>_xlfn.XLOOKUP(DB_25[[#This Row],[Mã sản phẩm]],MD_SKU[Mã SKU],MD_SKU[Tên SKU-rút gọn])</f>
        <v>iSS01G 1</v>
      </c>
      <c r="M12" s="7" t="str">
        <f>_xlfn.XLOOKUP(DB_25[[#This Row],[Mã sản phẩm]],MD_SKU[Mã SKU],MD_SKU[Nhóm ngành])</f>
        <v>Hạt PET</v>
      </c>
      <c r="N12" s="7"/>
      <c r="O12" s="47">
        <v>0</v>
      </c>
      <c r="P12" s="47">
        <v>440</v>
      </c>
      <c r="Q12" s="47">
        <v>66</v>
      </c>
      <c r="R12" s="47">
        <v>88</v>
      </c>
      <c r="S12" s="47">
        <v>374</v>
      </c>
      <c r="T12" s="47">
        <v>0</v>
      </c>
      <c r="U12" s="47">
        <v>0</v>
      </c>
      <c r="V12" s="47">
        <v>0</v>
      </c>
      <c r="W12" s="110">
        <f ca="1">SUMIFS(Data_Actual_LG_EXW[SL],Data_Actual_LG_EXW[Year],2025,Data_Actual_LG_EXW[Month],'DB 2025'!W$1,Data_Actual_LG_EXW[Mã KH],DB_25[[#This Row],[Mã khách]],Data_Actual_LG_EXW[Mã SKU],DB_25[[#This Row],[Mã sản phẩm]])/10^3</f>
        <v>0</v>
      </c>
      <c r="X12" s="33"/>
      <c r="Y12" s="33"/>
      <c r="Z12" s="33"/>
      <c r="AA12" s="19">
        <f ca="1">SUM(DB_25[[#This Row],[SL-01]:[SL-12]])</f>
        <v>968</v>
      </c>
      <c r="AB12" s="7"/>
      <c r="AC12" s="20">
        <f ca="1">DB_25[[#This Row],[SL-DB25]]-DB_25[[#This Row],[SL-KH25]]</f>
        <v>968</v>
      </c>
      <c r="AD12" s="21">
        <f ca="1">IFERROR(DB_25[[#This Row],[SL-+/-]]/DB_25[[#This Row],[SL-KH25]],0)</f>
        <v>0</v>
      </c>
      <c r="AE12" s="23">
        <v>0</v>
      </c>
      <c r="AF12" s="23">
        <v>1245.4717091567677</v>
      </c>
      <c r="AG12" s="23">
        <v>1292.9466553328562</v>
      </c>
      <c r="AH12" s="23">
        <v>1315.2899738733297</v>
      </c>
      <c r="AI12" s="23">
        <v>1300.2584576698425</v>
      </c>
      <c r="AJ12" s="23">
        <v>0</v>
      </c>
      <c r="AK12" s="23">
        <v>0</v>
      </c>
      <c r="AL12" s="23">
        <v>0</v>
      </c>
      <c r="AM12" s="111">
        <v>0</v>
      </c>
      <c r="AN12" s="51">
        <f ca="1">IFERROR(SUM(DB_25[[#This Row],[DT-01-USD]:[DT-09-USD]])/SUM(DB_25[[#This Row],[SL-01]:[SL-09]]),0)</f>
        <v>1276.2233596594219</v>
      </c>
      <c r="AO12" s="51">
        <f ca="1">DB_25[[#This Row],[GB-10]]</f>
        <v>1276.2233596594219</v>
      </c>
      <c r="AP12" s="51">
        <f ca="1">DB_25[[#This Row],[GB-11]]</f>
        <v>1276.2233596594219</v>
      </c>
      <c r="AQ12" s="7"/>
      <c r="AR12" s="7"/>
      <c r="AS12" s="7"/>
      <c r="AT12" s="7"/>
      <c r="AU12" s="47">
        <v>0</v>
      </c>
      <c r="AV12" s="47">
        <v>13883241227.407238</v>
      </c>
      <c r="AW12" s="47">
        <v>2167495773</v>
      </c>
      <c r="AX12" s="47">
        <v>2952668156.5487604</v>
      </c>
      <c r="AY12" s="47">
        <v>12534737985.768213</v>
      </c>
      <c r="AZ12" s="47">
        <v>0</v>
      </c>
      <c r="BA12" s="47">
        <v>0</v>
      </c>
      <c r="BB12" s="47">
        <v>0</v>
      </c>
      <c r="BC12" s="47">
        <v>0</v>
      </c>
      <c r="BD12" s="19">
        <f ca="1">DB_25[[#This Row],[SL-10]]*DB_25[[#This Row],[GB-10]]*BD$2/10^3</f>
        <v>0</v>
      </c>
      <c r="BE12" s="19">
        <f ca="1">DB_25[[#This Row],[SL-11]]*DB_25[[#This Row],[GB-11]]*BE$2/10^3</f>
        <v>0</v>
      </c>
      <c r="BF12" s="19">
        <f ca="1">DB_25[[#This Row],[SL-12]]*DB_25[[#This Row],[GB-12]]*BF$2/10^3</f>
        <v>0</v>
      </c>
      <c r="BG12" s="47">
        <f ca="1">SUM(DB_25[[#This Row],[DT-01]:[DT-12]])</f>
        <v>31538143142.724213</v>
      </c>
      <c r="BH12" s="7"/>
      <c r="BI12" s="7"/>
      <c r="BJ12" s="7"/>
      <c r="BK12" s="50">
        <v>0</v>
      </c>
      <c r="BL12" s="109">
        <v>548007.55202897778</v>
      </c>
      <c r="BM12" s="109">
        <v>85334.4792519685</v>
      </c>
      <c r="BN12" s="109">
        <v>115745.51770085302</v>
      </c>
      <c r="BO12" s="109">
        <v>486296.66316852113</v>
      </c>
      <c r="BP12" s="109">
        <v>0</v>
      </c>
      <c r="BQ12" s="109">
        <v>0</v>
      </c>
      <c r="BR12" s="109">
        <v>0</v>
      </c>
      <c r="BS12" s="109">
        <v>0</v>
      </c>
      <c r="BT12" s="147">
        <f ca="1">DB_25[[#This Row],[SL-10]]*DB_25[[#This Row],[GB-10]]</f>
        <v>0</v>
      </c>
      <c r="BU12" s="147">
        <f ca="1">DB_25[[#This Row],[SL-11]]*DB_25[[#This Row],[GB-11]]</f>
        <v>0</v>
      </c>
      <c r="BV12" s="147">
        <f ca="1">DB_25[[#This Row],[SL-12]]*DB_25[[#This Row],[GB-12]]</f>
        <v>0</v>
      </c>
      <c r="BW12" s="47">
        <f ca="1">SUM(DB_25[[#This Row],[DT-01-USD]:[DT-12-USD]])</f>
        <v>1235384.2121503204</v>
      </c>
    </row>
    <row r="13" spans="1:75" x14ac:dyDescent="0.35">
      <c r="A13" s="18">
        <f>ROWS($A$6:A13)</f>
        <v>8</v>
      </c>
      <c r="B13" s="18" t="s">
        <v>115</v>
      </c>
      <c r="C13" s="18" t="str">
        <f>IFERROR(_xlfn.XLOOKUP(DB_25[[#This Row],[Salesman]],MD_Salesman[Salesman],MD_Salesman[SalesManager]),"")</f>
        <v>Quốc Anh</v>
      </c>
      <c r="D13" s="7" t="s">
        <v>594</v>
      </c>
      <c r="E13" s="7" t="s">
        <v>267</v>
      </c>
      <c r="F13" s="7"/>
      <c r="G13" s="7" t="str">
        <f>_xlfn.XLOOKUP(DB_25[[#This Row],[Mã khách]],MD_Customer[Mã khách],MD_Customer[Kênh bán hàng])</f>
        <v>Nội địa</v>
      </c>
      <c r="H13" s="7"/>
      <c r="I13" s="7"/>
      <c r="J13" s="7"/>
      <c r="K13" s="7" t="s">
        <v>182</v>
      </c>
      <c r="L13" s="7" t="str">
        <f>_xlfn.XLOOKUP(DB_25[[#This Row],[Mã sản phẩm]],MD_SKU[Mã SKU],MD_SKU[Tên SKU-rút gọn])</f>
        <v>WSS05SB</v>
      </c>
      <c r="M13" s="7" t="str">
        <f>_xlfn.XLOOKUP(DB_25[[#This Row],[Mã sản phẩm]],MD_SKU[Mã SKU],MD_SKU[Nhóm ngành])</f>
        <v>Hạt Xơ sợi</v>
      </c>
      <c r="N13" s="7"/>
      <c r="O13" s="47">
        <v>0</v>
      </c>
      <c r="P13" s="47">
        <v>0</v>
      </c>
      <c r="Q13" s="47">
        <v>0</v>
      </c>
      <c r="R13" s="47">
        <v>0</v>
      </c>
      <c r="S13" s="47">
        <v>0</v>
      </c>
      <c r="T13" s="47">
        <v>0</v>
      </c>
      <c r="U13" s="47">
        <v>0</v>
      </c>
      <c r="V13" s="47">
        <v>259.35000000000002</v>
      </c>
      <c r="W13" s="110">
        <f ca="1">SUMIFS(Data_Actual_LG_EXW[SL],Data_Actual_LG_EXW[Year],2025,Data_Actual_LG_EXW[Month],'DB 2025'!W$1,Data_Actual_LG_EXW[Mã KH],DB_25[[#This Row],[Mã khách]],Data_Actual_LG_EXW[Mã SKU],DB_25[[#This Row],[Mã sản phẩm]])/10^3</f>
        <v>177.45</v>
      </c>
      <c r="X13" s="33">
        <v>150</v>
      </c>
      <c r="Y13" s="33">
        <v>150</v>
      </c>
      <c r="Z13" s="33">
        <v>150</v>
      </c>
      <c r="AA13" s="19">
        <f ca="1">SUM(DB_25[[#This Row],[SL-01]:[SL-12]])</f>
        <v>886.8</v>
      </c>
      <c r="AB13" s="7"/>
      <c r="AC13" s="20">
        <f ca="1">DB_25[[#This Row],[SL-DB25]]-DB_25[[#This Row],[SL-KH25]]</f>
        <v>886.8</v>
      </c>
      <c r="AD13" s="21">
        <f ca="1">IFERROR(DB_25[[#This Row],[SL-+/-]]/DB_25[[#This Row],[SL-KH25]],0)</f>
        <v>0</v>
      </c>
      <c r="AE13" s="23">
        <v>0</v>
      </c>
      <c r="AF13" s="23">
        <v>0</v>
      </c>
      <c r="AG13" s="23">
        <v>0</v>
      </c>
      <c r="AH13" s="23">
        <v>0</v>
      </c>
      <c r="AI13" s="23">
        <v>0</v>
      </c>
      <c r="AJ13" s="23">
        <v>0</v>
      </c>
      <c r="AK13" s="23">
        <v>0</v>
      </c>
      <c r="AL13" s="23">
        <v>675.06681174787491</v>
      </c>
      <c r="AM13" s="111">
        <v>673.099761226601</v>
      </c>
      <c r="AN13" s="51">
        <f ca="1">IFERROR(SUM(DB_25[[#This Row],[DT-01-USD]:[DT-09-USD]])/SUM(DB_25[[#This Row],[SL-01]:[SL-09]]),0)</f>
        <v>674.26769747360731</v>
      </c>
      <c r="AO13" s="51">
        <f ca="1">DB_25[[#This Row],[GB-10]]</f>
        <v>674.26769747360731</v>
      </c>
      <c r="AP13" s="51">
        <f ca="1">DB_25[[#This Row],[GB-11]]</f>
        <v>674.26769747360731</v>
      </c>
      <c r="AQ13" s="7"/>
      <c r="AR13" s="7"/>
      <c r="AS13" s="7"/>
      <c r="AT13" s="7"/>
      <c r="AU13" s="47">
        <v>0</v>
      </c>
      <c r="AV13" s="47">
        <v>0</v>
      </c>
      <c r="AW13" s="47">
        <v>0</v>
      </c>
      <c r="AX13" s="47">
        <v>0</v>
      </c>
      <c r="AY13" s="47">
        <v>0</v>
      </c>
      <c r="AZ13" s="47">
        <v>0</v>
      </c>
      <c r="BA13" s="47">
        <v>0</v>
      </c>
      <c r="BB13" s="47">
        <v>4575322497.2401371</v>
      </c>
      <c r="BC13" s="47">
        <v>3130621690.5760155</v>
      </c>
      <c r="BD13" s="19">
        <f ca="1">DB_25[[#This Row],[SL-10]]*DB_25[[#This Row],[GB-10]]*BD$2/10^3</f>
        <v>2649872.0510712774</v>
      </c>
      <c r="BE13" s="19">
        <f ca="1">DB_25[[#This Row],[SL-11]]*DB_25[[#This Row],[GB-11]]*BE$2/10^3</f>
        <v>2649872.0510712774</v>
      </c>
      <c r="BF13" s="19">
        <f ca="1">DB_25[[#This Row],[SL-12]]*DB_25[[#This Row],[GB-12]]*BF$2/10^3</f>
        <v>2649872.0510712774</v>
      </c>
      <c r="BG13" s="47">
        <f ca="1">SUM(DB_25[[#This Row],[DT-01]:[DT-12]])</f>
        <v>7713893803.9693661</v>
      </c>
      <c r="BH13" s="7"/>
      <c r="BI13" s="7"/>
      <c r="BJ13" s="7"/>
      <c r="BK13" s="50">
        <v>0</v>
      </c>
      <c r="BL13" s="109">
        <v>0</v>
      </c>
      <c r="BM13" s="109">
        <v>0</v>
      </c>
      <c r="BN13" s="109">
        <v>0</v>
      </c>
      <c r="BO13" s="109">
        <v>0</v>
      </c>
      <c r="BP13" s="109">
        <v>0</v>
      </c>
      <c r="BQ13" s="109">
        <v>0</v>
      </c>
      <c r="BR13" s="109">
        <v>175078.57762681137</v>
      </c>
      <c r="BS13" s="109">
        <v>119441.55262966033</v>
      </c>
      <c r="BT13" s="147">
        <f ca="1">DB_25[[#This Row],[SL-10]]*DB_25[[#This Row],[GB-10]]</f>
        <v>101140.1546210411</v>
      </c>
      <c r="BU13" s="147">
        <f ca="1">DB_25[[#This Row],[SL-11]]*DB_25[[#This Row],[GB-11]]</f>
        <v>101140.1546210411</v>
      </c>
      <c r="BV13" s="147">
        <f ca="1">DB_25[[#This Row],[SL-12]]*DB_25[[#This Row],[GB-12]]</f>
        <v>101140.1546210411</v>
      </c>
      <c r="BW13" s="47">
        <f ca="1">SUM(DB_25[[#This Row],[DT-01-USD]:[DT-12-USD]])</f>
        <v>597940.59411959501</v>
      </c>
    </row>
    <row r="14" spans="1:75" x14ac:dyDescent="0.35">
      <c r="A14" s="18">
        <f>ROWS($A$6:A14)</f>
        <v>9</v>
      </c>
      <c r="B14" s="18" t="s">
        <v>95</v>
      </c>
      <c r="C14" s="18" t="str">
        <f>IFERROR(_xlfn.XLOOKUP(DB_25[[#This Row],[Salesman]],MD_Salesman[Salesman],MD_Salesman[SalesManager]),"")</f>
        <v>Cường</v>
      </c>
      <c r="D14" s="7" t="s">
        <v>595</v>
      </c>
      <c r="E14" s="7" t="s">
        <v>478</v>
      </c>
      <c r="F14" s="7"/>
      <c r="G14" s="7" t="str">
        <f>_xlfn.XLOOKUP(DB_25[[#This Row],[Mã khách]],MD_Customer[Mã khách],MD_Customer[Kênh bán hàng])</f>
        <v>Nội địa</v>
      </c>
      <c r="H14" s="7"/>
      <c r="I14" s="7"/>
      <c r="J14" s="7"/>
      <c r="K14" s="7" t="s">
        <v>184</v>
      </c>
      <c r="L14" s="7" t="str">
        <f>_xlfn.XLOOKUP(DB_25[[#This Row],[Mã sản phẩm]],MD_SKU[Mã SKU],MD_SKU[Tên SKU-rút gọn])</f>
        <v>rHDPE MBF01</v>
      </c>
      <c r="M14" s="7" t="str">
        <f>_xlfn.XLOOKUP(DB_25[[#This Row],[Mã sản phẩm]],MD_SKU[Mã SKU],MD_SKU[Nhóm ngành])</f>
        <v>Hạt HD thổi</v>
      </c>
      <c r="N14" s="7"/>
      <c r="O14" s="47">
        <v>54.85</v>
      </c>
      <c r="P14" s="47">
        <v>77</v>
      </c>
      <c r="Q14" s="47">
        <v>88</v>
      </c>
      <c r="R14" s="47">
        <v>22</v>
      </c>
      <c r="S14" s="47">
        <v>77</v>
      </c>
      <c r="T14" s="47">
        <v>88</v>
      </c>
      <c r="U14" s="47">
        <v>99</v>
      </c>
      <c r="V14" s="47">
        <v>77</v>
      </c>
      <c r="W14" s="110">
        <f ca="1">SUMIFS(Data_Actual_LG_EXW[SL],Data_Actual_LG_EXW[Year],2025,Data_Actual_LG_EXW[Month],'DB 2025'!W$1,Data_Actual_LG_EXW[Mã KH],DB_25[[#This Row],[Mã khách]],Data_Actual_LG_EXW[Mã SKU],DB_25[[#This Row],[Mã sản phẩm]])/10^3</f>
        <v>77</v>
      </c>
      <c r="X14" s="33">
        <v>55</v>
      </c>
      <c r="Y14" s="33">
        <v>55</v>
      </c>
      <c r="Z14" s="33">
        <v>55</v>
      </c>
      <c r="AA14" s="19">
        <f ca="1">SUM(DB_25[[#This Row],[SL-01]:[SL-12]])</f>
        <v>824.85</v>
      </c>
      <c r="AB14" s="7"/>
      <c r="AC14" s="20">
        <f ca="1">DB_25[[#This Row],[SL-DB25]]-DB_25[[#This Row],[SL-KH25]]</f>
        <v>824.85</v>
      </c>
      <c r="AD14" s="21">
        <f ca="1">IFERROR(DB_25[[#This Row],[SL-+/-]]/DB_25[[#This Row],[SL-KH25]],0)</f>
        <v>0</v>
      </c>
      <c r="AE14" s="23">
        <v>1392.4109717956405</v>
      </c>
      <c r="AF14" s="23">
        <v>1407.0842790048587</v>
      </c>
      <c r="AG14" s="23">
        <v>1401.4169223246172</v>
      </c>
      <c r="AH14" s="23">
        <v>1348.8895790310251</v>
      </c>
      <c r="AI14" s="23">
        <v>1343.2524599058197</v>
      </c>
      <c r="AJ14" s="23">
        <v>1336.1997818860627</v>
      </c>
      <c r="AK14" s="23">
        <v>1353.2218261105143</v>
      </c>
      <c r="AL14" s="23">
        <v>1371.5527028385243</v>
      </c>
      <c r="AM14" s="111">
        <v>1367.4959606229309</v>
      </c>
      <c r="AN14" s="51">
        <f ca="1">IFERROR(SUM(DB_25[[#This Row],[DT-01-USD]:[DT-09-USD]])/SUM(DB_25[[#This Row],[SL-01]:[SL-09]]),0)</f>
        <v>1369.4191396223509</v>
      </c>
      <c r="AO14" s="51">
        <f ca="1">DB_25[[#This Row],[GB-10]]</f>
        <v>1369.4191396223509</v>
      </c>
      <c r="AP14" s="51">
        <f ca="1">DB_25[[#This Row],[GB-11]]</f>
        <v>1369.4191396223509</v>
      </c>
      <c r="AQ14" s="7"/>
      <c r="AR14" s="7"/>
      <c r="AS14" s="7"/>
      <c r="AT14" s="7"/>
      <c r="AU14" s="47">
        <v>1924905900</v>
      </c>
      <c r="AV14" s="47">
        <v>2738120000</v>
      </c>
      <c r="AW14" s="47">
        <v>3129280000</v>
      </c>
      <c r="AX14" s="47">
        <v>761805000</v>
      </c>
      <c r="AY14" s="47">
        <v>2666317500</v>
      </c>
      <c r="AZ14" s="47">
        <v>3047220000</v>
      </c>
      <c r="BA14" s="47">
        <v>3481593060</v>
      </c>
      <c r="BB14" s="47">
        <v>2759890980</v>
      </c>
      <c r="BC14" s="47">
        <v>2759890980</v>
      </c>
      <c r="BD14" s="19">
        <f ca="1">DB_25[[#This Row],[SL-10]]*DB_25[[#This Row],[GB-10]]*BD$2/10^3</f>
        <v>1973332.9801958075</v>
      </c>
      <c r="BE14" s="19">
        <f ca="1">DB_25[[#This Row],[SL-11]]*DB_25[[#This Row],[GB-11]]*BE$2/10^3</f>
        <v>1973332.9801958075</v>
      </c>
      <c r="BF14" s="19">
        <f ca="1">DB_25[[#This Row],[SL-12]]*DB_25[[#This Row],[GB-12]]*BF$2/10^3</f>
        <v>1973332.9801958075</v>
      </c>
      <c r="BG14" s="47">
        <f ca="1">SUM(DB_25[[#This Row],[DT-01]:[DT-12]])</f>
        <v>23274943418.940582</v>
      </c>
      <c r="BH14" s="7"/>
      <c r="BI14" s="7"/>
      <c r="BJ14" s="7"/>
      <c r="BK14" s="50">
        <v>76373.741802990888</v>
      </c>
      <c r="BL14" s="109">
        <v>108345.48948337411</v>
      </c>
      <c r="BM14" s="109">
        <v>123324.68916456631</v>
      </c>
      <c r="BN14" s="109">
        <v>29675.570738682552</v>
      </c>
      <c r="BO14" s="109">
        <v>103430.43941274812</v>
      </c>
      <c r="BP14" s="109">
        <v>117585.58080597351</v>
      </c>
      <c r="BQ14" s="109">
        <v>133968.96078494092</v>
      </c>
      <c r="BR14" s="109">
        <v>105609.55811856636</v>
      </c>
      <c r="BS14" s="109">
        <v>105297.18896796567</v>
      </c>
      <c r="BT14" s="147">
        <f ca="1">DB_25[[#This Row],[SL-10]]*DB_25[[#This Row],[GB-10]]</f>
        <v>75318.052679229295</v>
      </c>
      <c r="BU14" s="147">
        <f ca="1">DB_25[[#This Row],[SL-11]]*DB_25[[#This Row],[GB-11]]</f>
        <v>75318.052679229295</v>
      </c>
      <c r="BV14" s="147">
        <f ca="1">DB_25[[#This Row],[SL-12]]*DB_25[[#This Row],[GB-12]]</f>
        <v>75318.052679229295</v>
      </c>
      <c r="BW14" s="47">
        <f ca="1">SUM(DB_25[[#This Row],[DT-01-USD]:[DT-12-USD]])</f>
        <v>1129565.3773174963</v>
      </c>
    </row>
    <row r="15" spans="1:75" x14ac:dyDescent="0.35">
      <c r="A15" s="18">
        <f>ROWS($A$6:A15)</f>
        <v>10</v>
      </c>
      <c r="B15" s="18" t="s">
        <v>101</v>
      </c>
      <c r="C15" s="18" t="str">
        <f>IFERROR(_xlfn.XLOOKUP(DB_25[[#This Row],[Salesman]],MD_Salesman[Salesman],MD_Salesman[SalesManager]),"")</f>
        <v>Cường</v>
      </c>
      <c r="D15" s="7" t="s">
        <v>596</v>
      </c>
      <c r="E15" s="7" t="s">
        <v>266</v>
      </c>
      <c r="F15" s="7"/>
      <c r="G15" s="7" t="str">
        <f>_xlfn.XLOOKUP(DB_25[[#This Row],[Mã khách]],MD_Customer[Mã khách],MD_Customer[Kênh bán hàng])</f>
        <v>Nội địa</v>
      </c>
      <c r="H15" s="7"/>
      <c r="I15" s="7"/>
      <c r="J15" s="7"/>
      <c r="K15" s="7" t="s">
        <v>171</v>
      </c>
      <c r="L15" s="7" t="str">
        <f>_xlfn.XLOOKUP(DB_25[[#This Row],[Mã sản phẩm]],MD_SKU[Mã SKU],MD_SKU[Tên SKU-rút gọn])</f>
        <v>WSS01G 1</v>
      </c>
      <c r="M15" s="7" t="str">
        <f>_xlfn.XLOOKUP(DB_25[[#This Row],[Mã sản phẩm]],MD_SKU[Mã SKU],MD_SKU[Nhóm ngành])</f>
        <v>Hạt PET</v>
      </c>
      <c r="N15" s="7"/>
      <c r="O15" s="47">
        <v>44</v>
      </c>
      <c r="P15" s="47">
        <v>77</v>
      </c>
      <c r="Q15" s="47">
        <v>110</v>
      </c>
      <c r="R15" s="47">
        <v>56.1</v>
      </c>
      <c r="S15" s="47">
        <v>64.900000000000006</v>
      </c>
      <c r="T15" s="47">
        <v>66</v>
      </c>
      <c r="U15" s="47">
        <v>99</v>
      </c>
      <c r="V15" s="47">
        <v>0</v>
      </c>
      <c r="W15" s="110">
        <f ca="1">SUMIFS(Data_Actual_LG_EXW[SL],Data_Actual_LG_EXW[Year],2025,Data_Actual_LG_EXW[Month],'DB 2025'!W$1,Data_Actual_LG_EXW[Mã KH],DB_25[[#This Row],[Mã khách]],Data_Actual_LG_EXW[Mã SKU],DB_25[[#This Row],[Mã sản phẩm]])/10^3</f>
        <v>0</v>
      </c>
      <c r="X15" s="33">
        <v>22</v>
      </c>
      <c r="Y15" s="33">
        <v>88</v>
      </c>
      <c r="Z15" s="33">
        <v>88</v>
      </c>
      <c r="AA15" s="19">
        <f ca="1">SUM(DB_25[[#This Row],[SL-01]:[SL-12]])</f>
        <v>715</v>
      </c>
      <c r="AB15" s="7"/>
      <c r="AC15" s="20">
        <f ca="1">DB_25[[#This Row],[SL-DB25]]-DB_25[[#This Row],[SL-KH25]]</f>
        <v>715</v>
      </c>
      <c r="AD15" s="21">
        <f ca="1">IFERROR(DB_25[[#This Row],[SL-+/-]]/DB_25[[#This Row],[SL-KH25]],0)</f>
        <v>0</v>
      </c>
      <c r="AE15" s="23">
        <v>1289.1609341995484</v>
      </c>
      <c r="AF15" s="23">
        <v>1232.2741288614097</v>
      </c>
      <c r="AG15" s="23">
        <v>1224.4422109745854</v>
      </c>
      <c r="AH15" s="23">
        <v>1248.2440209701363</v>
      </c>
      <c r="AI15" s="23">
        <v>1253.2528197629988</v>
      </c>
      <c r="AJ15" s="23">
        <v>1256.3932140259913</v>
      </c>
      <c r="AK15" s="23">
        <v>1251.4188095523248</v>
      </c>
      <c r="AL15" s="23">
        <v>0</v>
      </c>
      <c r="AM15" s="111">
        <v>0</v>
      </c>
      <c r="AN15" s="51">
        <f ca="1">IFERROR(SUM(DB_25[[#This Row],[DT-01-USD]:[DT-09-USD]])/SUM(DB_25[[#This Row],[SL-01]:[SL-09]]),0)</f>
        <v>1246.560626856387</v>
      </c>
      <c r="AO15" s="51">
        <f ca="1">DB_25[[#This Row],[GB-10]]</f>
        <v>1246.560626856387</v>
      </c>
      <c r="AP15" s="51">
        <f ca="1">DB_25[[#This Row],[GB-11]]</f>
        <v>1246.560626856387</v>
      </c>
      <c r="AQ15" s="7"/>
      <c r="AR15" s="7"/>
      <c r="AS15" s="7"/>
      <c r="AT15" s="7"/>
      <c r="AU15" s="47">
        <v>1429635250.3772955</v>
      </c>
      <c r="AV15" s="47">
        <v>2397947648.2420092</v>
      </c>
      <c r="AW15" s="47">
        <v>3417632594.6624804</v>
      </c>
      <c r="AX15" s="47">
        <v>1797658092.6287017</v>
      </c>
      <c r="AY15" s="47">
        <v>2096751105.1929498</v>
      </c>
      <c r="AZ15" s="47">
        <v>2148915106.9761605</v>
      </c>
      <c r="BA15" s="47">
        <v>3219672457.5553913</v>
      </c>
      <c r="BB15" s="47">
        <v>0</v>
      </c>
      <c r="BC15" s="47">
        <v>0</v>
      </c>
      <c r="BD15" s="19">
        <f ca="1">DB_25[[#This Row],[SL-10]]*DB_25[[#This Row],[GB-10]]*BD$2/10^3</f>
        <v>718517.54532002145</v>
      </c>
      <c r="BE15" s="19">
        <f ca="1">DB_25[[#This Row],[SL-11]]*DB_25[[#This Row],[GB-11]]*BE$2/10^3</f>
        <v>2874070.1812800858</v>
      </c>
      <c r="BF15" s="19">
        <f ca="1">DB_25[[#This Row],[SL-12]]*DB_25[[#This Row],[GB-12]]*BF$2/10^3</f>
        <v>2874070.1812800858</v>
      </c>
      <c r="BG15" s="47">
        <f ca="1">SUM(DB_25[[#This Row],[DT-01]:[DT-12]])</f>
        <v>16514678913.542868</v>
      </c>
      <c r="BH15" s="7"/>
      <c r="BI15" s="7"/>
      <c r="BJ15" s="7"/>
      <c r="BK15" s="50">
        <v>56723.081104780133</v>
      </c>
      <c r="BL15" s="109">
        <v>94885.107922328549</v>
      </c>
      <c r="BM15" s="109">
        <v>134688.64320720438</v>
      </c>
      <c r="BN15" s="109">
        <v>70026.489576424647</v>
      </c>
      <c r="BO15" s="109">
        <v>81336.108002618625</v>
      </c>
      <c r="BP15" s="109">
        <v>82921.952125715427</v>
      </c>
      <c r="BQ15" s="109">
        <v>123890.46214568015</v>
      </c>
      <c r="BR15" s="109">
        <v>0</v>
      </c>
      <c r="BS15" s="109">
        <v>0</v>
      </c>
      <c r="BT15" s="147">
        <f ca="1">DB_25[[#This Row],[SL-10]]*DB_25[[#This Row],[GB-10]]</f>
        <v>27424.333790840516</v>
      </c>
      <c r="BU15" s="147">
        <f ca="1">DB_25[[#This Row],[SL-11]]*DB_25[[#This Row],[GB-11]]</f>
        <v>109697.33516336206</v>
      </c>
      <c r="BV15" s="147">
        <f ca="1">DB_25[[#This Row],[SL-12]]*DB_25[[#This Row],[GB-12]]</f>
        <v>109697.33516336206</v>
      </c>
      <c r="BW15" s="47">
        <f ca="1">SUM(DB_25[[#This Row],[DT-01-USD]:[DT-12-USD]])</f>
        <v>891290.84820231667</v>
      </c>
    </row>
    <row r="16" spans="1:75" x14ac:dyDescent="0.35">
      <c r="A16" s="18">
        <f>ROWS($A$6:A16)</f>
        <v>11</v>
      </c>
      <c r="B16" s="18" t="s">
        <v>95</v>
      </c>
      <c r="C16" s="18" t="str">
        <f>IFERROR(_xlfn.XLOOKUP(DB_25[[#This Row],[Salesman]],MD_Salesman[Salesman],MD_Salesman[SalesManager]),"")</f>
        <v>Cường</v>
      </c>
      <c r="D16" s="7" t="s">
        <v>597</v>
      </c>
      <c r="E16" s="7" t="s">
        <v>123</v>
      </c>
      <c r="F16" s="7"/>
      <c r="G16" s="7" t="str">
        <f>_xlfn.XLOOKUP(DB_25[[#This Row],[Mã khách]],MD_Customer[Mã khách],MD_Customer[Kênh bán hàng])</f>
        <v>Xuất khẩu</v>
      </c>
      <c r="H16" s="7"/>
      <c r="I16" s="7"/>
      <c r="J16" s="7"/>
      <c r="K16" s="7" t="s">
        <v>172</v>
      </c>
      <c r="L16" s="7" t="str">
        <f>_xlfn.XLOOKUP(DB_25[[#This Row],[Mã sản phẩm]],MD_SKU[Mã SKU],MD_SKU[Tên SKU-rút gọn])</f>
        <v>iSS01G 1</v>
      </c>
      <c r="M16" s="7" t="str">
        <f>_xlfn.XLOOKUP(DB_25[[#This Row],[Mã sản phẩm]],MD_SKU[Mã SKU],MD_SKU[Nhóm ngành])</f>
        <v>Hạt PET</v>
      </c>
      <c r="N16" s="7"/>
      <c r="O16" s="47">
        <v>0</v>
      </c>
      <c r="P16" s="47">
        <v>0</v>
      </c>
      <c r="Q16" s="47">
        <v>0</v>
      </c>
      <c r="R16" s="47">
        <v>0</v>
      </c>
      <c r="S16" s="47">
        <v>0</v>
      </c>
      <c r="T16" s="47">
        <v>0</v>
      </c>
      <c r="U16" s="47">
        <v>0</v>
      </c>
      <c r="V16" s="47">
        <v>330</v>
      </c>
      <c r="W16" s="110">
        <f ca="1">SUMIFS(Data_Actual_LG_EXW[SL],Data_Actual_LG_EXW[Year],2025,Data_Actual_LG_EXW[Month],'DB 2025'!W$1,Data_Actual_LG_EXW[Mã KH],DB_25[[#This Row],[Mã khách]],Data_Actual_LG_EXW[Mã SKU],DB_25[[#This Row],[Mã sản phẩm]])/10^3</f>
        <v>0</v>
      </c>
      <c r="X16" s="33"/>
      <c r="Y16" s="33"/>
      <c r="Z16" s="33"/>
      <c r="AA16" s="19">
        <f ca="1">SUM(DB_25[[#This Row],[SL-01]:[SL-12]])</f>
        <v>330</v>
      </c>
      <c r="AB16" s="7"/>
      <c r="AC16" s="20">
        <f ca="1">DB_25[[#This Row],[SL-DB25]]-DB_25[[#This Row],[SL-KH25]]</f>
        <v>330</v>
      </c>
      <c r="AD16" s="21">
        <f ca="1">IFERROR(DB_25[[#This Row],[SL-+/-]]/DB_25[[#This Row],[SL-KH25]],0)</f>
        <v>0</v>
      </c>
      <c r="AE16" s="23">
        <v>0</v>
      </c>
      <c r="AF16" s="23">
        <v>0</v>
      </c>
      <c r="AG16" s="23">
        <v>0</v>
      </c>
      <c r="AH16" s="23">
        <v>0</v>
      </c>
      <c r="AI16" s="23">
        <v>0</v>
      </c>
      <c r="AJ16" s="23">
        <v>0</v>
      </c>
      <c r="AK16" s="23">
        <v>0</v>
      </c>
      <c r="AL16" s="23">
        <v>1274.3382732566247</v>
      </c>
      <c r="AM16" s="111">
        <v>0</v>
      </c>
      <c r="AN16" s="51">
        <f ca="1">IFERROR(SUM(DB_25[[#This Row],[DT-01-USD]:[DT-09-USD]])/SUM(DB_25[[#This Row],[SL-01]:[SL-09]]),0)</f>
        <v>1274.3382732566247</v>
      </c>
      <c r="AO16" s="51">
        <f ca="1">DB_25[[#This Row],[GB-10]]</f>
        <v>1274.3382732566247</v>
      </c>
      <c r="AP16" s="51">
        <f ca="1">DB_25[[#This Row],[GB-11]]</f>
        <v>1274.3382732566247</v>
      </c>
      <c r="AQ16" s="7"/>
      <c r="AR16" s="7"/>
      <c r="AS16" s="7"/>
      <c r="AT16" s="7"/>
      <c r="AU16" s="47">
        <v>0</v>
      </c>
      <c r="AV16" s="47">
        <v>0</v>
      </c>
      <c r="AW16" s="47">
        <v>0</v>
      </c>
      <c r="AX16" s="47">
        <v>0</v>
      </c>
      <c r="AY16" s="47">
        <v>0</v>
      </c>
      <c r="AZ16" s="47">
        <v>0</v>
      </c>
      <c r="BA16" s="47">
        <v>0</v>
      </c>
      <c r="BB16" s="47">
        <v>10942233017.145329</v>
      </c>
      <c r="BC16" s="47">
        <v>0</v>
      </c>
      <c r="BD16" s="19">
        <f ca="1">DB_25[[#This Row],[SL-10]]*DB_25[[#This Row],[GB-10]]*BD$2/10^3</f>
        <v>0</v>
      </c>
      <c r="BE16" s="19">
        <f ca="1">DB_25[[#This Row],[SL-11]]*DB_25[[#This Row],[GB-11]]*BE$2/10^3</f>
        <v>0</v>
      </c>
      <c r="BF16" s="19">
        <f ca="1">DB_25[[#This Row],[SL-12]]*DB_25[[#This Row],[GB-12]]*BF$2/10^3</f>
        <v>0</v>
      </c>
      <c r="BG16" s="47">
        <f ca="1">SUM(DB_25[[#This Row],[DT-01]:[DT-12]])</f>
        <v>10942233017.145329</v>
      </c>
      <c r="BH16" s="7"/>
      <c r="BI16" s="7"/>
      <c r="BJ16" s="7"/>
      <c r="BK16" s="50">
        <v>0</v>
      </c>
      <c r="BL16" s="109">
        <v>0</v>
      </c>
      <c r="BM16" s="109">
        <v>0</v>
      </c>
      <c r="BN16" s="109">
        <v>0</v>
      </c>
      <c r="BO16" s="109">
        <v>0</v>
      </c>
      <c r="BP16" s="109">
        <v>0</v>
      </c>
      <c r="BQ16" s="109">
        <v>0</v>
      </c>
      <c r="BR16" s="109">
        <v>420531.63017468614</v>
      </c>
      <c r="BS16" s="109">
        <v>0</v>
      </c>
      <c r="BT16" s="147">
        <f ca="1">DB_25[[#This Row],[SL-10]]*DB_25[[#This Row],[GB-10]]</f>
        <v>0</v>
      </c>
      <c r="BU16" s="147">
        <f ca="1">DB_25[[#This Row],[SL-11]]*DB_25[[#This Row],[GB-11]]</f>
        <v>0</v>
      </c>
      <c r="BV16" s="147">
        <f ca="1">DB_25[[#This Row],[SL-12]]*DB_25[[#This Row],[GB-12]]</f>
        <v>0</v>
      </c>
      <c r="BW16" s="47">
        <f ca="1">SUM(DB_25[[#This Row],[DT-01-USD]:[DT-12-USD]])</f>
        <v>420531.63017468614</v>
      </c>
    </row>
    <row r="17" spans="1:75" x14ac:dyDescent="0.35">
      <c r="A17" s="18">
        <f>ROWS($A$6:A17)</f>
        <v>12</v>
      </c>
      <c r="B17" s="18" t="s">
        <v>97</v>
      </c>
      <c r="C17" s="18" t="str">
        <f>IFERROR(_xlfn.XLOOKUP(DB_25[[#This Row],[Salesman]],MD_Salesman[Salesman],MD_Salesman[SalesManager]),"")</f>
        <v>Cường</v>
      </c>
      <c r="D17" s="7" t="s">
        <v>598</v>
      </c>
      <c r="E17" s="7" t="s">
        <v>35</v>
      </c>
      <c r="F17" s="7"/>
      <c r="G17" s="7" t="str">
        <f>_xlfn.XLOOKUP(DB_25[[#This Row],[Mã khách]],MD_Customer[Mã khách],MD_Customer[Kênh bán hàng])</f>
        <v>Xuất khẩu</v>
      </c>
      <c r="H17" s="7"/>
      <c r="I17" s="7"/>
      <c r="J17" s="7"/>
      <c r="K17" s="7" t="s">
        <v>179</v>
      </c>
      <c r="L17" s="7" t="e">
        <f>_xlfn.XLOOKUP(DB_25[[#This Row],[Mã sản phẩm]],MD_SKU[Mã SKU],MD_SKU[Tên SKU-rút gọn])</f>
        <v>#N/A</v>
      </c>
      <c r="M17" s="7" t="e">
        <f>_xlfn.XLOOKUP(DB_25[[#This Row],[Mã sản phẩm]],MD_SKU[Mã SKU],MD_SKU[Nhóm ngành])</f>
        <v>#N/A</v>
      </c>
      <c r="N17" s="7"/>
      <c r="O17" s="47">
        <v>0</v>
      </c>
      <c r="P17" s="47">
        <v>0</v>
      </c>
      <c r="Q17" s="47">
        <v>0</v>
      </c>
      <c r="R17" s="47">
        <v>0</v>
      </c>
      <c r="S17" s="47">
        <v>0</v>
      </c>
      <c r="T17" s="47">
        <v>2</v>
      </c>
      <c r="U17" s="47">
        <v>0</v>
      </c>
      <c r="V17" s="47">
        <v>0</v>
      </c>
      <c r="W17" s="110">
        <f ca="1">SUMIFS(Data_Actual_LG_EXW[SL],Data_Actual_LG_EXW[Year],2025,Data_Actual_LG_EXW[Month],'DB 2025'!W$1,Data_Actual_LG_EXW[Mã KH],DB_25[[#This Row],[Mã khách]],Data_Actual_LG_EXW[Mã SKU],DB_25[[#This Row],[Mã sản phẩm]])/10^3</f>
        <v>0</v>
      </c>
      <c r="X17" s="33"/>
      <c r="Y17" s="33"/>
      <c r="Z17" s="33"/>
      <c r="AA17" s="19">
        <f ca="1">SUM(DB_25[[#This Row],[SL-01]:[SL-12]])</f>
        <v>2</v>
      </c>
      <c r="AB17" s="7"/>
      <c r="AC17" s="20">
        <f ca="1">DB_25[[#This Row],[SL-DB25]]-DB_25[[#This Row],[SL-KH25]]</f>
        <v>2</v>
      </c>
      <c r="AD17" s="21">
        <f ca="1">IFERROR(DB_25[[#This Row],[SL-+/-]]/DB_25[[#This Row],[SL-KH25]],0)</f>
        <v>0</v>
      </c>
      <c r="AE17" s="23">
        <v>0</v>
      </c>
      <c r="AF17" s="23">
        <v>0</v>
      </c>
      <c r="AG17" s="23">
        <v>0</v>
      </c>
      <c r="AH17" s="23">
        <v>0</v>
      </c>
      <c r="AI17" s="23">
        <v>0</v>
      </c>
      <c r="AJ17" s="23">
        <v>1012.338138826797</v>
      </c>
      <c r="AK17" s="23">
        <v>0</v>
      </c>
      <c r="AL17" s="23">
        <v>0</v>
      </c>
      <c r="AM17" s="111">
        <v>0</v>
      </c>
      <c r="AN17" s="51">
        <f ca="1">IFERROR(SUM(DB_25[[#This Row],[DT-01-USD]:[DT-09-USD]])/SUM(DB_25[[#This Row],[SL-01]:[SL-09]]),0)</f>
        <v>1012.338138826797</v>
      </c>
      <c r="AO17" s="51">
        <f ca="1">DB_25[[#This Row],[GB-10]]</f>
        <v>1012.338138826797</v>
      </c>
      <c r="AP17" s="51">
        <f ca="1">DB_25[[#This Row],[GB-11]]</f>
        <v>1012.338138826797</v>
      </c>
      <c r="AQ17" s="7"/>
      <c r="AR17" s="7"/>
      <c r="AS17" s="7"/>
      <c r="AT17" s="7"/>
      <c r="AU17" s="47">
        <v>0</v>
      </c>
      <c r="AV17" s="47">
        <v>0</v>
      </c>
      <c r="AW17" s="47">
        <v>0</v>
      </c>
      <c r="AX17" s="47">
        <v>0</v>
      </c>
      <c r="AY17" s="47">
        <v>0</v>
      </c>
      <c r="AZ17" s="47">
        <v>52479609.11678116</v>
      </c>
      <c r="BA17" s="47">
        <v>0</v>
      </c>
      <c r="BB17" s="47">
        <v>0</v>
      </c>
      <c r="BC17" s="47">
        <v>0</v>
      </c>
      <c r="BD17" s="19">
        <f ca="1">DB_25[[#This Row],[SL-10]]*DB_25[[#This Row],[GB-10]]*BD$2/10^3</f>
        <v>0</v>
      </c>
      <c r="BE17" s="19">
        <f ca="1">DB_25[[#This Row],[SL-11]]*DB_25[[#This Row],[GB-11]]*BE$2/10^3</f>
        <v>0</v>
      </c>
      <c r="BF17" s="19">
        <f ca="1">DB_25[[#This Row],[SL-12]]*DB_25[[#This Row],[GB-12]]*BF$2/10^3</f>
        <v>0</v>
      </c>
      <c r="BG17" s="47">
        <f ca="1">SUM(DB_25[[#This Row],[DT-01]:[DT-12]])</f>
        <v>52479609.11678116</v>
      </c>
      <c r="BH17" s="7"/>
      <c r="BI17" s="7"/>
      <c r="BJ17" s="7"/>
      <c r="BK17" s="50">
        <v>0</v>
      </c>
      <c r="BL17" s="109">
        <v>0</v>
      </c>
      <c r="BM17" s="109">
        <v>0</v>
      </c>
      <c r="BN17" s="109">
        <v>0</v>
      </c>
      <c r="BO17" s="109">
        <v>0</v>
      </c>
      <c r="BP17" s="109">
        <v>2024.6762776535941</v>
      </c>
      <c r="BQ17" s="109">
        <v>0</v>
      </c>
      <c r="BR17" s="109">
        <v>0</v>
      </c>
      <c r="BS17" s="109">
        <v>0</v>
      </c>
      <c r="BT17" s="147">
        <f ca="1">DB_25[[#This Row],[SL-10]]*DB_25[[#This Row],[GB-10]]</f>
        <v>0</v>
      </c>
      <c r="BU17" s="147">
        <f ca="1">DB_25[[#This Row],[SL-11]]*DB_25[[#This Row],[GB-11]]</f>
        <v>0</v>
      </c>
      <c r="BV17" s="147">
        <f ca="1">DB_25[[#This Row],[SL-12]]*DB_25[[#This Row],[GB-12]]</f>
        <v>0</v>
      </c>
      <c r="BW17" s="47">
        <f ca="1">SUM(DB_25[[#This Row],[DT-01-USD]:[DT-12-USD]])</f>
        <v>2024.6762776535941</v>
      </c>
    </row>
    <row r="18" spans="1:75" x14ac:dyDescent="0.35">
      <c r="A18" s="18">
        <f>ROWS($A$6:A18)</f>
        <v>13</v>
      </c>
      <c r="B18" s="18" t="s">
        <v>115</v>
      </c>
      <c r="C18" s="18" t="str">
        <f>IFERROR(_xlfn.XLOOKUP(DB_25[[#This Row],[Salesman]],MD_Salesman[Salesman],MD_Salesman[SalesManager]),"")</f>
        <v>Quốc Anh</v>
      </c>
      <c r="D18" s="7" t="s">
        <v>599</v>
      </c>
      <c r="E18" s="7" t="s">
        <v>127</v>
      </c>
      <c r="F18" s="7"/>
      <c r="G18" s="7" t="str">
        <f>_xlfn.XLOOKUP(DB_25[[#This Row],[Mã khách]],MD_Customer[Mã khách],MD_Customer[Kênh bán hàng])</f>
        <v>Xuất khẩu</v>
      </c>
      <c r="H18" s="7"/>
      <c r="I18" s="7"/>
      <c r="J18" s="7"/>
      <c r="K18" s="7" t="s">
        <v>168</v>
      </c>
      <c r="L18" s="7" t="str">
        <f>_xlfn.XLOOKUP(DB_25[[#This Row],[Mã sản phẩm]],MD_SKU[Mã SKU],MD_SKU[Tên SKU-rút gọn])</f>
        <v>iSS1084G</v>
      </c>
      <c r="M18" s="7" t="str">
        <f>_xlfn.XLOOKUP(DB_25[[#This Row],[Mã sản phẩm]],MD_SKU[Mã SKU],MD_SKU[Nhóm ngành])</f>
        <v>Hạt PET</v>
      </c>
      <c r="N18" s="7"/>
      <c r="O18" s="47">
        <v>44</v>
      </c>
      <c r="P18" s="47">
        <v>0</v>
      </c>
      <c r="Q18" s="47">
        <v>0</v>
      </c>
      <c r="R18" s="47">
        <v>0</v>
      </c>
      <c r="S18" s="47">
        <v>0</v>
      </c>
      <c r="T18" s="47">
        <v>0</v>
      </c>
      <c r="U18" s="47">
        <v>0</v>
      </c>
      <c r="V18" s="47">
        <v>0</v>
      </c>
      <c r="W18" s="110">
        <f ca="1">SUMIFS(Data_Actual_LG_EXW[SL],Data_Actual_LG_EXW[Year],2025,Data_Actual_LG_EXW[Month],'DB 2025'!W$1,Data_Actual_LG_EXW[Mã KH],DB_25[[#This Row],[Mã khách]],Data_Actual_LG_EXW[Mã SKU],DB_25[[#This Row],[Mã sản phẩm]])/10^3</f>
        <v>0</v>
      </c>
      <c r="X18" s="33">
        <v>176</v>
      </c>
      <c r="Y18" s="33">
        <v>176</v>
      </c>
      <c r="Z18" s="33">
        <v>176</v>
      </c>
      <c r="AA18" s="19">
        <f ca="1">SUM(DB_25[[#This Row],[SL-01]:[SL-12]])</f>
        <v>572</v>
      </c>
      <c r="AB18" s="7"/>
      <c r="AC18" s="20">
        <f ca="1">DB_25[[#This Row],[SL-DB25]]-DB_25[[#This Row],[SL-KH25]]</f>
        <v>572</v>
      </c>
      <c r="AD18" s="21">
        <f ca="1">IFERROR(DB_25[[#This Row],[SL-+/-]]/DB_25[[#This Row],[SL-KH25]],0)</f>
        <v>0</v>
      </c>
      <c r="AE18" s="23">
        <v>1350.4401833202576</v>
      </c>
      <c r="AF18" s="23">
        <v>0</v>
      </c>
      <c r="AG18" s="23">
        <v>0</v>
      </c>
      <c r="AH18" s="23">
        <v>0</v>
      </c>
      <c r="AI18" s="23">
        <v>0</v>
      </c>
      <c r="AJ18" s="23">
        <v>0</v>
      </c>
      <c r="AK18" s="23">
        <v>0</v>
      </c>
      <c r="AL18" s="23">
        <v>0</v>
      </c>
      <c r="AM18" s="111">
        <v>0</v>
      </c>
      <c r="AN18" s="51">
        <f ca="1">IFERROR(SUM(DB_25[[#This Row],[DT-01-USD]:[DT-09-USD]])/SUM(DB_25[[#This Row],[SL-01]:[SL-09]]),0)</f>
        <v>1350.4401833202576</v>
      </c>
      <c r="AO18" s="51">
        <f ca="1">DB_25[[#This Row],[GB-10]]</f>
        <v>1350.4401833202576</v>
      </c>
      <c r="AP18" s="51">
        <f ca="1">DB_25[[#This Row],[GB-11]]</f>
        <v>1350.4401833202576</v>
      </c>
      <c r="AQ18" s="7"/>
      <c r="AR18" s="7"/>
      <c r="AS18" s="7"/>
      <c r="AT18" s="7"/>
      <c r="AU18" s="47">
        <v>1496773881.5848405</v>
      </c>
      <c r="AV18" s="47">
        <v>0</v>
      </c>
      <c r="AW18" s="47">
        <v>0</v>
      </c>
      <c r="AX18" s="47">
        <v>0</v>
      </c>
      <c r="AY18" s="47">
        <v>0</v>
      </c>
      <c r="AZ18" s="47">
        <v>0</v>
      </c>
      <c r="BA18" s="47">
        <v>0</v>
      </c>
      <c r="BB18" s="47">
        <v>0</v>
      </c>
      <c r="BC18" s="47">
        <v>0</v>
      </c>
      <c r="BD18" s="19">
        <f ca="1">DB_25[[#This Row],[SL-10]]*DB_25[[#This Row],[GB-10]]*BD$2/10^3</f>
        <v>6227149.7733263709</v>
      </c>
      <c r="BE18" s="19">
        <f ca="1">DB_25[[#This Row],[SL-11]]*DB_25[[#This Row],[GB-11]]*BE$2/10^3</f>
        <v>6227149.7733263709</v>
      </c>
      <c r="BF18" s="19">
        <f ca="1">DB_25[[#This Row],[SL-12]]*DB_25[[#This Row],[GB-12]]*BF$2/10^3</f>
        <v>6227149.7733263709</v>
      </c>
      <c r="BG18" s="47">
        <f ca="1">SUM(DB_25[[#This Row],[DT-01]:[DT-12]])</f>
        <v>1515455330.9048197</v>
      </c>
      <c r="BH18" s="7"/>
      <c r="BI18" s="7"/>
      <c r="BJ18" s="7"/>
      <c r="BK18" s="50">
        <v>59419.368066091331</v>
      </c>
      <c r="BL18" s="109">
        <v>0</v>
      </c>
      <c r="BM18" s="109">
        <v>0</v>
      </c>
      <c r="BN18" s="109">
        <v>0</v>
      </c>
      <c r="BO18" s="109">
        <v>0</v>
      </c>
      <c r="BP18" s="109">
        <v>0</v>
      </c>
      <c r="BQ18" s="109">
        <v>0</v>
      </c>
      <c r="BR18" s="109">
        <v>0</v>
      </c>
      <c r="BS18" s="109">
        <v>0</v>
      </c>
      <c r="BT18" s="147">
        <f ca="1">DB_25[[#This Row],[SL-10]]*DB_25[[#This Row],[GB-10]]</f>
        <v>237677.47226436532</v>
      </c>
      <c r="BU18" s="147">
        <f ca="1">DB_25[[#This Row],[SL-11]]*DB_25[[#This Row],[GB-11]]</f>
        <v>237677.47226436532</v>
      </c>
      <c r="BV18" s="147">
        <f ca="1">DB_25[[#This Row],[SL-12]]*DB_25[[#This Row],[GB-12]]</f>
        <v>237677.47226436532</v>
      </c>
      <c r="BW18" s="47">
        <f ca="1">SUM(DB_25[[#This Row],[DT-01-USD]:[DT-12-USD]])</f>
        <v>772451.78485918732</v>
      </c>
    </row>
    <row r="19" spans="1:75" x14ac:dyDescent="0.35">
      <c r="A19" s="18">
        <f>ROWS($A$6:A19)</f>
        <v>14</v>
      </c>
      <c r="B19" s="18" t="s">
        <v>95</v>
      </c>
      <c r="C19" s="18" t="str">
        <f>IFERROR(_xlfn.XLOOKUP(DB_25[[#This Row],[Salesman]],MD_Salesman[Salesman],MD_Salesman[SalesManager]),"")</f>
        <v>Cường</v>
      </c>
      <c r="D19" s="7" t="s">
        <v>600</v>
      </c>
      <c r="E19" s="7" t="s">
        <v>323</v>
      </c>
      <c r="F19" s="7"/>
      <c r="G19" s="7" t="str">
        <f>_xlfn.XLOOKUP(DB_25[[#This Row],[Mã khách]],MD_Customer[Mã khách],MD_Customer[Kênh bán hàng])</f>
        <v>Nội địa</v>
      </c>
      <c r="H19" s="7"/>
      <c r="I19" s="7"/>
      <c r="J19" s="7"/>
      <c r="K19" s="7" t="s">
        <v>171</v>
      </c>
      <c r="L19" s="7" t="str">
        <f>_xlfn.XLOOKUP(DB_25[[#This Row],[Mã sản phẩm]],MD_SKU[Mã SKU],MD_SKU[Tên SKU-rút gọn])</f>
        <v>WSS01G 1</v>
      </c>
      <c r="M19" s="7" t="str">
        <f>_xlfn.XLOOKUP(DB_25[[#This Row],[Mã sản phẩm]],MD_SKU[Mã SKU],MD_SKU[Nhóm ngành])</f>
        <v>Hạt PET</v>
      </c>
      <c r="N19" s="7"/>
      <c r="O19" s="47">
        <v>0</v>
      </c>
      <c r="P19" s="47">
        <v>0</v>
      </c>
      <c r="Q19" s="47">
        <v>0</v>
      </c>
      <c r="R19" s="47">
        <v>0</v>
      </c>
      <c r="S19" s="47">
        <v>0</v>
      </c>
      <c r="T19" s="47">
        <v>44</v>
      </c>
      <c r="U19" s="47">
        <v>44</v>
      </c>
      <c r="V19" s="47">
        <v>88</v>
      </c>
      <c r="W19" s="110">
        <f ca="1">SUMIFS(Data_Actual_LG_EXW[SL],Data_Actual_LG_EXW[Year],2025,Data_Actual_LG_EXW[Month],'DB 2025'!W$1,Data_Actual_LG_EXW[Mã KH],DB_25[[#This Row],[Mã khách]],Data_Actual_LG_EXW[Mã SKU],DB_25[[#This Row],[Mã sản phẩm]])/10^3</f>
        <v>66</v>
      </c>
      <c r="X19" s="33">
        <v>110</v>
      </c>
      <c r="Y19" s="33">
        <v>110</v>
      </c>
      <c r="Z19" s="33">
        <v>110</v>
      </c>
      <c r="AA19" s="19">
        <f ca="1">SUM(DB_25[[#This Row],[SL-01]:[SL-12]])</f>
        <v>572</v>
      </c>
      <c r="AB19" s="7"/>
      <c r="AC19" s="20">
        <f ca="1">DB_25[[#This Row],[SL-DB25]]-DB_25[[#This Row],[SL-KH25]]</f>
        <v>572</v>
      </c>
      <c r="AD19" s="21">
        <f ca="1">IFERROR(DB_25[[#This Row],[SL-+/-]]/DB_25[[#This Row],[SL-KH25]],0)</f>
        <v>0</v>
      </c>
      <c r="AE19" s="23">
        <v>0</v>
      </c>
      <c r="AF19" s="23">
        <v>0</v>
      </c>
      <c r="AG19" s="23">
        <v>0</v>
      </c>
      <c r="AH19" s="23">
        <v>0</v>
      </c>
      <c r="AI19" s="23">
        <v>0</v>
      </c>
      <c r="AJ19" s="23">
        <v>1225.9281291137381</v>
      </c>
      <c r="AK19" s="23">
        <v>1222.4824414087495</v>
      </c>
      <c r="AL19" s="23">
        <v>1257.0066792681275</v>
      </c>
      <c r="AM19" s="111">
        <v>1257.3335775655469</v>
      </c>
      <c r="AN19" s="51">
        <f ca="1">IFERROR(SUM(DB_25[[#This Row],[DT-01-USD]:[DT-09-USD]])/SUM(DB_25[[#This Row],[SL-01]:[SL-09]]),0)</f>
        <v>1245.1680537103753</v>
      </c>
      <c r="AO19" s="51">
        <f ca="1">DB_25[[#This Row],[GB-10]]</f>
        <v>1245.1680537103753</v>
      </c>
      <c r="AP19" s="51">
        <f ca="1">DB_25[[#This Row],[GB-11]]</f>
        <v>1245.1680537103753</v>
      </c>
      <c r="AQ19" s="7"/>
      <c r="AR19" s="7"/>
      <c r="AS19" s="7"/>
      <c r="AT19" s="7"/>
      <c r="AU19" s="47">
        <v>0</v>
      </c>
      <c r="AV19" s="47">
        <v>0</v>
      </c>
      <c r="AW19" s="47">
        <v>0</v>
      </c>
      <c r="AX19" s="47">
        <v>0</v>
      </c>
      <c r="AY19" s="47">
        <v>0</v>
      </c>
      <c r="AZ19" s="47">
        <v>1397872071.3174405</v>
      </c>
      <c r="BA19" s="47">
        <v>1397877536.6912851</v>
      </c>
      <c r="BB19" s="47">
        <v>2890739515.2387543</v>
      </c>
      <c r="BC19" s="47">
        <v>2175051773.1444759</v>
      </c>
      <c r="BD19" s="19">
        <f ca="1">DB_25[[#This Row],[SL-10]]*DB_25[[#This Row],[GB-10]]*BD$2/10^3</f>
        <v>3588574.3307933011</v>
      </c>
      <c r="BE19" s="19">
        <f ca="1">DB_25[[#This Row],[SL-11]]*DB_25[[#This Row],[GB-11]]*BE$2/10^3</f>
        <v>3588574.3307933011</v>
      </c>
      <c r="BF19" s="19">
        <f ca="1">DB_25[[#This Row],[SL-12]]*DB_25[[#This Row],[GB-12]]*BF$2/10^3</f>
        <v>3588574.3307933011</v>
      </c>
      <c r="BG19" s="47">
        <f ca="1">SUM(DB_25[[#This Row],[DT-01]:[DT-12]])</f>
        <v>7872306619.3843365</v>
      </c>
      <c r="BH19" s="7"/>
      <c r="BI19" s="7"/>
      <c r="BJ19" s="7"/>
      <c r="BK19" s="50">
        <v>0</v>
      </c>
      <c r="BL19" s="109">
        <v>0</v>
      </c>
      <c r="BM19" s="109">
        <v>0</v>
      </c>
      <c r="BN19" s="109">
        <v>0</v>
      </c>
      <c r="BO19" s="109">
        <v>0</v>
      </c>
      <c r="BP19" s="109">
        <v>53940.837681004479</v>
      </c>
      <c r="BQ19" s="109">
        <v>53789.227421984979</v>
      </c>
      <c r="BR19" s="109">
        <v>110616.58777559522</v>
      </c>
      <c r="BS19" s="109">
        <v>82984.016119326086</v>
      </c>
      <c r="BT19" s="147">
        <f ca="1">DB_25[[#This Row],[SL-10]]*DB_25[[#This Row],[GB-10]]</f>
        <v>136968.48590814127</v>
      </c>
      <c r="BU19" s="147">
        <f ca="1">DB_25[[#This Row],[SL-11]]*DB_25[[#This Row],[GB-11]]</f>
        <v>136968.48590814127</v>
      </c>
      <c r="BV19" s="147">
        <f ca="1">DB_25[[#This Row],[SL-12]]*DB_25[[#This Row],[GB-12]]</f>
        <v>136968.48590814127</v>
      </c>
      <c r="BW19" s="47">
        <f ca="1">SUM(DB_25[[#This Row],[DT-01-USD]:[DT-12-USD]])</f>
        <v>712236.12672233453</v>
      </c>
    </row>
    <row r="20" spans="1:75" x14ac:dyDescent="0.35">
      <c r="A20" s="18">
        <f>ROWS($A$6:A20)</f>
        <v>15</v>
      </c>
      <c r="B20" s="18" t="s">
        <v>97</v>
      </c>
      <c r="C20" s="18" t="str">
        <f>IFERROR(_xlfn.XLOOKUP(DB_25[[#This Row],[Salesman]],MD_Salesman[Salesman],MD_Salesman[SalesManager]),"")</f>
        <v>Cường</v>
      </c>
      <c r="D20" s="7" t="s">
        <v>601</v>
      </c>
      <c r="E20" s="7" t="s">
        <v>501</v>
      </c>
      <c r="F20" s="7"/>
      <c r="G20" s="7" t="str">
        <f>_xlfn.XLOOKUP(DB_25[[#This Row],[Mã khách]],MD_Customer[Mã khách],MD_Customer[Kênh bán hàng])</f>
        <v>Nội địa</v>
      </c>
      <c r="H20" s="7"/>
      <c r="I20" s="7"/>
      <c r="J20" s="7"/>
      <c r="K20" s="7" t="s">
        <v>171</v>
      </c>
      <c r="L20" s="7" t="str">
        <f>_xlfn.XLOOKUP(DB_25[[#This Row],[Mã sản phẩm]],MD_SKU[Mã SKU],MD_SKU[Tên SKU-rút gọn])</f>
        <v>WSS01G 1</v>
      </c>
      <c r="M20" s="7" t="str">
        <f>_xlfn.XLOOKUP(DB_25[[#This Row],[Mã sản phẩm]],MD_SKU[Mã SKU],MD_SKU[Nhóm ngành])</f>
        <v>Hạt PET</v>
      </c>
      <c r="N20" s="7"/>
      <c r="O20" s="47">
        <v>24.2</v>
      </c>
      <c r="P20" s="47">
        <v>33</v>
      </c>
      <c r="Q20" s="47">
        <v>45</v>
      </c>
      <c r="R20" s="47">
        <v>11</v>
      </c>
      <c r="S20" s="47">
        <v>28.6</v>
      </c>
      <c r="T20" s="47">
        <v>0</v>
      </c>
      <c r="U20" s="47">
        <v>0</v>
      </c>
      <c r="V20" s="47">
        <v>0</v>
      </c>
      <c r="W20" s="110">
        <f ca="1">SUMIFS(Data_Actual_LG_EXW[SL],Data_Actual_LG_EXW[Year],2025,Data_Actual_LG_EXW[Month],'DB 2025'!W$1,Data_Actual_LG_EXW[Mã KH],DB_25[[#This Row],[Mã khách]],Data_Actual_LG_EXW[Mã SKU],DB_25[[#This Row],[Mã sản phẩm]])/10^3</f>
        <v>66</v>
      </c>
      <c r="X20" s="33"/>
      <c r="Y20" s="33"/>
      <c r="Z20" s="33"/>
      <c r="AA20" s="19">
        <f ca="1">SUM(DB_25[[#This Row],[SL-01]:[SL-12]])</f>
        <v>207.8</v>
      </c>
      <c r="AB20" s="7"/>
      <c r="AC20" s="20">
        <f ca="1">DB_25[[#This Row],[SL-DB25]]-DB_25[[#This Row],[SL-KH25]]</f>
        <v>207.8</v>
      </c>
      <c r="AD20" s="21">
        <f ca="1">IFERROR(DB_25[[#This Row],[SL-+/-]]/DB_25[[#This Row],[SL-KH25]],0)</f>
        <v>0</v>
      </c>
      <c r="AE20" s="23">
        <v>1248.1488594019515</v>
      </c>
      <c r="AF20" s="23">
        <v>1221.3777990472788</v>
      </c>
      <c r="AG20" s="23">
        <v>1249.1194453366834</v>
      </c>
      <c r="AH20" s="23">
        <v>1243.0242841267197</v>
      </c>
      <c r="AI20" s="23">
        <v>1310.9634868371295</v>
      </c>
      <c r="AJ20" s="23">
        <v>0</v>
      </c>
      <c r="AK20" s="23">
        <v>0</v>
      </c>
      <c r="AL20" s="23">
        <v>0</v>
      </c>
      <c r="AM20" s="111">
        <v>1217.76926660143</v>
      </c>
      <c r="AN20" s="51">
        <f ca="1">IFERROR(SUM(DB_25[[#This Row],[DT-01-USD]:[DT-09-USD]])/SUM(DB_25[[#This Row],[SL-01]:[SL-09]]),0)</f>
        <v>1242.8327201677978</v>
      </c>
      <c r="AO20" s="51">
        <f ca="1">DB_25[[#This Row],[GB-10]]</f>
        <v>1242.8327201677978</v>
      </c>
      <c r="AP20" s="51">
        <f ca="1">DB_25[[#This Row],[GB-11]]</f>
        <v>1242.8327201677978</v>
      </c>
      <c r="AQ20" s="7"/>
      <c r="AR20" s="7"/>
      <c r="AS20" s="7"/>
      <c r="AT20" s="7"/>
      <c r="AU20" s="47">
        <v>761284846.50751257</v>
      </c>
      <c r="AV20" s="47">
        <v>1018604529.2465754</v>
      </c>
      <c r="AW20" s="47">
        <v>1426299985.8116171</v>
      </c>
      <c r="AX20" s="47">
        <v>351008017.81321186</v>
      </c>
      <c r="AY20" s="47">
        <v>966540646.35621512</v>
      </c>
      <c r="AZ20" s="47">
        <v>0</v>
      </c>
      <c r="BA20" s="47">
        <v>0</v>
      </c>
      <c r="BB20" s="47">
        <v>0</v>
      </c>
      <c r="BC20" s="47">
        <v>2106609773.1444757</v>
      </c>
      <c r="BD20" s="19">
        <f ca="1">DB_25[[#This Row],[SL-10]]*DB_25[[#This Row],[GB-10]]*BD$2/10^3</f>
        <v>0</v>
      </c>
      <c r="BE20" s="19">
        <f ca="1">DB_25[[#This Row],[SL-11]]*DB_25[[#This Row],[GB-11]]*BE$2/10^3</f>
        <v>0</v>
      </c>
      <c r="BF20" s="19">
        <f ca="1">DB_25[[#This Row],[SL-12]]*DB_25[[#This Row],[GB-12]]*BF$2/10^3</f>
        <v>0</v>
      </c>
      <c r="BG20" s="47">
        <f ca="1">SUM(DB_25[[#This Row],[DT-01]:[DT-12]])</f>
        <v>6630347798.8796082</v>
      </c>
      <c r="BH20" s="7"/>
      <c r="BI20" s="7"/>
      <c r="BJ20" s="7"/>
      <c r="BK20" s="50">
        <v>30205.202397527228</v>
      </c>
      <c r="BL20" s="109">
        <v>40305.467368560203</v>
      </c>
      <c r="BM20" s="109">
        <v>56210.375040150757</v>
      </c>
      <c r="BN20" s="109">
        <v>13673.267125393917</v>
      </c>
      <c r="BO20" s="109">
        <v>37493.555723541904</v>
      </c>
      <c r="BP20" s="109">
        <v>0</v>
      </c>
      <c r="BQ20" s="109">
        <v>0</v>
      </c>
      <c r="BR20" s="109">
        <v>0</v>
      </c>
      <c r="BS20" s="109">
        <v>80372.771595694387</v>
      </c>
      <c r="BT20" s="147">
        <f ca="1">DB_25[[#This Row],[SL-10]]*DB_25[[#This Row],[GB-10]]</f>
        <v>0</v>
      </c>
      <c r="BU20" s="147">
        <f ca="1">DB_25[[#This Row],[SL-11]]*DB_25[[#This Row],[GB-11]]</f>
        <v>0</v>
      </c>
      <c r="BV20" s="147">
        <f ca="1">DB_25[[#This Row],[SL-12]]*DB_25[[#This Row],[GB-12]]</f>
        <v>0</v>
      </c>
      <c r="BW20" s="47">
        <f ca="1">SUM(DB_25[[#This Row],[DT-01-USD]:[DT-12-USD]])</f>
        <v>258260.63925086841</v>
      </c>
    </row>
    <row r="21" spans="1:75" x14ac:dyDescent="0.35">
      <c r="A21" s="18">
        <f>ROWS($A$6:A21)</f>
        <v>16</v>
      </c>
      <c r="B21" s="18" t="s">
        <v>101</v>
      </c>
      <c r="C21" s="18" t="str">
        <f>IFERROR(_xlfn.XLOOKUP(DB_25[[#This Row],[Salesman]],MD_Salesman[Salesman],MD_Salesman[SalesManager]),"")</f>
        <v>Cường</v>
      </c>
      <c r="D21" s="7" t="s">
        <v>602</v>
      </c>
      <c r="E21" s="7" t="s">
        <v>122</v>
      </c>
      <c r="F21" s="7"/>
      <c r="G21" s="7" t="str">
        <f>_xlfn.XLOOKUP(DB_25[[#This Row],[Mã khách]],MD_Customer[Mã khách],MD_Customer[Kênh bán hàng])</f>
        <v>Xuất khẩu</v>
      </c>
      <c r="H21" s="7"/>
      <c r="I21" s="7"/>
      <c r="J21" s="7"/>
      <c r="K21" s="7" t="s">
        <v>171</v>
      </c>
      <c r="L21" s="7" t="str">
        <f>_xlfn.XLOOKUP(DB_25[[#This Row],[Mã sản phẩm]],MD_SKU[Mã SKU],MD_SKU[Tên SKU-rút gọn])</f>
        <v>WSS01G 1</v>
      </c>
      <c r="M21" s="7" t="str">
        <f>_xlfn.XLOOKUP(DB_25[[#This Row],[Mã sản phẩm]],MD_SKU[Mã SKU],MD_SKU[Nhóm ngành])</f>
        <v>Hạt PET</v>
      </c>
      <c r="N21" s="7"/>
      <c r="O21" s="47">
        <v>0</v>
      </c>
      <c r="P21" s="47">
        <v>0</v>
      </c>
      <c r="Q21" s="47">
        <v>44</v>
      </c>
      <c r="R21" s="47">
        <v>44</v>
      </c>
      <c r="S21" s="47">
        <v>88</v>
      </c>
      <c r="T21" s="47">
        <v>44</v>
      </c>
      <c r="U21" s="47">
        <v>64.900000000000006</v>
      </c>
      <c r="V21" s="47">
        <v>66</v>
      </c>
      <c r="W21" s="110">
        <f ca="1">SUMIFS(Data_Actual_LG_EXW[SL],Data_Actual_LG_EXW[Year],2025,Data_Actual_LG_EXW[Month],'DB 2025'!W$1,Data_Actual_LG_EXW[Mã KH],DB_25[[#This Row],[Mã khách]],Data_Actual_LG_EXW[Mã SKU],DB_25[[#This Row],[Mã sản phẩm]])/10^3</f>
        <v>0</v>
      </c>
      <c r="X21" s="33"/>
      <c r="Y21" s="33">
        <v>66</v>
      </c>
      <c r="Z21" s="33">
        <v>66</v>
      </c>
      <c r="AA21" s="19">
        <f ca="1">SUM(DB_25[[#This Row],[SL-01]:[SL-12]])</f>
        <v>482.9</v>
      </c>
      <c r="AB21" s="7"/>
      <c r="AC21" s="20">
        <f ca="1">DB_25[[#This Row],[SL-DB25]]-DB_25[[#This Row],[SL-KH25]]</f>
        <v>482.9</v>
      </c>
      <c r="AD21" s="21">
        <f ca="1">IFERROR(DB_25[[#This Row],[SL-+/-]]/DB_25[[#This Row],[SL-KH25]],0)</f>
        <v>0</v>
      </c>
      <c r="AE21" s="23">
        <v>0</v>
      </c>
      <c r="AF21" s="23">
        <v>0</v>
      </c>
      <c r="AG21" s="23">
        <v>1229.2802952755906</v>
      </c>
      <c r="AH21" s="23">
        <v>1237.2183847688284</v>
      </c>
      <c r="AI21" s="23">
        <v>1228.9231313719947</v>
      </c>
      <c r="AJ21" s="23">
        <v>1228.7999671283278</v>
      </c>
      <c r="AK21" s="23">
        <v>1228.2011136852559</v>
      </c>
      <c r="AL21" s="23">
        <v>1215.2246131069878</v>
      </c>
      <c r="AM21" s="111">
        <v>0</v>
      </c>
      <c r="AN21" s="51">
        <f ca="1">IFERROR(SUM(DB_25[[#This Row],[DT-01-USD]:[DT-09-USD]])/SUM(DB_25[[#This Row],[SL-01]:[SL-09]]),0)</f>
        <v>1227.282567054918</v>
      </c>
      <c r="AO21" s="51">
        <f ca="1">DB_25[[#This Row],[GB-10]]</f>
        <v>1227.282567054918</v>
      </c>
      <c r="AP21" s="51">
        <f ca="1">DB_25[[#This Row],[GB-11]]</f>
        <v>1227.282567054918</v>
      </c>
      <c r="AQ21" s="7"/>
      <c r="AR21" s="7"/>
      <c r="AS21" s="7"/>
      <c r="AT21" s="7"/>
      <c r="AU21" s="47">
        <v>0</v>
      </c>
      <c r="AV21" s="47">
        <v>0</v>
      </c>
      <c r="AW21" s="47">
        <v>1373843658</v>
      </c>
      <c r="AX21" s="47">
        <v>1407080102.8360655</v>
      </c>
      <c r="AY21" s="47">
        <v>2790688248</v>
      </c>
      <c r="AZ21" s="47">
        <v>1403043802.4671247</v>
      </c>
      <c r="BA21" s="47">
        <v>2071156867.328125</v>
      </c>
      <c r="BB21" s="47">
        <v>2100564352.7399526</v>
      </c>
      <c r="BC21" s="47">
        <v>0</v>
      </c>
      <c r="BD21" s="19">
        <f ca="1">DB_25[[#This Row],[SL-10]]*DB_25[[#This Row],[GB-10]]*BD$2/10^3</f>
        <v>0</v>
      </c>
      <c r="BE21" s="19">
        <f ca="1">DB_25[[#This Row],[SL-11]]*DB_25[[#This Row],[GB-11]]*BE$2/10^3</f>
        <v>2122217.0149513641</v>
      </c>
      <c r="BF21" s="19">
        <f ca="1">DB_25[[#This Row],[SL-12]]*DB_25[[#This Row],[GB-12]]*BF$2/10^3</f>
        <v>2122217.0149513641</v>
      </c>
      <c r="BG21" s="47">
        <f ca="1">SUM(DB_25[[#This Row],[DT-01]:[DT-12]])</f>
        <v>11150621465.401171</v>
      </c>
      <c r="BH21" s="7"/>
      <c r="BI21" s="7"/>
      <c r="BJ21" s="7"/>
      <c r="BK21" s="50">
        <v>0</v>
      </c>
      <c r="BL21" s="109">
        <v>0</v>
      </c>
      <c r="BM21" s="109">
        <v>54088.332992125986</v>
      </c>
      <c r="BN21" s="109">
        <v>54437.60892982845</v>
      </c>
      <c r="BO21" s="109">
        <v>108145.23556073554</v>
      </c>
      <c r="BP21" s="109">
        <v>54067.198553646427</v>
      </c>
      <c r="BQ21" s="109">
        <v>79710.25227817311</v>
      </c>
      <c r="BR21" s="109">
        <v>80204.824465061189</v>
      </c>
      <c r="BS21" s="109">
        <v>0</v>
      </c>
      <c r="BT21" s="147">
        <f ca="1">DB_25[[#This Row],[SL-10]]*DB_25[[#This Row],[GB-10]]</f>
        <v>0</v>
      </c>
      <c r="BU21" s="147">
        <f ca="1">DB_25[[#This Row],[SL-11]]*DB_25[[#This Row],[GB-11]]</f>
        <v>81000.649425624593</v>
      </c>
      <c r="BV21" s="147">
        <f ca="1">DB_25[[#This Row],[SL-12]]*DB_25[[#This Row],[GB-12]]</f>
        <v>81000.649425624593</v>
      </c>
      <c r="BW21" s="47">
        <f ca="1">SUM(DB_25[[#This Row],[DT-01-USD]:[DT-12-USD]])</f>
        <v>592654.75163081987</v>
      </c>
    </row>
    <row r="22" spans="1:75" x14ac:dyDescent="0.35">
      <c r="A22" s="18">
        <f>ROWS($A$6:A22)</f>
        <v>17</v>
      </c>
      <c r="B22" s="18" t="s">
        <v>115</v>
      </c>
      <c r="C22" s="18" t="str">
        <f>IFERROR(_xlfn.XLOOKUP(DB_25[[#This Row],[Salesman]],MD_Salesman[Salesman],MD_Salesman[SalesManager]),"")</f>
        <v>Quốc Anh</v>
      </c>
      <c r="D22" s="7" t="s">
        <v>603</v>
      </c>
      <c r="E22" s="7" t="s">
        <v>56</v>
      </c>
      <c r="F22" s="7"/>
      <c r="G22" s="7" t="str">
        <f>_xlfn.XLOOKUP(DB_25[[#This Row],[Mã khách]],MD_Customer[Mã khách],MD_Customer[Kênh bán hàng])</f>
        <v>Nội địa</v>
      </c>
      <c r="H22" s="7"/>
      <c r="I22" s="7"/>
      <c r="J22" s="7"/>
      <c r="K22" s="7" t="s">
        <v>201</v>
      </c>
      <c r="L22" s="7" t="str">
        <f>_xlfn.XLOOKUP(DB_25[[#This Row],[Mã sản phẩm]],MD_SKU[Mã SKU],MD_SKU[Tên SKU-rút gọn])</f>
        <v>Vảy HD Ép Trắng</v>
      </c>
      <c r="M22" s="7" t="str">
        <f>_xlfn.XLOOKUP(DB_25[[#This Row],[Mã sản phẩm]],MD_SKU[Mã SKU],MD_SKU[Nhóm ngành])</f>
        <v>Vảy HD ép</v>
      </c>
      <c r="N22" s="7"/>
      <c r="O22" s="47">
        <v>0</v>
      </c>
      <c r="P22" s="47">
        <v>0.75</v>
      </c>
      <c r="Q22" s="47">
        <v>0</v>
      </c>
      <c r="R22" s="47">
        <v>0</v>
      </c>
      <c r="S22" s="47">
        <v>0</v>
      </c>
      <c r="T22" s="47">
        <v>0</v>
      </c>
      <c r="U22" s="47">
        <v>0</v>
      </c>
      <c r="V22" s="47">
        <v>0</v>
      </c>
      <c r="W22" s="110">
        <f ca="1">SUMIFS(Data_Actual_LG_EXW[SL],Data_Actual_LG_EXW[Year],2025,Data_Actual_LG_EXW[Month],'DB 2025'!W$1,Data_Actual_LG_EXW[Mã KH],DB_25[[#This Row],[Mã khách]],Data_Actual_LG_EXW[Mã SKU],DB_25[[#This Row],[Mã sản phẩm]])/10^3</f>
        <v>190.5</v>
      </c>
      <c r="X22" s="33">
        <v>239</v>
      </c>
      <c r="Y22" s="33"/>
      <c r="Z22" s="33"/>
      <c r="AA22" s="19">
        <f ca="1">SUM(DB_25[[#This Row],[SL-01]:[SL-12]])</f>
        <v>430.25</v>
      </c>
      <c r="AB22" s="7"/>
      <c r="AC22" s="20">
        <f ca="1">DB_25[[#This Row],[SL-DB25]]-DB_25[[#This Row],[SL-KH25]]</f>
        <v>430.25</v>
      </c>
      <c r="AD22" s="21">
        <f ca="1">IFERROR(DB_25[[#This Row],[SL-+/-]]/DB_25[[#This Row],[SL-KH25]],0)</f>
        <v>0</v>
      </c>
      <c r="AE22" s="23">
        <v>0</v>
      </c>
      <c r="AF22" s="23">
        <v>584.31989249325477</v>
      </c>
      <c r="AG22" s="23">
        <v>0</v>
      </c>
      <c r="AH22" s="23">
        <v>0</v>
      </c>
      <c r="AI22" s="23">
        <v>0</v>
      </c>
      <c r="AJ22" s="23">
        <v>0</v>
      </c>
      <c r="AK22" s="23">
        <v>0</v>
      </c>
      <c r="AL22" s="23">
        <v>0</v>
      </c>
      <c r="AM22" s="111">
        <v>557.0288718188059</v>
      </c>
      <c r="AN22" s="51">
        <f ca="1">IFERROR(SUM(DB_25[[#This Row],[DT-01-USD]:[DT-09-USD]])/SUM(DB_25[[#This Row],[SL-01]:[SL-09]]),0)</f>
        <v>557.13589542929401</v>
      </c>
      <c r="AO22" s="51">
        <f ca="1">DB_25[[#This Row],[GB-10]]</f>
        <v>557.13589542929401</v>
      </c>
      <c r="AP22" s="51">
        <f ca="1">DB_25[[#This Row],[GB-11]]</f>
        <v>557.13589542929401</v>
      </c>
      <c r="AQ22" s="7"/>
      <c r="AR22" s="7"/>
      <c r="AS22" s="7"/>
      <c r="AT22" s="7"/>
      <c r="AU22" s="47">
        <v>0</v>
      </c>
      <c r="AV22" s="47">
        <v>11075250.974885846</v>
      </c>
      <c r="AW22" s="47">
        <v>0</v>
      </c>
      <c r="AX22" s="47">
        <v>0</v>
      </c>
      <c r="AY22" s="47">
        <v>0</v>
      </c>
      <c r="AZ22" s="47">
        <v>0</v>
      </c>
      <c r="BA22" s="47">
        <v>0</v>
      </c>
      <c r="BB22" s="47">
        <v>0</v>
      </c>
      <c r="BC22" s="47">
        <v>2781300000</v>
      </c>
      <c r="BD22" s="19">
        <f ca="1">DB_25[[#This Row],[SL-10]]*DB_25[[#This Row],[GB-10]]*BD$2/10^3</f>
        <v>3488673.5499991532</v>
      </c>
      <c r="BE22" s="19">
        <f ca="1">DB_25[[#This Row],[SL-11]]*DB_25[[#This Row],[GB-11]]*BE$2/10^3</f>
        <v>0</v>
      </c>
      <c r="BF22" s="19">
        <f ca="1">DB_25[[#This Row],[SL-12]]*DB_25[[#This Row],[GB-12]]*BF$2/10^3</f>
        <v>0</v>
      </c>
      <c r="BG22" s="47">
        <f ca="1">SUM(DB_25[[#This Row],[DT-01]:[DT-12]])</f>
        <v>2795863924.5248852</v>
      </c>
      <c r="BH22" s="7"/>
      <c r="BI22" s="7"/>
      <c r="BJ22" s="7"/>
      <c r="BK22" s="50">
        <v>0</v>
      </c>
      <c r="BL22" s="109">
        <v>438.23991936994111</v>
      </c>
      <c r="BM22" s="109">
        <v>0</v>
      </c>
      <c r="BN22" s="109">
        <v>0</v>
      </c>
      <c r="BO22" s="109">
        <v>0</v>
      </c>
      <c r="BP22" s="109">
        <v>0</v>
      </c>
      <c r="BQ22" s="109">
        <v>0</v>
      </c>
      <c r="BR22" s="109">
        <v>0</v>
      </c>
      <c r="BS22" s="109">
        <v>106114.00008148253</v>
      </c>
      <c r="BT22" s="147">
        <f ca="1">DB_25[[#This Row],[SL-10]]*DB_25[[#This Row],[GB-10]]</f>
        <v>133155.47900760127</v>
      </c>
      <c r="BU22" s="147">
        <f ca="1">DB_25[[#This Row],[SL-11]]*DB_25[[#This Row],[GB-11]]</f>
        <v>0</v>
      </c>
      <c r="BV22" s="147">
        <f ca="1">DB_25[[#This Row],[SL-12]]*DB_25[[#This Row],[GB-12]]</f>
        <v>0</v>
      </c>
      <c r="BW22" s="47">
        <f ca="1">SUM(DB_25[[#This Row],[DT-01-USD]:[DT-12-USD]])</f>
        <v>239707.71900845374</v>
      </c>
    </row>
    <row r="23" spans="1:75" x14ac:dyDescent="0.35">
      <c r="A23" s="18">
        <f>ROWS($A$6:A23)</f>
        <v>18</v>
      </c>
      <c r="B23" s="18" t="s">
        <v>97</v>
      </c>
      <c r="C23" s="18" t="str">
        <f>IFERROR(_xlfn.XLOOKUP(DB_25[[#This Row],[Salesman]],MD_Salesman[Salesman],MD_Salesman[SalesManager]),"")</f>
        <v>Cường</v>
      </c>
      <c r="D23" s="7" t="s">
        <v>604</v>
      </c>
      <c r="E23" s="7" t="s">
        <v>145</v>
      </c>
      <c r="F23" s="7"/>
      <c r="G23" s="7" t="str">
        <f>_xlfn.XLOOKUP(DB_25[[#This Row],[Mã khách]],MD_Customer[Mã khách],MD_Customer[Kênh bán hàng])</f>
        <v>Xuất khẩu</v>
      </c>
      <c r="H23" s="7"/>
      <c r="I23" s="7"/>
      <c r="J23" s="7"/>
      <c r="K23" s="7" t="s">
        <v>174</v>
      </c>
      <c r="L23" s="7" t="str">
        <f>_xlfn.XLOOKUP(DB_25[[#This Row],[Mã sản phẩm]],MD_SKU[Mã SKU],MD_SKU[Tên SKU-rút gọn])</f>
        <v>WSS03G</v>
      </c>
      <c r="M23" s="7" t="str">
        <f>_xlfn.XLOOKUP(DB_25[[#This Row],[Mã sản phẩm]],MD_SKU[Mã SKU],MD_SKU[Nhóm ngành])</f>
        <v>Hạt PET</v>
      </c>
      <c r="N23" s="7"/>
      <c r="O23" s="47">
        <v>0</v>
      </c>
      <c r="P23" s="47">
        <v>0</v>
      </c>
      <c r="Q23" s="47">
        <v>0</v>
      </c>
      <c r="R23" s="47">
        <v>0</v>
      </c>
      <c r="S23" s="47">
        <v>0</v>
      </c>
      <c r="T23" s="47">
        <v>220</v>
      </c>
      <c r="U23" s="47">
        <v>0</v>
      </c>
      <c r="V23" s="47">
        <v>220</v>
      </c>
      <c r="W23" s="110">
        <f ca="1">SUMIFS(Data_Actual_LG_EXW[SL],Data_Actual_LG_EXW[Year],2025,Data_Actual_LG_EXW[Month],'DB 2025'!W$1,Data_Actual_LG_EXW[Mã KH],DB_25[[#This Row],[Mã khách]],Data_Actual_LG_EXW[Mã SKU],DB_25[[#This Row],[Mã sản phẩm]])/10^3</f>
        <v>0</v>
      </c>
      <c r="X23" s="33"/>
      <c r="Y23" s="33"/>
      <c r="Z23" s="33"/>
      <c r="AA23" s="19">
        <f ca="1">SUM(DB_25[[#This Row],[SL-01]:[SL-12]])</f>
        <v>440</v>
      </c>
      <c r="AB23" s="7"/>
      <c r="AC23" s="20">
        <f ca="1">DB_25[[#This Row],[SL-DB25]]-DB_25[[#This Row],[SL-KH25]]</f>
        <v>440</v>
      </c>
      <c r="AD23" s="21">
        <f ca="1">IFERROR(DB_25[[#This Row],[SL-+/-]]/DB_25[[#This Row],[SL-KH25]],0)</f>
        <v>0</v>
      </c>
      <c r="AE23" s="23">
        <v>0</v>
      </c>
      <c r="AF23" s="23">
        <v>0</v>
      </c>
      <c r="AG23" s="23">
        <v>0</v>
      </c>
      <c r="AH23" s="23">
        <v>0</v>
      </c>
      <c r="AI23" s="23">
        <v>0</v>
      </c>
      <c r="AJ23" s="23">
        <v>1041.3422083264359</v>
      </c>
      <c r="AK23" s="23">
        <v>0</v>
      </c>
      <c r="AL23" s="23">
        <v>1001.5742128537597</v>
      </c>
      <c r="AM23" s="111">
        <v>0</v>
      </c>
      <c r="AN23" s="51">
        <f ca="1">IFERROR(SUM(DB_25[[#This Row],[DT-01-USD]:[DT-09-USD]])/SUM(DB_25[[#This Row],[SL-01]:[SL-09]]),0)</f>
        <v>1021.4582105900979</v>
      </c>
      <c r="AO23" s="51">
        <f ca="1">DB_25[[#This Row],[GB-10]]</f>
        <v>1021.4582105900979</v>
      </c>
      <c r="AP23" s="51">
        <f ca="1">DB_25[[#This Row],[GB-11]]</f>
        <v>1021.4582105900979</v>
      </c>
      <c r="AQ23" s="7"/>
      <c r="AR23" s="7"/>
      <c r="AS23" s="7"/>
      <c r="AT23" s="7"/>
      <c r="AU23" s="47">
        <v>0</v>
      </c>
      <c r="AV23" s="47">
        <v>0</v>
      </c>
      <c r="AW23" s="47">
        <v>0</v>
      </c>
      <c r="AX23" s="47">
        <v>0</v>
      </c>
      <c r="AY23" s="47">
        <v>0</v>
      </c>
      <c r="AZ23" s="47">
        <v>5945022667.3356237</v>
      </c>
      <c r="BA23" s="47">
        <v>0</v>
      </c>
      <c r="BB23" s="47">
        <v>5742225277.1331758</v>
      </c>
      <c r="BC23" s="47">
        <v>0</v>
      </c>
      <c r="BD23" s="19">
        <f ca="1">DB_25[[#This Row],[SL-10]]*DB_25[[#This Row],[GB-10]]*BD$2/10^3</f>
        <v>0</v>
      </c>
      <c r="BE23" s="19">
        <f ca="1">DB_25[[#This Row],[SL-11]]*DB_25[[#This Row],[GB-11]]*BE$2/10^3</f>
        <v>0</v>
      </c>
      <c r="BF23" s="19">
        <f ca="1">DB_25[[#This Row],[SL-12]]*DB_25[[#This Row],[GB-12]]*BF$2/10^3</f>
        <v>0</v>
      </c>
      <c r="BG23" s="47">
        <f ca="1">SUM(DB_25[[#This Row],[DT-01]:[DT-12]])</f>
        <v>11687247944.4688</v>
      </c>
      <c r="BH23" s="7"/>
      <c r="BI23" s="7"/>
      <c r="BJ23" s="7"/>
      <c r="BK23" s="50">
        <v>0</v>
      </c>
      <c r="BL23" s="109">
        <v>0</v>
      </c>
      <c r="BM23" s="109">
        <v>0</v>
      </c>
      <c r="BN23" s="109">
        <v>0</v>
      </c>
      <c r="BO23" s="109">
        <v>0</v>
      </c>
      <c r="BP23" s="109">
        <v>229095.28583181588</v>
      </c>
      <c r="BQ23" s="109">
        <v>0</v>
      </c>
      <c r="BR23" s="109">
        <v>220346.32682782714</v>
      </c>
      <c r="BS23" s="109">
        <v>0</v>
      </c>
      <c r="BT23" s="147">
        <f ca="1">DB_25[[#This Row],[SL-10]]*DB_25[[#This Row],[GB-10]]</f>
        <v>0</v>
      </c>
      <c r="BU23" s="147">
        <f ca="1">DB_25[[#This Row],[SL-11]]*DB_25[[#This Row],[GB-11]]</f>
        <v>0</v>
      </c>
      <c r="BV23" s="147">
        <f ca="1">DB_25[[#This Row],[SL-12]]*DB_25[[#This Row],[GB-12]]</f>
        <v>0</v>
      </c>
      <c r="BW23" s="47">
        <f ca="1">SUM(DB_25[[#This Row],[DT-01-USD]:[DT-12-USD]])</f>
        <v>449441.61265964305</v>
      </c>
    </row>
    <row r="24" spans="1:75" x14ac:dyDescent="0.35">
      <c r="A24" s="18">
        <f>ROWS($A$6:A24)</f>
        <v>19</v>
      </c>
      <c r="B24" s="18" t="s">
        <v>95</v>
      </c>
      <c r="C24" s="18" t="str">
        <f>IFERROR(_xlfn.XLOOKUP(DB_25[[#This Row],[Salesman]],MD_Salesman[Salesman],MD_Salesman[SalesManager]),"")</f>
        <v>Cường</v>
      </c>
      <c r="D24" s="7" t="s">
        <v>595</v>
      </c>
      <c r="E24" s="7" t="s">
        <v>478</v>
      </c>
      <c r="F24" s="7"/>
      <c r="G24" s="7" t="str">
        <f>_xlfn.XLOOKUP(DB_25[[#This Row],[Mã khách]],MD_Customer[Mã khách],MD_Customer[Kênh bán hàng])</f>
        <v>Nội địa</v>
      </c>
      <c r="H24" s="7"/>
      <c r="I24" s="7"/>
      <c r="J24" s="7"/>
      <c r="K24" s="7" t="s">
        <v>191</v>
      </c>
      <c r="L24" s="7" t="str">
        <f>_xlfn.XLOOKUP(DB_25[[#This Row],[Mã sản phẩm]],MD_SKU[Mã SKU],MD_SKU[Tên SKU-rút gọn])</f>
        <v>rHDPE PCF01</v>
      </c>
      <c r="M24" s="7" t="str">
        <f>_xlfn.XLOOKUP(DB_25[[#This Row],[Mã sản phẩm]],MD_SKU[Mã SKU],MD_SKU[Nhóm ngành])</f>
        <v>Hạt HD thổi</v>
      </c>
      <c r="N24" s="7"/>
      <c r="O24" s="47">
        <v>11</v>
      </c>
      <c r="P24" s="47">
        <v>24</v>
      </c>
      <c r="Q24" s="47">
        <v>44</v>
      </c>
      <c r="R24" s="47">
        <v>22</v>
      </c>
      <c r="S24" s="47">
        <v>11</v>
      </c>
      <c r="T24" s="47">
        <v>33</v>
      </c>
      <c r="U24" s="47">
        <v>0</v>
      </c>
      <c r="V24" s="47">
        <v>22</v>
      </c>
      <c r="W24" s="110">
        <f ca="1">SUMIFS(Data_Actual_LG_EXW[SL],Data_Actual_LG_EXW[Year],2025,Data_Actual_LG_EXW[Month],'DB 2025'!W$1,Data_Actual_LG_EXW[Mã KH],DB_25[[#This Row],[Mã khách]],Data_Actual_LG_EXW[Mã SKU],DB_25[[#This Row],[Mã sản phẩm]])/10^3</f>
        <v>22</v>
      </c>
      <c r="X24" s="33">
        <v>75</v>
      </c>
      <c r="Y24" s="33">
        <v>75</v>
      </c>
      <c r="Z24" s="33">
        <v>75</v>
      </c>
      <c r="AA24" s="19">
        <f ca="1">SUM(DB_25[[#This Row],[SL-01]:[SL-12]])</f>
        <v>414</v>
      </c>
      <c r="AB24" s="7"/>
      <c r="AC24" s="20">
        <f ca="1">DB_25[[#This Row],[SL-DB25]]-DB_25[[#This Row],[SL-KH25]]</f>
        <v>414</v>
      </c>
      <c r="AD24" s="21">
        <f ca="1">IFERROR(DB_25[[#This Row],[SL-+/-]]/DB_25[[#This Row],[SL-KH25]],0)</f>
        <v>0</v>
      </c>
      <c r="AE24" s="23">
        <v>1389.7974613289555</v>
      </c>
      <c r="AF24" s="23">
        <v>1407.0842790048584</v>
      </c>
      <c r="AG24" s="23">
        <v>1401.416922324617</v>
      </c>
      <c r="AH24" s="23">
        <v>1348.8895790310251</v>
      </c>
      <c r="AI24" s="23">
        <v>1343.2524599058199</v>
      </c>
      <c r="AJ24" s="23">
        <v>1336.1997818860627</v>
      </c>
      <c r="AK24" s="23">
        <v>0</v>
      </c>
      <c r="AL24" s="23">
        <v>1371.5527028385243</v>
      </c>
      <c r="AM24" s="111">
        <v>1367.4959675597786</v>
      </c>
      <c r="AN24" s="51">
        <f ca="1">IFERROR(SUM(DB_25[[#This Row],[DT-01-USD]:[DT-09-USD]])/SUM(DB_25[[#This Row],[SL-01]:[SL-09]]),0)</f>
        <v>1373.1489455114686</v>
      </c>
      <c r="AO24" s="51">
        <f ca="1">DB_25[[#This Row],[GB-10]]</f>
        <v>1373.1489455114686</v>
      </c>
      <c r="AP24" s="51">
        <f ca="1">DB_25[[#This Row],[GB-11]]</f>
        <v>1373.1489455114686</v>
      </c>
      <c r="AQ24" s="7"/>
      <c r="AR24" s="7"/>
      <c r="AS24" s="7"/>
      <c r="AT24" s="7"/>
      <c r="AU24" s="47">
        <v>385309426.63772953</v>
      </c>
      <c r="AV24" s="47">
        <v>853440000</v>
      </c>
      <c r="AW24" s="47">
        <v>1564640000</v>
      </c>
      <c r="AX24" s="47">
        <v>761805000</v>
      </c>
      <c r="AY24" s="47">
        <v>380902500</v>
      </c>
      <c r="AZ24" s="47">
        <v>1142707500</v>
      </c>
      <c r="BA24" s="47">
        <v>0</v>
      </c>
      <c r="BB24" s="47">
        <v>788540280</v>
      </c>
      <c r="BC24" s="47">
        <v>788540284</v>
      </c>
      <c r="BD24" s="19">
        <f ca="1">DB_25[[#This Row],[SL-10]]*DB_25[[#This Row],[GB-10]]*BD$2/10^3</f>
        <v>2698237.6779300356</v>
      </c>
      <c r="BE24" s="19">
        <f ca="1">DB_25[[#This Row],[SL-11]]*DB_25[[#This Row],[GB-11]]*BE$2/10^3</f>
        <v>2698237.6779300356</v>
      </c>
      <c r="BF24" s="19">
        <f ca="1">DB_25[[#This Row],[SL-12]]*DB_25[[#This Row],[GB-12]]*BF$2/10^3</f>
        <v>2698237.6779300356</v>
      </c>
      <c r="BG24" s="47">
        <f ca="1">SUM(DB_25[[#This Row],[DT-01]:[DT-12]])</f>
        <v>6673979703.6715193</v>
      </c>
      <c r="BH24" s="7"/>
      <c r="BI24" s="7"/>
      <c r="BJ24" s="7"/>
      <c r="BK24" s="50">
        <v>15287.772074618511</v>
      </c>
      <c r="BL24" s="109">
        <v>33770.022696116604</v>
      </c>
      <c r="BM24" s="109">
        <v>61662.344582283142</v>
      </c>
      <c r="BN24" s="109">
        <v>29675.570738682552</v>
      </c>
      <c r="BO24" s="109">
        <v>14775.77705896402</v>
      </c>
      <c r="BP24" s="109">
        <v>44094.592802240069</v>
      </c>
      <c r="BQ24" s="109">
        <v>0</v>
      </c>
      <c r="BR24" s="109">
        <v>30174.159462447533</v>
      </c>
      <c r="BS24" s="109">
        <v>30084.911286315128</v>
      </c>
      <c r="BT24" s="147">
        <f ca="1">DB_25[[#This Row],[SL-10]]*DB_25[[#This Row],[GB-10]]</f>
        <v>102986.17091336014</v>
      </c>
      <c r="BU24" s="147">
        <f ca="1">DB_25[[#This Row],[SL-11]]*DB_25[[#This Row],[GB-11]]</f>
        <v>102986.17091336014</v>
      </c>
      <c r="BV24" s="147">
        <f ca="1">DB_25[[#This Row],[SL-12]]*DB_25[[#This Row],[GB-12]]</f>
        <v>102986.17091336014</v>
      </c>
      <c r="BW24" s="47">
        <f ca="1">SUM(DB_25[[#This Row],[DT-01-USD]:[DT-12-USD]])</f>
        <v>568483.66344174801</v>
      </c>
    </row>
    <row r="25" spans="1:75" x14ac:dyDescent="0.35">
      <c r="A25" s="18">
        <f>ROWS($A$6:A25)</f>
        <v>20</v>
      </c>
      <c r="B25" s="18" t="s">
        <v>95</v>
      </c>
      <c r="C25" s="18" t="str">
        <f>IFERROR(_xlfn.XLOOKUP(DB_25[[#This Row],[Salesman]],MD_Salesman[Salesman],MD_Salesman[SalesManager]),"")</f>
        <v>Cường</v>
      </c>
      <c r="D25" s="7" t="s">
        <v>605</v>
      </c>
      <c r="E25" s="7" t="s">
        <v>479</v>
      </c>
      <c r="F25" s="7"/>
      <c r="G25" s="7" t="str">
        <f>_xlfn.XLOOKUP(DB_25[[#This Row],[Mã khách]],MD_Customer[Mã khách],MD_Customer[Kênh bán hàng])</f>
        <v>Nội địa</v>
      </c>
      <c r="H25" s="7"/>
      <c r="I25" s="7"/>
      <c r="J25" s="7"/>
      <c r="K25" s="7" t="s">
        <v>184</v>
      </c>
      <c r="L25" s="7" t="str">
        <f>_xlfn.XLOOKUP(DB_25[[#This Row],[Mã sản phẩm]],MD_SKU[Mã SKU],MD_SKU[Tên SKU-rút gọn])</f>
        <v>rHDPE MBF01</v>
      </c>
      <c r="M25" s="7" t="str">
        <f>_xlfn.XLOOKUP(DB_25[[#This Row],[Mã sản phẩm]],MD_SKU[Mã SKU],MD_SKU[Nhóm ngành])</f>
        <v>Hạt HD thổi</v>
      </c>
      <c r="N25" s="7"/>
      <c r="O25" s="47">
        <v>49.5</v>
      </c>
      <c r="P25" s="47">
        <v>24.75</v>
      </c>
      <c r="Q25" s="47">
        <v>24.75</v>
      </c>
      <c r="R25" s="47">
        <v>24.75</v>
      </c>
      <c r="S25" s="47">
        <v>24.75</v>
      </c>
      <c r="T25" s="47">
        <v>24.75</v>
      </c>
      <c r="U25" s="47">
        <v>35.75</v>
      </c>
      <c r="V25" s="47">
        <v>35.725000000000001</v>
      </c>
      <c r="W25" s="110">
        <f ca="1">SUMIFS(Data_Actual_LG_EXW[SL],Data_Actual_LG_EXW[Year],2025,Data_Actual_LG_EXW[Month],'DB 2025'!W$1,Data_Actual_LG_EXW[Mã KH],DB_25[[#This Row],[Mã khách]],Data_Actual_LG_EXW[Mã SKU],DB_25[[#This Row],[Mã sản phẩm]])/10^3</f>
        <v>35.75</v>
      </c>
      <c r="X25" s="33">
        <v>40</v>
      </c>
      <c r="Y25" s="33">
        <v>40</v>
      </c>
      <c r="Z25" s="33">
        <v>40</v>
      </c>
      <c r="AA25" s="19">
        <f ca="1">SUM(DB_25[[#This Row],[SL-01]:[SL-12]])</f>
        <v>400.47500000000002</v>
      </c>
      <c r="AB25" s="7"/>
      <c r="AC25" s="20">
        <f ca="1">DB_25[[#This Row],[SL-DB25]]-DB_25[[#This Row],[SL-KH25]]</f>
        <v>400.47500000000002</v>
      </c>
      <c r="AD25" s="21">
        <f ca="1">IFERROR(DB_25[[#This Row],[SL-+/-]]/DB_25[[#This Row],[SL-KH25]],0)</f>
        <v>0</v>
      </c>
      <c r="AE25" s="23">
        <v>1394.0405487052608</v>
      </c>
      <c r="AF25" s="23">
        <v>1408.7094477073215</v>
      </c>
      <c r="AG25" s="23">
        <v>1402.2983600119542</v>
      </c>
      <c r="AH25" s="23">
        <v>1386.0856994705475</v>
      </c>
      <c r="AI25" s="23">
        <v>1346.606559980085</v>
      </c>
      <c r="AJ25" s="23">
        <v>1339.8249946616779</v>
      </c>
      <c r="AK25" s="23">
        <v>1383.0530493300971</v>
      </c>
      <c r="AL25" s="23">
        <v>1375.0674669499706</v>
      </c>
      <c r="AM25" s="111">
        <v>1371.1182587056312</v>
      </c>
      <c r="AN25" s="51">
        <f ca="1">IFERROR(SUM(DB_25[[#This Row],[DT-01-USD]:[DT-09-USD]])/SUM(DB_25[[#This Row],[SL-01]:[SL-09]]),0)</f>
        <v>1379.6529528845963</v>
      </c>
      <c r="AO25" s="51">
        <f ca="1">DB_25[[#This Row],[GB-10]]</f>
        <v>1379.6529528845963</v>
      </c>
      <c r="AP25" s="51">
        <f ca="1">DB_25[[#This Row],[GB-11]]</f>
        <v>1379.6529528845963</v>
      </c>
      <c r="AQ25" s="7"/>
      <c r="AR25" s="7"/>
      <c r="AS25" s="7"/>
      <c r="AT25" s="7"/>
      <c r="AU25" s="47">
        <v>1739186038</v>
      </c>
      <c r="AV25" s="47">
        <v>881126518.51851857</v>
      </c>
      <c r="AW25" s="47">
        <v>880663555.55555558</v>
      </c>
      <c r="AX25" s="47">
        <v>880663556</v>
      </c>
      <c r="AY25" s="47">
        <v>859170629.62962961</v>
      </c>
      <c r="AZ25" s="47">
        <v>859355815</v>
      </c>
      <c r="BA25" s="47">
        <v>1284957324.074074</v>
      </c>
      <c r="BB25" s="47">
        <v>1283763271</v>
      </c>
      <c r="BC25" s="47">
        <v>1284772139</v>
      </c>
      <c r="BD25" s="19">
        <f ca="1">DB_25[[#This Row],[SL-10]]*DB_25[[#This Row],[GB-10]]*BD$2/10^3</f>
        <v>1445876.2946230569</v>
      </c>
      <c r="BE25" s="19">
        <f ca="1">DB_25[[#This Row],[SL-11]]*DB_25[[#This Row],[GB-11]]*BE$2/10^3</f>
        <v>1445876.2946230569</v>
      </c>
      <c r="BF25" s="19">
        <f ca="1">DB_25[[#This Row],[SL-12]]*DB_25[[#This Row],[GB-12]]*BF$2/10^3</f>
        <v>1445876.2946230569</v>
      </c>
      <c r="BG25" s="47">
        <f ca="1">SUM(DB_25[[#This Row],[DT-01]:[DT-12]])</f>
        <v>9957996475.661644</v>
      </c>
      <c r="BH25" s="7"/>
      <c r="BI25" s="7"/>
      <c r="BJ25" s="7"/>
      <c r="BK25" s="50">
        <v>69005.007160910405</v>
      </c>
      <c r="BL25" s="109">
        <v>34865.558830756207</v>
      </c>
      <c r="BM25" s="109">
        <v>34706.884410295868</v>
      </c>
      <c r="BN25" s="109">
        <v>34305.621061896054</v>
      </c>
      <c r="BO25" s="109">
        <v>33328.512359507105</v>
      </c>
      <c r="BP25" s="109">
        <v>33160.66861787653</v>
      </c>
      <c r="BQ25" s="109">
        <v>49444.146513550972</v>
      </c>
      <c r="BR25" s="109">
        <v>49124.285256787705</v>
      </c>
      <c r="BS25" s="109">
        <v>49017.477748726313</v>
      </c>
      <c r="BT25" s="147">
        <f ca="1">DB_25[[#This Row],[SL-10]]*DB_25[[#This Row],[GB-10]]</f>
        <v>55186.118115383855</v>
      </c>
      <c r="BU25" s="147">
        <f ca="1">DB_25[[#This Row],[SL-11]]*DB_25[[#This Row],[GB-11]]</f>
        <v>55186.118115383855</v>
      </c>
      <c r="BV25" s="147">
        <f ca="1">DB_25[[#This Row],[SL-12]]*DB_25[[#This Row],[GB-12]]</f>
        <v>55186.118115383855</v>
      </c>
      <c r="BW25" s="47">
        <f ca="1">SUM(DB_25[[#This Row],[DT-01-USD]:[DT-12-USD]])</f>
        <v>552516.51630645874</v>
      </c>
    </row>
    <row r="26" spans="1:75" x14ac:dyDescent="0.35">
      <c r="A26" s="18">
        <f>ROWS($A$6:A26)</f>
        <v>21</v>
      </c>
      <c r="B26" s="18" t="s">
        <v>115</v>
      </c>
      <c r="C26" s="18" t="str">
        <f>IFERROR(_xlfn.XLOOKUP(DB_25[[#This Row],[Salesman]],MD_Salesman[Salesman],MD_Salesman[SalesManager]),"")</f>
        <v>Quốc Anh</v>
      </c>
      <c r="D26" s="7" t="s">
        <v>603</v>
      </c>
      <c r="E26" s="7" t="s">
        <v>56</v>
      </c>
      <c r="F26" s="7"/>
      <c r="G26" s="7" t="str">
        <f>_xlfn.XLOOKUP(DB_25[[#This Row],[Mã khách]],MD_Customer[Mã khách],MD_Customer[Kênh bán hàng])</f>
        <v>Nội địa</v>
      </c>
      <c r="H26" s="7"/>
      <c r="I26" s="7"/>
      <c r="J26" s="7"/>
      <c r="K26" s="72" t="s">
        <v>220</v>
      </c>
      <c r="L26" s="7" t="str">
        <f>_xlfn.XLOOKUP(DB_25[[#This Row],[Mã sản phẩm]],MD_SKU[Mã SKU],MD_SKU[Tên SKU-rút gọn])</f>
        <v>PS HD Ép Hỗn Hợp Cuối ST</v>
      </c>
      <c r="M26" s="7" t="str">
        <f>_xlfn.XLOOKUP(DB_25[[#This Row],[Mã sản phẩm]],MD_SKU[Mã SKU],MD_SKU[Nhóm ngành])</f>
        <v>Vảy Phó sản HD ép</v>
      </c>
      <c r="N26" s="7"/>
      <c r="O26" s="47"/>
      <c r="P26" s="47"/>
      <c r="Q26" s="47"/>
      <c r="R26" s="47"/>
      <c r="S26" s="47"/>
      <c r="T26" s="47"/>
      <c r="U26" s="47"/>
      <c r="V26" s="47">
        <v>146.61099999999999</v>
      </c>
      <c r="W26" s="110">
        <f ca="1">SUMIFS(Data_Actual_LG_EXW[SL],Data_Actual_LG_EXW[Year],2025,Data_Actual_LG_EXW[Month],'DB 2025'!W$1,Data_Actual_LG_EXW[Mã KH],DB_25[[#This Row],[Mã khách]],Data_Actual_LG_EXW[Mã SKU],DB_25[[#This Row],[Mã sản phẩm]])/10^3</f>
        <v>59.76</v>
      </c>
      <c r="X26" s="33">
        <v>176</v>
      </c>
      <c r="Y26" s="33"/>
      <c r="Z26" s="33"/>
      <c r="AA26" s="19">
        <f ca="1">SUM(DB_25[[#This Row],[SL-01]:[SL-12]])</f>
        <v>382.37099999999998</v>
      </c>
      <c r="AB26" s="7"/>
      <c r="AC26" s="20">
        <f ca="1">DB_25[[#This Row],[SL-DB25]]-DB_25[[#This Row],[SL-KH25]]</f>
        <v>382.37099999999998</v>
      </c>
      <c r="AD26" s="21">
        <f ca="1">IFERROR(DB_25[[#This Row],[SL-+/-]]/DB_25[[#This Row],[SL-KH25]],0)</f>
        <v>0</v>
      </c>
      <c r="AE26" s="23">
        <v>0</v>
      </c>
      <c r="AF26" s="23">
        <v>0</v>
      </c>
      <c r="AG26" s="23">
        <v>0</v>
      </c>
      <c r="AH26" s="23">
        <v>0</v>
      </c>
      <c r="AI26" s="23">
        <v>0</v>
      </c>
      <c r="AJ26" s="23">
        <v>0</v>
      </c>
      <c r="AK26" s="23">
        <v>0</v>
      </c>
      <c r="AL26" s="23">
        <v>425.18350934160645</v>
      </c>
      <c r="AM26" s="111">
        <v>423.91847170380964</v>
      </c>
      <c r="AN26" s="51">
        <f ca="1">IFERROR(SUM(DB_25[[#This Row],[DT-01-USD]:[DT-09-USD]])/SUM(DB_25[[#This Row],[SL-01]:[SL-09]]),0)</f>
        <v>424.81718534630318</v>
      </c>
      <c r="AO26" s="51">
        <f ca="1">DB_25[[#This Row],[GB-10]]</f>
        <v>424.81718534630318</v>
      </c>
      <c r="AP26" s="51">
        <f ca="1">DB_25[[#This Row],[GB-11]]</f>
        <v>424.81718534630318</v>
      </c>
      <c r="AQ26" s="7"/>
      <c r="AR26" s="7"/>
      <c r="AS26" s="7"/>
      <c r="AT26" s="7"/>
      <c r="AU26" s="47">
        <v>0</v>
      </c>
      <c r="AV26" s="47">
        <v>0</v>
      </c>
      <c r="AW26" s="47">
        <v>0</v>
      </c>
      <c r="AX26" s="47">
        <v>0</v>
      </c>
      <c r="AY26" s="47">
        <v>0</v>
      </c>
      <c r="AZ26" s="47">
        <v>0</v>
      </c>
      <c r="BA26" s="47">
        <v>0</v>
      </c>
      <c r="BB26" s="47">
        <v>1629039705.4787593</v>
      </c>
      <c r="BC26" s="47">
        <v>664000000</v>
      </c>
      <c r="BD26" s="19">
        <f ca="1">DB_25[[#This Row],[SL-10]]*DB_25[[#This Row],[GB-10]]*BD$2/10^3</f>
        <v>1958917.0050688735</v>
      </c>
      <c r="BE26" s="19">
        <f ca="1">DB_25[[#This Row],[SL-11]]*DB_25[[#This Row],[GB-11]]*BE$2/10^3</f>
        <v>0</v>
      </c>
      <c r="BF26" s="19">
        <f ca="1">DB_25[[#This Row],[SL-12]]*DB_25[[#This Row],[GB-12]]*BF$2/10^3</f>
        <v>0</v>
      </c>
      <c r="BG26" s="47">
        <f ca="1">SUM(DB_25[[#This Row],[DT-01]:[DT-12]])</f>
        <v>2294998622.4838281</v>
      </c>
      <c r="BH26" s="7"/>
      <c r="BI26" s="7"/>
      <c r="BJ26" s="7"/>
      <c r="BK26" s="50">
        <v>0</v>
      </c>
      <c r="BL26" s="109">
        <v>0</v>
      </c>
      <c r="BM26" s="109">
        <v>0</v>
      </c>
      <c r="BN26" s="109">
        <v>0</v>
      </c>
      <c r="BO26" s="109">
        <v>0</v>
      </c>
      <c r="BP26" s="109">
        <v>0</v>
      </c>
      <c r="BQ26" s="109">
        <v>0</v>
      </c>
      <c r="BR26" s="109">
        <v>62336.579488082258</v>
      </c>
      <c r="BS26" s="109">
        <v>25333.367869019665</v>
      </c>
      <c r="BT26" s="147">
        <f ca="1">DB_25[[#This Row],[SL-10]]*DB_25[[#This Row],[GB-10]]</f>
        <v>74767.824620949366</v>
      </c>
      <c r="BU26" s="147">
        <f ca="1">DB_25[[#This Row],[SL-11]]*DB_25[[#This Row],[GB-11]]</f>
        <v>0</v>
      </c>
      <c r="BV26" s="147">
        <f ca="1">DB_25[[#This Row],[SL-12]]*DB_25[[#This Row],[GB-12]]</f>
        <v>0</v>
      </c>
      <c r="BW26" s="47">
        <f ca="1">SUM(DB_25[[#This Row],[DT-01-USD]:[DT-12-USD]])</f>
        <v>162437.77197805129</v>
      </c>
    </row>
    <row r="27" spans="1:75" x14ac:dyDescent="0.35">
      <c r="A27" s="18">
        <f>ROWS($A$6:A27)</f>
        <v>22</v>
      </c>
      <c r="B27" s="18" t="s">
        <v>97</v>
      </c>
      <c r="C27" s="18" t="str">
        <f>IFERROR(_xlfn.XLOOKUP(DB_25[[#This Row],[Salesman]],MD_Salesman[Salesman],MD_Salesman[SalesManager]),"")</f>
        <v>Cường</v>
      </c>
      <c r="D27" s="7" t="s">
        <v>606</v>
      </c>
      <c r="E27" s="7" t="s">
        <v>325</v>
      </c>
      <c r="F27" s="7"/>
      <c r="G27" s="7" t="str">
        <f>_xlfn.XLOOKUP(DB_25[[#This Row],[Mã khách]],MD_Customer[Mã khách],MD_Customer[Kênh bán hàng])</f>
        <v>Nội địa</v>
      </c>
      <c r="H27" s="7"/>
      <c r="I27" s="7"/>
      <c r="J27" s="7"/>
      <c r="K27" s="7" t="s">
        <v>168</v>
      </c>
      <c r="L27" s="7" t="str">
        <f>_xlfn.XLOOKUP(DB_25[[#This Row],[Mã sản phẩm]],MD_SKU[Mã SKU],MD_SKU[Tên SKU-rút gọn])</f>
        <v>iSS1084G</v>
      </c>
      <c r="M27" s="7" t="str">
        <f>_xlfn.XLOOKUP(DB_25[[#This Row],[Mã sản phẩm]],MD_SKU[Mã SKU],MD_SKU[Nhóm ngành])</f>
        <v>Hạt PET</v>
      </c>
      <c r="N27" s="7"/>
      <c r="O27" s="47">
        <v>44</v>
      </c>
      <c r="P27" s="47">
        <v>0</v>
      </c>
      <c r="Q27" s="47">
        <v>22</v>
      </c>
      <c r="R27" s="47">
        <v>22</v>
      </c>
      <c r="S27" s="47">
        <v>44</v>
      </c>
      <c r="T27" s="47">
        <v>22</v>
      </c>
      <c r="U27" s="47">
        <v>66</v>
      </c>
      <c r="V27" s="47">
        <v>44</v>
      </c>
      <c r="W27" s="110">
        <f ca="1">SUMIFS(Data_Actual_LG_EXW[SL],Data_Actual_LG_EXW[Year],2025,Data_Actual_LG_EXW[Month],'DB 2025'!W$1,Data_Actual_LG_EXW[Mã KH],DB_25[[#This Row],[Mã khách]],Data_Actual_LG_EXW[Mã SKU],DB_25[[#This Row],[Mã sản phẩm]])/10^3</f>
        <v>110</v>
      </c>
      <c r="X27" s="33"/>
      <c r="Y27" s="33"/>
      <c r="Z27" s="33"/>
      <c r="AA27" s="19">
        <f ca="1">SUM(DB_25[[#This Row],[SL-01]:[SL-12]])</f>
        <v>374</v>
      </c>
      <c r="AB27" s="7"/>
      <c r="AC27" s="20">
        <f ca="1">DB_25[[#This Row],[SL-DB25]]-DB_25[[#This Row],[SL-KH25]]</f>
        <v>374</v>
      </c>
      <c r="AD27" s="21">
        <f ca="1">IFERROR(DB_25[[#This Row],[SL-+/-]]/DB_25[[#This Row],[SL-KH25]],0)</f>
        <v>0</v>
      </c>
      <c r="AE27" s="23">
        <v>1441.5855374839286</v>
      </c>
      <c r="AF27" s="23">
        <v>0</v>
      </c>
      <c r="AG27" s="23">
        <v>1336.5647790394228</v>
      </c>
      <c r="AH27" s="23">
        <v>1355.0073907800975</v>
      </c>
      <c r="AI27" s="23">
        <v>1372.8436900672275</v>
      </c>
      <c r="AJ27" s="23">
        <v>1368.2949245187031</v>
      </c>
      <c r="AK27" s="23">
        <v>1370.0188199794889</v>
      </c>
      <c r="AL27" s="23">
        <v>1360.7887379669758</v>
      </c>
      <c r="AM27" s="111">
        <v>1311.1208195656448</v>
      </c>
      <c r="AN27" s="51">
        <f ca="1">IFERROR(SUM(DB_25[[#This Row],[DT-01-USD]:[DT-09-USD]])/SUM(DB_25[[#This Row],[SL-01]:[SL-09]]),0)</f>
        <v>1357.4096225377164</v>
      </c>
      <c r="AO27" s="51">
        <f ca="1">DB_25[[#This Row],[GB-10]]</f>
        <v>1357.4096225377164</v>
      </c>
      <c r="AP27" s="51">
        <f ca="1">DB_25[[#This Row],[GB-11]]</f>
        <v>1357.4096225377164</v>
      </c>
      <c r="AQ27" s="7"/>
      <c r="AR27" s="7"/>
      <c r="AS27" s="7"/>
      <c r="AT27" s="7"/>
      <c r="AU27" s="47">
        <v>1598668906.3772955</v>
      </c>
      <c r="AV27" s="47">
        <v>0</v>
      </c>
      <c r="AW27" s="47">
        <v>746117262.66562009</v>
      </c>
      <c r="AX27" s="47">
        <v>765260123.12642372</v>
      </c>
      <c r="AY27" s="47">
        <v>1557174423.3172541</v>
      </c>
      <c r="AZ27" s="47">
        <v>780103341.65872025</v>
      </c>
      <c r="BA27" s="47">
        <v>2349872442.0369277</v>
      </c>
      <c r="BB27" s="47">
        <v>1564703609.6193771</v>
      </c>
      <c r="BC27" s="47">
        <v>3780163188.5741262</v>
      </c>
      <c r="BD27" s="19">
        <f ca="1">DB_25[[#This Row],[SL-10]]*DB_25[[#This Row],[GB-10]]*BD$2/10^3</f>
        <v>0</v>
      </c>
      <c r="BE27" s="19">
        <f ca="1">DB_25[[#This Row],[SL-11]]*DB_25[[#This Row],[GB-11]]*BE$2/10^3</f>
        <v>0</v>
      </c>
      <c r="BF27" s="19">
        <f ca="1">DB_25[[#This Row],[SL-12]]*DB_25[[#This Row],[GB-12]]*BF$2/10^3</f>
        <v>0</v>
      </c>
      <c r="BG27" s="47">
        <f ca="1">SUM(DB_25[[#This Row],[DT-01]:[DT-12]])</f>
        <v>13142063297.375744</v>
      </c>
      <c r="BH27" s="7"/>
      <c r="BI27" s="7"/>
      <c r="BJ27" s="7"/>
      <c r="BK27" s="50">
        <v>63429.763649292865</v>
      </c>
      <c r="BL27" s="109">
        <v>0</v>
      </c>
      <c r="BM27" s="109">
        <v>29404.4251388673</v>
      </c>
      <c r="BN27" s="109">
        <v>29810.162597162143</v>
      </c>
      <c r="BO27" s="109">
        <v>60405.122362958005</v>
      </c>
      <c r="BP27" s="109">
        <v>30102.488339411466</v>
      </c>
      <c r="BQ27" s="109">
        <v>90421.24211864626</v>
      </c>
      <c r="BR27" s="109">
        <v>59874.704470546938</v>
      </c>
      <c r="BS27" s="109">
        <v>144223.29015222093</v>
      </c>
      <c r="BT27" s="147">
        <f ca="1">DB_25[[#This Row],[SL-10]]*DB_25[[#This Row],[GB-10]]</f>
        <v>0</v>
      </c>
      <c r="BU27" s="147">
        <f ca="1">DB_25[[#This Row],[SL-11]]*DB_25[[#This Row],[GB-11]]</f>
        <v>0</v>
      </c>
      <c r="BV27" s="147">
        <f ca="1">DB_25[[#This Row],[SL-12]]*DB_25[[#This Row],[GB-12]]</f>
        <v>0</v>
      </c>
      <c r="BW27" s="47">
        <f ca="1">SUM(DB_25[[#This Row],[DT-01-USD]:[DT-12-USD]])</f>
        <v>507671.19882910588</v>
      </c>
    </row>
    <row r="28" spans="1:75" x14ac:dyDescent="0.35">
      <c r="A28" s="18">
        <f>ROWS($A$6:A28)</f>
        <v>23</v>
      </c>
      <c r="B28" s="18" t="s">
        <v>95</v>
      </c>
      <c r="C28" s="18" t="str">
        <f>IFERROR(_xlfn.XLOOKUP(DB_25[[#This Row],[Salesman]],MD_Salesman[Salesman],MD_Salesman[SalesManager]),"")</f>
        <v>Cường</v>
      </c>
      <c r="D28" s="7" t="s">
        <v>607</v>
      </c>
      <c r="E28" s="7" t="s">
        <v>126</v>
      </c>
      <c r="F28" s="7"/>
      <c r="G28" s="7" t="str">
        <f>_xlfn.XLOOKUP(DB_25[[#This Row],[Mã khách]],MD_Customer[Mã khách],MD_Customer[Kênh bán hàng])</f>
        <v>Xuất khẩu</v>
      </c>
      <c r="H28" s="7"/>
      <c r="I28" s="7"/>
      <c r="J28" s="7"/>
      <c r="K28" s="7" t="s">
        <v>168</v>
      </c>
      <c r="L28" s="7" t="str">
        <f>_xlfn.XLOOKUP(DB_25[[#This Row],[Mã sản phẩm]],MD_SKU[Mã SKU],MD_SKU[Tên SKU-rút gọn])</f>
        <v>iSS1084G</v>
      </c>
      <c r="M28" s="7" t="str">
        <f>_xlfn.XLOOKUP(DB_25[[#This Row],[Mã sản phẩm]],MD_SKU[Mã SKU],MD_SKU[Nhóm ngành])</f>
        <v>Hạt PET</v>
      </c>
      <c r="N28" s="7"/>
      <c r="O28" s="47">
        <v>0</v>
      </c>
      <c r="P28" s="47">
        <v>0</v>
      </c>
      <c r="Q28" s="47">
        <v>0</v>
      </c>
      <c r="R28" s="47">
        <v>0</v>
      </c>
      <c r="S28" s="47">
        <v>220</v>
      </c>
      <c r="T28" s="47">
        <v>0</v>
      </c>
      <c r="U28" s="47">
        <v>0</v>
      </c>
      <c r="V28" s="47">
        <v>0</v>
      </c>
      <c r="W28" s="110">
        <f ca="1">SUMIFS(Data_Actual_LG_EXW[SL],Data_Actual_LG_EXW[Year],2025,Data_Actual_LG_EXW[Month],'DB 2025'!W$1,Data_Actual_LG_EXW[Mã KH],DB_25[[#This Row],[Mã khách]],Data_Actual_LG_EXW[Mã SKU],DB_25[[#This Row],[Mã sản phẩm]])/10^3</f>
        <v>0</v>
      </c>
      <c r="X28" s="33">
        <v>66</v>
      </c>
      <c r="Y28" s="33"/>
      <c r="Z28" s="33">
        <v>66</v>
      </c>
      <c r="AA28" s="19">
        <f ca="1">SUM(DB_25[[#This Row],[SL-01]:[SL-12]])</f>
        <v>352</v>
      </c>
      <c r="AB28" s="7"/>
      <c r="AC28" s="20">
        <f ca="1">DB_25[[#This Row],[SL-DB25]]-DB_25[[#This Row],[SL-KH25]]</f>
        <v>352</v>
      </c>
      <c r="AD28" s="21">
        <f ca="1">IFERROR(DB_25[[#This Row],[SL-+/-]]/DB_25[[#This Row],[SL-KH25]],0)</f>
        <v>0</v>
      </c>
      <c r="AE28" s="23">
        <v>0</v>
      </c>
      <c r="AF28" s="23">
        <v>0</v>
      </c>
      <c r="AG28" s="23">
        <v>0</v>
      </c>
      <c r="AH28" s="23">
        <v>0</v>
      </c>
      <c r="AI28" s="23">
        <v>1341.2158885299639</v>
      </c>
      <c r="AJ28" s="23">
        <v>0</v>
      </c>
      <c r="AK28" s="23">
        <v>0</v>
      </c>
      <c r="AL28" s="23">
        <v>0</v>
      </c>
      <c r="AM28" s="111">
        <v>0</v>
      </c>
      <c r="AN28" s="51">
        <f ca="1">IFERROR(SUM(DB_25[[#This Row],[DT-01-USD]:[DT-09-USD]])/SUM(DB_25[[#This Row],[SL-01]:[SL-09]]),0)</f>
        <v>1341.2158885299639</v>
      </c>
      <c r="AO28" s="51">
        <f ca="1">DB_25[[#This Row],[GB-10]]</f>
        <v>1341.2158885299639</v>
      </c>
      <c r="AP28" s="51">
        <f ca="1">DB_25[[#This Row],[GB-11]]</f>
        <v>1341.2158885299639</v>
      </c>
      <c r="AQ28" s="7"/>
      <c r="AR28" s="7"/>
      <c r="AS28" s="7"/>
      <c r="AT28" s="7"/>
      <c r="AU28" s="47">
        <v>0</v>
      </c>
      <c r="AV28" s="47">
        <v>0</v>
      </c>
      <c r="AW28" s="47">
        <v>0</v>
      </c>
      <c r="AX28" s="47">
        <v>0</v>
      </c>
      <c r="AY28" s="47">
        <v>7598578398.2059002</v>
      </c>
      <c r="AZ28" s="47">
        <v>0</v>
      </c>
      <c r="BA28" s="47">
        <v>0</v>
      </c>
      <c r="BB28" s="47">
        <v>0</v>
      </c>
      <c r="BC28" s="47">
        <v>0</v>
      </c>
      <c r="BD28" s="19">
        <f ca="1">DB_25[[#This Row],[SL-10]]*DB_25[[#This Row],[GB-10]]*BD$2/10^3</f>
        <v>2319230.5144460136</v>
      </c>
      <c r="BE28" s="19">
        <f ca="1">DB_25[[#This Row],[SL-11]]*DB_25[[#This Row],[GB-11]]*BE$2/10^3</f>
        <v>0</v>
      </c>
      <c r="BF28" s="19">
        <f ca="1">DB_25[[#This Row],[SL-12]]*DB_25[[#This Row],[GB-12]]*BF$2/10^3</f>
        <v>2319230.5144460136</v>
      </c>
      <c r="BG28" s="47">
        <f ca="1">SUM(DB_25[[#This Row],[DT-01]:[DT-12]])</f>
        <v>7603216859.2347927</v>
      </c>
      <c r="BH28" s="7"/>
      <c r="BI28" s="7"/>
      <c r="BJ28" s="7"/>
      <c r="BK28" s="50">
        <v>0</v>
      </c>
      <c r="BL28" s="109">
        <v>0</v>
      </c>
      <c r="BM28" s="109">
        <v>0</v>
      </c>
      <c r="BN28" s="109">
        <v>0</v>
      </c>
      <c r="BO28" s="109">
        <v>295067.49547659204</v>
      </c>
      <c r="BP28" s="109">
        <v>0</v>
      </c>
      <c r="BQ28" s="109">
        <v>0</v>
      </c>
      <c r="BR28" s="109">
        <v>0</v>
      </c>
      <c r="BS28" s="109">
        <v>0</v>
      </c>
      <c r="BT28" s="147">
        <f ca="1">DB_25[[#This Row],[SL-10]]*DB_25[[#This Row],[GB-10]]</f>
        <v>88520.248642977618</v>
      </c>
      <c r="BU28" s="147">
        <f ca="1">DB_25[[#This Row],[SL-11]]*DB_25[[#This Row],[GB-11]]</f>
        <v>0</v>
      </c>
      <c r="BV28" s="147">
        <f ca="1">DB_25[[#This Row],[SL-12]]*DB_25[[#This Row],[GB-12]]</f>
        <v>88520.248642977618</v>
      </c>
      <c r="BW28" s="47">
        <f ca="1">SUM(DB_25[[#This Row],[DT-01-USD]:[DT-12-USD]])</f>
        <v>472107.99276254728</v>
      </c>
    </row>
    <row r="29" spans="1:75" x14ac:dyDescent="0.35">
      <c r="A29" s="18">
        <f>ROWS($A$6:A29)</f>
        <v>24</v>
      </c>
      <c r="B29" s="18" t="s">
        <v>95</v>
      </c>
      <c r="C29" s="18" t="str">
        <f>IFERROR(_xlfn.XLOOKUP(DB_25[[#This Row],[Salesman]],MD_Salesman[Salesman],MD_Salesman[SalesManager]),"")</f>
        <v>Cường</v>
      </c>
      <c r="D29" s="7" t="s">
        <v>595</v>
      </c>
      <c r="E29" s="7" t="s">
        <v>478</v>
      </c>
      <c r="F29" s="7"/>
      <c r="G29" s="7" t="str">
        <f>_xlfn.XLOOKUP(DB_25[[#This Row],[Mã khách]],MD_Customer[Mã khách],MD_Customer[Kênh bán hàng])</f>
        <v>Nội địa</v>
      </c>
      <c r="H29" s="7"/>
      <c r="I29" s="7"/>
      <c r="J29" s="7"/>
      <c r="K29" s="7" t="s">
        <v>188</v>
      </c>
      <c r="L29" s="7" t="str">
        <f>_xlfn.XLOOKUP(DB_25[[#This Row],[Mã sản phẩm]],MD_SKU[Mã SKU],MD_SKU[Tên SKU-rút gọn])</f>
        <v>HCBF-Yel-U</v>
      </c>
      <c r="M29" s="7" t="str">
        <f>_xlfn.XLOOKUP(DB_25[[#This Row],[Mã sản phẩm]],MD_SKU[Mã SKU],MD_SKU[Nhóm ngành])</f>
        <v>Hạt HD thổi</v>
      </c>
      <c r="N29" s="7"/>
      <c r="O29" s="47">
        <v>22</v>
      </c>
      <c r="P29" s="47">
        <v>44</v>
      </c>
      <c r="Q29" s="47">
        <v>44</v>
      </c>
      <c r="R29" s="47">
        <v>22</v>
      </c>
      <c r="S29" s="47">
        <v>33</v>
      </c>
      <c r="T29" s="47">
        <v>44</v>
      </c>
      <c r="U29" s="47">
        <v>11</v>
      </c>
      <c r="V29" s="47">
        <v>44</v>
      </c>
      <c r="W29" s="110">
        <f ca="1">SUMIFS(Data_Actual_LG_EXW[SL],Data_Actual_LG_EXW[Year],2025,Data_Actual_LG_EXW[Month],'DB 2025'!W$1,Data_Actual_LG_EXW[Mã KH],DB_25[[#This Row],[Mã khách]],Data_Actual_LG_EXW[Mã SKU],DB_25[[#This Row],[Mã sản phẩm]])/10^3</f>
        <v>33</v>
      </c>
      <c r="X29" s="33">
        <v>22</v>
      </c>
      <c r="Y29" s="33">
        <v>11</v>
      </c>
      <c r="Z29" s="33">
        <v>11</v>
      </c>
      <c r="AA29" s="19">
        <f ca="1">SUM(DB_25[[#This Row],[SL-01]:[SL-12]])</f>
        <v>341</v>
      </c>
      <c r="AB29" s="7"/>
      <c r="AC29" s="20">
        <f ca="1">DB_25[[#This Row],[SL-DB25]]-DB_25[[#This Row],[SL-KH25]]</f>
        <v>341</v>
      </c>
      <c r="AD29" s="21">
        <f ca="1">IFERROR(DB_25[[#This Row],[SL-+/-]]/DB_25[[#This Row],[SL-KH25]],0)</f>
        <v>0</v>
      </c>
      <c r="AE29" s="23">
        <v>1360.5109768870038</v>
      </c>
      <c r="AF29" s="23">
        <v>1356.8312690403991</v>
      </c>
      <c r="AG29" s="23">
        <v>1351.3663179558805</v>
      </c>
      <c r="AH29" s="23">
        <v>1298.9307057335798</v>
      </c>
      <c r="AI29" s="23">
        <v>1293.5023687981973</v>
      </c>
      <c r="AJ29" s="23">
        <v>1286.7109010754675</v>
      </c>
      <c r="AK29" s="23">
        <v>1309.240983549101</v>
      </c>
      <c r="AL29" s="23">
        <v>1301.9811880567468</v>
      </c>
      <c r="AM29" s="111">
        <v>1298.1302246460248</v>
      </c>
      <c r="AN29" s="51">
        <f ca="1">IFERROR(SUM(DB_25[[#This Row],[DT-01-USD]:[DT-09-USD]])/SUM(DB_25[[#This Row],[SL-01]:[SL-09]]),0)</f>
        <v>1318.1696605050711</v>
      </c>
      <c r="AO29" s="51">
        <f ca="1">DB_25[[#This Row],[GB-10]]</f>
        <v>1318.1696605050711</v>
      </c>
      <c r="AP29" s="51">
        <f ca="1">DB_25[[#This Row],[GB-11]]</f>
        <v>1318.1696605050711</v>
      </c>
      <c r="AQ29" s="7"/>
      <c r="AR29" s="7"/>
      <c r="AS29" s="7"/>
      <c r="AT29" s="7"/>
      <c r="AU29" s="47">
        <v>754380000</v>
      </c>
      <c r="AV29" s="47">
        <v>1508760000</v>
      </c>
      <c r="AW29" s="47">
        <v>1508760000</v>
      </c>
      <c r="AX29" s="47">
        <v>733590000</v>
      </c>
      <c r="AY29" s="47">
        <v>1100385000</v>
      </c>
      <c r="AZ29" s="47">
        <v>1467180000</v>
      </c>
      <c r="BA29" s="47">
        <v>374270930</v>
      </c>
      <c r="BB29" s="47">
        <v>1497083719</v>
      </c>
      <c r="BC29" s="47">
        <v>1122812791</v>
      </c>
      <c r="BD29" s="19">
        <f ca="1">DB_25[[#This Row],[SL-10]]*DB_25[[#This Row],[GB-10]]*BD$2/10^3</f>
        <v>759792.99231512297</v>
      </c>
      <c r="BE29" s="19">
        <f ca="1">DB_25[[#This Row],[SL-11]]*DB_25[[#This Row],[GB-11]]*BE$2/10^3</f>
        <v>379896.49615756149</v>
      </c>
      <c r="BF29" s="19">
        <f ca="1">DB_25[[#This Row],[SL-12]]*DB_25[[#This Row],[GB-12]]*BF$2/10^3</f>
        <v>379896.49615756149</v>
      </c>
      <c r="BG29" s="47">
        <f ca="1">SUM(DB_25[[#This Row],[DT-01]:[DT-12]])</f>
        <v>10068742025.984629</v>
      </c>
      <c r="BH29" s="7"/>
      <c r="BI29" s="7"/>
      <c r="BJ29" s="7"/>
      <c r="BK29" s="50">
        <v>29931.241491514083</v>
      </c>
      <c r="BL29" s="109">
        <v>59700.575837777564</v>
      </c>
      <c r="BM29" s="109">
        <v>59460.117990058745</v>
      </c>
      <c r="BN29" s="109">
        <v>28576.475526138755</v>
      </c>
      <c r="BO29" s="109">
        <v>42685.578170340508</v>
      </c>
      <c r="BP29" s="109">
        <v>56615.279647320574</v>
      </c>
      <c r="BQ29" s="109">
        <v>14401.650819040111</v>
      </c>
      <c r="BR29" s="109">
        <v>57287.172274496857</v>
      </c>
      <c r="BS29" s="109">
        <v>42838.297413318818</v>
      </c>
      <c r="BT29" s="147">
        <f ca="1">DB_25[[#This Row],[SL-10]]*DB_25[[#This Row],[GB-10]]</f>
        <v>28999.732531111564</v>
      </c>
      <c r="BU29" s="147">
        <f ca="1">DB_25[[#This Row],[SL-11]]*DB_25[[#This Row],[GB-11]]</f>
        <v>14499.866265555782</v>
      </c>
      <c r="BV29" s="147">
        <f ca="1">DB_25[[#This Row],[SL-12]]*DB_25[[#This Row],[GB-12]]</f>
        <v>14499.866265555782</v>
      </c>
      <c r="BW29" s="47">
        <f ca="1">SUM(DB_25[[#This Row],[DT-01-USD]:[DT-12-USD]])</f>
        <v>449495.85423222923</v>
      </c>
    </row>
    <row r="30" spans="1:75" x14ac:dyDescent="0.35">
      <c r="A30" s="18">
        <f>ROWS($A$6:A30)</f>
        <v>25</v>
      </c>
      <c r="B30" s="18" t="s">
        <v>115</v>
      </c>
      <c r="C30" s="18" t="str">
        <f>IFERROR(_xlfn.XLOOKUP(DB_25[[#This Row],[Salesman]],MD_Salesman[Salesman],MD_Salesman[SalesManager]),"")</f>
        <v>Quốc Anh</v>
      </c>
      <c r="D30" s="7" t="s">
        <v>608</v>
      </c>
      <c r="E30" s="7" t="s">
        <v>294</v>
      </c>
      <c r="F30" s="7"/>
      <c r="G30" s="7" t="str">
        <f>_xlfn.XLOOKUP(DB_25[[#This Row],[Mã khách]],MD_Customer[Mã khách],MD_Customer[Kênh bán hàng])</f>
        <v>Xuất khẩu</v>
      </c>
      <c r="H30" s="7"/>
      <c r="I30" s="7"/>
      <c r="J30" s="7"/>
      <c r="K30" s="7" t="s">
        <v>172</v>
      </c>
      <c r="L30" s="7" t="str">
        <f>_xlfn.XLOOKUP(DB_25[[#This Row],[Mã sản phẩm]],MD_SKU[Mã SKU],MD_SKU[Tên SKU-rút gọn])</f>
        <v>iSS01G 1</v>
      </c>
      <c r="M30" s="7" t="str">
        <f>_xlfn.XLOOKUP(DB_25[[#This Row],[Mã sản phẩm]],MD_SKU[Mã SKU],MD_SKU[Nhóm ngành])</f>
        <v>Hạt PET</v>
      </c>
      <c r="N30" s="7"/>
      <c r="O30" s="47">
        <v>0</v>
      </c>
      <c r="P30" s="47">
        <v>0</v>
      </c>
      <c r="Q30" s="47">
        <v>0</v>
      </c>
      <c r="R30" s="47">
        <v>105</v>
      </c>
      <c r="S30" s="47">
        <v>105</v>
      </c>
      <c r="T30" s="47">
        <v>0</v>
      </c>
      <c r="U30" s="47">
        <v>0</v>
      </c>
      <c r="V30" s="47">
        <v>0</v>
      </c>
      <c r="W30" s="110">
        <f ca="1">SUMIFS(Data_Actual_LG_EXW[SL],Data_Actual_LG_EXW[Year],2025,Data_Actual_LG_EXW[Month],'DB 2025'!W$1,Data_Actual_LG_EXW[Mã KH],DB_25[[#This Row],[Mã khách]],Data_Actual_LG_EXW[Mã SKU],DB_25[[#This Row],[Mã sản phẩm]])/10^3</f>
        <v>0</v>
      </c>
      <c r="X30" s="33"/>
      <c r="Y30" s="33">
        <v>63</v>
      </c>
      <c r="Z30" s="33">
        <v>63</v>
      </c>
      <c r="AA30" s="19">
        <f ca="1">SUM(DB_25[[#This Row],[SL-01]:[SL-12]])</f>
        <v>336</v>
      </c>
      <c r="AB30" s="7"/>
      <c r="AC30" s="20">
        <f ca="1">DB_25[[#This Row],[SL-DB25]]-DB_25[[#This Row],[SL-KH25]]</f>
        <v>336</v>
      </c>
      <c r="AD30" s="21">
        <f ca="1">IFERROR(DB_25[[#This Row],[SL-+/-]]/DB_25[[#This Row],[SL-KH25]],0)</f>
        <v>0</v>
      </c>
      <c r="AE30" s="23">
        <v>0</v>
      </c>
      <c r="AF30" s="23">
        <v>0</v>
      </c>
      <c r="AG30" s="23">
        <v>0</v>
      </c>
      <c r="AH30" s="23">
        <v>1259.2054628579406</v>
      </c>
      <c r="AI30" s="23">
        <v>1259.9119784338702</v>
      </c>
      <c r="AJ30" s="23">
        <v>0</v>
      </c>
      <c r="AK30" s="23">
        <v>0</v>
      </c>
      <c r="AL30" s="23">
        <v>0</v>
      </c>
      <c r="AM30" s="111">
        <v>0</v>
      </c>
      <c r="AN30" s="51">
        <f ca="1">IFERROR(SUM(DB_25[[#This Row],[DT-01-USD]:[DT-09-USD]])/SUM(DB_25[[#This Row],[SL-01]:[SL-09]]),0)</f>
        <v>1259.5587206459056</v>
      </c>
      <c r="AO30" s="51">
        <f ca="1">DB_25[[#This Row],[GB-10]]</f>
        <v>1259.5587206459056</v>
      </c>
      <c r="AP30" s="51">
        <f ca="1">DB_25[[#This Row],[GB-11]]</f>
        <v>1259.5587206459056</v>
      </c>
      <c r="AQ30" s="7"/>
      <c r="AR30" s="7"/>
      <c r="AS30" s="7"/>
      <c r="AT30" s="7"/>
      <c r="AU30" s="47">
        <v>0</v>
      </c>
      <c r="AV30" s="47">
        <v>0</v>
      </c>
      <c r="AW30" s="47">
        <v>0</v>
      </c>
      <c r="AX30" s="47">
        <v>3415154096.0901637</v>
      </c>
      <c r="AY30" s="47">
        <v>3411778641.999999</v>
      </c>
      <c r="AZ30" s="47">
        <v>0</v>
      </c>
      <c r="BA30" s="47">
        <v>0</v>
      </c>
      <c r="BB30" s="47">
        <v>0</v>
      </c>
      <c r="BC30" s="47">
        <v>0</v>
      </c>
      <c r="BD30" s="19">
        <f ca="1">DB_25[[#This Row],[SL-10]]*DB_25[[#This Row],[GB-10]]*BD$2/10^3</f>
        <v>0</v>
      </c>
      <c r="BE30" s="19">
        <f ca="1">DB_25[[#This Row],[SL-11]]*DB_25[[#This Row],[GB-11]]*BE$2/10^3</f>
        <v>2079027.624298132</v>
      </c>
      <c r="BF30" s="19">
        <f ca="1">DB_25[[#This Row],[SL-12]]*DB_25[[#This Row],[GB-12]]*BF$2/10^3</f>
        <v>2079027.624298132</v>
      </c>
      <c r="BG30" s="47">
        <f ca="1">SUM(DB_25[[#This Row],[DT-01]:[DT-12]])</f>
        <v>6831090793.3387585</v>
      </c>
      <c r="BH30" s="7"/>
      <c r="BI30" s="7"/>
      <c r="BJ30" s="7"/>
      <c r="BK30" s="50">
        <v>0</v>
      </c>
      <c r="BL30" s="109">
        <v>0</v>
      </c>
      <c r="BM30" s="109">
        <v>0</v>
      </c>
      <c r="BN30" s="109">
        <v>132216.57360008376</v>
      </c>
      <c r="BO30" s="109">
        <v>132290.75773555637</v>
      </c>
      <c r="BP30" s="109">
        <v>0</v>
      </c>
      <c r="BQ30" s="109">
        <v>0</v>
      </c>
      <c r="BR30" s="109">
        <v>0</v>
      </c>
      <c r="BS30" s="109">
        <v>0</v>
      </c>
      <c r="BT30" s="147">
        <f ca="1">DB_25[[#This Row],[SL-10]]*DB_25[[#This Row],[GB-10]]</f>
        <v>0</v>
      </c>
      <c r="BU30" s="147">
        <f ca="1">DB_25[[#This Row],[SL-11]]*DB_25[[#This Row],[GB-11]]</f>
        <v>79352.199400692058</v>
      </c>
      <c r="BV30" s="147">
        <f ca="1">DB_25[[#This Row],[SL-12]]*DB_25[[#This Row],[GB-12]]</f>
        <v>79352.199400692058</v>
      </c>
      <c r="BW30" s="47">
        <f ca="1">SUM(DB_25[[#This Row],[DT-01-USD]:[DT-12-USD]])</f>
        <v>423211.73013702431</v>
      </c>
    </row>
    <row r="31" spans="1:75" x14ac:dyDescent="0.35">
      <c r="A31" s="18">
        <f>ROWS($A$6:A31)</f>
        <v>26</v>
      </c>
      <c r="B31" s="18" t="s">
        <v>95</v>
      </c>
      <c r="C31" s="18" t="str">
        <f>IFERROR(_xlfn.XLOOKUP(DB_25[[#This Row],[Salesman]],MD_Salesman[Salesman],MD_Salesman[SalesManager]),"")</f>
        <v>Cường</v>
      </c>
      <c r="D31" s="7" t="s">
        <v>609</v>
      </c>
      <c r="E31" s="7" t="s">
        <v>263</v>
      </c>
      <c r="F31" s="7"/>
      <c r="G31" s="7" t="str">
        <f>_xlfn.XLOOKUP(DB_25[[#This Row],[Mã khách]],MD_Customer[Mã khách],MD_Customer[Kênh bán hàng])</f>
        <v>Nội địa</v>
      </c>
      <c r="H31" s="7"/>
      <c r="I31" s="7"/>
      <c r="J31" s="7"/>
      <c r="K31" s="7" t="s">
        <v>174</v>
      </c>
      <c r="L31" s="7" t="str">
        <f>_xlfn.XLOOKUP(DB_25[[#This Row],[Mã sản phẩm]],MD_SKU[Mã SKU],MD_SKU[Tên SKU-rút gọn])</f>
        <v>WSS03G</v>
      </c>
      <c r="M31" s="7" t="str">
        <f>_xlfn.XLOOKUP(DB_25[[#This Row],[Mã sản phẩm]],MD_SKU[Mã SKU],MD_SKU[Nhóm ngành])</f>
        <v>Hạt PET</v>
      </c>
      <c r="N31" s="7"/>
      <c r="O31" s="47">
        <v>0</v>
      </c>
      <c r="P31" s="47">
        <v>0</v>
      </c>
      <c r="Q31" s="47">
        <v>0</v>
      </c>
      <c r="R31" s="47">
        <v>0</v>
      </c>
      <c r="S31" s="47">
        <v>0</v>
      </c>
      <c r="T31" s="47">
        <v>0</v>
      </c>
      <c r="U31" s="47">
        <v>330.85</v>
      </c>
      <c r="V31" s="47">
        <v>0</v>
      </c>
      <c r="W31" s="110">
        <f ca="1">SUMIFS(Data_Actual_LG_EXW[SL],Data_Actual_LG_EXW[Year],2025,Data_Actual_LG_EXW[Month],'DB 2025'!W$1,Data_Actual_LG_EXW[Mã KH],DB_25[[#This Row],[Mã khách]],Data_Actual_LG_EXW[Mã SKU],DB_25[[#This Row],[Mã sản phẩm]])/10^3</f>
        <v>0</v>
      </c>
      <c r="X31" s="33"/>
      <c r="Y31" s="33"/>
      <c r="Z31" s="33"/>
      <c r="AA31" s="19">
        <f ca="1">SUM(DB_25[[#This Row],[SL-01]:[SL-12]])</f>
        <v>330.85</v>
      </c>
      <c r="AB31" s="7"/>
      <c r="AC31" s="20">
        <f ca="1">DB_25[[#This Row],[SL-DB25]]-DB_25[[#This Row],[SL-KH25]]</f>
        <v>330.85</v>
      </c>
      <c r="AD31" s="21">
        <f ca="1">IFERROR(DB_25[[#This Row],[SL-+/-]]/DB_25[[#This Row],[SL-KH25]],0)</f>
        <v>0</v>
      </c>
      <c r="AE31" s="23">
        <v>0</v>
      </c>
      <c r="AF31" s="23">
        <v>0</v>
      </c>
      <c r="AG31" s="23">
        <v>0</v>
      </c>
      <c r="AH31" s="23">
        <v>0</v>
      </c>
      <c r="AI31" s="23">
        <v>0</v>
      </c>
      <c r="AJ31" s="23">
        <v>0</v>
      </c>
      <c r="AK31" s="23">
        <v>1080.7234214134789</v>
      </c>
      <c r="AL31" s="23">
        <v>0</v>
      </c>
      <c r="AM31" s="111">
        <v>0</v>
      </c>
      <c r="AN31" s="51">
        <f ca="1">IFERROR(SUM(DB_25[[#This Row],[DT-01-USD]:[DT-09-USD]])/SUM(DB_25[[#This Row],[SL-01]:[SL-09]]),0)</f>
        <v>1080.7234214134789</v>
      </c>
      <c r="AO31" s="51">
        <f ca="1">DB_25[[#This Row],[GB-10]]</f>
        <v>1080.7234214134789</v>
      </c>
      <c r="AP31" s="51">
        <f ca="1">DB_25[[#This Row],[GB-11]]</f>
        <v>1080.7234214134789</v>
      </c>
      <c r="AQ31" s="7"/>
      <c r="AR31" s="7"/>
      <c r="AS31" s="7"/>
      <c r="AT31" s="7"/>
      <c r="AU31" s="47">
        <v>0</v>
      </c>
      <c r="AV31" s="47">
        <v>0</v>
      </c>
      <c r="AW31" s="47">
        <v>0</v>
      </c>
      <c r="AX31" s="47">
        <v>0</v>
      </c>
      <c r="AY31" s="47">
        <v>0</v>
      </c>
      <c r="AZ31" s="47">
        <v>0</v>
      </c>
      <c r="BA31" s="47">
        <v>9292220825.1846371</v>
      </c>
      <c r="BB31" s="47">
        <v>0</v>
      </c>
      <c r="BC31" s="47">
        <v>0</v>
      </c>
      <c r="BD31" s="19">
        <f ca="1">DB_25[[#This Row],[SL-10]]*DB_25[[#This Row],[GB-10]]*BD$2/10^3</f>
        <v>0</v>
      </c>
      <c r="BE31" s="19">
        <f ca="1">DB_25[[#This Row],[SL-11]]*DB_25[[#This Row],[GB-11]]*BE$2/10^3</f>
        <v>0</v>
      </c>
      <c r="BF31" s="19">
        <f ca="1">DB_25[[#This Row],[SL-12]]*DB_25[[#This Row],[GB-12]]*BF$2/10^3</f>
        <v>0</v>
      </c>
      <c r="BG31" s="47">
        <f ca="1">SUM(DB_25[[#This Row],[DT-01]:[DT-12]])</f>
        <v>9292220825.1846371</v>
      </c>
      <c r="BH31" s="7"/>
      <c r="BI31" s="7"/>
      <c r="BJ31" s="7"/>
      <c r="BK31" s="50">
        <v>0</v>
      </c>
      <c r="BL31" s="109">
        <v>0</v>
      </c>
      <c r="BM31" s="109">
        <v>0</v>
      </c>
      <c r="BN31" s="109">
        <v>0</v>
      </c>
      <c r="BO31" s="109">
        <v>0</v>
      </c>
      <c r="BP31" s="109">
        <v>0</v>
      </c>
      <c r="BQ31" s="109">
        <v>357557.3439746495</v>
      </c>
      <c r="BR31" s="109">
        <v>0</v>
      </c>
      <c r="BS31" s="109">
        <v>0</v>
      </c>
      <c r="BT31" s="147">
        <f ca="1">DB_25[[#This Row],[SL-10]]*DB_25[[#This Row],[GB-10]]</f>
        <v>0</v>
      </c>
      <c r="BU31" s="147">
        <f ca="1">DB_25[[#This Row],[SL-11]]*DB_25[[#This Row],[GB-11]]</f>
        <v>0</v>
      </c>
      <c r="BV31" s="147">
        <f ca="1">DB_25[[#This Row],[SL-12]]*DB_25[[#This Row],[GB-12]]</f>
        <v>0</v>
      </c>
      <c r="BW31" s="47">
        <f ca="1">SUM(DB_25[[#This Row],[DT-01-USD]:[DT-12-USD]])</f>
        <v>357557.3439746495</v>
      </c>
    </row>
    <row r="32" spans="1:75" x14ac:dyDescent="0.35">
      <c r="A32" s="18">
        <f>ROWS($A$6:A32)</f>
        <v>27</v>
      </c>
      <c r="B32" s="18" t="s">
        <v>104</v>
      </c>
      <c r="C32" s="18" t="str">
        <f>IFERROR(_xlfn.XLOOKUP(DB_25[[#This Row],[Salesman]],MD_Salesman[Salesman],MD_Salesman[SalesManager]),"")</f>
        <v>Quốc Anh</v>
      </c>
      <c r="D32" s="7" t="s">
        <v>610</v>
      </c>
      <c r="E32" s="7" t="s">
        <v>44</v>
      </c>
      <c r="F32" s="7"/>
      <c r="G32" s="7" t="str">
        <f>_xlfn.XLOOKUP(DB_25[[#This Row],[Mã khách]],MD_Customer[Mã khách],MD_Customer[Kênh bán hàng])</f>
        <v>Nội địa</v>
      </c>
      <c r="H32" s="7"/>
      <c r="I32" s="7"/>
      <c r="J32" s="7"/>
      <c r="K32" s="7" t="s">
        <v>186</v>
      </c>
      <c r="L32" s="7" t="str">
        <f>_xlfn.XLOOKUP(DB_25[[#This Row],[Mã sản phẩm]],MD_SKU[Mã SKU],MD_SKU[Tên SKU-rút gọn])</f>
        <v>rHDB03N02</v>
      </c>
      <c r="M32" s="7" t="str">
        <f>_xlfn.XLOOKUP(DB_25[[#This Row],[Mã sản phẩm]],MD_SKU[Mã SKU],MD_SKU[Nhóm ngành])</f>
        <v>Hạt HD thổi</v>
      </c>
      <c r="N32" s="7"/>
      <c r="O32" s="47">
        <v>22</v>
      </c>
      <c r="P32" s="47">
        <v>22</v>
      </c>
      <c r="Q32" s="47">
        <v>33</v>
      </c>
      <c r="R32" s="47">
        <v>33</v>
      </c>
      <c r="S32" s="47">
        <v>33</v>
      </c>
      <c r="T32" s="47">
        <v>33</v>
      </c>
      <c r="U32" s="47">
        <v>33</v>
      </c>
      <c r="V32" s="47">
        <v>33</v>
      </c>
      <c r="W32" s="110">
        <f ca="1">SUMIFS(Data_Actual_LG_EXW[SL],Data_Actual_LG_EXW[Year],2025,Data_Actual_LG_EXW[Month],'DB 2025'!W$1,Data_Actual_LG_EXW[Mã KH],DB_25[[#This Row],[Mã khách]],Data_Actual_LG_EXW[Mã SKU],DB_25[[#This Row],[Mã sản phẩm]])/10^3</f>
        <v>33</v>
      </c>
      <c r="X32" s="33">
        <v>44</v>
      </c>
      <c r="Y32" s="33"/>
      <c r="Z32" s="33"/>
      <c r="AA32" s="19">
        <f ca="1">SUM(DB_25[[#This Row],[SL-01]:[SL-12]])</f>
        <v>319</v>
      </c>
      <c r="AB32" s="7"/>
      <c r="AC32" s="20">
        <f ca="1">DB_25[[#This Row],[SL-DB25]]-DB_25[[#This Row],[SL-KH25]]</f>
        <v>319</v>
      </c>
      <c r="AD32" s="21">
        <f ca="1">IFERROR(DB_25[[#This Row],[SL-+/-]]/DB_25[[#This Row],[SL-KH25]],0)</f>
        <v>0</v>
      </c>
      <c r="AE32" s="23">
        <v>1369.0275613486194</v>
      </c>
      <c r="AF32" s="23">
        <v>1365.3248191103767</v>
      </c>
      <c r="AG32" s="23">
        <v>1346.0459781214086</v>
      </c>
      <c r="AH32" s="23">
        <v>1253.8411183325716</v>
      </c>
      <c r="AI32" s="23">
        <v>1255.7129883532255</v>
      </c>
      <c r="AJ32" s="23">
        <v>1261.3394085741295</v>
      </c>
      <c r="AK32" s="23">
        <v>1263.5611554715983</v>
      </c>
      <c r="AL32" s="23">
        <v>1256.5546573576696</v>
      </c>
      <c r="AM32" s="111">
        <v>1237.4854219404212</v>
      </c>
      <c r="AN32" s="51">
        <f ca="1">IFERROR(SUM(DB_25[[#This Row],[DT-01-USD]:[DT-09-USD]])/SUM(DB_25[[#This Row],[SL-01]:[SL-09]]),0)</f>
        <v>1283.6930778148426</v>
      </c>
      <c r="AO32" s="51">
        <f ca="1">DB_25[[#This Row],[GB-10]]</f>
        <v>1283.6930778148426</v>
      </c>
      <c r="AP32" s="51">
        <f ca="1">DB_25[[#This Row],[GB-11]]</f>
        <v>1283.6930778148426</v>
      </c>
      <c r="AQ32" s="7"/>
      <c r="AR32" s="7"/>
      <c r="AS32" s="7"/>
      <c r="AT32" s="7"/>
      <c r="AU32" s="47">
        <v>759102300</v>
      </c>
      <c r="AV32" s="47">
        <v>759102300</v>
      </c>
      <c r="AW32" s="47">
        <v>1127115000</v>
      </c>
      <c r="AX32" s="47">
        <v>1062187500</v>
      </c>
      <c r="AY32" s="47">
        <v>1068237500</v>
      </c>
      <c r="AZ32" s="47">
        <v>1078687500</v>
      </c>
      <c r="BA32" s="47">
        <v>1083637500</v>
      </c>
      <c r="BB32" s="47">
        <v>1083637500</v>
      </c>
      <c r="BC32" s="47">
        <v>1070358300</v>
      </c>
      <c r="BD32" s="19">
        <f ca="1">DB_25[[#This Row],[SL-10]]*DB_25[[#This Row],[GB-10]]*BD$2/10^3</f>
        <v>1479841.3801049506</v>
      </c>
      <c r="BE32" s="19">
        <f ca="1">DB_25[[#This Row],[SL-11]]*DB_25[[#This Row],[GB-11]]*BE$2/10^3</f>
        <v>0</v>
      </c>
      <c r="BF32" s="19">
        <f ca="1">DB_25[[#This Row],[SL-12]]*DB_25[[#This Row],[GB-12]]*BF$2/10^3</f>
        <v>0</v>
      </c>
      <c r="BG32" s="47">
        <f ca="1">SUM(DB_25[[#This Row],[DT-01]:[DT-12]])</f>
        <v>9093545241.3801041</v>
      </c>
      <c r="BH32" s="7"/>
      <c r="BI32" s="7"/>
      <c r="BJ32" s="7"/>
      <c r="BK32" s="50">
        <v>30118.606349669626</v>
      </c>
      <c r="BL32" s="109">
        <v>30037.146020428285</v>
      </c>
      <c r="BM32" s="109">
        <v>44419.517278006482</v>
      </c>
      <c r="BN32" s="109">
        <v>41376.756904974864</v>
      </c>
      <c r="BO32" s="109">
        <v>41438.52861565644</v>
      </c>
      <c r="BP32" s="109">
        <v>41624.200482946275</v>
      </c>
      <c r="BQ32" s="109">
        <v>41697.518130562748</v>
      </c>
      <c r="BR32" s="109">
        <v>41466.3036928031</v>
      </c>
      <c r="BS32" s="109">
        <v>40837.018924033902</v>
      </c>
      <c r="BT32" s="147">
        <f ca="1">DB_25[[#This Row],[SL-10]]*DB_25[[#This Row],[GB-10]]</f>
        <v>56482.495423853077</v>
      </c>
      <c r="BU32" s="147">
        <f ca="1">DB_25[[#This Row],[SL-11]]*DB_25[[#This Row],[GB-11]]</f>
        <v>0</v>
      </c>
      <c r="BV32" s="147">
        <f ca="1">DB_25[[#This Row],[SL-12]]*DB_25[[#This Row],[GB-12]]</f>
        <v>0</v>
      </c>
      <c r="BW32" s="47">
        <f ca="1">SUM(DB_25[[#This Row],[DT-01-USD]:[DT-12-USD]])</f>
        <v>409498.0918229348</v>
      </c>
    </row>
    <row r="33" spans="1:75" x14ac:dyDescent="0.35">
      <c r="A33" s="18">
        <f>ROWS($A$6:A33)</f>
        <v>28</v>
      </c>
      <c r="B33" s="18" t="s">
        <v>95</v>
      </c>
      <c r="C33" s="18" t="str">
        <f>IFERROR(_xlfn.XLOOKUP(DB_25[[#This Row],[Salesman]],MD_Salesman[Salesman],MD_Salesman[SalesManager]),"")</f>
        <v>Cường</v>
      </c>
      <c r="D33" s="7" t="s">
        <v>593</v>
      </c>
      <c r="E33" s="7" t="s">
        <v>46</v>
      </c>
      <c r="F33" s="7"/>
      <c r="G33" s="7" t="str">
        <f>_xlfn.XLOOKUP(DB_25[[#This Row],[Mã khách]],MD_Customer[Mã khách],MD_Customer[Kênh bán hàng])</f>
        <v>Xuất khẩu</v>
      </c>
      <c r="H33" s="7"/>
      <c r="I33" s="7"/>
      <c r="J33" s="7"/>
      <c r="K33" s="7" t="s">
        <v>190</v>
      </c>
      <c r="L33" s="7" t="str">
        <f>_xlfn.XLOOKUP(DB_25[[#This Row],[Mã sản phẩm]],MD_SKU[Mã SKU],MD_SKU[Tên SKU-rút gọn])</f>
        <v>rHDA03N01</v>
      </c>
      <c r="M33" s="7" t="str">
        <f>_xlfn.XLOOKUP(DB_25[[#This Row],[Mã sản phẩm]],MD_SKU[Mã SKU],MD_SKU[Nhóm ngành])</f>
        <v>Hạt HD thổi</v>
      </c>
      <c r="N33" s="7"/>
      <c r="O33" s="47">
        <v>0</v>
      </c>
      <c r="P33" s="47">
        <v>0</v>
      </c>
      <c r="Q33" s="47">
        <v>99</v>
      </c>
      <c r="R33" s="47">
        <v>0</v>
      </c>
      <c r="S33" s="47">
        <v>0</v>
      </c>
      <c r="T33" s="47">
        <v>0</v>
      </c>
      <c r="U33" s="47">
        <v>0</v>
      </c>
      <c r="V33" s="47">
        <v>99</v>
      </c>
      <c r="W33" s="110">
        <f ca="1">SUMIFS(Data_Actual_LG_EXW[SL],Data_Actual_LG_EXW[Year],2025,Data_Actual_LG_EXW[Month],'DB 2025'!W$1,Data_Actual_LG_EXW[Mã KH],DB_25[[#This Row],[Mã khách]],Data_Actual_LG_EXW[Mã SKU],DB_25[[#This Row],[Mã sản phẩm]])/10^3</f>
        <v>0</v>
      </c>
      <c r="X33" s="33"/>
      <c r="Y33" s="33"/>
      <c r="Z33" s="33">
        <v>99</v>
      </c>
      <c r="AA33" s="19">
        <f ca="1">SUM(DB_25[[#This Row],[SL-01]:[SL-12]])</f>
        <v>297</v>
      </c>
      <c r="AB33" s="7"/>
      <c r="AC33" s="20">
        <f ca="1">DB_25[[#This Row],[SL-DB25]]-DB_25[[#This Row],[SL-KH25]]</f>
        <v>297</v>
      </c>
      <c r="AD33" s="21">
        <f ca="1">IFERROR(DB_25[[#This Row],[SL-+/-]]/DB_25[[#This Row],[SL-KH25]],0)</f>
        <v>0</v>
      </c>
      <c r="AE33" s="23">
        <v>0</v>
      </c>
      <c r="AF33" s="23">
        <v>0</v>
      </c>
      <c r="AG33" s="23">
        <v>1384.1162844985286</v>
      </c>
      <c r="AH33" s="23">
        <v>0</v>
      </c>
      <c r="AI33" s="23">
        <v>0</v>
      </c>
      <c r="AJ33" s="23">
        <v>0</v>
      </c>
      <c r="AK33" s="23">
        <v>0</v>
      </c>
      <c r="AL33" s="23">
        <v>1338.1313821947513</v>
      </c>
      <c r="AM33" s="111">
        <v>0</v>
      </c>
      <c r="AN33" s="51">
        <f ca="1">IFERROR(SUM(DB_25[[#This Row],[DT-01-USD]:[DT-09-USD]])/SUM(DB_25[[#This Row],[SL-01]:[SL-09]]),0)</f>
        <v>1361.1238333466399</v>
      </c>
      <c r="AO33" s="51">
        <f ca="1">DB_25[[#This Row],[GB-10]]</f>
        <v>1361.1238333466399</v>
      </c>
      <c r="AP33" s="51">
        <f ca="1">DB_25[[#This Row],[GB-11]]</f>
        <v>1361.1238333466399</v>
      </c>
      <c r="AQ33" s="7"/>
      <c r="AR33" s="7"/>
      <c r="AS33" s="7"/>
      <c r="AT33" s="7"/>
      <c r="AU33" s="47">
        <v>0</v>
      </c>
      <c r="AV33" s="47">
        <v>0</v>
      </c>
      <c r="AW33" s="47">
        <v>3480498809</v>
      </c>
      <c r="AX33" s="47">
        <v>0</v>
      </c>
      <c r="AY33" s="47">
        <v>0</v>
      </c>
      <c r="AZ33" s="47">
        <v>0</v>
      </c>
      <c r="BA33" s="47">
        <v>0</v>
      </c>
      <c r="BB33" s="47">
        <v>3468195679.0000005</v>
      </c>
      <c r="BC33" s="47">
        <v>0</v>
      </c>
      <c r="BD33" s="19">
        <f ca="1">DB_25[[#This Row],[SL-10]]*DB_25[[#This Row],[GB-10]]*BD$2/10^3</f>
        <v>0</v>
      </c>
      <c r="BE33" s="19">
        <f ca="1">DB_25[[#This Row],[SL-11]]*DB_25[[#This Row],[GB-11]]*BE$2/10^3</f>
        <v>0</v>
      </c>
      <c r="BF33" s="19">
        <f ca="1">DB_25[[#This Row],[SL-12]]*DB_25[[#This Row],[GB-12]]*BF$2/10^3</f>
        <v>3530482.9989345144</v>
      </c>
      <c r="BG33" s="47">
        <f ca="1">SUM(DB_25[[#This Row],[DT-01]:[DT-12]])</f>
        <v>6952224970.9989347</v>
      </c>
      <c r="BH33" s="7"/>
      <c r="BI33" s="7"/>
      <c r="BJ33" s="7"/>
      <c r="BK33" s="50">
        <v>0</v>
      </c>
      <c r="BL33" s="109">
        <v>0</v>
      </c>
      <c r="BM33" s="109">
        <v>137027.51216535433</v>
      </c>
      <c r="BN33" s="109">
        <v>0</v>
      </c>
      <c r="BO33" s="109">
        <v>0</v>
      </c>
      <c r="BP33" s="109">
        <v>0</v>
      </c>
      <c r="BQ33" s="109">
        <v>0</v>
      </c>
      <c r="BR33" s="109">
        <v>132475.00683728038</v>
      </c>
      <c r="BS33" s="109">
        <v>0</v>
      </c>
      <c r="BT33" s="147">
        <f ca="1">DB_25[[#This Row],[SL-10]]*DB_25[[#This Row],[GB-10]]</f>
        <v>0</v>
      </c>
      <c r="BU33" s="147">
        <f ca="1">DB_25[[#This Row],[SL-11]]*DB_25[[#This Row],[GB-11]]</f>
        <v>0</v>
      </c>
      <c r="BV33" s="147">
        <f ca="1">DB_25[[#This Row],[SL-12]]*DB_25[[#This Row],[GB-12]]</f>
        <v>134751.25950131734</v>
      </c>
      <c r="BW33" s="47">
        <f ca="1">SUM(DB_25[[#This Row],[DT-01-USD]:[DT-12-USD]])</f>
        <v>404253.77850395202</v>
      </c>
    </row>
    <row r="34" spans="1:75" x14ac:dyDescent="0.35">
      <c r="A34" s="18">
        <f>ROWS($A$6:A34)</f>
        <v>29</v>
      </c>
      <c r="B34" s="18" t="s">
        <v>115</v>
      </c>
      <c r="C34" s="18" t="str">
        <f>IFERROR(_xlfn.XLOOKUP(DB_25[[#This Row],[Salesman]],MD_Salesman[Salesman],MD_Salesman[SalesManager]),"")</f>
        <v>Quốc Anh</v>
      </c>
      <c r="D34" s="7" t="s">
        <v>594</v>
      </c>
      <c r="E34" s="7" t="s">
        <v>267</v>
      </c>
      <c r="F34" s="7"/>
      <c r="G34" s="7" t="str">
        <f>_xlfn.XLOOKUP(DB_25[[#This Row],[Mã khách]],MD_Customer[Mã khách],MD_Customer[Kênh bán hàng])</f>
        <v>Nội địa</v>
      </c>
      <c r="H34" s="7"/>
      <c r="I34" s="7"/>
      <c r="J34" s="7"/>
      <c r="K34" s="7" t="s">
        <v>183</v>
      </c>
      <c r="L34" s="7" t="str">
        <f>_xlfn.XLOOKUP(DB_25[[#This Row],[Mã sản phẩm]],MD_SKU[Mã SKU],MD_SKU[Tên SKU-rút gọn])</f>
        <v>WSS05SB-2</v>
      </c>
      <c r="M34" s="7" t="str">
        <f>_xlfn.XLOOKUP(DB_25[[#This Row],[Mã sản phẩm]],MD_SKU[Mã SKU],MD_SKU[Nhóm ngành])</f>
        <v>Hạt Xơ sợi</v>
      </c>
      <c r="N34" s="7"/>
      <c r="O34" s="47">
        <v>0</v>
      </c>
      <c r="P34" s="47">
        <v>0</v>
      </c>
      <c r="Q34" s="47">
        <v>0</v>
      </c>
      <c r="R34" s="47">
        <v>0</v>
      </c>
      <c r="S34" s="47">
        <v>0</v>
      </c>
      <c r="T34" s="47">
        <v>0</v>
      </c>
      <c r="U34" s="47">
        <v>286.64999999999998</v>
      </c>
      <c r="V34" s="47">
        <v>0</v>
      </c>
      <c r="W34" s="110">
        <f ca="1">SUMIFS(Data_Actual_LG_EXW[SL],Data_Actual_LG_EXW[Year],2025,Data_Actual_LG_EXW[Month],'DB 2025'!W$1,Data_Actual_LG_EXW[Mã KH],DB_25[[#This Row],[Mã khách]],Data_Actual_LG_EXW[Mã SKU],DB_25[[#This Row],[Mã sản phẩm]])/10^3</f>
        <v>0</v>
      </c>
      <c r="X34" s="33"/>
      <c r="Y34" s="33"/>
      <c r="Z34" s="33"/>
      <c r="AA34" s="19">
        <f ca="1">SUM(DB_25[[#This Row],[SL-01]:[SL-12]])</f>
        <v>286.64999999999998</v>
      </c>
      <c r="AB34" s="7"/>
      <c r="AC34" s="20">
        <f ca="1">DB_25[[#This Row],[SL-DB25]]-DB_25[[#This Row],[SL-KH25]]</f>
        <v>286.64999999999998</v>
      </c>
      <c r="AD34" s="21">
        <f ca="1">IFERROR(DB_25[[#This Row],[SL-+/-]]/DB_25[[#This Row],[SL-KH25]],0)</f>
        <v>0</v>
      </c>
      <c r="AE34" s="23">
        <v>0</v>
      </c>
      <c r="AF34" s="23">
        <v>0</v>
      </c>
      <c r="AG34" s="23">
        <v>0</v>
      </c>
      <c r="AH34" s="23">
        <v>0</v>
      </c>
      <c r="AI34" s="23">
        <v>0</v>
      </c>
      <c r="AJ34" s="23">
        <v>0</v>
      </c>
      <c r="AK34" s="23">
        <v>667.58277049248466</v>
      </c>
      <c r="AL34" s="23">
        <v>0</v>
      </c>
      <c r="AM34" s="111">
        <v>0</v>
      </c>
      <c r="AN34" s="51">
        <f ca="1">IFERROR(SUM(DB_25[[#This Row],[DT-01-USD]:[DT-09-USD]])/SUM(DB_25[[#This Row],[SL-01]:[SL-09]]),0)</f>
        <v>667.58277049248466</v>
      </c>
      <c r="AO34" s="51">
        <f ca="1">DB_25[[#This Row],[GB-10]]</f>
        <v>667.58277049248466</v>
      </c>
      <c r="AP34" s="51">
        <f ca="1">DB_25[[#This Row],[GB-11]]</f>
        <v>667.58277049248466</v>
      </c>
      <c r="AQ34" s="7"/>
      <c r="AR34" s="7"/>
      <c r="AS34" s="7"/>
      <c r="AT34" s="7"/>
      <c r="AU34" s="47">
        <v>0</v>
      </c>
      <c r="AV34" s="47">
        <v>0</v>
      </c>
      <c r="AW34" s="47">
        <v>0</v>
      </c>
      <c r="AX34" s="47">
        <v>0</v>
      </c>
      <c r="AY34" s="47">
        <v>0</v>
      </c>
      <c r="AZ34" s="47">
        <v>0</v>
      </c>
      <c r="BA34" s="47">
        <v>4973142287.9180212</v>
      </c>
      <c r="BB34" s="47">
        <v>0</v>
      </c>
      <c r="BC34" s="47">
        <v>0</v>
      </c>
      <c r="BD34" s="19">
        <f ca="1">DB_25[[#This Row],[SL-10]]*DB_25[[#This Row],[GB-10]]*BD$2/10^3</f>
        <v>0</v>
      </c>
      <c r="BE34" s="19">
        <f ca="1">DB_25[[#This Row],[SL-11]]*DB_25[[#This Row],[GB-11]]*BE$2/10^3</f>
        <v>0</v>
      </c>
      <c r="BF34" s="19">
        <f ca="1">DB_25[[#This Row],[SL-12]]*DB_25[[#This Row],[GB-12]]*BF$2/10^3</f>
        <v>0</v>
      </c>
      <c r="BG34" s="47">
        <f ca="1">SUM(DB_25[[#This Row],[DT-01]:[DT-12]])</f>
        <v>4973142287.9180212</v>
      </c>
      <c r="BH34" s="7"/>
      <c r="BI34" s="7"/>
      <c r="BJ34" s="7"/>
      <c r="BK34" s="50">
        <v>0</v>
      </c>
      <c r="BL34" s="109">
        <v>0</v>
      </c>
      <c r="BM34" s="109">
        <v>0</v>
      </c>
      <c r="BN34" s="109">
        <v>0</v>
      </c>
      <c r="BO34" s="109">
        <v>0</v>
      </c>
      <c r="BP34" s="109">
        <v>0</v>
      </c>
      <c r="BQ34" s="109">
        <v>191362.60116167073</v>
      </c>
      <c r="BR34" s="109">
        <v>0</v>
      </c>
      <c r="BS34" s="109">
        <v>0</v>
      </c>
      <c r="BT34" s="147">
        <f ca="1">DB_25[[#This Row],[SL-10]]*DB_25[[#This Row],[GB-10]]</f>
        <v>0</v>
      </c>
      <c r="BU34" s="147">
        <f ca="1">DB_25[[#This Row],[SL-11]]*DB_25[[#This Row],[GB-11]]</f>
        <v>0</v>
      </c>
      <c r="BV34" s="147">
        <f ca="1">DB_25[[#This Row],[SL-12]]*DB_25[[#This Row],[GB-12]]</f>
        <v>0</v>
      </c>
      <c r="BW34" s="47">
        <f ca="1">SUM(DB_25[[#This Row],[DT-01-USD]:[DT-12-USD]])</f>
        <v>191362.60116167073</v>
      </c>
    </row>
    <row r="35" spans="1:75" x14ac:dyDescent="0.35">
      <c r="A35" s="18">
        <f>ROWS($A$6:A35)</f>
        <v>30</v>
      </c>
      <c r="B35" s="18" t="s">
        <v>104</v>
      </c>
      <c r="C35" s="18" t="str">
        <f>IFERROR(_xlfn.XLOOKUP(DB_25[[#This Row],[Salesman]],MD_Salesman[Salesman],MD_Salesman[SalesManager]),"")</f>
        <v>Quốc Anh</v>
      </c>
      <c r="D35" s="7" t="s">
        <v>611</v>
      </c>
      <c r="E35" s="7" t="s">
        <v>269</v>
      </c>
      <c r="F35" s="7"/>
      <c r="G35" s="7" t="str">
        <f>_xlfn.XLOOKUP(DB_25[[#This Row],[Mã khách]],MD_Customer[Mã khách],MD_Customer[Kênh bán hàng])</f>
        <v>Nội địa</v>
      </c>
      <c r="H35" s="7"/>
      <c r="I35" s="7"/>
      <c r="J35" s="7"/>
      <c r="K35" s="7" t="s">
        <v>168</v>
      </c>
      <c r="L35" s="7" t="str">
        <f>_xlfn.XLOOKUP(DB_25[[#This Row],[Mã sản phẩm]],MD_SKU[Mã SKU],MD_SKU[Tên SKU-rút gọn])</f>
        <v>iSS1084G</v>
      </c>
      <c r="M35" s="7" t="str">
        <f>_xlfn.XLOOKUP(DB_25[[#This Row],[Mã sản phẩm]],MD_SKU[Mã SKU],MD_SKU[Nhóm ngành])</f>
        <v>Hạt PET</v>
      </c>
      <c r="N35" s="7"/>
      <c r="O35" s="47">
        <v>0</v>
      </c>
      <c r="P35" s="47">
        <v>0</v>
      </c>
      <c r="Q35" s="47">
        <v>88</v>
      </c>
      <c r="R35" s="47">
        <v>66</v>
      </c>
      <c r="S35" s="47">
        <v>0</v>
      </c>
      <c r="T35" s="47">
        <v>88</v>
      </c>
      <c r="U35" s="47">
        <v>0</v>
      </c>
      <c r="V35" s="47">
        <v>44</v>
      </c>
      <c r="W35" s="110">
        <f ca="1">SUMIFS(Data_Actual_LG_EXW[SL],Data_Actual_LG_EXW[Year],2025,Data_Actual_LG_EXW[Month],'DB 2025'!W$1,Data_Actual_LG_EXW[Mã KH],DB_25[[#This Row],[Mã khách]],Data_Actual_LG_EXW[Mã SKU],DB_25[[#This Row],[Mã sản phẩm]])/10^3</f>
        <v>0</v>
      </c>
      <c r="X35" s="33"/>
      <c r="Y35" s="33"/>
      <c r="Z35" s="33"/>
      <c r="AA35" s="19">
        <f ca="1">SUM(DB_25[[#This Row],[SL-01]:[SL-12]])</f>
        <v>286</v>
      </c>
      <c r="AB35" s="7"/>
      <c r="AC35" s="20">
        <f ca="1">DB_25[[#This Row],[SL-DB25]]-DB_25[[#This Row],[SL-KH25]]</f>
        <v>286</v>
      </c>
      <c r="AD35" s="21">
        <f ca="1">IFERROR(DB_25[[#This Row],[SL-+/-]]/DB_25[[#This Row],[SL-KH25]],0)</f>
        <v>0</v>
      </c>
      <c r="AE35" s="23">
        <v>0</v>
      </c>
      <c r="AF35" s="23">
        <v>0</v>
      </c>
      <c r="AG35" s="23">
        <v>1373.3048186793576</v>
      </c>
      <c r="AH35" s="23">
        <v>1356.310362993125</v>
      </c>
      <c r="AI35" s="23">
        <v>0</v>
      </c>
      <c r="AJ35" s="23">
        <v>1367.3957125190698</v>
      </c>
      <c r="AK35" s="23">
        <v>0</v>
      </c>
      <c r="AL35" s="23">
        <v>1356.096152275285</v>
      </c>
      <c r="AM35" s="111">
        <v>0</v>
      </c>
      <c r="AN35" s="51">
        <f ca="1">IFERROR(SUM(DB_25[[#This Row],[DT-01-USD]:[DT-09-USD]])/SUM(DB_25[[#This Row],[SL-01]:[SL-09]]),0)</f>
        <v>1364.9173475633579</v>
      </c>
      <c r="AO35" s="51">
        <f ca="1">DB_25[[#This Row],[GB-10]]</f>
        <v>1364.9173475633579</v>
      </c>
      <c r="AP35" s="51">
        <f ca="1">DB_25[[#This Row],[GB-11]]</f>
        <v>1364.9173475633579</v>
      </c>
      <c r="AQ35" s="7"/>
      <c r="AR35" s="7"/>
      <c r="AS35" s="7"/>
      <c r="AT35" s="7"/>
      <c r="AU35" s="47">
        <v>0</v>
      </c>
      <c r="AV35" s="47">
        <v>0</v>
      </c>
      <c r="AW35" s="47">
        <v>3066507357.3312402</v>
      </c>
      <c r="AX35" s="47">
        <v>2297987986.879271</v>
      </c>
      <c r="AY35" s="47">
        <v>0</v>
      </c>
      <c r="AZ35" s="47">
        <v>3118362702.634881</v>
      </c>
      <c r="BA35" s="47">
        <v>0</v>
      </c>
      <c r="BB35" s="47">
        <v>1559307837.6193771</v>
      </c>
      <c r="BC35" s="47">
        <v>0</v>
      </c>
      <c r="BD35" s="19">
        <f ca="1">DB_25[[#This Row],[SL-10]]*DB_25[[#This Row],[GB-10]]*BD$2/10^3</f>
        <v>0</v>
      </c>
      <c r="BE35" s="19">
        <f ca="1">DB_25[[#This Row],[SL-11]]*DB_25[[#This Row],[GB-11]]*BE$2/10^3</f>
        <v>0</v>
      </c>
      <c r="BF35" s="19">
        <f ca="1">DB_25[[#This Row],[SL-12]]*DB_25[[#This Row],[GB-12]]*BF$2/10^3</f>
        <v>0</v>
      </c>
      <c r="BG35" s="47">
        <f ca="1">SUM(DB_25[[#This Row],[DT-01]:[DT-12]])</f>
        <v>10042165884.464769</v>
      </c>
      <c r="BH35" s="7"/>
      <c r="BI35" s="7"/>
      <c r="BJ35" s="7"/>
      <c r="BK35" s="50">
        <v>0</v>
      </c>
      <c r="BL35" s="109">
        <v>0</v>
      </c>
      <c r="BM35" s="109">
        <v>120850.82404378348</v>
      </c>
      <c r="BN35" s="109">
        <v>89516.483957546254</v>
      </c>
      <c r="BO35" s="109">
        <v>0</v>
      </c>
      <c r="BP35" s="109">
        <v>120330.82270167815</v>
      </c>
      <c r="BQ35" s="109">
        <v>0</v>
      </c>
      <c r="BR35" s="109">
        <v>59668.230700112537</v>
      </c>
      <c r="BS35" s="109">
        <v>0</v>
      </c>
      <c r="BT35" s="147">
        <f ca="1">DB_25[[#This Row],[SL-10]]*DB_25[[#This Row],[GB-10]]</f>
        <v>0</v>
      </c>
      <c r="BU35" s="147">
        <f ca="1">DB_25[[#This Row],[SL-11]]*DB_25[[#This Row],[GB-11]]</f>
        <v>0</v>
      </c>
      <c r="BV35" s="147">
        <f ca="1">DB_25[[#This Row],[SL-12]]*DB_25[[#This Row],[GB-12]]</f>
        <v>0</v>
      </c>
      <c r="BW35" s="47">
        <f ca="1">SUM(DB_25[[#This Row],[DT-01-USD]:[DT-12-USD]])</f>
        <v>390366.36140312039</v>
      </c>
    </row>
    <row r="36" spans="1:75" x14ac:dyDescent="0.35">
      <c r="A36" s="18">
        <f>ROWS($A$6:A36)</f>
        <v>31</v>
      </c>
      <c r="B36" s="18" t="s">
        <v>104</v>
      </c>
      <c r="C36" s="18" t="str">
        <f>IFERROR(_xlfn.XLOOKUP(DB_25[[#This Row],[Salesman]],MD_Salesman[Salesman],MD_Salesman[SalesManager]),"")</f>
        <v>Quốc Anh</v>
      </c>
      <c r="D36" s="7" t="s">
        <v>612</v>
      </c>
      <c r="E36" s="7" t="s">
        <v>321</v>
      </c>
      <c r="F36" s="7"/>
      <c r="G36" s="7" t="str">
        <f>_xlfn.XLOOKUP(DB_25[[#This Row],[Mã khách]],MD_Customer[Mã khách],MD_Customer[Kênh bán hàng])</f>
        <v>Nội địa</v>
      </c>
      <c r="H36" s="7"/>
      <c r="I36" s="7"/>
      <c r="J36" s="7"/>
      <c r="K36" s="7" t="s">
        <v>168</v>
      </c>
      <c r="L36" s="7" t="str">
        <f>_xlfn.XLOOKUP(DB_25[[#This Row],[Mã sản phẩm]],MD_SKU[Mã SKU],MD_SKU[Tên SKU-rút gọn])</f>
        <v>iSS1084G</v>
      </c>
      <c r="M36" s="7" t="str">
        <f>_xlfn.XLOOKUP(DB_25[[#This Row],[Mã sản phẩm]],MD_SKU[Mã SKU],MD_SKU[Nhóm ngành])</f>
        <v>Hạt PET</v>
      </c>
      <c r="N36" s="7"/>
      <c r="O36" s="47">
        <v>0</v>
      </c>
      <c r="P36" s="47">
        <v>0</v>
      </c>
      <c r="Q36" s="47">
        <v>0</v>
      </c>
      <c r="R36" s="47">
        <v>0</v>
      </c>
      <c r="S36" s="47">
        <v>0</v>
      </c>
      <c r="T36" s="47">
        <v>0</v>
      </c>
      <c r="U36" s="47">
        <v>0</v>
      </c>
      <c r="V36" s="47">
        <v>88</v>
      </c>
      <c r="W36" s="110">
        <f ca="1">SUMIFS(Data_Actual_LG_EXW[SL],Data_Actual_LG_EXW[Year],2025,Data_Actual_LG_EXW[Month],'DB 2025'!W$1,Data_Actual_LG_EXW[Mã KH],DB_25[[#This Row],[Mã khách]],Data_Actual_LG_EXW[Mã SKU],DB_25[[#This Row],[Mã sản phẩm]])/10^3</f>
        <v>0</v>
      </c>
      <c r="X36" s="47">
        <v>44</v>
      </c>
      <c r="Y36" s="47">
        <v>44</v>
      </c>
      <c r="Z36" s="47">
        <v>44</v>
      </c>
      <c r="AA36" s="19">
        <f ca="1">SUM(DB_25[[#This Row],[SL-01]:[SL-12]])</f>
        <v>220</v>
      </c>
      <c r="AB36" s="7"/>
      <c r="AC36" s="20">
        <f ca="1">DB_25[[#This Row],[SL-DB25]]-DB_25[[#This Row],[SL-KH25]]</f>
        <v>220</v>
      </c>
      <c r="AD36" s="21">
        <f ca="1">IFERROR(DB_25[[#This Row],[SL-+/-]]/DB_25[[#This Row],[SL-KH25]],0)</f>
        <v>0</v>
      </c>
      <c r="AE36" s="23">
        <v>0</v>
      </c>
      <c r="AF36" s="23">
        <v>0</v>
      </c>
      <c r="AG36" s="23">
        <v>0</v>
      </c>
      <c r="AH36" s="23">
        <v>0</v>
      </c>
      <c r="AI36" s="23">
        <v>0</v>
      </c>
      <c r="AJ36" s="23">
        <v>0</v>
      </c>
      <c r="AK36" s="23">
        <v>0</v>
      </c>
      <c r="AL36" s="23">
        <v>1366.5510766403684</v>
      </c>
      <c r="AM36" s="111">
        <v>0</v>
      </c>
      <c r="AN36" s="51">
        <f ca="1">IFERROR(SUM(DB_25[[#This Row],[DT-01-USD]:[DT-09-USD]])/SUM(DB_25[[#This Row],[SL-01]:[SL-09]]),0)</f>
        <v>1366.5510766403684</v>
      </c>
      <c r="AO36" s="51">
        <f ca="1">DB_25[[#This Row],[GB-10]]</f>
        <v>1366.5510766403684</v>
      </c>
      <c r="AP36" s="51">
        <f ca="1">DB_25[[#This Row],[GB-11]]</f>
        <v>1366.5510766403684</v>
      </c>
      <c r="AQ36" s="7"/>
      <c r="AR36" s="7"/>
      <c r="AS36" s="7"/>
      <c r="AT36" s="7"/>
      <c r="AU36" s="47">
        <v>0</v>
      </c>
      <c r="AV36" s="47">
        <v>0</v>
      </c>
      <c r="AW36" s="47">
        <v>0</v>
      </c>
      <c r="AX36" s="47">
        <v>0</v>
      </c>
      <c r="AY36" s="47">
        <v>0</v>
      </c>
      <c r="AZ36" s="47">
        <v>0</v>
      </c>
      <c r="BA36" s="47">
        <v>0</v>
      </c>
      <c r="BB36" s="47">
        <v>3142658875.2387543</v>
      </c>
      <c r="BC36" s="47">
        <v>0</v>
      </c>
      <c r="BD36" s="19">
        <f ca="1">DB_25[[#This Row],[SL-10]]*DB_25[[#This Row],[GB-10]]*BD$2/10^3</f>
        <v>1575360.0811510168</v>
      </c>
      <c r="BE36" s="19">
        <f ca="1">DB_25[[#This Row],[SL-11]]*DB_25[[#This Row],[GB-11]]*BE$2/10^3</f>
        <v>1575360.0811510168</v>
      </c>
      <c r="BF36" s="19">
        <f ca="1">DB_25[[#This Row],[SL-12]]*DB_25[[#This Row],[GB-12]]*BF$2/10^3</f>
        <v>1575360.0811510168</v>
      </c>
      <c r="BG36" s="47">
        <f ca="1">SUM(DB_25[[#This Row],[DT-01]:[DT-12]])</f>
        <v>3147384955.4822073</v>
      </c>
      <c r="BH36" s="7"/>
      <c r="BI36" s="7"/>
      <c r="BJ36" s="7"/>
      <c r="BK36" s="50">
        <v>0</v>
      </c>
      <c r="BL36" s="109">
        <v>0</v>
      </c>
      <c r="BM36" s="109">
        <v>0</v>
      </c>
      <c r="BN36" s="109">
        <v>0</v>
      </c>
      <c r="BO36" s="109">
        <v>0</v>
      </c>
      <c r="BP36" s="109">
        <v>0</v>
      </c>
      <c r="BQ36" s="109">
        <v>0</v>
      </c>
      <c r="BR36" s="109">
        <v>120256.49474435241</v>
      </c>
      <c r="BS36" s="109">
        <v>0</v>
      </c>
      <c r="BT36" s="147">
        <f ca="1">DB_25[[#This Row],[SL-10]]*DB_25[[#This Row],[GB-10]]</f>
        <v>60128.247372176207</v>
      </c>
      <c r="BU36" s="147">
        <f ca="1">DB_25[[#This Row],[SL-11]]*DB_25[[#This Row],[GB-11]]</f>
        <v>60128.247372176207</v>
      </c>
      <c r="BV36" s="147">
        <f ca="1">DB_25[[#This Row],[SL-12]]*DB_25[[#This Row],[GB-12]]</f>
        <v>60128.247372176207</v>
      </c>
      <c r="BW36" s="47">
        <f ca="1">SUM(DB_25[[#This Row],[DT-01-USD]:[DT-12-USD]])</f>
        <v>300641.23686088104</v>
      </c>
    </row>
    <row r="37" spans="1:75" x14ac:dyDescent="0.35">
      <c r="A37" s="18">
        <f>ROWS($A$6:A37)</f>
        <v>32</v>
      </c>
      <c r="B37" s="18" t="s">
        <v>104</v>
      </c>
      <c r="C37" s="18" t="str">
        <f>IFERROR(_xlfn.XLOOKUP(DB_25[[#This Row],[Salesman]],MD_Salesman[Salesman],MD_Salesman[SalesManager]),"")</f>
        <v>Quốc Anh</v>
      </c>
      <c r="D37" s="7" t="s">
        <v>613</v>
      </c>
      <c r="E37" s="7" t="s">
        <v>132</v>
      </c>
      <c r="F37" s="7"/>
      <c r="G37" s="7" t="str">
        <f>_xlfn.XLOOKUP(DB_25[[#This Row],[Mã khách]],MD_Customer[Mã khách],MD_Customer[Kênh bán hàng])</f>
        <v>Xuất khẩu</v>
      </c>
      <c r="H37" s="7"/>
      <c r="I37" s="7"/>
      <c r="J37" s="7"/>
      <c r="K37" s="7" t="s">
        <v>172</v>
      </c>
      <c r="L37" s="7" t="str">
        <f>_xlfn.XLOOKUP(DB_25[[#This Row],[Mã sản phẩm]],MD_SKU[Mã SKU],MD_SKU[Tên SKU-rút gọn])</f>
        <v>iSS01G 1</v>
      </c>
      <c r="M37" s="7" t="str">
        <f>_xlfn.XLOOKUP(DB_25[[#This Row],[Mã sản phẩm]],MD_SKU[Mã SKU],MD_SKU[Nhóm ngành])</f>
        <v>Hạt PET</v>
      </c>
      <c r="N37" s="7"/>
      <c r="O37" s="47">
        <v>132</v>
      </c>
      <c r="P37" s="47">
        <v>0</v>
      </c>
      <c r="Q37" s="47">
        <v>44</v>
      </c>
      <c r="R37" s="47">
        <v>88</v>
      </c>
      <c r="S37" s="47">
        <v>0</v>
      </c>
      <c r="T37" s="47">
        <v>0</v>
      </c>
      <c r="U37" s="47">
        <v>0</v>
      </c>
      <c r="V37" s="47">
        <v>0</v>
      </c>
      <c r="W37" s="110">
        <f ca="1">SUMIFS(Data_Actual_LG_EXW[SL],Data_Actual_LG_EXW[Year],2025,Data_Actual_LG_EXW[Month],'DB 2025'!W$1,Data_Actual_LG_EXW[Mã KH],DB_25[[#This Row],[Mã khách]],Data_Actual_LG_EXW[Mã SKU],DB_25[[#This Row],[Mã sản phẩm]])/10^3</f>
        <v>0</v>
      </c>
      <c r="X37" s="33"/>
      <c r="Y37" s="33"/>
      <c r="Z37" s="33"/>
      <c r="AA37" s="19">
        <f ca="1">SUM(DB_25[[#This Row],[SL-01]:[SL-12]])</f>
        <v>264</v>
      </c>
      <c r="AB37" s="7"/>
      <c r="AC37" s="20">
        <f ca="1">DB_25[[#This Row],[SL-DB25]]-DB_25[[#This Row],[SL-KH25]]</f>
        <v>264</v>
      </c>
      <c r="AD37" s="21">
        <f ca="1">IFERROR(DB_25[[#This Row],[SL-+/-]]/DB_25[[#This Row],[SL-KH25]],0)</f>
        <v>0</v>
      </c>
      <c r="AE37" s="23">
        <v>1261.0360089846022</v>
      </c>
      <c r="AF37" s="23">
        <v>0</v>
      </c>
      <c r="AG37" s="23">
        <v>1283.5179080171797</v>
      </c>
      <c r="AH37" s="23">
        <v>1288.8727917190358</v>
      </c>
      <c r="AI37" s="23">
        <v>0</v>
      </c>
      <c r="AJ37" s="23">
        <v>0</v>
      </c>
      <c r="AK37" s="23">
        <v>0</v>
      </c>
      <c r="AL37" s="23">
        <v>0</v>
      </c>
      <c r="AM37" s="111">
        <v>0</v>
      </c>
      <c r="AN37" s="51">
        <f ca="1">IFERROR(SUM(DB_25[[#This Row],[DT-01-USD]:[DT-09-USD]])/SUM(DB_25[[#This Row],[SL-01]:[SL-09]]),0)</f>
        <v>1274.0619197348428</v>
      </c>
      <c r="AO37" s="51">
        <f ca="1">DB_25[[#This Row],[GB-10]]</f>
        <v>1274.0619197348428</v>
      </c>
      <c r="AP37" s="51">
        <f ca="1">DB_25[[#This Row],[GB-11]]</f>
        <v>1274.0619197348428</v>
      </c>
      <c r="AQ37" s="7"/>
      <c r="AR37" s="7"/>
      <c r="AS37" s="7"/>
      <c r="AT37" s="7"/>
      <c r="AU37" s="47">
        <v>4193045612.7545214</v>
      </c>
      <c r="AV37" s="47">
        <v>0</v>
      </c>
      <c r="AW37" s="47">
        <v>1434459614</v>
      </c>
      <c r="AX37" s="47">
        <v>2922854162.1487608</v>
      </c>
      <c r="AY37" s="47">
        <v>0</v>
      </c>
      <c r="AZ37" s="47">
        <v>0</v>
      </c>
      <c r="BA37" s="47">
        <v>0</v>
      </c>
      <c r="BB37" s="47">
        <v>0</v>
      </c>
      <c r="BC37" s="47">
        <v>0</v>
      </c>
      <c r="BD37" s="19">
        <f ca="1">DB_25[[#This Row],[SL-10]]*DB_25[[#This Row],[GB-10]]*BD$2/10^3</f>
        <v>0</v>
      </c>
      <c r="BE37" s="19">
        <f ca="1">DB_25[[#This Row],[SL-11]]*DB_25[[#This Row],[GB-11]]*BE$2/10^3</f>
        <v>0</v>
      </c>
      <c r="BF37" s="19">
        <f ca="1">DB_25[[#This Row],[SL-12]]*DB_25[[#This Row],[GB-12]]*BF$2/10^3</f>
        <v>0</v>
      </c>
      <c r="BG37" s="47">
        <f ca="1">SUM(DB_25[[#This Row],[DT-01]:[DT-12]])</f>
        <v>8550359388.9032822</v>
      </c>
      <c r="BH37" s="7"/>
      <c r="BI37" s="7"/>
      <c r="BJ37" s="7"/>
      <c r="BK37" s="50">
        <v>166456.75318596748</v>
      </c>
      <c r="BL37" s="109">
        <v>0</v>
      </c>
      <c r="BM37" s="109">
        <v>56474.787952755905</v>
      </c>
      <c r="BN37" s="109">
        <v>113420.80567127516</v>
      </c>
      <c r="BO37" s="109">
        <v>0</v>
      </c>
      <c r="BP37" s="109">
        <v>0</v>
      </c>
      <c r="BQ37" s="109">
        <v>0</v>
      </c>
      <c r="BR37" s="109">
        <v>0</v>
      </c>
      <c r="BS37" s="109">
        <v>0</v>
      </c>
      <c r="BT37" s="147">
        <f ca="1">DB_25[[#This Row],[SL-10]]*DB_25[[#This Row],[GB-10]]</f>
        <v>0</v>
      </c>
      <c r="BU37" s="147">
        <f ca="1">DB_25[[#This Row],[SL-11]]*DB_25[[#This Row],[GB-11]]</f>
        <v>0</v>
      </c>
      <c r="BV37" s="147">
        <f ca="1">DB_25[[#This Row],[SL-12]]*DB_25[[#This Row],[GB-12]]</f>
        <v>0</v>
      </c>
      <c r="BW37" s="47">
        <f ca="1">SUM(DB_25[[#This Row],[DT-01-USD]:[DT-12-USD]])</f>
        <v>336352.3468099985</v>
      </c>
    </row>
    <row r="38" spans="1:75" x14ac:dyDescent="0.35">
      <c r="A38" s="18">
        <f>ROWS($A$6:A38)</f>
        <v>33</v>
      </c>
      <c r="B38" s="18" t="s">
        <v>115</v>
      </c>
      <c r="C38" s="18" t="str">
        <f>IFERROR(_xlfn.XLOOKUP(DB_25[[#This Row],[Salesman]],MD_Salesman[Salesman],MD_Salesman[SalesManager]),"")</f>
        <v>Quốc Anh</v>
      </c>
      <c r="D38" s="7" t="s">
        <v>614</v>
      </c>
      <c r="E38" s="7" t="s">
        <v>304</v>
      </c>
      <c r="F38" s="7"/>
      <c r="G38" s="7" t="str">
        <f>_xlfn.XLOOKUP(DB_25[[#This Row],[Mã khách]],MD_Customer[Mã khách],MD_Customer[Kênh bán hàng])</f>
        <v>Xuất khẩu</v>
      </c>
      <c r="H38" s="7"/>
      <c r="I38" s="7"/>
      <c r="J38" s="7"/>
      <c r="K38" s="7" t="s">
        <v>171</v>
      </c>
      <c r="L38" s="7" t="str">
        <f>_xlfn.XLOOKUP(DB_25[[#This Row],[Mã sản phẩm]],MD_SKU[Mã SKU],MD_SKU[Tên SKU-rút gọn])</f>
        <v>WSS01G 1</v>
      </c>
      <c r="M38" s="7" t="str">
        <f>_xlfn.XLOOKUP(DB_25[[#This Row],[Mã sản phẩm]],MD_SKU[Mã SKU],MD_SKU[Nhóm ngành])</f>
        <v>Hạt PET</v>
      </c>
      <c r="N38" s="7"/>
      <c r="O38" s="47">
        <v>0</v>
      </c>
      <c r="P38" s="47">
        <v>0</v>
      </c>
      <c r="Q38" s="47">
        <v>0</v>
      </c>
      <c r="R38" s="47">
        <v>0</v>
      </c>
      <c r="S38" s="47">
        <v>22</v>
      </c>
      <c r="T38" s="47">
        <v>0</v>
      </c>
      <c r="U38" s="47">
        <v>0</v>
      </c>
      <c r="V38" s="47">
        <v>44</v>
      </c>
      <c r="W38" s="110">
        <f ca="1">SUMIFS(Data_Actual_LG_EXW[SL],Data_Actual_LG_EXW[Year],2025,Data_Actual_LG_EXW[Month],'DB 2025'!W$1,Data_Actual_LG_EXW[Mã KH],DB_25[[#This Row],[Mã khách]],Data_Actual_LG_EXW[Mã SKU],DB_25[[#This Row],[Mã sản phẩm]])/10^3</f>
        <v>64.900000000000006</v>
      </c>
      <c r="X38" s="33">
        <v>44</v>
      </c>
      <c r="Y38" s="33">
        <v>44</v>
      </c>
      <c r="Z38" s="33">
        <v>44</v>
      </c>
      <c r="AA38" s="19">
        <f ca="1">SUM(DB_25[[#This Row],[SL-01]:[SL-12]])</f>
        <v>262.89999999999998</v>
      </c>
      <c r="AB38" s="7"/>
      <c r="AC38" s="20">
        <f ca="1">DB_25[[#This Row],[SL-DB25]]-DB_25[[#This Row],[SL-KH25]]</f>
        <v>262.89999999999998</v>
      </c>
      <c r="AD38" s="21">
        <f ca="1">IFERROR(DB_25[[#This Row],[SL-+/-]]/DB_25[[#This Row],[SL-KH25]],0)</f>
        <v>0</v>
      </c>
      <c r="AE38" s="23">
        <v>0</v>
      </c>
      <c r="AF38" s="23">
        <v>0</v>
      </c>
      <c r="AG38" s="23">
        <v>0</v>
      </c>
      <c r="AH38" s="23">
        <v>0</v>
      </c>
      <c r="AI38" s="23">
        <v>1244.0077721228922</v>
      </c>
      <c r="AJ38" s="23">
        <v>0</v>
      </c>
      <c r="AK38" s="23">
        <v>0</v>
      </c>
      <c r="AL38" s="23">
        <v>1218.7746612088351</v>
      </c>
      <c r="AM38" s="111">
        <v>1191.3007646750743</v>
      </c>
      <c r="AN38" s="51">
        <f ca="1">IFERROR(SUM(DB_25[[#This Row],[DT-01-USD]:[DT-09-USD]])/SUM(DB_25[[#This Row],[SL-01]:[SL-09]]),0)</f>
        <v>1209.394008459165</v>
      </c>
      <c r="AO38" s="51">
        <f ca="1">DB_25[[#This Row],[GB-10]]</f>
        <v>1209.394008459165</v>
      </c>
      <c r="AP38" s="51">
        <f ca="1">DB_25[[#This Row],[GB-11]]</f>
        <v>1209.394008459165</v>
      </c>
      <c r="AQ38" s="7"/>
      <c r="AR38" s="7"/>
      <c r="AS38" s="7"/>
      <c r="AT38" s="7"/>
      <c r="AU38" s="47">
        <v>0</v>
      </c>
      <c r="AV38" s="47">
        <v>0</v>
      </c>
      <c r="AW38" s="47">
        <v>0</v>
      </c>
      <c r="AX38" s="47">
        <v>0</v>
      </c>
      <c r="AY38" s="47">
        <v>706098811.45695364</v>
      </c>
      <c r="AZ38" s="47">
        <v>0</v>
      </c>
      <c r="BA38" s="47">
        <v>0</v>
      </c>
      <c r="BB38" s="47">
        <v>1396423255.8266349</v>
      </c>
      <c r="BC38" s="47">
        <v>2025663994.238203</v>
      </c>
      <c r="BD38" s="19">
        <f ca="1">DB_25[[#This Row],[SL-10]]*DB_25[[#This Row],[GB-10]]*BD$2/10^3</f>
        <v>1394189.4129517255</v>
      </c>
      <c r="BE38" s="19">
        <f ca="1">DB_25[[#This Row],[SL-11]]*DB_25[[#This Row],[GB-11]]*BE$2/10^3</f>
        <v>1394189.4129517255</v>
      </c>
      <c r="BF38" s="19">
        <f ca="1">DB_25[[#This Row],[SL-12]]*DB_25[[#This Row],[GB-12]]*BF$2/10^3</f>
        <v>1394189.4129517255</v>
      </c>
      <c r="BG38" s="47">
        <f ca="1">SUM(DB_25[[#This Row],[DT-01]:[DT-12]])</f>
        <v>4132368629.7606473</v>
      </c>
      <c r="BH38" s="7"/>
      <c r="BI38" s="7"/>
      <c r="BJ38" s="7"/>
      <c r="BK38" s="50">
        <v>0</v>
      </c>
      <c r="BL38" s="109">
        <v>0</v>
      </c>
      <c r="BM38" s="109">
        <v>0</v>
      </c>
      <c r="BN38" s="109">
        <v>0</v>
      </c>
      <c r="BO38" s="109">
        <v>27368.17098670363</v>
      </c>
      <c r="BP38" s="109">
        <v>0</v>
      </c>
      <c r="BQ38" s="109">
        <v>0</v>
      </c>
      <c r="BR38" s="109">
        <v>53626.085093188747</v>
      </c>
      <c r="BS38" s="109">
        <v>77315.419627412324</v>
      </c>
      <c r="BT38" s="147">
        <f ca="1">DB_25[[#This Row],[SL-10]]*DB_25[[#This Row],[GB-10]]</f>
        <v>53213.336372203259</v>
      </c>
      <c r="BU38" s="147">
        <f ca="1">DB_25[[#This Row],[SL-11]]*DB_25[[#This Row],[GB-11]]</f>
        <v>53213.336372203259</v>
      </c>
      <c r="BV38" s="147">
        <f ca="1">DB_25[[#This Row],[SL-12]]*DB_25[[#This Row],[GB-12]]</f>
        <v>53213.336372203259</v>
      </c>
      <c r="BW38" s="47">
        <f ca="1">SUM(DB_25[[#This Row],[DT-01-USD]:[DT-12-USD]])</f>
        <v>317949.68482391449</v>
      </c>
    </row>
    <row r="39" spans="1:75" x14ac:dyDescent="0.35">
      <c r="A39" s="18">
        <f>ROWS($A$6:A39)</f>
        <v>34</v>
      </c>
      <c r="B39" s="18" t="s">
        <v>104</v>
      </c>
      <c r="C39" s="18" t="str">
        <f>IFERROR(_xlfn.XLOOKUP(DB_25[[#This Row],[Salesman]],MD_Salesman[Salesman],MD_Salesman[SalesManager]),"")</f>
        <v>Quốc Anh</v>
      </c>
      <c r="D39" s="7" t="s">
        <v>615</v>
      </c>
      <c r="E39" s="7" t="s">
        <v>320</v>
      </c>
      <c r="F39" s="7"/>
      <c r="G39" s="7" t="str">
        <f>_xlfn.XLOOKUP(DB_25[[#This Row],[Mã khách]],MD_Customer[Mã khách],MD_Customer[Kênh bán hàng])</f>
        <v>Nội địa</v>
      </c>
      <c r="H39" s="7"/>
      <c r="I39" s="7"/>
      <c r="J39" s="7"/>
      <c r="K39" s="7" t="s">
        <v>168</v>
      </c>
      <c r="L39" s="7" t="str">
        <f>_xlfn.XLOOKUP(DB_25[[#This Row],[Mã sản phẩm]],MD_SKU[Mã SKU],MD_SKU[Tên SKU-rút gọn])</f>
        <v>iSS1084G</v>
      </c>
      <c r="M39" s="7" t="str">
        <f>_xlfn.XLOOKUP(DB_25[[#This Row],[Mã sản phẩm]],MD_SKU[Mã SKU],MD_SKU[Nhóm ngành])</f>
        <v>Hạt PET</v>
      </c>
      <c r="N39" s="7"/>
      <c r="O39" s="47">
        <v>88</v>
      </c>
      <c r="P39" s="47">
        <v>88</v>
      </c>
      <c r="Q39" s="47">
        <v>66</v>
      </c>
      <c r="R39" s="47">
        <v>0</v>
      </c>
      <c r="S39" s="47">
        <v>0</v>
      </c>
      <c r="T39" s="47">
        <v>0</v>
      </c>
      <c r="U39" s="47">
        <v>0</v>
      </c>
      <c r="V39" s="47">
        <v>0</v>
      </c>
      <c r="W39" s="110">
        <f ca="1">SUMIFS(Data_Actual_LG_EXW[SL],Data_Actual_LG_EXW[Year],2025,Data_Actual_LG_EXW[Month],'DB 2025'!W$1,Data_Actual_LG_EXW[Mã KH],DB_25[[#This Row],[Mã khách]],Data_Actual_LG_EXW[Mã SKU],DB_25[[#This Row],[Mã sản phẩm]])/10^3</f>
        <v>0</v>
      </c>
      <c r="X39" s="33"/>
      <c r="Y39" s="33"/>
      <c r="Z39" s="33"/>
      <c r="AA39" s="19">
        <f ca="1">SUM(DB_25[[#This Row],[SL-01]:[SL-12]])</f>
        <v>242</v>
      </c>
      <c r="AB39" s="7"/>
      <c r="AC39" s="20">
        <f ca="1">DB_25[[#This Row],[SL-DB25]]-DB_25[[#This Row],[SL-KH25]]</f>
        <v>242</v>
      </c>
      <c r="AD39" s="21">
        <f ca="1">IFERROR(DB_25[[#This Row],[SL-+/-]]/DB_25[[#This Row],[SL-KH25]],0)</f>
        <v>0</v>
      </c>
      <c r="AE39" s="23">
        <v>1336.7138906884129</v>
      </c>
      <c r="AF39" s="23">
        <v>1368.699111963434</v>
      </c>
      <c r="AG39" s="23">
        <v>1373.9747874001919</v>
      </c>
      <c r="AH39" s="23">
        <v>0</v>
      </c>
      <c r="AI39" s="23">
        <v>0</v>
      </c>
      <c r="AJ39" s="23">
        <v>0</v>
      </c>
      <c r="AK39" s="23">
        <v>0</v>
      </c>
      <c r="AL39" s="23">
        <v>0</v>
      </c>
      <c r="AM39" s="111">
        <v>0</v>
      </c>
      <c r="AN39" s="51">
        <f ca="1">IFERROR(SUM(DB_25[[#This Row],[DT-01-USD]:[DT-09-USD]])/SUM(DB_25[[#This Row],[SL-01]:[SL-09]]),0)</f>
        <v>1358.5069429825419</v>
      </c>
      <c r="AO39" s="51">
        <f ca="1">DB_25[[#This Row],[GB-10]]</f>
        <v>1358.5069429825419</v>
      </c>
      <c r="AP39" s="51">
        <f ca="1">DB_25[[#This Row],[GB-11]]</f>
        <v>1358.5069429825419</v>
      </c>
      <c r="AQ39" s="7"/>
      <c r="AR39" s="7"/>
      <c r="AS39" s="7"/>
      <c r="AT39" s="7"/>
      <c r="AU39" s="47">
        <v>2964739695.5659432</v>
      </c>
      <c r="AV39" s="47">
        <v>3043913446.4028411</v>
      </c>
      <c r="AW39" s="47">
        <v>2301002518</v>
      </c>
      <c r="AX39" s="47">
        <v>0</v>
      </c>
      <c r="AY39" s="47">
        <v>0</v>
      </c>
      <c r="AZ39" s="47">
        <v>0</v>
      </c>
      <c r="BA39" s="47">
        <v>0</v>
      </c>
      <c r="BB39" s="47">
        <v>0</v>
      </c>
      <c r="BC39" s="47">
        <v>0</v>
      </c>
      <c r="BD39" s="19">
        <f ca="1">DB_25[[#This Row],[SL-10]]*DB_25[[#This Row],[GB-10]]*BD$2/10^3</f>
        <v>0</v>
      </c>
      <c r="BE39" s="19">
        <f ca="1">DB_25[[#This Row],[SL-11]]*DB_25[[#This Row],[GB-11]]*BE$2/10^3</f>
        <v>0</v>
      </c>
      <c r="BF39" s="19">
        <f ca="1">DB_25[[#This Row],[SL-12]]*DB_25[[#This Row],[GB-12]]*BF$2/10^3</f>
        <v>0</v>
      </c>
      <c r="BG39" s="47">
        <f ca="1">SUM(DB_25[[#This Row],[DT-01]:[DT-12]])</f>
        <v>8309655659.9687843</v>
      </c>
      <c r="BH39" s="7"/>
      <c r="BI39" s="7"/>
      <c r="BJ39" s="7"/>
      <c r="BK39" s="50">
        <v>117630.82238058034</v>
      </c>
      <c r="BL39" s="109">
        <v>120445.5218527822</v>
      </c>
      <c r="BM39" s="109">
        <v>90682.335968412663</v>
      </c>
      <c r="BN39" s="109">
        <v>0</v>
      </c>
      <c r="BO39" s="109">
        <v>0</v>
      </c>
      <c r="BP39" s="109">
        <v>0</v>
      </c>
      <c r="BQ39" s="109">
        <v>0</v>
      </c>
      <c r="BR39" s="109">
        <v>0</v>
      </c>
      <c r="BS39" s="109">
        <v>0</v>
      </c>
      <c r="BT39" s="147">
        <f ca="1">DB_25[[#This Row],[SL-10]]*DB_25[[#This Row],[GB-10]]</f>
        <v>0</v>
      </c>
      <c r="BU39" s="147">
        <f ca="1">DB_25[[#This Row],[SL-11]]*DB_25[[#This Row],[GB-11]]</f>
        <v>0</v>
      </c>
      <c r="BV39" s="147">
        <f ca="1">DB_25[[#This Row],[SL-12]]*DB_25[[#This Row],[GB-12]]</f>
        <v>0</v>
      </c>
      <c r="BW39" s="47">
        <f ca="1">SUM(DB_25[[#This Row],[DT-01-USD]:[DT-12-USD]])</f>
        <v>328758.68020177516</v>
      </c>
    </row>
    <row r="40" spans="1:75" x14ac:dyDescent="0.35">
      <c r="A40" s="18">
        <f>ROWS($A$6:A40)</f>
        <v>35</v>
      </c>
      <c r="B40" s="18" t="s">
        <v>115</v>
      </c>
      <c r="C40" s="18" t="str">
        <f>IFERROR(_xlfn.XLOOKUP(DB_25[[#This Row],[Salesman]],MD_Salesman[Salesman],MD_Salesman[SalesManager]),"")</f>
        <v>Quốc Anh</v>
      </c>
      <c r="D40" s="7" t="s">
        <v>616</v>
      </c>
      <c r="E40" s="7" t="s">
        <v>128</v>
      </c>
      <c r="F40" s="7"/>
      <c r="G40" s="7" t="str">
        <f>_xlfn.XLOOKUP(DB_25[[#This Row],[Mã khách]],MD_Customer[Mã khách],MD_Customer[Kênh bán hàng])</f>
        <v>Xuất khẩu</v>
      </c>
      <c r="H40" s="7"/>
      <c r="I40" s="7"/>
      <c r="J40" s="7"/>
      <c r="K40" s="7" t="s">
        <v>174</v>
      </c>
      <c r="L40" s="7" t="str">
        <f>_xlfn.XLOOKUP(DB_25[[#This Row],[Mã sản phẩm]],MD_SKU[Mã SKU],MD_SKU[Tên SKU-rút gọn])</f>
        <v>WSS03G</v>
      </c>
      <c r="M40" s="7" t="str">
        <f>_xlfn.XLOOKUP(DB_25[[#This Row],[Mã sản phẩm]],MD_SKU[Mã SKU],MD_SKU[Nhóm ngành])</f>
        <v>Hạt PET</v>
      </c>
      <c r="N40" s="7"/>
      <c r="O40" s="47">
        <v>0</v>
      </c>
      <c r="P40" s="47">
        <v>22</v>
      </c>
      <c r="Q40" s="47">
        <v>0</v>
      </c>
      <c r="R40" s="47">
        <v>44</v>
      </c>
      <c r="S40" s="47">
        <v>0</v>
      </c>
      <c r="T40" s="47">
        <v>22</v>
      </c>
      <c r="U40" s="47">
        <v>0</v>
      </c>
      <c r="V40" s="47">
        <v>0</v>
      </c>
      <c r="W40" s="110">
        <f ca="1">SUMIFS(Data_Actual_LG_EXW[SL],Data_Actual_LG_EXW[Year],2025,Data_Actual_LG_EXW[Month],'DB 2025'!W$1,Data_Actual_LG_EXW[Mã KH],DB_25[[#This Row],[Mã khách]],Data_Actual_LG_EXW[Mã SKU],DB_25[[#This Row],[Mã sản phẩm]])/10^3</f>
        <v>0</v>
      </c>
      <c r="X40" s="33"/>
      <c r="Y40" s="33">
        <v>44</v>
      </c>
      <c r="Z40" s="33">
        <v>44</v>
      </c>
      <c r="AA40" s="19">
        <f ca="1">SUM(DB_25[[#This Row],[SL-01]:[SL-12]])</f>
        <v>176</v>
      </c>
      <c r="AB40" s="7"/>
      <c r="AC40" s="20">
        <f ca="1">DB_25[[#This Row],[SL-DB25]]-DB_25[[#This Row],[SL-KH25]]</f>
        <v>176</v>
      </c>
      <c r="AD40" s="21">
        <f ca="1">IFERROR(DB_25[[#This Row],[SL-+/-]]/DB_25[[#This Row],[SL-KH25]],0)</f>
        <v>0</v>
      </c>
      <c r="AE40" s="23">
        <v>0</v>
      </c>
      <c r="AF40" s="23">
        <v>1069.431430807851</v>
      </c>
      <c r="AG40" s="23">
        <v>0</v>
      </c>
      <c r="AH40" s="23">
        <v>1127.119365021186</v>
      </c>
      <c r="AI40" s="23">
        <v>0</v>
      </c>
      <c r="AJ40" s="23">
        <v>1128.3389083787099</v>
      </c>
      <c r="AK40" s="23">
        <v>0</v>
      </c>
      <c r="AL40" s="23">
        <v>0</v>
      </c>
      <c r="AM40" s="111">
        <v>0</v>
      </c>
      <c r="AN40" s="51">
        <f ca="1">IFERROR(SUM(DB_25[[#This Row],[DT-01-USD]:[DT-09-USD]])/SUM(DB_25[[#This Row],[SL-01]:[SL-09]]),0)</f>
        <v>1113.0022673072333</v>
      </c>
      <c r="AO40" s="51">
        <f ca="1">DB_25[[#This Row],[GB-10]]</f>
        <v>1113.0022673072333</v>
      </c>
      <c r="AP40" s="51">
        <f ca="1">DB_25[[#This Row],[GB-11]]</f>
        <v>1113.0022673072333</v>
      </c>
      <c r="AQ40" s="7"/>
      <c r="AR40" s="7"/>
      <c r="AS40" s="7"/>
      <c r="AT40" s="7"/>
      <c r="AU40" s="47">
        <v>0</v>
      </c>
      <c r="AV40" s="47">
        <v>596421908.96153855</v>
      </c>
      <c r="AW40" s="47">
        <v>0</v>
      </c>
      <c r="AX40" s="47">
        <v>1265123860.0743799</v>
      </c>
      <c r="AY40" s="47">
        <v>0</v>
      </c>
      <c r="AZ40" s="47">
        <v>643920448.23356223</v>
      </c>
      <c r="BA40" s="47">
        <v>0</v>
      </c>
      <c r="BB40" s="47">
        <v>0</v>
      </c>
      <c r="BC40" s="47">
        <v>0</v>
      </c>
      <c r="BD40" s="19">
        <f ca="1">DB_25[[#This Row],[SL-10]]*DB_25[[#This Row],[GB-10]]*BD$2/10^3</f>
        <v>0</v>
      </c>
      <c r="BE40" s="19">
        <f ca="1">DB_25[[#This Row],[SL-11]]*DB_25[[#This Row],[GB-11]]*BE$2/10^3</f>
        <v>1283069.0137517785</v>
      </c>
      <c r="BF40" s="19">
        <f ca="1">DB_25[[#This Row],[SL-12]]*DB_25[[#This Row],[GB-12]]*BF$2/10^3</f>
        <v>1283069.0137517785</v>
      </c>
      <c r="BG40" s="47">
        <f ca="1">SUM(DB_25[[#This Row],[DT-01]:[DT-12]])</f>
        <v>2508032355.2969847</v>
      </c>
      <c r="BH40" s="7"/>
      <c r="BI40" s="7"/>
      <c r="BJ40" s="7"/>
      <c r="BK40" s="50">
        <v>0</v>
      </c>
      <c r="BL40" s="109">
        <v>23527.491477772724</v>
      </c>
      <c r="BM40" s="109">
        <v>0</v>
      </c>
      <c r="BN40" s="109">
        <v>49593.25206093218</v>
      </c>
      <c r="BO40" s="109">
        <v>0</v>
      </c>
      <c r="BP40" s="109">
        <v>24823.45598433162</v>
      </c>
      <c r="BQ40" s="109">
        <v>0</v>
      </c>
      <c r="BR40" s="109">
        <v>0</v>
      </c>
      <c r="BS40" s="109">
        <v>0</v>
      </c>
      <c r="BT40" s="147">
        <f ca="1">DB_25[[#This Row],[SL-10]]*DB_25[[#This Row],[GB-10]]</f>
        <v>0</v>
      </c>
      <c r="BU40" s="147">
        <f ca="1">DB_25[[#This Row],[SL-11]]*DB_25[[#This Row],[GB-11]]</f>
        <v>48972.099761518264</v>
      </c>
      <c r="BV40" s="147">
        <f ca="1">DB_25[[#This Row],[SL-12]]*DB_25[[#This Row],[GB-12]]</f>
        <v>48972.099761518264</v>
      </c>
      <c r="BW40" s="47">
        <f ca="1">SUM(DB_25[[#This Row],[DT-01-USD]:[DT-12-USD]])</f>
        <v>195888.39904607306</v>
      </c>
    </row>
    <row r="41" spans="1:75" x14ac:dyDescent="0.35">
      <c r="A41" s="18">
        <f>ROWS($A$6:A41)</f>
        <v>36</v>
      </c>
      <c r="B41" s="18" t="s">
        <v>104</v>
      </c>
      <c r="C41" s="18" t="str">
        <f>IFERROR(_xlfn.XLOOKUP(DB_25[[#This Row],[Salesman]],MD_Salesman[Salesman],MD_Salesman[SalesManager]),"")</f>
        <v>Quốc Anh</v>
      </c>
      <c r="D41" s="7" t="s">
        <v>617</v>
      </c>
      <c r="E41" s="7" t="s">
        <v>144</v>
      </c>
      <c r="F41" s="7"/>
      <c r="G41" s="7" t="str">
        <f>_xlfn.XLOOKUP(DB_25[[#This Row],[Mã khách]],MD_Customer[Mã khách],MD_Customer[Kênh bán hàng])</f>
        <v>Xuất khẩu</v>
      </c>
      <c r="H41" s="7"/>
      <c r="I41" s="7"/>
      <c r="J41" s="7"/>
      <c r="K41" s="7" t="s">
        <v>172</v>
      </c>
      <c r="L41" s="7" t="str">
        <f>_xlfn.XLOOKUP(DB_25[[#This Row],[Mã sản phẩm]],MD_SKU[Mã SKU],MD_SKU[Tên SKU-rút gọn])</f>
        <v>iSS01G 1</v>
      </c>
      <c r="M41" s="7" t="str">
        <f>_xlfn.XLOOKUP(DB_25[[#This Row],[Mã sản phẩm]],MD_SKU[Mã SKU],MD_SKU[Nhóm ngành])</f>
        <v>Hạt PET</v>
      </c>
      <c r="N41" s="7"/>
      <c r="O41" s="47">
        <v>0</v>
      </c>
      <c r="P41" s="47">
        <v>220</v>
      </c>
      <c r="Q41" s="47">
        <v>0</v>
      </c>
      <c r="R41" s="47">
        <v>0</v>
      </c>
      <c r="S41" s="47">
        <v>0</v>
      </c>
      <c r="T41" s="47">
        <v>0</v>
      </c>
      <c r="U41" s="47">
        <v>0</v>
      </c>
      <c r="V41" s="47">
        <v>0</v>
      </c>
      <c r="W41" s="110">
        <f ca="1">SUMIFS(Data_Actual_LG_EXW[SL],Data_Actual_LG_EXW[Year],2025,Data_Actual_LG_EXW[Month],'DB 2025'!W$1,Data_Actual_LG_EXW[Mã KH],DB_25[[#This Row],[Mã khách]],Data_Actual_LG_EXW[Mã SKU],DB_25[[#This Row],[Mã sản phẩm]])/10^3</f>
        <v>0</v>
      </c>
      <c r="X41" s="33"/>
      <c r="Y41" s="33"/>
      <c r="Z41" s="33"/>
      <c r="AA41" s="19">
        <f ca="1">SUM(DB_25[[#This Row],[SL-01]:[SL-12]])</f>
        <v>220</v>
      </c>
      <c r="AB41" s="7"/>
      <c r="AC41" s="20">
        <f ca="1">DB_25[[#This Row],[SL-DB25]]-DB_25[[#This Row],[SL-KH25]]</f>
        <v>220</v>
      </c>
      <c r="AD41" s="21">
        <f ca="1">IFERROR(DB_25[[#This Row],[SL-+/-]]/DB_25[[#This Row],[SL-KH25]],0)</f>
        <v>0</v>
      </c>
      <c r="AE41" s="23">
        <v>0</v>
      </c>
      <c r="AF41" s="23">
        <v>1225.2796428908123</v>
      </c>
      <c r="AG41" s="23">
        <v>0</v>
      </c>
      <c r="AH41" s="23">
        <v>0</v>
      </c>
      <c r="AI41" s="23">
        <v>0</v>
      </c>
      <c r="AJ41" s="23">
        <v>0</v>
      </c>
      <c r="AK41" s="23">
        <v>0</v>
      </c>
      <c r="AL41" s="23">
        <v>0</v>
      </c>
      <c r="AM41" s="111">
        <v>0</v>
      </c>
      <c r="AN41" s="51">
        <f ca="1">IFERROR(SUM(DB_25[[#This Row],[DT-01-USD]:[DT-09-USD]])/SUM(DB_25[[#This Row],[SL-01]:[SL-09]]),0)</f>
        <v>1225.2796428908123</v>
      </c>
      <c r="AO41" s="51">
        <f ca="1">DB_25[[#This Row],[GB-10]]</f>
        <v>1225.2796428908123</v>
      </c>
      <c r="AP41" s="51">
        <f ca="1">DB_25[[#This Row],[GB-11]]</f>
        <v>1225.2796428908123</v>
      </c>
      <c r="AQ41" s="7"/>
      <c r="AR41" s="7"/>
      <c r="AS41" s="7"/>
      <c r="AT41" s="7"/>
      <c r="AU41" s="47">
        <v>0</v>
      </c>
      <c r="AV41" s="47">
        <v>6798341570.615386</v>
      </c>
      <c r="AW41" s="47">
        <v>0</v>
      </c>
      <c r="AX41" s="47">
        <v>0</v>
      </c>
      <c r="AY41" s="47">
        <v>0</v>
      </c>
      <c r="AZ41" s="47">
        <v>0</v>
      </c>
      <c r="BA41" s="47">
        <v>0</v>
      </c>
      <c r="BB41" s="47">
        <v>0</v>
      </c>
      <c r="BC41" s="47">
        <v>0</v>
      </c>
      <c r="BD41" s="19">
        <f ca="1">DB_25[[#This Row],[SL-10]]*DB_25[[#This Row],[GB-10]]*BD$2/10^3</f>
        <v>0</v>
      </c>
      <c r="BE41" s="19">
        <f ca="1">DB_25[[#This Row],[SL-11]]*DB_25[[#This Row],[GB-11]]*BE$2/10^3</f>
        <v>0</v>
      </c>
      <c r="BF41" s="19">
        <f ca="1">DB_25[[#This Row],[SL-12]]*DB_25[[#This Row],[GB-12]]*BF$2/10^3</f>
        <v>0</v>
      </c>
      <c r="BG41" s="47">
        <f ca="1">SUM(DB_25[[#This Row],[DT-01]:[DT-12]])</f>
        <v>6798341570.615386</v>
      </c>
      <c r="BH41" s="7"/>
      <c r="BI41" s="7"/>
      <c r="BJ41" s="7"/>
      <c r="BK41" s="50">
        <v>0</v>
      </c>
      <c r="BL41" s="109">
        <v>269561.52143597871</v>
      </c>
      <c r="BM41" s="109">
        <v>0</v>
      </c>
      <c r="BN41" s="109">
        <v>0</v>
      </c>
      <c r="BO41" s="109">
        <v>0</v>
      </c>
      <c r="BP41" s="109">
        <v>0</v>
      </c>
      <c r="BQ41" s="109">
        <v>0</v>
      </c>
      <c r="BR41" s="109">
        <v>0</v>
      </c>
      <c r="BS41" s="109">
        <v>0</v>
      </c>
      <c r="BT41" s="147">
        <f ca="1">DB_25[[#This Row],[SL-10]]*DB_25[[#This Row],[GB-10]]</f>
        <v>0</v>
      </c>
      <c r="BU41" s="147">
        <f ca="1">DB_25[[#This Row],[SL-11]]*DB_25[[#This Row],[GB-11]]</f>
        <v>0</v>
      </c>
      <c r="BV41" s="147">
        <f ca="1">DB_25[[#This Row],[SL-12]]*DB_25[[#This Row],[GB-12]]</f>
        <v>0</v>
      </c>
      <c r="BW41" s="47">
        <f ca="1">SUM(DB_25[[#This Row],[DT-01-USD]:[DT-12-USD]])</f>
        <v>269561.52143597871</v>
      </c>
    </row>
    <row r="42" spans="1:75" x14ac:dyDescent="0.35">
      <c r="A42" s="18">
        <f>ROWS($A$6:A42)</f>
        <v>37</v>
      </c>
      <c r="B42" s="18" t="s">
        <v>95</v>
      </c>
      <c r="C42" s="18" t="str">
        <f>IFERROR(_xlfn.XLOOKUP(DB_25[[#This Row],[Salesman]],MD_Salesman[Salesman],MD_Salesman[SalesManager]),"")</f>
        <v>Cường</v>
      </c>
      <c r="D42" s="7" t="s">
        <v>618</v>
      </c>
      <c r="E42" s="7" t="s">
        <v>143</v>
      </c>
      <c r="F42" s="7"/>
      <c r="G42" s="7" t="str">
        <f>_xlfn.XLOOKUP(DB_25[[#This Row],[Mã khách]],MD_Customer[Mã khách],MD_Customer[Kênh bán hàng])</f>
        <v>Xuất khẩu</v>
      </c>
      <c r="H42" s="7"/>
      <c r="I42" s="7"/>
      <c r="J42" s="7"/>
      <c r="K42" s="7" t="s">
        <v>174</v>
      </c>
      <c r="L42" s="7" t="str">
        <f>_xlfn.XLOOKUP(DB_25[[#This Row],[Mã sản phẩm]],MD_SKU[Mã SKU],MD_SKU[Tên SKU-rút gọn])</f>
        <v>WSS03G</v>
      </c>
      <c r="M42" s="7" t="str">
        <f>_xlfn.XLOOKUP(DB_25[[#This Row],[Mã sản phẩm]],MD_SKU[Mã SKU],MD_SKU[Nhóm ngành])</f>
        <v>Hạt PET</v>
      </c>
      <c r="N42" s="7"/>
      <c r="O42" s="47">
        <v>0</v>
      </c>
      <c r="P42" s="47">
        <v>0</v>
      </c>
      <c r="Q42" s="47">
        <v>220</v>
      </c>
      <c r="R42" s="47">
        <v>0</v>
      </c>
      <c r="S42" s="47">
        <v>0</v>
      </c>
      <c r="T42" s="47">
        <v>0</v>
      </c>
      <c r="U42" s="47">
        <v>0</v>
      </c>
      <c r="V42" s="47">
        <v>0</v>
      </c>
      <c r="W42" s="110">
        <f ca="1">SUMIFS(Data_Actual_LG_EXW[SL],Data_Actual_LG_EXW[Year],2025,Data_Actual_LG_EXW[Month],'DB 2025'!W$1,Data_Actual_LG_EXW[Mã KH],DB_25[[#This Row],[Mã khách]],Data_Actual_LG_EXW[Mã SKU],DB_25[[#This Row],[Mã sản phẩm]])/10^3</f>
        <v>0</v>
      </c>
      <c r="X42" s="33"/>
      <c r="Y42" s="33"/>
      <c r="Z42" s="33"/>
      <c r="AA42" s="19">
        <f ca="1">SUM(DB_25[[#This Row],[SL-01]:[SL-12]])</f>
        <v>220</v>
      </c>
      <c r="AB42" s="7"/>
      <c r="AC42" s="20">
        <f ca="1">DB_25[[#This Row],[SL-DB25]]-DB_25[[#This Row],[SL-KH25]]</f>
        <v>220</v>
      </c>
      <c r="AD42" s="21">
        <f ca="1">IFERROR(DB_25[[#This Row],[SL-+/-]]/DB_25[[#This Row],[SL-KH25]],0)</f>
        <v>0</v>
      </c>
      <c r="AE42" s="23">
        <v>0</v>
      </c>
      <c r="AF42" s="23">
        <v>0</v>
      </c>
      <c r="AG42" s="23">
        <v>1108.2779722202383</v>
      </c>
      <c r="AH42" s="23">
        <v>0</v>
      </c>
      <c r="AI42" s="23">
        <v>0</v>
      </c>
      <c r="AJ42" s="23">
        <v>0</v>
      </c>
      <c r="AK42" s="23">
        <v>0</v>
      </c>
      <c r="AL42" s="23">
        <v>0</v>
      </c>
      <c r="AM42" s="111">
        <v>0</v>
      </c>
      <c r="AN42" s="51">
        <f ca="1">IFERROR(SUM(DB_25[[#This Row],[DT-01-USD]:[DT-09-USD]])/SUM(DB_25[[#This Row],[SL-01]:[SL-09]]),0)</f>
        <v>1108.2779722202383</v>
      </c>
      <c r="AO42" s="51">
        <f ca="1">DB_25[[#This Row],[GB-10]]</f>
        <v>1108.2779722202383</v>
      </c>
      <c r="AP42" s="51">
        <f ca="1">DB_25[[#This Row],[GB-11]]</f>
        <v>1108.2779722202383</v>
      </c>
      <c r="AQ42" s="7"/>
      <c r="AR42" s="7"/>
      <c r="AS42" s="7"/>
      <c r="AT42" s="7"/>
      <c r="AU42" s="47">
        <v>0</v>
      </c>
      <c r="AV42" s="47">
        <v>0</v>
      </c>
      <c r="AW42" s="47">
        <v>6207686578.000001</v>
      </c>
      <c r="AX42" s="47">
        <v>0</v>
      </c>
      <c r="AY42" s="47">
        <v>0</v>
      </c>
      <c r="AZ42" s="47">
        <v>0</v>
      </c>
      <c r="BA42" s="47">
        <v>0</v>
      </c>
      <c r="BB42" s="47">
        <v>0</v>
      </c>
      <c r="BC42" s="47">
        <v>0</v>
      </c>
      <c r="BD42" s="19">
        <f ca="1">DB_25[[#This Row],[SL-10]]*DB_25[[#This Row],[GB-10]]*BD$2/10^3</f>
        <v>0</v>
      </c>
      <c r="BE42" s="19">
        <f ca="1">DB_25[[#This Row],[SL-11]]*DB_25[[#This Row],[GB-11]]*BE$2/10^3</f>
        <v>0</v>
      </c>
      <c r="BF42" s="19">
        <f ca="1">DB_25[[#This Row],[SL-12]]*DB_25[[#This Row],[GB-12]]*BF$2/10^3</f>
        <v>0</v>
      </c>
      <c r="BG42" s="47">
        <f ca="1">SUM(DB_25[[#This Row],[DT-01]:[DT-12]])</f>
        <v>6207686578.000001</v>
      </c>
      <c r="BH42" s="7"/>
      <c r="BI42" s="7"/>
      <c r="BJ42" s="7"/>
      <c r="BK42" s="50">
        <v>0</v>
      </c>
      <c r="BL42" s="109">
        <v>0</v>
      </c>
      <c r="BM42" s="109">
        <v>243821.15388845242</v>
      </c>
      <c r="BN42" s="109">
        <v>0</v>
      </c>
      <c r="BO42" s="109">
        <v>0</v>
      </c>
      <c r="BP42" s="109">
        <v>0</v>
      </c>
      <c r="BQ42" s="109">
        <v>0</v>
      </c>
      <c r="BR42" s="109">
        <v>0</v>
      </c>
      <c r="BS42" s="109">
        <v>0</v>
      </c>
      <c r="BT42" s="147">
        <f ca="1">DB_25[[#This Row],[SL-10]]*DB_25[[#This Row],[GB-10]]</f>
        <v>0</v>
      </c>
      <c r="BU42" s="147">
        <f ca="1">DB_25[[#This Row],[SL-11]]*DB_25[[#This Row],[GB-11]]</f>
        <v>0</v>
      </c>
      <c r="BV42" s="147">
        <f ca="1">DB_25[[#This Row],[SL-12]]*DB_25[[#This Row],[GB-12]]</f>
        <v>0</v>
      </c>
      <c r="BW42" s="47">
        <f ca="1">SUM(DB_25[[#This Row],[DT-01-USD]:[DT-12-USD]])</f>
        <v>243821.15388845242</v>
      </c>
    </row>
    <row r="43" spans="1:75" x14ac:dyDescent="0.35">
      <c r="A43" s="18">
        <f>ROWS($A$6:A43)</f>
        <v>38</v>
      </c>
      <c r="B43" s="18" t="s">
        <v>120</v>
      </c>
      <c r="C43" s="18" t="str">
        <f>IFERROR(_xlfn.XLOOKUP(DB_25[[#This Row],[Salesman]],MD_Salesman[Salesman],MD_Salesman[SalesManager]),"")</f>
        <v>Cường</v>
      </c>
      <c r="D43" s="7" t="s">
        <v>619</v>
      </c>
      <c r="E43" s="7" t="s">
        <v>146</v>
      </c>
      <c r="F43" s="7"/>
      <c r="G43" s="7" t="str">
        <f>_xlfn.XLOOKUP(DB_25[[#This Row],[Mã khách]],MD_Customer[Mã khách],MD_Customer[Kênh bán hàng])</f>
        <v>Xuất khẩu</v>
      </c>
      <c r="H43" s="7"/>
      <c r="I43" s="7"/>
      <c r="J43" s="7"/>
      <c r="K43" s="7" t="s">
        <v>178</v>
      </c>
      <c r="L43" s="7" t="str">
        <f>_xlfn.XLOOKUP(DB_25[[#This Row],[Mã sản phẩm]],MD_SKU[Mã SKU],MD_SKU[Tên SKU-rút gọn])</f>
        <v>WSS01S</v>
      </c>
      <c r="M43" s="7" t="str">
        <f>_xlfn.XLOOKUP(DB_25[[#This Row],[Mã sản phẩm]],MD_SKU[Mã SKU],MD_SKU[Nhóm ngành])</f>
        <v>Hạt PET</v>
      </c>
      <c r="N43" s="7"/>
      <c r="O43" s="47">
        <v>0</v>
      </c>
      <c r="P43" s="47">
        <v>0</v>
      </c>
      <c r="Q43" s="47">
        <v>0</v>
      </c>
      <c r="R43" s="47">
        <v>0</v>
      </c>
      <c r="S43" s="47">
        <v>0</v>
      </c>
      <c r="T43" s="47">
        <v>0</v>
      </c>
      <c r="U43" s="47">
        <v>21.5</v>
      </c>
      <c r="V43" s="47">
        <v>0</v>
      </c>
      <c r="W43" s="110">
        <f ca="1">SUMIFS(Data_Actual_LG_EXW[SL],Data_Actual_LG_EXW[Year],2025,Data_Actual_LG_EXW[Month],'DB 2025'!W$1,Data_Actual_LG_EXW[Mã KH],DB_25[[#This Row],[Mã khách]],Data_Actual_LG_EXW[Mã SKU],DB_25[[#This Row],[Mã sản phẩm]])/10^3</f>
        <v>0</v>
      </c>
      <c r="X43" s="33">
        <v>44</v>
      </c>
      <c r="Y43" s="33">
        <v>44</v>
      </c>
      <c r="Z43" s="33">
        <v>88</v>
      </c>
      <c r="AA43" s="19">
        <f ca="1">SUM(DB_25[[#This Row],[SL-01]:[SL-12]])</f>
        <v>197.5</v>
      </c>
      <c r="AB43" s="7"/>
      <c r="AC43" s="20">
        <f ca="1">DB_25[[#This Row],[SL-DB25]]-DB_25[[#This Row],[SL-KH25]]</f>
        <v>197.5</v>
      </c>
      <c r="AD43" s="21">
        <f ca="1">IFERROR(DB_25[[#This Row],[SL-+/-]]/DB_25[[#This Row],[SL-KH25]],0)</f>
        <v>0</v>
      </c>
      <c r="AE43" s="23">
        <v>0</v>
      </c>
      <c r="AF43" s="23">
        <v>0</v>
      </c>
      <c r="AG43" s="23">
        <v>0</v>
      </c>
      <c r="AH43" s="23">
        <v>0</v>
      </c>
      <c r="AI43" s="23">
        <v>0</v>
      </c>
      <c r="AJ43" s="23">
        <v>0</v>
      </c>
      <c r="AK43" s="23">
        <v>1185.7220915266887</v>
      </c>
      <c r="AL43" s="23">
        <v>0</v>
      </c>
      <c r="AM43" s="111">
        <v>0</v>
      </c>
      <c r="AN43" s="51">
        <f ca="1">IFERROR(SUM(DB_25[[#This Row],[DT-01-USD]:[DT-09-USD]])/SUM(DB_25[[#This Row],[SL-01]:[SL-09]]),0)</f>
        <v>1185.7220915266887</v>
      </c>
      <c r="AO43" s="51">
        <f ca="1">DB_25[[#This Row],[GB-10]]</f>
        <v>1185.7220915266887</v>
      </c>
      <c r="AP43" s="51">
        <f ca="1">DB_25[[#This Row],[GB-11]]</f>
        <v>1185.7220915266887</v>
      </c>
      <c r="AQ43" s="7"/>
      <c r="AR43" s="7"/>
      <c r="AS43" s="7"/>
      <c r="AT43" s="7"/>
      <c r="AU43" s="47">
        <v>0</v>
      </c>
      <c r="AV43" s="47">
        <v>0</v>
      </c>
      <c r="AW43" s="47">
        <v>0</v>
      </c>
      <c r="AX43" s="47">
        <v>0</v>
      </c>
      <c r="AY43" s="47">
        <v>0</v>
      </c>
      <c r="AZ43" s="47">
        <v>0</v>
      </c>
      <c r="BA43" s="47">
        <v>662308788.6640625</v>
      </c>
      <c r="BB43" s="47">
        <v>0</v>
      </c>
      <c r="BC43" s="47">
        <v>0</v>
      </c>
      <c r="BD43" s="19">
        <f ca="1">DB_25[[#This Row],[SL-10]]*DB_25[[#This Row],[GB-10]]*BD$2/10^3</f>
        <v>1366900.4271119665</v>
      </c>
      <c r="BE43" s="19">
        <f ca="1">DB_25[[#This Row],[SL-11]]*DB_25[[#This Row],[GB-11]]*BE$2/10^3</f>
        <v>1366900.4271119665</v>
      </c>
      <c r="BF43" s="19">
        <f ca="1">DB_25[[#This Row],[SL-12]]*DB_25[[#This Row],[GB-12]]*BF$2/10^3</f>
        <v>2733800.8542239331</v>
      </c>
      <c r="BG43" s="47">
        <f ca="1">SUM(DB_25[[#This Row],[DT-01]:[DT-12]])</f>
        <v>667776390.37251043</v>
      </c>
      <c r="BH43" s="7"/>
      <c r="BI43" s="7"/>
      <c r="BJ43" s="7"/>
      <c r="BK43" s="50">
        <v>0</v>
      </c>
      <c r="BL43" s="109">
        <v>0</v>
      </c>
      <c r="BM43" s="109">
        <v>0</v>
      </c>
      <c r="BN43" s="109">
        <v>0</v>
      </c>
      <c r="BO43" s="109">
        <v>0</v>
      </c>
      <c r="BP43" s="109">
        <v>0</v>
      </c>
      <c r="BQ43" s="109">
        <v>25493.024967823807</v>
      </c>
      <c r="BR43" s="109">
        <v>0</v>
      </c>
      <c r="BS43" s="109">
        <v>0</v>
      </c>
      <c r="BT43" s="147">
        <f ca="1">DB_25[[#This Row],[SL-10]]*DB_25[[#This Row],[GB-10]]</f>
        <v>52171.772027174302</v>
      </c>
      <c r="BU43" s="147">
        <f ca="1">DB_25[[#This Row],[SL-11]]*DB_25[[#This Row],[GB-11]]</f>
        <v>52171.772027174302</v>
      </c>
      <c r="BV43" s="147">
        <f ca="1">DB_25[[#This Row],[SL-12]]*DB_25[[#This Row],[GB-12]]</f>
        <v>104343.5440543486</v>
      </c>
      <c r="BW43" s="47">
        <f ca="1">SUM(DB_25[[#This Row],[DT-01-USD]:[DT-12-USD]])</f>
        <v>234180.11307652103</v>
      </c>
    </row>
    <row r="44" spans="1:75" x14ac:dyDescent="0.35">
      <c r="A44" s="18">
        <f>ROWS($A$6:A44)</f>
        <v>39</v>
      </c>
      <c r="B44" s="18" t="s">
        <v>97</v>
      </c>
      <c r="C44" s="18" t="str">
        <f>IFERROR(_xlfn.XLOOKUP(DB_25[[#This Row],[Salesman]],MD_Salesman[Salesman],MD_Salesman[SalesManager]),"")</f>
        <v>Cường</v>
      </c>
      <c r="D44" s="7" t="s">
        <v>620</v>
      </c>
      <c r="E44" s="7" t="s">
        <v>324</v>
      </c>
      <c r="F44" s="7"/>
      <c r="G44" s="7" t="str">
        <f>_xlfn.XLOOKUP(DB_25[[#This Row],[Mã khách]],MD_Customer[Mã khách],MD_Customer[Kênh bán hàng])</f>
        <v>Nội địa</v>
      </c>
      <c r="H44" s="7"/>
      <c r="I44" s="7"/>
      <c r="J44" s="7"/>
      <c r="K44" s="7" t="s">
        <v>168</v>
      </c>
      <c r="L44" s="7" t="str">
        <f>_xlfn.XLOOKUP(DB_25[[#This Row],[Mã sản phẩm]],MD_SKU[Mã SKU],MD_SKU[Tên SKU-rút gọn])</f>
        <v>iSS1084G</v>
      </c>
      <c r="M44" s="7" t="str">
        <f>_xlfn.XLOOKUP(DB_25[[#This Row],[Mã sản phẩm]],MD_SKU[Mã SKU],MD_SKU[Nhóm ngành])</f>
        <v>Hạt PET</v>
      </c>
      <c r="N44" s="7"/>
      <c r="O44" s="47">
        <v>-13.7507</v>
      </c>
      <c r="P44" s="47">
        <v>22</v>
      </c>
      <c r="Q44" s="47">
        <v>88</v>
      </c>
      <c r="R44" s="47">
        <v>44</v>
      </c>
      <c r="S44" s="47">
        <v>-40.039699999999996</v>
      </c>
      <c r="T44" s="47">
        <v>0</v>
      </c>
      <c r="U44" s="47">
        <v>50.969099999999997</v>
      </c>
      <c r="V44" s="47">
        <v>43.292999999999999</v>
      </c>
      <c r="W44" s="110">
        <f ca="1">SUMIFS(Data_Actual_LG_EXW[SL],Data_Actual_LG_EXW[Year],2025,Data_Actual_LG_EXW[Month],'DB 2025'!W$1,Data_Actual_LG_EXW[Mã KH],DB_25[[#This Row],[Mã khách]],Data_Actual_LG_EXW[Mã SKU],DB_25[[#This Row],[Mã sản phẩm]])/10^3</f>
        <v>0</v>
      </c>
      <c r="X44" s="33"/>
      <c r="Y44" s="33"/>
      <c r="Z44" s="33"/>
      <c r="AA44" s="19">
        <f ca="1">SUM(DB_25[[#This Row],[SL-01]:[SL-12]])</f>
        <v>194.4717</v>
      </c>
      <c r="AB44" s="7"/>
      <c r="AC44" s="20">
        <f ca="1">DB_25[[#This Row],[SL-DB25]]-DB_25[[#This Row],[SL-KH25]]</f>
        <v>194.4717</v>
      </c>
      <c r="AD44" s="21">
        <f ca="1">IFERROR(DB_25[[#This Row],[SL-+/-]]/DB_25[[#This Row],[SL-KH25]],0)</f>
        <v>0</v>
      </c>
      <c r="AE44" s="23">
        <v>1457.7516053251832</v>
      </c>
      <c r="AF44" s="23">
        <v>1399.1937779103703</v>
      </c>
      <c r="AG44" s="23">
        <v>1358.5984845898656</v>
      </c>
      <c r="AH44" s="23">
        <v>1354.0927634008526</v>
      </c>
      <c r="AI44" s="23">
        <v>1360.7311792951775</v>
      </c>
      <c r="AJ44" s="23">
        <v>0</v>
      </c>
      <c r="AK44" s="23">
        <v>1370.8477093042384</v>
      </c>
      <c r="AL44" s="23">
        <v>1350.2563095002768</v>
      </c>
      <c r="AM44" s="111">
        <v>0</v>
      </c>
      <c r="AN44" s="51">
        <f ca="1">IFERROR(SUM(DB_25[[#This Row],[DT-01-USD]:[DT-09-USD]])/SUM(DB_25[[#This Row],[SL-01]:[SL-09]]),0)</f>
        <v>1356.074732396014</v>
      </c>
      <c r="AO44" s="51">
        <f ca="1">DB_25[[#This Row],[GB-10]]</f>
        <v>1356.074732396014</v>
      </c>
      <c r="AP44" s="51">
        <f ca="1">DB_25[[#This Row],[GB-11]]</f>
        <v>1356.074732396014</v>
      </c>
      <c r="AQ44" s="7"/>
      <c r="AR44" s="7"/>
      <c r="AS44" s="7"/>
      <c r="AT44" s="7"/>
      <c r="AU44" s="47">
        <v>-505212131.40100002</v>
      </c>
      <c r="AV44" s="47">
        <v>777932987.14771688</v>
      </c>
      <c r="AW44" s="47">
        <v>3033668994.6666665</v>
      </c>
      <c r="AX44" s="47">
        <v>1529487148.0341687</v>
      </c>
      <c r="AY44" s="47">
        <v>-1404515849.325</v>
      </c>
      <c r="AZ44" s="47">
        <v>0</v>
      </c>
      <c r="BA44" s="47">
        <v>1815808292.6122601</v>
      </c>
      <c r="BB44" s="47">
        <v>1527645546.6193771</v>
      </c>
      <c r="BC44" s="47">
        <v>0</v>
      </c>
      <c r="BD44" s="19">
        <f ca="1">DB_25[[#This Row],[SL-10]]*DB_25[[#This Row],[GB-10]]*BD$2/10^3</f>
        <v>0</v>
      </c>
      <c r="BE44" s="19">
        <f ca="1">DB_25[[#This Row],[SL-11]]*DB_25[[#This Row],[GB-11]]*BE$2/10^3</f>
        <v>0</v>
      </c>
      <c r="BF44" s="19">
        <f ca="1">DB_25[[#This Row],[SL-12]]*DB_25[[#This Row],[GB-12]]*BF$2/10^3</f>
        <v>0</v>
      </c>
      <c r="BG44" s="47">
        <f ca="1">SUM(DB_25[[#This Row],[DT-01]:[DT-12]])</f>
        <v>6774814988.3541889</v>
      </c>
      <c r="BH44" s="7"/>
      <c r="BI44" s="7"/>
      <c r="BJ44" s="7"/>
      <c r="BK44" s="50">
        <v>-20045.104999344996</v>
      </c>
      <c r="BL44" s="109">
        <v>30782.263114028148</v>
      </c>
      <c r="BM44" s="109">
        <v>119556.66664390817</v>
      </c>
      <c r="BN44" s="109">
        <v>59580.081589637513</v>
      </c>
      <c r="BO44" s="109">
        <v>-54483.268199625112</v>
      </c>
      <c r="BP44" s="109">
        <v>0</v>
      </c>
      <c r="BQ44" s="109">
        <v>69870.873980298653</v>
      </c>
      <c r="BR44" s="109">
        <v>58456.646407195476</v>
      </c>
      <c r="BS44" s="109">
        <v>0</v>
      </c>
      <c r="BT44" s="147">
        <f ca="1">DB_25[[#This Row],[SL-10]]*DB_25[[#This Row],[GB-10]]</f>
        <v>0</v>
      </c>
      <c r="BU44" s="147">
        <f ca="1">DB_25[[#This Row],[SL-11]]*DB_25[[#This Row],[GB-11]]</f>
        <v>0</v>
      </c>
      <c r="BV44" s="147">
        <f ca="1">DB_25[[#This Row],[SL-12]]*DB_25[[#This Row],[GB-12]]</f>
        <v>0</v>
      </c>
      <c r="BW44" s="47">
        <f ca="1">SUM(DB_25[[#This Row],[DT-01-USD]:[DT-12-USD]])</f>
        <v>263718.15853609791</v>
      </c>
    </row>
    <row r="45" spans="1:75" x14ac:dyDescent="0.35">
      <c r="A45" s="18">
        <f>ROWS($A$6:A45)</f>
        <v>40</v>
      </c>
      <c r="B45" s="18" t="s">
        <v>101</v>
      </c>
      <c r="C45" s="18" t="str">
        <f>IFERROR(_xlfn.XLOOKUP(DB_25[[#This Row],[Salesman]],MD_Salesman[Salesman],MD_Salesman[SalesManager]),"")</f>
        <v>Cường</v>
      </c>
      <c r="D45" s="7" t="s">
        <v>621</v>
      </c>
      <c r="E45" s="7" t="s">
        <v>257</v>
      </c>
      <c r="F45" s="7"/>
      <c r="G45" s="7" t="str">
        <f>_xlfn.XLOOKUP(DB_25[[#This Row],[Mã khách]],MD_Customer[Mã khách],MD_Customer[Kênh bán hàng])</f>
        <v>Nội địa</v>
      </c>
      <c r="H45" s="7"/>
      <c r="I45" s="7"/>
      <c r="J45" s="7"/>
      <c r="K45" s="7" t="s">
        <v>180</v>
      </c>
      <c r="L45" s="7" t="str">
        <f>_xlfn.XLOOKUP(DB_25[[#This Row],[Mã sản phẩm]],MD_SKU[Mã SKU],MD_SKU[Tên SKU-rút gọn])</f>
        <v>WSS01 &amp; WSS01G-L</v>
      </c>
      <c r="M45" s="7" t="str">
        <f>_xlfn.XLOOKUP(DB_25[[#This Row],[Mã sản phẩm]],MD_SKU[Mã SKU],MD_SKU[Nhóm ngành])</f>
        <v>Hạt PET</v>
      </c>
      <c r="N45" s="7"/>
      <c r="O45" s="47">
        <v>0</v>
      </c>
      <c r="P45" s="47">
        <v>0</v>
      </c>
      <c r="Q45" s="47">
        <v>0</v>
      </c>
      <c r="R45" s="47">
        <v>0</v>
      </c>
      <c r="S45" s="47">
        <v>0</v>
      </c>
      <c r="T45" s="47">
        <v>0</v>
      </c>
      <c r="U45" s="47">
        <v>0</v>
      </c>
      <c r="V45" s="47">
        <v>184.8</v>
      </c>
      <c r="W45" s="110">
        <f ca="1">SUMIFS(Data_Actual_LG_EXW[SL],Data_Actual_LG_EXW[Year],2025,Data_Actual_LG_EXW[Month],'DB 2025'!W$1,Data_Actual_LG_EXW[Mã KH],DB_25[[#This Row],[Mã khách]],Data_Actual_LG_EXW[Mã SKU],DB_25[[#This Row],[Mã sản phẩm]])/10^3</f>
        <v>237.6</v>
      </c>
      <c r="X45" s="33"/>
      <c r="Y45" s="33"/>
      <c r="Z45" s="33"/>
      <c r="AA45" s="19">
        <f ca="1">SUM(DB_25[[#This Row],[SL-01]:[SL-12]])</f>
        <v>422.4</v>
      </c>
      <c r="AB45" s="7"/>
      <c r="AC45" s="20">
        <f ca="1">DB_25[[#This Row],[SL-DB25]]-DB_25[[#This Row],[SL-KH25]]</f>
        <v>422.4</v>
      </c>
      <c r="AD45" s="21">
        <f ca="1">IFERROR(DB_25[[#This Row],[SL-+/-]]/DB_25[[#This Row],[SL-KH25]],0)</f>
        <v>0</v>
      </c>
      <c r="AE45" s="23">
        <v>0</v>
      </c>
      <c r="AF45" s="23">
        <v>0</v>
      </c>
      <c r="AG45" s="23">
        <v>0</v>
      </c>
      <c r="AH45" s="23">
        <v>0</v>
      </c>
      <c r="AI45" s="23">
        <v>0</v>
      </c>
      <c r="AJ45" s="23">
        <v>0</v>
      </c>
      <c r="AK45" s="23">
        <v>0</v>
      </c>
      <c r="AL45" s="23">
        <v>1401.1145027193584</v>
      </c>
      <c r="AM45" s="111">
        <v>1396.3418342743169</v>
      </c>
      <c r="AN45" s="51">
        <f ca="1">IFERROR(SUM(DB_25[[#This Row],[DT-01-USD]:[DT-09-USD]])/SUM(DB_25[[#This Row],[SL-01]:[SL-09]]),0)</f>
        <v>1398.4298767190226</v>
      </c>
      <c r="AO45" s="51">
        <f ca="1">DB_25[[#This Row],[GB-10]]</f>
        <v>1398.4298767190226</v>
      </c>
      <c r="AP45" s="51">
        <f ca="1">DB_25[[#This Row],[GB-11]]</f>
        <v>1398.4298767190226</v>
      </c>
      <c r="AQ45" s="7"/>
      <c r="AR45" s="7"/>
      <c r="AS45" s="7"/>
      <c r="AT45" s="7"/>
      <c r="AU45" s="47">
        <v>0</v>
      </c>
      <c r="AV45" s="47">
        <v>0</v>
      </c>
      <c r="AW45" s="47">
        <v>0</v>
      </c>
      <c r="AX45" s="47">
        <v>0</v>
      </c>
      <c r="AY45" s="47">
        <v>0</v>
      </c>
      <c r="AZ45" s="47">
        <v>0</v>
      </c>
      <c r="BA45" s="47">
        <v>0</v>
      </c>
      <c r="BB45" s="47">
        <v>6766503283.4675188</v>
      </c>
      <c r="BC45" s="47">
        <v>8695875949.1372871</v>
      </c>
      <c r="BD45" s="19">
        <f ca="1">DB_25[[#This Row],[SL-10]]*DB_25[[#This Row],[GB-10]]*BD$2/10^3</f>
        <v>0</v>
      </c>
      <c r="BE45" s="19">
        <f ca="1">DB_25[[#This Row],[SL-11]]*DB_25[[#This Row],[GB-11]]*BE$2/10^3</f>
        <v>0</v>
      </c>
      <c r="BF45" s="19">
        <f ca="1">DB_25[[#This Row],[SL-12]]*DB_25[[#This Row],[GB-12]]*BF$2/10^3</f>
        <v>0</v>
      </c>
      <c r="BG45" s="47">
        <f ca="1">SUM(DB_25[[#This Row],[DT-01]:[DT-12]])</f>
        <v>15462379232.604805</v>
      </c>
      <c r="BH45" s="7"/>
      <c r="BI45" s="7"/>
      <c r="BJ45" s="7"/>
      <c r="BK45" s="50">
        <v>0</v>
      </c>
      <c r="BL45" s="109">
        <v>0</v>
      </c>
      <c r="BM45" s="109">
        <v>0</v>
      </c>
      <c r="BN45" s="109">
        <v>0</v>
      </c>
      <c r="BO45" s="109">
        <v>0</v>
      </c>
      <c r="BP45" s="109">
        <v>0</v>
      </c>
      <c r="BQ45" s="109">
        <v>0</v>
      </c>
      <c r="BR45" s="109">
        <v>258925.96010253744</v>
      </c>
      <c r="BS45" s="109">
        <v>331770.81982357765</v>
      </c>
      <c r="BT45" s="147">
        <f ca="1">DB_25[[#This Row],[SL-10]]*DB_25[[#This Row],[GB-10]]</f>
        <v>0</v>
      </c>
      <c r="BU45" s="147">
        <f ca="1">DB_25[[#This Row],[SL-11]]*DB_25[[#This Row],[GB-11]]</f>
        <v>0</v>
      </c>
      <c r="BV45" s="147">
        <f ca="1">DB_25[[#This Row],[SL-12]]*DB_25[[#This Row],[GB-12]]</f>
        <v>0</v>
      </c>
      <c r="BW45" s="47">
        <f ca="1">SUM(DB_25[[#This Row],[DT-01-USD]:[DT-12-USD]])</f>
        <v>590696.77992611506</v>
      </c>
    </row>
    <row r="46" spans="1:75" x14ac:dyDescent="0.35">
      <c r="A46" s="18">
        <f>ROWS($A$6:A46)</f>
        <v>41</v>
      </c>
      <c r="B46" s="18" t="s">
        <v>115</v>
      </c>
      <c r="C46" s="18" t="str">
        <f>IFERROR(_xlfn.XLOOKUP(DB_25[[#This Row],[Salesman]],MD_Salesman[Salesman],MD_Salesman[SalesManager]),"")</f>
        <v>Quốc Anh</v>
      </c>
      <c r="D46" s="7" t="s">
        <v>622</v>
      </c>
      <c r="E46" s="7" t="s">
        <v>53</v>
      </c>
      <c r="F46" s="7"/>
      <c r="G46" s="7" t="str">
        <f>_xlfn.XLOOKUP(DB_25[[#This Row],[Mã khách]],MD_Customer[Mã khách],MD_Customer[Kênh bán hàng])</f>
        <v>Nội địa</v>
      </c>
      <c r="H46" s="7"/>
      <c r="I46" s="7"/>
      <c r="J46" s="7"/>
      <c r="K46" s="7" t="s">
        <v>185</v>
      </c>
      <c r="L46" s="7" t="str">
        <f>_xlfn.XLOOKUP(DB_25[[#This Row],[Mã sản phẩm]],MD_SKU[Mã SKU],MD_SKU[Tên SKU-rút gọn])</f>
        <v>rHDB04B01</v>
      </c>
      <c r="M46" s="7" t="str">
        <f>_xlfn.XLOOKUP(DB_25[[#This Row],[Mã sản phẩm]],MD_SKU[Mã SKU],MD_SKU[Nhóm ngành])</f>
        <v>Hạt HD thổi</v>
      </c>
      <c r="N46" s="7"/>
      <c r="O46" s="47">
        <v>0</v>
      </c>
      <c r="P46" s="47">
        <v>11</v>
      </c>
      <c r="Q46" s="47">
        <v>11</v>
      </c>
      <c r="R46" s="47">
        <v>28</v>
      </c>
      <c r="S46" s="47">
        <v>0</v>
      </c>
      <c r="T46" s="47">
        <v>0</v>
      </c>
      <c r="U46" s="47">
        <v>0</v>
      </c>
      <c r="V46" s="47">
        <v>0</v>
      </c>
      <c r="W46" s="110">
        <f ca="1">SUMIFS(Data_Actual_LG_EXW[SL],Data_Actual_LG_EXW[Year],2025,Data_Actual_LG_EXW[Month],'DB 2025'!W$1,Data_Actual_LG_EXW[Mã KH],DB_25[[#This Row],[Mã khách]],Data_Actual_LG_EXW[Mã SKU],DB_25[[#This Row],[Mã sản phẩm]])/10^3</f>
        <v>0</v>
      </c>
      <c r="X46" s="33">
        <v>44</v>
      </c>
      <c r="Y46" s="33">
        <v>44</v>
      </c>
      <c r="Z46" s="33">
        <v>44</v>
      </c>
      <c r="AA46" s="19">
        <f ca="1">SUM(DB_25[[#This Row],[SL-01]:[SL-12]])</f>
        <v>182</v>
      </c>
      <c r="AB46" s="7"/>
      <c r="AC46" s="20">
        <f ca="1">DB_25[[#This Row],[SL-DB25]]-DB_25[[#This Row],[SL-KH25]]</f>
        <v>182</v>
      </c>
      <c r="AD46" s="21">
        <f ca="1">IFERROR(DB_25[[#This Row],[SL-+/-]]/DB_25[[#This Row],[SL-KH25]],0)</f>
        <v>0</v>
      </c>
      <c r="AE46" s="23">
        <v>0</v>
      </c>
      <c r="AF46" s="23">
        <v>672.67808613843056</v>
      </c>
      <c r="AG46" s="23">
        <v>669.96871989647036</v>
      </c>
      <c r="AH46" s="23">
        <v>662.22288191545522</v>
      </c>
      <c r="AI46" s="23">
        <v>0</v>
      </c>
      <c r="AJ46" s="23">
        <v>0</v>
      </c>
      <c r="AK46" s="23">
        <v>0</v>
      </c>
      <c r="AL46" s="23">
        <v>0</v>
      </c>
      <c r="AM46" s="111">
        <v>0</v>
      </c>
      <c r="AN46" s="51">
        <f ca="1">IFERROR(SUM(DB_25[[#This Row],[DT-01-USD]:[DT-09-USD]])/SUM(DB_25[[#This Row],[SL-01]:[SL-09]]),0)</f>
        <v>666.22711120033318</v>
      </c>
      <c r="AO46" s="51">
        <f ca="1">DB_25[[#This Row],[GB-10]]</f>
        <v>666.22711120033318</v>
      </c>
      <c r="AP46" s="51">
        <f ca="1">DB_25[[#This Row],[GB-11]]</f>
        <v>666.22711120033318</v>
      </c>
      <c r="AQ46" s="7"/>
      <c r="AR46" s="7"/>
      <c r="AS46" s="7"/>
      <c r="AT46" s="7"/>
      <c r="AU46" s="47">
        <v>0</v>
      </c>
      <c r="AV46" s="47">
        <v>187000000</v>
      </c>
      <c r="AW46" s="47">
        <v>187000000</v>
      </c>
      <c r="AX46" s="47">
        <v>476000000</v>
      </c>
      <c r="AY46" s="47">
        <v>0</v>
      </c>
      <c r="AZ46" s="47">
        <v>0</v>
      </c>
      <c r="BA46" s="47">
        <v>0</v>
      </c>
      <c r="BB46" s="47">
        <v>0</v>
      </c>
      <c r="BC46" s="47">
        <v>0</v>
      </c>
      <c r="BD46" s="19">
        <f ca="1">DB_25[[#This Row],[SL-10]]*DB_25[[#This Row],[GB-10]]*BD$2/10^3</f>
        <v>768026.61379174411</v>
      </c>
      <c r="BE46" s="19">
        <f ca="1">DB_25[[#This Row],[SL-11]]*DB_25[[#This Row],[GB-11]]*BE$2/10^3</f>
        <v>768026.61379174411</v>
      </c>
      <c r="BF46" s="19">
        <f ca="1">DB_25[[#This Row],[SL-12]]*DB_25[[#This Row],[GB-12]]*BF$2/10^3</f>
        <v>768026.61379174411</v>
      </c>
      <c r="BG46" s="47">
        <f ca="1">SUM(DB_25[[#This Row],[DT-01]:[DT-12]])</f>
        <v>852304079.84137511</v>
      </c>
      <c r="BH46" s="7"/>
      <c r="BI46" s="7"/>
      <c r="BJ46" s="7"/>
      <c r="BK46" s="50">
        <v>0</v>
      </c>
      <c r="BL46" s="109">
        <v>7399.4589475227367</v>
      </c>
      <c r="BM46" s="109">
        <v>7369.6559188611745</v>
      </c>
      <c r="BN46" s="109">
        <v>18542.240693632746</v>
      </c>
      <c r="BO46" s="109">
        <v>0</v>
      </c>
      <c r="BP46" s="109">
        <v>0</v>
      </c>
      <c r="BQ46" s="109">
        <v>0</v>
      </c>
      <c r="BR46" s="109">
        <v>0</v>
      </c>
      <c r="BS46" s="109">
        <v>0</v>
      </c>
      <c r="BT46" s="147">
        <f ca="1">DB_25[[#This Row],[SL-10]]*DB_25[[#This Row],[GB-10]]</f>
        <v>29313.992892814662</v>
      </c>
      <c r="BU46" s="147">
        <f ca="1">DB_25[[#This Row],[SL-11]]*DB_25[[#This Row],[GB-11]]</f>
        <v>29313.992892814662</v>
      </c>
      <c r="BV46" s="147">
        <f ca="1">DB_25[[#This Row],[SL-12]]*DB_25[[#This Row],[GB-12]]</f>
        <v>29313.992892814662</v>
      </c>
      <c r="BW46" s="47">
        <f ca="1">SUM(DB_25[[#This Row],[DT-01-USD]:[DT-12-USD]])</f>
        <v>121253.33423846064</v>
      </c>
    </row>
    <row r="47" spans="1:75" x14ac:dyDescent="0.35">
      <c r="A47" s="18">
        <f>ROWS($A$6:A47)</f>
        <v>42</v>
      </c>
      <c r="B47" s="18" t="s">
        <v>95</v>
      </c>
      <c r="C47" s="18" t="str">
        <f>IFERROR(_xlfn.XLOOKUP(DB_25[[#This Row],[Salesman]],MD_Salesman[Salesman],MD_Salesman[SalesManager]),"")</f>
        <v>Cường</v>
      </c>
      <c r="D47" s="7" t="s">
        <v>623</v>
      </c>
      <c r="E47" s="7" t="s">
        <v>137</v>
      </c>
      <c r="F47" s="7"/>
      <c r="G47" s="7" t="str">
        <f>_xlfn.XLOOKUP(DB_25[[#This Row],[Mã khách]],MD_Customer[Mã khách],MD_Customer[Kênh bán hàng])</f>
        <v>Xuất khẩu</v>
      </c>
      <c r="H47" s="7"/>
      <c r="I47" s="7"/>
      <c r="J47" s="7"/>
      <c r="K47" s="7" t="s">
        <v>172</v>
      </c>
      <c r="L47" s="7" t="str">
        <f>_xlfn.XLOOKUP(DB_25[[#This Row],[Mã sản phẩm]],MD_SKU[Mã SKU],MD_SKU[Tên SKU-rút gọn])</f>
        <v>iSS01G 1</v>
      </c>
      <c r="M47" s="7" t="str">
        <f>_xlfn.XLOOKUP(DB_25[[#This Row],[Mã sản phẩm]],MD_SKU[Mã SKU],MD_SKU[Nhóm ngành])</f>
        <v>Hạt PET</v>
      </c>
      <c r="N47" s="7"/>
      <c r="O47" s="47">
        <v>0</v>
      </c>
      <c r="P47" s="47">
        <v>110</v>
      </c>
      <c r="Q47" s="47">
        <v>0</v>
      </c>
      <c r="R47" s="47">
        <v>22</v>
      </c>
      <c r="S47" s="47">
        <v>0</v>
      </c>
      <c r="T47" s="47">
        <v>0</v>
      </c>
      <c r="U47" s="47">
        <v>44</v>
      </c>
      <c r="V47" s="47">
        <v>0</v>
      </c>
      <c r="W47" s="110">
        <f ca="1">SUMIFS(Data_Actual_LG_EXW[SL],Data_Actual_LG_EXW[Year],2025,Data_Actual_LG_EXW[Month],'DB 2025'!W$1,Data_Actual_LG_EXW[Mã KH],DB_25[[#This Row],[Mã khách]],Data_Actual_LG_EXW[Mã SKU],DB_25[[#This Row],[Mã sản phẩm]])/10^3</f>
        <v>0</v>
      </c>
      <c r="X47" s="33"/>
      <c r="Y47" s="33"/>
      <c r="Z47" s="33"/>
      <c r="AA47" s="19">
        <f ca="1">SUM(DB_25[[#This Row],[SL-01]:[SL-12]])</f>
        <v>176</v>
      </c>
      <c r="AB47" s="7"/>
      <c r="AC47" s="20">
        <f ca="1">DB_25[[#This Row],[SL-DB25]]-DB_25[[#This Row],[SL-KH25]]</f>
        <v>176</v>
      </c>
      <c r="AD47" s="21">
        <f ca="1">IFERROR(DB_25[[#This Row],[SL-+/-]]/DB_25[[#This Row],[SL-KH25]],0)</f>
        <v>0</v>
      </c>
      <c r="AE47" s="23">
        <v>0</v>
      </c>
      <c r="AF47" s="23">
        <v>1266.1129784707186</v>
      </c>
      <c r="AG47" s="23">
        <v>0</v>
      </c>
      <c r="AH47" s="23">
        <v>1262.4112572247495</v>
      </c>
      <c r="AI47" s="23">
        <v>0</v>
      </c>
      <c r="AJ47" s="23">
        <v>0</v>
      </c>
      <c r="AK47" s="23">
        <v>1255.503916761254</v>
      </c>
      <c r="AL47" s="23">
        <v>0</v>
      </c>
      <c r="AM47" s="111">
        <v>0</v>
      </c>
      <c r="AN47" s="51">
        <f ca="1">IFERROR(SUM(DB_25[[#This Row],[DT-01-USD]:[DT-09-USD]])/SUM(DB_25[[#This Row],[SL-01]:[SL-09]]),0)</f>
        <v>1262.9979978876063</v>
      </c>
      <c r="AO47" s="51">
        <f ca="1">DB_25[[#This Row],[GB-10]]</f>
        <v>1262.9979978876063</v>
      </c>
      <c r="AP47" s="51">
        <f ca="1">DB_25[[#This Row],[GB-11]]</f>
        <v>1262.9979978876063</v>
      </c>
      <c r="AQ47" s="7"/>
      <c r="AR47" s="7"/>
      <c r="AS47" s="7"/>
      <c r="AT47" s="7"/>
      <c r="AU47" s="47">
        <v>0</v>
      </c>
      <c r="AV47" s="47">
        <v>3522199694.8076921</v>
      </c>
      <c r="AW47" s="47">
        <v>0</v>
      </c>
      <c r="AX47" s="47">
        <v>705435410.53719008</v>
      </c>
      <c r="AY47" s="47">
        <v>0</v>
      </c>
      <c r="AZ47" s="47">
        <v>0</v>
      </c>
      <c r="BA47" s="47">
        <v>1435191637.3281248</v>
      </c>
      <c r="BB47" s="47">
        <v>0</v>
      </c>
      <c r="BC47" s="47">
        <v>0</v>
      </c>
      <c r="BD47" s="19">
        <f ca="1">DB_25[[#This Row],[SL-10]]*DB_25[[#This Row],[GB-10]]*BD$2/10^3</f>
        <v>0</v>
      </c>
      <c r="BE47" s="19">
        <f ca="1">DB_25[[#This Row],[SL-11]]*DB_25[[#This Row],[GB-11]]*BE$2/10^3</f>
        <v>0</v>
      </c>
      <c r="BF47" s="19">
        <f ca="1">DB_25[[#This Row],[SL-12]]*DB_25[[#This Row],[GB-12]]*BF$2/10^3</f>
        <v>0</v>
      </c>
      <c r="BG47" s="47">
        <f ca="1">SUM(DB_25[[#This Row],[DT-01]:[DT-12]])</f>
        <v>5662826742.673007</v>
      </c>
      <c r="BH47" s="7"/>
      <c r="BI47" s="7"/>
      <c r="BJ47" s="7"/>
      <c r="BK47" s="50">
        <v>0</v>
      </c>
      <c r="BL47" s="109">
        <v>139272.42763177905</v>
      </c>
      <c r="BM47" s="109">
        <v>0</v>
      </c>
      <c r="BN47" s="109">
        <v>27773.047658944492</v>
      </c>
      <c r="BO47" s="109">
        <v>0</v>
      </c>
      <c r="BP47" s="109">
        <v>0</v>
      </c>
      <c r="BQ47" s="109">
        <v>55242.172337495176</v>
      </c>
      <c r="BR47" s="109">
        <v>0</v>
      </c>
      <c r="BS47" s="109">
        <v>0</v>
      </c>
      <c r="BT47" s="147">
        <f ca="1">DB_25[[#This Row],[SL-10]]*DB_25[[#This Row],[GB-10]]</f>
        <v>0</v>
      </c>
      <c r="BU47" s="147">
        <f ca="1">DB_25[[#This Row],[SL-11]]*DB_25[[#This Row],[GB-11]]</f>
        <v>0</v>
      </c>
      <c r="BV47" s="147">
        <f ca="1">DB_25[[#This Row],[SL-12]]*DB_25[[#This Row],[GB-12]]</f>
        <v>0</v>
      </c>
      <c r="BW47" s="47">
        <f ca="1">SUM(DB_25[[#This Row],[DT-01-USD]:[DT-12-USD]])</f>
        <v>222287.64762821872</v>
      </c>
    </row>
    <row r="48" spans="1:75" x14ac:dyDescent="0.35">
      <c r="A48" s="18">
        <f>ROWS($A$6:A48)</f>
        <v>43</v>
      </c>
      <c r="B48" s="18" t="s">
        <v>115</v>
      </c>
      <c r="C48" s="18" t="str">
        <f>IFERROR(_xlfn.XLOOKUP(DB_25[[#This Row],[Salesman]],MD_Salesman[Salesman],MD_Salesman[SalesManager]),"")</f>
        <v>Quốc Anh</v>
      </c>
      <c r="D48" s="7" t="s">
        <v>624</v>
      </c>
      <c r="E48" s="7" t="s">
        <v>272</v>
      </c>
      <c r="F48" s="7"/>
      <c r="G48" s="7" t="str">
        <f>_xlfn.XLOOKUP(DB_25[[#This Row],[Mã khách]],MD_Customer[Mã khách],MD_Customer[Kênh bán hàng])</f>
        <v>Nội địa</v>
      </c>
      <c r="H48" s="7"/>
      <c r="I48" s="7"/>
      <c r="J48" s="7"/>
      <c r="K48" s="7" t="s">
        <v>172</v>
      </c>
      <c r="L48" s="7" t="str">
        <f>_xlfn.XLOOKUP(DB_25[[#This Row],[Mã sản phẩm]],MD_SKU[Mã SKU],MD_SKU[Tên SKU-rút gọn])</f>
        <v>iSS01G 1</v>
      </c>
      <c r="M48" s="7" t="str">
        <f>_xlfn.XLOOKUP(DB_25[[#This Row],[Mã sản phẩm]],MD_SKU[Mã SKU],MD_SKU[Nhóm ngành])</f>
        <v>Hạt PET</v>
      </c>
      <c r="N48" s="7"/>
      <c r="O48" s="47">
        <v>0</v>
      </c>
      <c r="P48" s="47">
        <v>4.4000000000000004</v>
      </c>
      <c r="Q48" s="47">
        <v>12.1</v>
      </c>
      <c r="R48" s="47">
        <v>6.6</v>
      </c>
      <c r="S48" s="47">
        <v>11</v>
      </c>
      <c r="T48" s="47">
        <v>44</v>
      </c>
      <c r="U48" s="47">
        <v>33</v>
      </c>
      <c r="V48" s="47">
        <v>11</v>
      </c>
      <c r="W48" s="110">
        <f ca="1">SUMIFS(Data_Actual_LG_EXW[SL],Data_Actual_LG_EXW[Year],2025,Data_Actual_LG_EXW[Month],'DB 2025'!W$1,Data_Actual_LG_EXW[Mã KH],DB_25[[#This Row],[Mã khách]],Data_Actual_LG_EXW[Mã SKU],DB_25[[#This Row],[Mã sản phẩm]])/10^3</f>
        <v>3.3</v>
      </c>
      <c r="X48" s="33"/>
      <c r="Y48" s="33">
        <v>22</v>
      </c>
      <c r="Z48" s="33">
        <v>22</v>
      </c>
      <c r="AA48" s="19">
        <f ca="1">SUM(DB_25[[#This Row],[SL-01]:[SL-12]])</f>
        <v>169.39999999999998</v>
      </c>
      <c r="AB48" s="7"/>
      <c r="AC48" s="20">
        <f ca="1">DB_25[[#This Row],[SL-DB25]]-DB_25[[#This Row],[SL-KH25]]</f>
        <v>169.39999999999998</v>
      </c>
      <c r="AD48" s="21">
        <f ca="1">IFERROR(DB_25[[#This Row],[SL-+/-]]/DB_25[[#This Row],[SL-KH25]],0)</f>
        <v>0</v>
      </c>
      <c r="AE48" s="23">
        <v>0</v>
      </c>
      <c r="AF48" s="23">
        <v>1298.358024043649</v>
      </c>
      <c r="AG48" s="23">
        <v>1293.2653388748206</v>
      </c>
      <c r="AH48" s="23">
        <v>1297.719479353724</v>
      </c>
      <c r="AI48" s="23">
        <v>1312.2161536985468</v>
      </c>
      <c r="AJ48" s="23">
        <v>1305.326430209941</v>
      </c>
      <c r="AK48" s="23">
        <v>1296.1064103124477</v>
      </c>
      <c r="AL48" s="23">
        <v>1289.1018081797254</v>
      </c>
      <c r="AM48" s="111">
        <v>1273.3614070094804</v>
      </c>
      <c r="AN48" s="51">
        <f ca="1">IFERROR(SUM(DB_25[[#This Row],[DT-01-USD]:[DT-09-USD]])/SUM(DB_25[[#This Row],[SL-01]:[SL-09]]),0)</f>
        <v>1299.4314127851071</v>
      </c>
      <c r="AO48" s="51">
        <f ca="1">DB_25[[#This Row],[GB-10]]</f>
        <v>1299.4314127851071</v>
      </c>
      <c r="AP48" s="51">
        <f ca="1">DB_25[[#This Row],[GB-11]]</f>
        <v>1299.4314127851071</v>
      </c>
      <c r="AQ48" s="7"/>
      <c r="AR48" s="7"/>
      <c r="AS48" s="7"/>
      <c r="AT48" s="7"/>
      <c r="AU48" s="47">
        <v>0</v>
      </c>
      <c r="AV48" s="47">
        <v>144373931.89954337</v>
      </c>
      <c r="AW48" s="47">
        <v>397070299.41287279</v>
      </c>
      <c r="AX48" s="47">
        <v>219871782.68792707</v>
      </c>
      <c r="AY48" s="47">
        <v>372101617.82931352</v>
      </c>
      <c r="AZ48" s="47">
        <v>1488406471.3174405</v>
      </c>
      <c r="BA48" s="47">
        <v>1111548502.5184639</v>
      </c>
      <c r="BB48" s="47">
        <v>370568589.40484428</v>
      </c>
      <c r="BC48" s="47">
        <v>110138909.65722379</v>
      </c>
      <c r="BD48" s="19">
        <f ca="1">DB_25[[#This Row],[SL-10]]*DB_25[[#This Row],[GB-10]]*BD$2/10^3</f>
        <v>0</v>
      </c>
      <c r="BE48" s="19">
        <f ca="1">DB_25[[#This Row],[SL-11]]*DB_25[[#This Row],[GB-11]]*BE$2/10^3</f>
        <v>748992.26632933586</v>
      </c>
      <c r="BF48" s="19">
        <f ca="1">DB_25[[#This Row],[SL-12]]*DB_25[[#This Row],[GB-12]]*BF$2/10^3</f>
        <v>748992.26632933586</v>
      </c>
      <c r="BG48" s="47">
        <f ca="1">SUM(DB_25[[#This Row],[DT-01]:[DT-12]])</f>
        <v>4215578089.2602882</v>
      </c>
      <c r="BH48" s="7"/>
      <c r="BI48" s="7"/>
      <c r="BJ48" s="7"/>
      <c r="BK48" s="50">
        <v>0</v>
      </c>
      <c r="BL48" s="109">
        <v>5712.7753057920563</v>
      </c>
      <c r="BM48" s="109">
        <v>15648.510600385329</v>
      </c>
      <c r="BN48" s="109">
        <v>8564.948563734577</v>
      </c>
      <c r="BO48" s="109">
        <v>14434.377690684016</v>
      </c>
      <c r="BP48" s="109">
        <v>57434.362929237403</v>
      </c>
      <c r="BQ48" s="109">
        <v>42771.51154031077</v>
      </c>
      <c r="BR48" s="109">
        <v>14180.119889976979</v>
      </c>
      <c r="BS48" s="109">
        <v>4202.0926431312855</v>
      </c>
      <c r="BT48" s="147">
        <f ca="1">DB_25[[#This Row],[SL-10]]*DB_25[[#This Row],[GB-10]]</f>
        <v>0</v>
      </c>
      <c r="BU48" s="147">
        <f ca="1">DB_25[[#This Row],[SL-11]]*DB_25[[#This Row],[GB-11]]</f>
        <v>28587.491081272357</v>
      </c>
      <c r="BV48" s="147">
        <f ca="1">DB_25[[#This Row],[SL-12]]*DB_25[[#This Row],[GB-12]]</f>
        <v>28587.491081272357</v>
      </c>
      <c r="BW48" s="47">
        <f ca="1">SUM(DB_25[[#This Row],[DT-01-USD]:[DT-12-USD]])</f>
        <v>220123.68132579717</v>
      </c>
    </row>
    <row r="49" spans="1:75" x14ac:dyDescent="0.35">
      <c r="A49" s="18">
        <f>ROWS($A$6:A49)</f>
        <v>44</v>
      </c>
      <c r="B49" s="18" t="s">
        <v>97</v>
      </c>
      <c r="C49" s="18" t="str">
        <f>IFERROR(_xlfn.XLOOKUP(DB_25[[#This Row],[Salesman]],MD_Salesman[Salesman],MD_Salesman[SalesManager]),"")</f>
        <v>Cường</v>
      </c>
      <c r="D49" s="7" t="s">
        <v>625</v>
      </c>
      <c r="E49" s="7" t="s">
        <v>271</v>
      </c>
      <c r="F49" s="7"/>
      <c r="G49" s="7" t="str">
        <f>_xlfn.XLOOKUP(DB_25[[#This Row],[Mã khách]],MD_Customer[Mã khách],MD_Customer[Kênh bán hàng])</f>
        <v>Nội địa</v>
      </c>
      <c r="H49" s="7"/>
      <c r="I49" s="7"/>
      <c r="J49" s="7"/>
      <c r="K49" s="7" t="s">
        <v>194</v>
      </c>
      <c r="L49" s="7" t="str">
        <f>_xlfn.XLOOKUP(DB_25[[#This Row],[Mã sản phẩm]],MD_SKU[Mã SKU],MD_SKU[Tên SKU-rút gọn])</f>
        <v>rHDI4L01</v>
      </c>
      <c r="M49" s="7" t="str">
        <f>_xlfn.XLOOKUP(DB_25[[#This Row],[Mã sản phẩm]],MD_SKU[Mã SKU],MD_SKU[Nhóm ngành])</f>
        <v>Hạt HD ép</v>
      </c>
      <c r="N49" s="7"/>
      <c r="O49" s="47">
        <v>0</v>
      </c>
      <c r="P49" s="47">
        <v>11</v>
      </c>
      <c r="Q49" s="47">
        <v>16.5</v>
      </c>
      <c r="R49" s="47">
        <v>16.5</v>
      </c>
      <c r="S49" s="47">
        <v>16.5</v>
      </c>
      <c r="T49" s="47">
        <v>16.5</v>
      </c>
      <c r="U49" s="47">
        <v>11</v>
      </c>
      <c r="V49" s="47">
        <v>16.5</v>
      </c>
      <c r="W49" s="110">
        <f ca="1">SUMIFS(Data_Actual_LG_EXW[SL],Data_Actual_LG_EXW[Year],2025,Data_Actual_LG_EXW[Month],'DB 2025'!W$1,Data_Actual_LG_EXW[Mã KH],DB_25[[#This Row],[Mã khách]],Data_Actual_LG_EXW[Mã SKU],DB_25[[#This Row],[Mã sản phẩm]])/10^3</f>
        <v>11</v>
      </c>
      <c r="X49" s="33">
        <v>16.5</v>
      </c>
      <c r="Y49" s="33">
        <v>16.5</v>
      </c>
      <c r="Z49" s="33">
        <v>16.5</v>
      </c>
      <c r="AA49" s="19">
        <f ca="1">SUM(DB_25[[#This Row],[SL-01]:[SL-12]])</f>
        <v>165</v>
      </c>
      <c r="AB49" s="7"/>
      <c r="AC49" s="20">
        <f ca="1">DB_25[[#This Row],[SL-DB25]]-DB_25[[#This Row],[SL-KH25]]</f>
        <v>165</v>
      </c>
      <c r="AD49" s="21">
        <f ca="1">IFERROR(DB_25[[#This Row],[SL-+/-]]/DB_25[[#This Row],[SL-KH25]],0)</f>
        <v>0</v>
      </c>
      <c r="AE49" s="23">
        <v>0</v>
      </c>
      <c r="AF49" s="23">
        <v>799.88151222720796</v>
      </c>
      <c r="AG49" s="23">
        <v>816.28397683315461</v>
      </c>
      <c r="AH49" s="23">
        <v>779.08574342994734</v>
      </c>
      <c r="AI49" s="23">
        <v>775.82988082063116</v>
      </c>
      <c r="AJ49" s="23">
        <v>771.75642589621702</v>
      </c>
      <c r="AK49" s="23">
        <v>769.58425913763119</v>
      </c>
      <c r="AL49" s="23">
        <v>765.3168830499701</v>
      </c>
      <c r="AM49" s="111">
        <v>763.05324906685746</v>
      </c>
      <c r="AN49" s="51">
        <f ca="1">IFERROR(SUM(DB_25[[#This Row],[DT-01-USD]:[DT-09-USD]])/SUM(DB_25[[#This Row],[SL-01]:[SL-09]]),0)</f>
        <v>780.46937004538825</v>
      </c>
      <c r="AO49" s="51">
        <f ca="1">DB_25[[#This Row],[GB-10]]</f>
        <v>780.46937004538825</v>
      </c>
      <c r="AP49" s="51">
        <f ca="1">DB_25[[#This Row],[GB-11]]</f>
        <v>780.46937004538825</v>
      </c>
      <c r="AQ49" s="7"/>
      <c r="AR49" s="7"/>
      <c r="AS49" s="7"/>
      <c r="AT49" s="7"/>
      <c r="AU49" s="47">
        <v>0</v>
      </c>
      <c r="AV49" s="47">
        <v>222361700</v>
      </c>
      <c r="AW49" s="47">
        <v>341758725.00000006</v>
      </c>
      <c r="AX49" s="47">
        <v>330000000</v>
      </c>
      <c r="AY49" s="47">
        <v>330000000</v>
      </c>
      <c r="AZ49" s="47">
        <v>330000000</v>
      </c>
      <c r="BA49" s="47">
        <v>220000000</v>
      </c>
      <c r="BB49" s="47">
        <v>330000000</v>
      </c>
      <c r="BC49" s="47">
        <v>220000000</v>
      </c>
      <c r="BD49" s="19">
        <f ca="1">DB_25[[#This Row],[SL-10]]*DB_25[[#This Row],[GB-10]]*BD$2/10^3</f>
        <v>337396.90867062134</v>
      </c>
      <c r="BE49" s="19">
        <f ca="1">DB_25[[#This Row],[SL-11]]*DB_25[[#This Row],[GB-11]]*BE$2/10^3</f>
        <v>337396.90867062134</v>
      </c>
      <c r="BF49" s="19">
        <f ca="1">DB_25[[#This Row],[SL-12]]*DB_25[[#This Row],[GB-12]]*BF$2/10^3</f>
        <v>337396.90867062134</v>
      </c>
      <c r="BG49" s="47">
        <f ca="1">SUM(DB_25[[#This Row],[DT-01]:[DT-12]])</f>
        <v>2325132615.7260113</v>
      </c>
      <c r="BH49" s="7"/>
      <c r="BI49" s="7"/>
      <c r="BJ49" s="7"/>
      <c r="BK49" s="50">
        <v>0</v>
      </c>
      <c r="BL49" s="109">
        <v>8798.696634499287</v>
      </c>
      <c r="BM49" s="109">
        <v>13468.685617747051</v>
      </c>
      <c r="BN49" s="109">
        <v>12854.914766594131</v>
      </c>
      <c r="BO49" s="109">
        <v>12801.193033540414</v>
      </c>
      <c r="BP49" s="109">
        <v>12733.98102728758</v>
      </c>
      <c r="BQ49" s="109">
        <v>8465.4268505139426</v>
      </c>
      <c r="BR49" s="109">
        <v>12627.728570324507</v>
      </c>
      <c r="BS49" s="109">
        <v>8393.5857397354321</v>
      </c>
      <c r="BT49" s="147">
        <f ca="1">DB_25[[#This Row],[SL-10]]*DB_25[[#This Row],[GB-10]]</f>
        <v>12877.744605748907</v>
      </c>
      <c r="BU49" s="147">
        <f ca="1">DB_25[[#This Row],[SL-11]]*DB_25[[#This Row],[GB-11]]</f>
        <v>12877.744605748907</v>
      </c>
      <c r="BV49" s="147">
        <f ca="1">DB_25[[#This Row],[SL-12]]*DB_25[[#This Row],[GB-12]]</f>
        <v>12877.744605748907</v>
      </c>
      <c r="BW49" s="47">
        <f ca="1">SUM(DB_25[[#This Row],[DT-01-USD]:[DT-12-USD]])</f>
        <v>128777.44605748908</v>
      </c>
    </row>
    <row r="50" spans="1:75" x14ac:dyDescent="0.35">
      <c r="A50" s="18">
        <f>ROWS($A$6:A50)</f>
        <v>45</v>
      </c>
      <c r="B50" s="18" t="s">
        <v>97</v>
      </c>
      <c r="C50" s="18" t="str">
        <f>IFERROR(_xlfn.XLOOKUP(DB_25[[#This Row],[Salesman]],MD_Salesman[Salesman],MD_Salesman[SalesManager]),"")</f>
        <v>Cường</v>
      </c>
      <c r="D50" s="7" t="s">
        <v>590</v>
      </c>
      <c r="E50" s="7" t="s">
        <v>500</v>
      </c>
      <c r="F50" s="7"/>
      <c r="G50" s="7" t="str">
        <f>_xlfn.XLOOKUP(DB_25[[#This Row],[Mã khách]],MD_Customer[Mã khách],MD_Customer[Kênh bán hàng])</f>
        <v>Nội địa</v>
      </c>
      <c r="H50" s="7"/>
      <c r="I50" s="7"/>
      <c r="J50" s="7"/>
      <c r="K50" s="7" t="s">
        <v>172</v>
      </c>
      <c r="L50" s="7" t="str">
        <f>_xlfn.XLOOKUP(DB_25[[#This Row],[Mã sản phẩm]],MD_SKU[Mã SKU],MD_SKU[Tên SKU-rút gọn])</f>
        <v>iSS01G 1</v>
      </c>
      <c r="M50" s="7" t="str">
        <f>_xlfn.XLOOKUP(DB_25[[#This Row],[Mã sản phẩm]],MD_SKU[Mã SKU],MD_SKU[Nhóm ngành])</f>
        <v>Hạt PET</v>
      </c>
      <c r="N50" s="7"/>
      <c r="O50" s="47">
        <v>4.4000000000000004</v>
      </c>
      <c r="P50" s="47">
        <v>154</v>
      </c>
      <c r="Q50" s="47">
        <v>-1.1000000000000001</v>
      </c>
      <c r="R50" s="47">
        <v>0</v>
      </c>
      <c r="S50" s="47">
        <v>0</v>
      </c>
      <c r="T50" s="47">
        <v>0</v>
      </c>
      <c r="U50" s="47">
        <v>0</v>
      </c>
      <c r="V50" s="47">
        <v>0</v>
      </c>
      <c r="W50" s="110">
        <f ca="1">SUMIFS(Data_Actual_LG_EXW[SL],Data_Actual_LG_EXW[Year],2025,Data_Actual_LG_EXW[Month],'DB 2025'!W$1,Data_Actual_LG_EXW[Mã KH],DB_25[[#This Row],[Mã khách]],Data_Actual_LG_EXW[Mã SKU],DB_25[[#This Row],[Mã sản phẩm]])/10^3</f>
        <v>0</v>
      </c>
      <c r="X50" s="33"/>
      <c r="Y50" s="33"/>
      <c r="Z50" s="33"/>
      <c r="AA50" s="19">
        <f ca="1">SUM(DB_25[[#This Row],[SL-01]:[SL-12]])</f>
        <v>157.30000000000001</v>
      </c>
      <c r="AB50" s="7"/>
      <c r="AC50" s="20">
        <f ca="1">DB_25[[#This Row],[SL-DB25]]-DB_25[[#This Row],[SL-KH25]]</f>
        <v>157.30000000000001</v>
      </c>
      <c r="AD50" s="21">
        <f ca="1">IFERROR(DB_25[[#This Row],[SL-+/-]]/DB_25[[#This Row],[SL-KH25]],0)</f>
        <v>0</v>
      </c>
      <c r="AE50" s="23">
        <v>1382.4290384678247</v>
      </c>
      <c r="AF50" s="23">
        <v>1387.7925695186475</v>
      </c>
      <c r="AG50" s="23">
        <v>1444.1372806991919</v>
      </c>
      <c r="AH50" s="23">
        <v>0</v>
      </c>
      <c r="AI50" s="23">
        <v>0</v>
      </c>
      <c r="AJ50" s="23">
        <v>0</v>
      </c>
      <c r="AK50" s="23">
        <v>0</v>
      </c>
      <c r="AL50" s="23">
        <v>0</v>
      </c>
      <c r="AM50" s="111">
        <v>0</v>
      </c>
      <c r="AN50" s="51">
        <f ca="1">IFERROR(SUM(DB_25[[#This Row],[DT-01-USD]:[DT-09-USD]])/SUM(DB_25[[#This Row],[SL-01]:[SL-09]]),0)</f>
        <v>1387.2485217187605</v>
      </c>
      <c r="AO50" s="51">
        <f ca="1">DB_25[[#This Row],[GB-10]]</f>
        <v>1387.2485217187605</v>
      </c>
      <c r="AP50" s="51">
        <f ca="1">DB_25[[#This Row],[GB-11]]</f>
        <v>1387.2485217187605</v>
      </c>
      <c r="AQ50" s="7"/>
      <c r="AR50" s="7"/>
      <c r="AS50" s="7"/>
      <c r="AT50" s="7"/>
      <c r="AU50" s="47">
        <v>153306637.83772954</v>
      </c>
      <c r="AV50" s="47">
        <v>5401158476.6448498</v>
      </c>
      <c r="AW50" s="47">
        <v>-40308400</v>
      </c>
      <c r="AX50" s="47">
        <v>0</v>
      </c>
      <c r="AY50" s="47">
        <v>0</v>
      </c>
      <c r="AZ50" s="47">
        <v>0</v>
      </c>
      <c r="BA50" s="47">
        <v>0</v>
      </c>
      <c r="BB50" s="47">
        <v>0</v>
      </c>
      <c r="BC50" s="47">
        <v>0</v>
      </c>
      <c r="BD50" s="19">
        <f ca="1">DB_25[[#This Row],[SL-10]]*DB_25[[#This Row],[GB-10]]*BD$2/10^3</f>
        <v>0</v>
      </c>
      <c r="BE50" s="19">
        <f ca="1">DB_25[[#This Row],[SL-11]]*DB_25[[#This Row],[GB-11]]*BE$2/10^3</f>
        <v>0</v>
      </c>
      <c r="BF50" s="19">
        <f ca="1">DB_25[[#This Row],[SL-12]]*DB_25[[#This Row],[GB-12]]*BF$2/10^3</f>
        <v>0</v>
      </c>
      <c r="BG50" s="47">
        <f ca="1">SUM(DB_25[[#This Row],[DT-01]:[DT-12]])</f>
        <v>5514156714.4825792</v>
      </c>
      <c r="BH50" s="7"/>
      <c r="BI50" s="7"/>
      <c r="BJ50" s="7"/>
      <c r="BK50" s="50">
        <v>6082.6877692584294</v>
      </c>
      <c r="BL50" s="109">
        <v>213720.05570587172</v>
      </c>
      <c r="BM50" s="109">
        <v>-1588.5510087691111</v>
      </c>
      <c r="BN50" s="109">
        <v>0</v>
      </c>
      <c r="BO50" s="109">
        <v>0</v>
      </c>
      <c r="BP50" s="109">
        <v>0</v>
      </c>
      <c r="BQ50" s="109">
        <v>0</v>
      </c>
      <c r="BR50" s="109">
        <v>0</v>
      </c>
      <c r="BS50" s="109">
        <v>0</v>
      </c>
      <c r="BT50" s="147">
        <f ca="1">DB_25[[#This Row],[SL-10]]*DB_25[[#This Row],[GB-10]]</f>
        <v>0</v>
      </c>
      <c r="BU50" s="147">
        <f ca="1">DB_25[[#This Row],[SL-11]]*DB_25[[#This Row],[GB-11]]</f>
        <v>0</v>
      </c>
      <c r="BV50" s="147">
        <f ca="1">DB_25[[#This Row],[SL-12]]*DB_25[[#This Row],[GB-12]]</f>
        <v>0</v>
      </c>
      <c r="BW50" s="47">
        <f ca="1">SUM(DB_25[[#This Row],[DT-01-USD]:[DT-12-USD]])</f>
        <v>218214.19246636104</v>
      </c>
    </row>
    <row r="51" spans="1:75" x14ac:dyDescent="0.35">
      <c r="A51" s="18">
        <f>ROWS($A$6:A51)</f>
        <v>46</v>
      </c>
      <c r="B51" s="18" t="s">
        <v>95</v>
      </c>
      <c r="C51" s="18" t="str">
        <f>IFERROR(_xlfn.XLOOKUP(DB_25[[#This Row],[Salesman]],MD_Salesman[Salesman],MD_Salesman[SalesManager]),"")</f>
        <v>Cường</v>
      </c>
      <c r="D51" s="7" t="s">
        <v>607</v>
      </c>
      <c r="E51" s="7" t="s">
        <v>126</v>
      </c>
      <c r="F51" s="7"/>
      <c r="G51" s="7" t="str">
        <f>_xlfn.XLOOKUP(DB_25[[#This Row],[Mã khách]],MD_Customer[Mã khách],MD_Customer[Kênh bán hàng])</f>
        <v>Xuất khẩu</v>
      </c>
      <c r="H51" s="7"/>
      <c r="I51" s="7"/>
      <c r="J51" s="7"/>
      <c r="K51" s="7" t="s">
        <v>172</v>
      </c>
      <c r="L51" s="7" t="str">
        <f>_xlfn.XLOOKUP(DB_25[[#This Row],[Mã sản phẩm]],MD_SKU[Mã SKU],MD_SKU[Tên SKU-rút gọn])</f>
        <v>iSS01G 1</v>
      </c>
      <c r="M51" s="7" t="str">
        <f>_xlfn.XLOOKUP(DB_25[[#This Row],[Mã sản phẩm]],MD_SKU[Mã SKU],MD_SKU[Nhóm ngành])</f>
        <v>Hạt PET</v>
      </c>
      <c r="N51" s="7"/>
      <c r="O51" s="47">
        <v>0</v>
      </c>
      <c r="P51" s="47">
        <v>0</v>
      </c>
      <c r="Q51" s="47">
        <v>0</v>
      </c>
      <c r="R51" s="47">
        <v>0</v>
      </c>
      <c r="S51" s="47">
        <v>22</v>
      </c>
      <c r="T51" s="47">
        <v>0</v>
      </c>
      <c r="U51" s="47">
        <v>0</v>
      </c>
      <c r="V51" s="47">
        <v>44</v>
      </c>
      <c r="W51" s="110">
        <f ca="1">SUMIFS(Data_Actual_LG_EXW[SL],Data_Actual_LG_EXW[Year],2025,Data_Actual_LG_EXW[Month],'DB 2025'!W$1,Data_Actual_LG_EXW[Mã KH],DB_25[[#This Row],[Mã khách]],Data_Actual_LG_EXW[Mã SKU],DB_25[[#This Row],[Mã sản phẩm]])/10^3</f>
        <v>0</v>
      </c>
      <c r="X51" s="33">
        <v>44</v>
      </c>
      <c r="Y51" s="33"/>
      <c r="Z51" s="33">
        <v>44</v>
      </c>
      <c r="AA51" s="19">
        <f ca="1">SUM(DB_25[[#This Row],[SL-01]:[SL-12]])</f>
        <v>154</v>
      </c>
      <c r="AB51" s="7"/>
      <c r="AC51" s="20">
        <f ca="1">DB_25[[#This Row],[SL-DB25]]-DB_25[[#This Row],[SL-KH25]]</f>
        <v>154</v>
      </c>
      <c r="AD51" s="21">
        <f ca="1">IFERROR(DB_25[[#This Row],[SL-+/-]]/DB_25[[#This Row],[SL-KH25]],0)</f>
        <v>0</v>
      </c>
      <c r="AE51" s="23">
        <v>0</v>
      </c>
      <c r="AF51" s="23">
        <v>0</v>
      </c>
      <c r="AG51" s="23">
        <v>0</v>
      </c>
      <c r="AH51" s="23">
        <v>0</v>
      </c>
      <c r="AI51" s="23">
        <v>1291.3123630379257</v>
      </c>
      <c r="AJ51" s="23">
        <v>0</v>
      </c>
      <c r="AK51" s="23">
        <v>0</v>
      </c>
      <c r="AL51" s="23">
        <v>1241.1652001836273</v>
      </c>
      <c r="AM51" s="111">
        <v>0</v>
      </c>
      <c r="AN51" s="51">
        <f ca="1">IFERROR(SUM(DB_25[[#This Row],[DT-01-USD]:[DT-09-USD]])/SUM(DB_25[[#This Row],[SL-01]:[SL-09]]),0)</f>
        <v>1257.8809211350601</v>
      </c>
      <c r="AO51" s="51">
        <f ca="1">DB_25[[#This Row],[GB-10]]</f>
        <v>1257.8809211350601</v>
      </c>
      <c r="AP51" s="51">
        <f ca="1">DB_25[[#This Row],[GB-11]]</f>
        <v>1257.8809211350601</v>
      </c>
      <c r="AQ51" s="7"/>
      <c r="AR51" s="7"/>
      <c r="AS51" s="7"/>
      <c r="AT51" s="7"/>
      <c r="AU51" s="47">
        <v>0</v>
      </c>
      <c r="AV51" s="47">
        <v>0</v>
      </c>
      <c r="AW51" s="47">
        <v>0</v>
      </c>
      <c r="AX51" s="47">
        <v>0</v>
      </c>
      <c r="AY51" s="47">
        <v>732380719.8205899</v>
      </c>
      <c r="AZ51" s="47">
        <v>0</v>
      </c>
      <c r="BA51" s="47">
        <v>0</v>
      </c>
      <c r="BB51" s="47">
        <v>1423715777.8266351</v>
      </c>
      <c r="BC51" s="47">
        <v>0</v>
      </c>
      <c r="BD51" s="19">
        <f ca="1">DB_25[[#This Row],[SL-10]]*DB_25[[#This Row],[GB-10]]*BD$2/10^3</f>
        <v>1450085.1258844971</v>
      </c>
      <c r="BE51" s="19">
        <f ca="1">DB_25[[#This Row],[SL-11]]*DB_25[[#This Row],[GB-11]]*BE$2/10^3</f>
        <v>0</v>
      </c>
      <c r="BF51" s="19">
        <f ca="1">DB_25[[#This Row],[SL-12]]*DB_25[[#This Row],[GB-12]]*BF$2/10^3</f>
        <v>1450085.1258844971</v>
      </c>
      <c r="BG51" s="47">
        <f ca="1">SUM(DB_25[[#This Row],[DT-01]:[DT-12]])</f>
        <v>2158996667.898994</v>
      </c>
      <c r="BH51" s="7"/>
      <c r="BI51" s="7"/>
      <c r="BJ51" s="7"/>
      <c r="BK51" s="50">
        <v>0</v>
      </c>
      <c r="BL51" s="109">
        <v>0</v>
      </c>
      <c r="BM51" s="109">
        <v>0</v>
      </c>
      <c r="BN51" s="109">
        <v>0</v>
      </c>
      <c r="BO51" s="109">
        <v>28408.871986834365</v>
      </c>
      <c r="BP51" s="109">
        <v>0</v>
      </c>
      <c r="BQ51" s="109">
        <v>0</v>
      </c>
      <c r="BR51" s="109">
        <v>54611.2688080796</v>
      </c>
      <c r="BS51" s="109">
        <v>0</v>
      </c>
      <c r="BT51" s="147">
        <f ca="1">DB_25[[#This Row],[SL-10]]*DB_25[[#This Row],[GB-10]]</f>
        <v>55346.760529942643</v>
      </c>
      <c r="BU51" s="147">
        <f ca="1">DB_25[[#This Row],[SL-11]]*DB_25[[#This Row],[GB-11]]</f>
        <v>0</v>
      </c>
      <c r="BV51" s="147">
        <f ca="1">DB_25[[#This Row],[SL-12]]*DB_25[[#This Row],[GB-12]]</f>
        <v>55346.760529942643</v>
      </c>
      <c r="BW51" s="47">
        <f ca="1">SUM(DB_25[[#This Row],[DT-01-USD]:[DT-12-USD]])</f>
        <v>193713.66185479925</v>
      </c>
    </row>
    <row r="52" spans="1:75" x14ac:dyDescent="0.35">
      <c r="A52" s="18">
        <f>ROWS($A$6:A52)</f>
        <v>47</v>
      </c>
      <c r="B52" s="18" t="s">
        <v>115</v>
      </c>
      <c r="C52" s="18" t="str">
        <f>IFERROR(_xlfn.XLOOKUP(DB_25[[#This Row],[Salesman]],MD_Salesman[Salesman],MD_Salesman[SalesManager]),"")</f>
        <v>Quốc Anh</v>
      </c>
      <c r="D52" s="7" t="s">
        <v>626</v>
      </c>
      <c r="E52" s="7" t="s">
        <v>152</v>
      </c>
      <c r="F52" s="7"/>
      <c r="G52" s="7" t="str">
        <f>_xlfn.XLOOKUP(DB_25[[#This Row],[Mã khách]],MD_Customer[Mã khách],MD_Customer[Kênh bán hàng])</f>
        <v>Nội địa</v>
      </c>
      <c r="H52" s="7"/>
      <c r="I52" s="7"/>
      <c r="J52" s="7"/>
      <c r="K52" s="7" t="s">
        <v>185</v>
      </c>
      <c r="L52" s="7" t="str">
        <f>_xlfn.XLOOKUP(DB_25[[#This Row],[Mã sản phẩm]],MD_SKU[Mã SKU],MD_SKU[Tên SKU-rút gọn])</f>
        <v>rHDB04B01</v>
      </c>
      <c r="M52" s="7" t="str">
        <f>_xlfn.XLOOKUP(DB_25[[#This Row],[Mã sản phẩm]],MD_SKU[Mã SKU],MD_SKU[Nhóm ngành])</f>
        <v>Hạt HD thổi</v>
      </c>
      <c r="N52" s="7"/>
      <c r="O52" s="47">
        <v>0</v>
      </c>
      <c r="P52" s="47">
        <v>0</v>
      </c>
      <c r="Q52" s="47">
        <v>0.1</v>
      </c>
      <c r="R52" s="47">
        <v>1</v>
      </c>
      <c r="S52" s="47">
        <v>0</v>
      </c>
      <c r="T52" s="47">
        <v>0</v>
      </c>
      <c r="U52" s="47">
        <v>0</v>
      </c>
      <c r="V52" s="47">
        <v>0</v>
      </c>
      <c r="W52" s="110">
        <f ca="1">SUMIFS(Data_Actual_LG_EXW[SL],Data_Actual_LG_EXW[Year],2025,Data_Actual_LG_EXW[Month],'DB 2025'!W$1,Data_Actual_LG_EXW[Mã KH],DB_25[[#This Row],[Mã khách]],Data_Actual_LG_EXW[Mã SKU],DB_25[[#This Row],[Mã sản phẩm]])/10^3</f>
        <v>0</v>
      </c>
      <c r="X52" s="33">
        <v>33</v>
      </c>
      <c r="Y52" s="33">
        <v>33</v>
      </c>
      <c r="Z52" s="33">
        <v>33</v>
      </c>
      <c r="AA52" s="19">
        <f ca="1">SUM(DB_25[[#This Row],[SL-01]:[SL-12]])</f>
        <v>100.1</v>
      </c>
      <c r="AB52" s="7"/>
      <c r="AC52" s="20">
        <f ca="1">DB_25[[#This Row],[SL-DB25]]-DB_25[[#This Row],[SL-KH25]]</f>
        <v>100.1</v>
      </c>
      <c r="AD52" s="21">
        <f ca="1">IFERROR(DB_25[[#This Row],[SL-+/-]]/DB_25[[#This Row],[SL-KH25]],0)</f>
        <v>0</v>
      </c>
      <c r="AE52" s="23">
        <v>0</v>
      </c>
      <c r="AF52" s="23">
        <v>0</v>
      </c>
      <c r="AG52" s="23">
        <v>669.96871989647047</v>
      </c>
      <c r="AH52" s="23">
        <v>662.22288191545522</v>
      </c>
      <c r="AI52" s="23">
        <v>0</v>
      </c>
      <c r="AJ52" s="23">
        <v>0</v>
      </c>
      <c r="AK52" s="23">
        <v>0</v>
      </c>
      <c r="AL52" s="23">
        <v>0</v>
      </c>
      <c r="AM52" s="111">
        <v>0</v>
      </c>
      <c r="AN52" s="51">
        <f ca="1">IFERROR(SUM(DB_25[[#This Row],[DT-01-USD]:[DT-09-USD]])/SUM(DB_25[[#This Row],[SL-01]:[SL-09]]),0)</f>
        <v>662.92704900463832</v>
      </c>
      <c r="AO52" s="51">
        <f ca="1">DB_25[[#This Row],[GB-10]]</f>
        <v>662.92704900463832</v>
      </c>
      <c r="AP52" s="51">
        <f ca="1">DB_25[[#This Row],[GB-11]]</f>
        <v>662.92704900463832</v>
      </c>
      <c r="AQ52" s="7"/>
      <c r="AR52" s="7"/>
      <c r="AS52" s="7"/>
      <c r="AT52" s="7"/>
      <c r="AU52" s="47">
        <v>0</v>
      </c>
      <c r="AV52" s="47">
        <v>0</v>
      </c>
      <c r="AW52" s="47">
        <v>1700000</v>
      </c>
      <c r="AX52" s="47">
        <v>17000000</v>
      </c>
      <c r="AY52" s="47">
        <v>0</v>
      </c>
      <c r="AZ52" s="47">
        <v>0</v>
      </c>
      <c r="BA52" s="47">
        <v>0</v>
      </c>
      <c r="BB52" s="47">
        <v>0</v>
      </c>
      <c r="BC52" s="47">
        <v>0</v>
      </c>
      <c r="BD52" s="19">
        <f ca="1">DB_25[[#This Row],[SL-10]]*DB_25[[#This Row],[GB-10]]*BD$2/10^3</f>
        <v>573166.7265694103</v>
      </c>
      <c r="BE52" s="19">
        <f ca="1">DB_25[[#This Row],[SL-11]]*DB_25[[#This Row],[GB-11]]*BE$2/10^3</f>
        <v>573166.7265694103</v>
      </c>
      <c r="BF52" s="19">
        <f ca="1">DB_25[[#This Row],[SL-12]]*DB_25[[#This Row],[GB-12]]*BF$2/10^3</f>
        <v>573166.7265694103</v>
      </c>
      <c r="BG52" s="47">
        <f ca="1">SUM(DB_25[[#This Row],[DT-01]:[DT-12]])</f>
        <v>20419500.179708231</v>
      </c>
      <c r="BH52" s="7"/>
      <c r="BI52" s="7"/>
      <c r="BJ52" s="7"/>
      <c r="BK52" s="50">
        <v>0</v>
      </c>
      <c r="BL52" s="109">
        <v>0</v>
      </c>
      <c r="BM52" s="109">
        <v>66.996871989647047</v>
      </c>
      <c r="BN52" s="109">
        <v>662.22288191545522</v>
      </c>
      <c r="BO52" s="109">
        <v>0</v>
      </c>
      <c r="BP52" s="109">
        <v>0</v>
      </c>
      <c r="BQ52" s="109">
        <v>0</v>
      </c>
      <c r="BR52" s="109">
        <v>0</v>
      </c>
      <c r="BS52" s="109">
        <v>0</v>
      </c>
      <c r="BT52" s="147">
        <f ca="1">DB_25[[#This Row],[SL-10]]*DB_25[[#This Row],[GB-10]]</f>
        <v>21876.592617153066</v>
      </c>
      <c r="BU52" s="147">
        <f ca="1">DB_25[[#This Row],[SL-11]]*DB_25[[#This Row],[GB-11]]</f>
        <v>21876.592617153066</v>
      </c>
      <c r="BV52" s="147">
        <f ca="1">DB_25[[#This Row],[SL-12]]*DB_25[[#This Row],[GB-12]]</f>
        <v>21876.592617153066</v>
      </c>
      <c r="BW52" s="47">
        <f ca="1">SUM(DB_25[[#This Row],[DT-01-USD]:[DT-12-USD]])</f>
        <v>66358.997605364304</v>
      </c>
    </row>
    <row r="53" spans="1:75" x14ac:dyDescent="0.35">
      <c r="A53" s="18">
        <f>ROWS($A$6:A53)</f>
        <v>48</v>
      </c>
      <c r="B53" s="18" t="s">
        <v>115</v>
      </c>
      <c r="C53" s="18" t="str">
        <f>IFERROR(_xlfn.XLOOKUP(DB_25[[#This Row],[Salesman]],MD_Salesman[Salesman],MD_Salesman[SalesManager]),"")</f>
        <v>Quốc Anh</v>
      </c>
      <c r="D53" s="7" t="s">
        <v>627</v>
      </c>
      <c r="E53" s="7" t="s">
        <v>58</v>
      </c>
      <c r="F53" s="7"/>
      <c r="G53" s="7" t="str">
        <f>_xlfn.XLOOKUP(DB_25[[#This Row],[Mã khách]],MD_Customer[Mã khách],MD_Customer[Kênh bán hàng])</f>
        <v>Nội địa</v>
      </c>
      <c r="H53" s="7"/>
      <c r="I53" s="7"/>
      <c r="J53" s="7"/>
      <c r="K53" s="7" t="s">
        <v>200</v>
      </c>
      <c r="L53" s="7" t="str">
        <f>_xlfn.XLOOKUP(DB_25[[#This Row],[Mã sản phẩm]],MD_SKU[Mã SKU],MD_SKU[Tên SKU-rút gọn])</f>
        <v>Vảy HD Ép Đỏ</v>
      </c>
      <c r="M53" s="7" t="str">
        <f>_xlfn.XLOOKUP(DB_25[[#This Row],[Mã sản phẩm]],MD_SKU[Mã SKU],MD_SKU[Nhóm ngành])</f>
        <v>Vảy HD ép</v>
      </c>
      <c r="N53" s="7"/>
      <c r="O53" s="47">
        <v>6</v>
      </c>
      <c r="P53" s="47">
        <v>9.75</v>
      </c>
      <c r="Q53" s="47">
        <v>14.25</v>
      </c>
      <c r="R53" s="47">
        <v>23.25</v>
      </c>
      <c r="S53" s="47">
        <v>14.25</v>
      </c>
      <c r="T53" s="47">
        <v>12</v>
      </c>
      <c r="U53" s="47">
        <v>9</v>
      </c>
      <c r="V53" s="47">
        <v>23.25</v>
      </c>
      <c r="W53" s="110">
        <f ca="1">SUMIFS(Data_Actual_LG_EXW[SL],Data_Actual_LG_EXW[Year],2025,Data_Actual_LG_EXW[Month],'DB 2025'!W$1,Data_Actual_LG_EXW[Mã KH],DB_25[[#This Row],[Mã khách]],Data_Actual_LG_EXW[Mã SKU],DB_25[[#This Row],[Mã sản phẩm]])/10^3</f>
        <v>12.75</v>
      </c>
      <c r="X53" s="33">
        <v>24</v>
      </c>
      <c r="Y53" s="33"/>
      <c r="Z53" s="33"/>
      <c r="AA53" s="19">
        <f ca="1">SUM(DB_25[[#This Row],[SL-01]:[SL-12]])</f>
        <v>148.5</v>
      </c>
      <c r="AB53" s="7"/>
      <c r="AC53" s="20">
        <f ca="1">DB_25[[#This Row],[SL-DB25]]-DB_25[[#This Row],[SL-KH25]]</f>
        <v>148.5</v>
      </c>
      <c r="AD53" s="21">
        <f ca="1">IFERROR(DB_25[[#This Row],[SL-+/-]]/DB_25[[#This Row],[SL-KH25]],0)</f>
        <v>0</v>
      </c>
      <c r="AE53" s="23">
        <v>623.34138536632975</v>
      </c>
      <c r="AF53" s="23">
        <v>613.6304835799931</v>
      </c>
      <c r="AG53" s="23">
        <v>612.58431682396713</v>
      </c>
      <c r="AH53" s="23">
        <v>599.06555761964296</v>
      </c>
      <c r="AI53" s="23">
        <v>595.46434818063449</v>
      </c>
      <c r="AJ53" s="23">
        <v>598.73158244188244</v>
      </c>
      <c r="AK53" s="23">
        <v>596.53086102194356</v>
      </c>
      <c r="AL53" s="23">
        <v>585.15727647049403</v>
      </c>
      <c r="AM53" s="111">
        <v>581.15045540433459</v>
      </c>
      <c r="AN53" s="51">
        <f ca="1">IFERROR(SUM(DB_25[[#This Row],[DT-01-USD]:[DT-09-USD]])/SUM(DB_25[[#This Row],[SL-01]:[SL-09]]),0)</f>
        <v>597.86381478650208</v>
      </c>
      <c r="AO53" s="51">
        <f ca="1">DB_25[[#This Row],[GB-10]]</f>
        <v>597.86381478650208</v>
      </c>
      <c r="AP53" s="51">
        <f ca="1">DB_25[[#This Row],[GB-11]]</f>
        <v>597.86381478650208</v>
      </c>
      <c r="AQ53" s="7"/>
      <c r="AR53" s="7"/>
      <c r="AS53" s="7"/>
      <c r="AT53" s="7"/>
      <c r="AU53" s="47">
        <v>94263301.659432381</v>
      </c>
      <c r="AV53" s="47">
        <v>151200484.67351601</v>
      </c>
      <c r="AW53" s="47">
        <v>221500715.39688882</v>
      </c>
      <c r="AX53" s="47">
        <v>357554334.22095674</v>
      </c>
      <c r="AY53" s="47">
        <v>218742978.87569577</v>
      </c>
      <c r="AZ53" s="47">
        <v>186192916.52697617</v>
      </c>
      <c r="BA53" s="47">
        <v>139524105.00738552</v>
      </c>
      <c r="BB53" s="47">
        <v>355536562.15501738</v>
      </c>
      <c r="BC53" s="47">
        <v>194211041.37795347</v>
      </c>
      <c r="BD53" s="19">
        <f ca="1">DB_25[[#This Row],[SL-10]]*DB_25[[#This Row],[GB-10]]*BD$2/10^3</f>
        <v>375936.76673775248</v>
      </c>
      <c r="BE53" s="19">
        <f ca="1">DB_25[[#This Row],[SL-11]]*DB_25[[#This Row],[GB-11]]*BE$2/10^3</f>
        <v>0</v>
      </c>
      <c r="BF53" s="19">
        <f ca="1">DB_25[[#This Row],[SL-12]]*DB_25[[#This Row],[GB-12]]*BF$2/10^3</f>
        <v>0</v>
      </c>
      <c r="BG53" s="47">
        <f ca="1">SUM(DB_25[[#This Row],[DT-01]:[DT-12]])</f>
        <v>1919102376.6605599</v>
      </c>
      <c r="BH53" s="7"/>
      <c r="BI53" s="7"/>
      <c r="BJ53" s="7"/>
      <c r="BK53" s="50">
        <v>3740.0483121979782</v>
      </c>
      <c r="BL53" s="109">
        <v>5982.8972149049323</v>
      </c>
      <c r="BM53" s="109">
        <v>8729.3265147415314</v>
      </c>
      <c r="BN53" s="109">
        <v>13928.274214656698</v>
      </c>
      <c r="BO53" s="109">
        <v>8485.3669615740419</v>
      </c>
      <c r="BP53" s="109">
        <v>7184.7789893025893</v>
      </c>
      <c r="BQ53" s="109">
        <v>5368.7777491974921</v>
      </c>
      <c r="BR53" s="109">
        <v>13604.906677938987</v>
      </c>
      <c r="BS53" s="109">
        <v>7409.6683064052659</v>
      </c>
      <c r="BT53" s="147">
        <f ca="1">DB_25[[#This Row],[SL-10]]*DB_25[[#This Row],[GB-10]]</f>
        <v>14348.731554876049</v>
      </c>
      <c r="BU53" s="147">
        <f ca="1">DB_25[[#This Row],[SL-11]]*DB_25[[#This Row],[GB-11]]</f>
        <v>0</v>
      </c>
      <c r="BV53" s="147">
        <f ca="1">DB_25[[#This Row],[SL-12]]*DB_25[[#This Row],[GB-12]]</f>
        <v>0</v>
      </c>
      <c r="BW53" s="47">
        <f ca="1">SUM(DB_25[[#This Row],[DT-01-USD]:[DT-12-USD]])</f>
        <v>88782.776495795566</v>
      </c>
    </row>
    <row r="54" spans="1:75" x14ac:dyDescent="0.35">
      <c r="A54" s="18">
        <f>ROWS($A$6:A54)</f>
        <v>49</v>
      </c>
      <c r="B54" s="18" t="s">
        <v>115</v>
      </c>
      <c r="C54" s="18" t="str">
        <f>IFERROR(_xlfn.XLOOKUP(DB_25[[#This Row],[Salesman]],MD_Salesman[Salesman],MD_Salesman[SalesManager]),"")</f>
        <v>Quốc Anh</v>
      </c>
      <c r="D54" s="7" t="s">
        <v>628</v>
      </c>
      <c r="E54" s="7" t="s">
        <v>57</v>
      </c>
      <c r="F54" s="7"/>
      <c r="G54" s="7" t="str">
        <f>_xlfn.XLOOKUP(DB_25[[#This Row],[Mã khách]],MD_Customer[Mã khách],MD_Customer[Kênh bán hàng])</f>
        <v>Nội địa</v>
      </c>
      <c r="H54" s="7"/>
      <c r="I54" s="7"/>
      <c r="J54" s="7"/>
      <c r="K54" s="7" t="s">
        <v>199</v>
      </c>
      <c r="L54" s="7" t="str">
        <f>_xlfn.XLOOKUP(DB_25[[#This Row],[Mã sản phẩm]],MD_SKU[Mã SKU],MD_SKU[Tên SKU-rút gọn])</f>
        <v>rHDI3G01</v>
      </c>
      <c r="M54" s="7" t="str">
        <f>_xlfn.XLOOKUP(DB_25[[#This Row],[Mã sản phẩm]],MD_SKU[Mã SKU],MD_SKU[Nhóm ngành])</f>
        <v>Hạt HD ép</v>
      </c>
      <c r="N54" s="7"/>
      <c r="O54" s="47">
        <v>0</v>
      </c>
      <c r="P54" s="47">
        <v>0</v>
      </c>
      <c r="Q54" s="47">
        <v>0</v>
      </c>
      <c r="R54" s="47">
        <v>26.875</v>
      </c>
      <c r="S54" s="47">
        <v>35.75</v>
      </c>
      <c r="T54" s="47">
        <v>33</v>
      </c>
      <c r="U54" s="47">
        <v>0</v>
      </c>
      <c r="V54" s="47">
        <v>22</v>
      </c>
      <c r="W54" s="110">
        <f ca="1">SUMIFS(Data_Actual_LG_EXW[SL],Data_Actual_LG_EXW[Year],2025,Data_Actual_LG_EXW[Month],'DB 2025'!W$1,Data_Actual_LG_EXW[Mã KH],DB_25[[#This Row],[Mã khách]],Data_Actual_LG_EXW[Mã SKU],DB_25[[#This Row],[Mã sản phẩm]])/10^3</f>
        <v>23.375</v>
      </c>
      <c r="X54" s="33">
        <v>16.5</v>
      </c>
      <c r="Y54" s="33"/>
      <c r="Z54" s="33"/>
      <c r="AA54" s="19">
        <f ca="1">SUM(DB_25[[#This Row],[SL-01]:[SL-12]])</f>
        <v>157.5</v>
      </c>
      <c r="AB54" s="7"/>
      <c r="AC54" s="20">
        <f ca="1">DB_25[[#This Row],[SL-DB25]]-DB_25[[#This Row],[SL-KH25]]</f>
        <v>157.5</v>
      </c>
      <c r="AD54" s="21">
        <f ca="1">IFERROR(DB_25[[#This Row],[SL-+/-]]/DB_25[[#This Row],[SL-KH25]],0)</f>
        <v>0</v>
      </c>
      <c r="AE54" s="23">
        <v>0</v>
      </c>
      <c r="AF54" s="23">
        <v>0</v>
      </c>
      <c r="AG54" s="23">
        <v>0</v>
      </c>
      <c r="AH54" s="23">
        <v>703.34129534677902</v>
      </c>
      <c r="AI54" s="23">
        <v>696.92972891475063</v>
      </c>
      <c r="AJ54" s="23">
        <v>696.72455076653102</v>
      </c>
      <c r="AK54" s="23">
        <v>0</v>
      </c>
      <c r="AL54" s="23">
        <v>690.91107806785681</v>
      </c>
      <c r="AM54" s="111">
        <v>688.86751633733536</v>
      </c>
      <c r="AN54" s="51">
        <f ca="1">IFERROR(SUM(DB_25[[#This Row],[DT-01-USD]:[DT-09-USD]])/SUM(DB_25[[#This Row],[SL-01]:[SL-09]]),0)</f>
        <v>695.82813622922424</v>
      </c>
      <c r="AO54" s="51">
        <f ca="1">DB_25[[#This Row],[GB-10]]</f>
        <v>695.82813622922424</v>
      </c>
      <c r="AP54" s="51">
        <f ca="1">DB_25[[#This Row],[GB-11]]</f>
        <v>695.82813622922424</v>
      </c>
      <c r="AQ54" s="7"/>
      <c r="AR54" s="7"/>
      <c r="AS54" s="7"/>
      <c r="AT54" s="7"/>
      <c r="AU54" s="47">
        <v>0</v>
      </c>
      <c r="AV54" s="47">
        <v>0</v>
      </c>
      <c r="AW54" s="47">
        <v>0</v>
      </c>
      <c r="AX54" s="47">
        <v>485243055</v>
      </c>
      <c r="AY54" s="47">
        <v>642286110</v>
      </c>
      <c r="AZ54" s="47">
        <v>595833333</v>
      </c>
      <c r="BA54" s="47">
        <v>0</v>
      </c>
      <c r="BB54" s="47">
        <v>397222224</v>
      </c>
      <c r="BC54" s="47">
        <v>422048611</v>
      </c>
      <c r="BD54" s="19">
        <f ca="1">DB_25[[#This Row],[SL-10]]*DB_25[[#This Row],[GB-10]]*BD$2/10^3</f>
        <v>300806.50329189363</v>
      </c>
      <c r="BE54" s="19">
        <f ca="1">DB_25[[#This Row],[SL-11]]*DB_25[[#This Row],[GB-11]]*BE$2/10^3</f>
        <v>0</v>
      </c>
      <c r="BF54" s="19">
        <f ca="1">DB_25[[#This Row],[SL-12]]*DB_25[[#This Row],[GB-12]]*BF$2/10^3</f>
        <v>0</v>
      </c>
      <c r="BG54" s="47">
        <f ca="1">SUM(DB_25[[#This Row],[DT-01]:[DT-12]])</f>
        <v>2542934139.5032921</v>
      </c>
      <c r="BH54" s="7"/>
      <c r="BI54" s="7"/>
      <c r="BJ54" s="7"/>
      <c r="BK54" s="50">
        <v>0</v>
      </c>
      <c r="BL54" s="109">
        <v>0</v>
      </c>
      <c r="BM54" s="109">
        <v>0</v>
      </c>
      <c r="BN54" s="109">
        <v>18902.297312444687</v>
      </c>
      <c r="BO54" s="109">
        <v>24915.237808702335</v>
      </c>
      <c r="BP54" s="109">
        <v>22991.910175295525</v>
      </c>
      <c r="BQ54" s="109">
        <v>0</v>
      </c>
      <c r="BR54" s="109">
        <v>15200.04371749285</v>
      </c>
      <c r="BS54" s="109">
        <v>16102.278194385213</v>
      </c>
      <c r="BT54" s="147">
        <f ca="1">DB_25[[#This Row],[SL-10]]*DB_25[[#This Row],[GB-10]]</f>
        <v>11481.164247782201</v>
      </c>
      <c r="BU54" s="147">
        <f ca="1">DB_25[[#This Row],[SL-11]]*DB_25[[#This Row],[GB-11]]</f>
        <v>0</v>
      </c>
      <c r="BV54" s="147">
        <f ca="1">DB_25[[#This Row],[SL-12]]*DB_25[[#This Row],[GB-12]]</f>
        <v>0</v>
      </c>
      <c r="BW54" s="47">
        <f ca="1">SUM(DB_25[[#This Row],[DT-01-USD]:[DT-12-USD]])</f>
        <v>109592.93145610281</v>
      </c>
    </row>
    <row r="55" spans="1:75" x14ac:dyDescent="0.35">
      <c r="A55" s="18">
        <f>ROWS($A$6:A55)</f>
        <v>50</v>
      </c>
      <c r="B55" s="18" t="s">
        <v>95</v>
      </c>
      <c r="C55" s="18" t="str">
        <f>IFERROR(_xlfn.XLOOKUP(DB_25[[#This Row],[Salesman]],MD_Salesman[Salesman],MD_Salesman[SalesManager]),"")</f>
        <v>Cường</v>
      </c>
      <c r="D55" s="7" t="s">
        <v>595</v>
      </c>
      <c r="E55" s="7" t="s">
        <v>478</v>
      </c>
      <c r="F55" s="7"/>
      <c r="G55" s="7" t="str">
        <f>_xlfn.XLOOKUP(DB_25[[#This Row],[Mã khách]],MD_Customer[Mã khách],MD_Customer[Kênh bán hàng])</f>
        <v>Nội địa</v>
      </c>
      <c r="H55" s="7"/>
      <c r="I55" s="7"/>
      <c r="J55" s="7"/>
      <c r="K55" s="7" t="s">
        <v>171</v>
      </c>
      <c r="L55" s="7" t="str">
        <f>_xlfn.XLOOKUP(DB_25[[#This Row],[Mã sản phẩm]],MD_SKU[Mã SKU],MD_SKU[Tên SKU-rút gọn])</f>
        <v>WSS01G 1</v>
      </c>
      <c r="M55" s="7" t="str">
        <f>_xlfn.XLOOKUP(DB_25[[#This Row],[Mã sản phẩm]],MD_SKU[Mã SKU],MD_SKU[Nhóm ngành])</f>
        <v>Hạt PET</v>
      </c>
      <c r="N55" s="7"/>
      <c r="O55" s="47">
        <v>11</v>
      </c>
      <c r="P55" s="47">
        <v>11</v>
      </c>
      <c r="Q55" s="47">
        <v>22</v>
      </c>
      <c r="R55" s="47">
        <v>0</v>
      </c>
      <c r="S55" s="47">
        <v>22</v>
      </c>
      <c r="T55" s="47">
        <v>11</v>
      </c>
      <c r="U55" s="47">
        <v>0</v>
      </c>
      <c r="V55" s="47">
        <v>16.5</v>
      </c>
      <c r="W55" s="110">
        <f ca="1">SUMIFS(Data_Actual_LG_EXW[SL],Data_Actual_LG_EXW[Year],2025,Data_Actual_LG_EXW[Month],'DB 2025'!W$1,Data_Actual_LG_EXW[Mã KH],DB_25[[#This Row],[Mã khách]],Data_Actual_LG_EXW[Mã SKU],DB_25[[#This Row],[Mã sản phẩm]])/10^3</f>
        <v>0</v>
      </c>
      <c r="X55" s="33">
        <v>11</v>
      </c>
      <c r="Y55" s="33">
        <v>11</v>
      </c>
      <c r="Z55" s="33">
        <v>11</v>
      </c>
      <c r="AA55" s="19">
        <f ca="1">SUM(DB_25[[#This Row],[SL-01]:[SL-12]])</f>
        <v>126.5</v>
      </c>
      <c r="AB55" s="7"/>
      <c r="AC55" s="20">
        <f ca="1">DB_25[[#This Row],[SL-DB25]]-DB_25[[#This Row],[SL-KH25]]</f>
        <v>126.5</v>
      </c>
      <c r="AD55" s="21">
        <f ca="1">IFERROR(DB_25[[#This Row],[SL-+/-]]/DB_25[[#This Row],[SL-KH25]],0)</f>
        <v>0</v>
      </c>
      <c r="AE55" s="23">
        <v>1286.5985972028809</v>
      </c>
      <c r="AF55" s="23">
        <v>1300.2921713877931</v>
      </c>
      <c r="AG55" s="23">
        <v>1295.1916959941466</v>
      </c>
      <c r="AH55" s="23">
        <v>0</v>
      </c>
      <c r="AI55" s="23">
        <v>1237.8295847254647</v>
      </c>
      <c r="AJ55" s="23">
        <v>1231.3111301843642</v>
      </c>
      <c r="AK55" s="23">
        <v>0</v>
      </c>
      <c r="AL55" s="23">
        <v>1236.2211829357459</v>
      </c>
      <c r="AM55" s="111">
        <v>0</v>
      </c>
      <c r="AN55" s="51">
        <f ca="1">IFERROR(SUM(DB_25[[#This Row],[DT-01-USD]:[DT-09-USD]])/SUM(DB_25[[#This Row],[SL-01]:[SL-09]]),0)</f>
        <v>1263.3619099550447</v>
      </c>
      <c r="AO55" s="51">
        <f ca="1">DB_25[[#This Row],[GB-10]]</f>
        <v>1263.3619099550447</v>
      </c>
      <c r="AP55" s="51">
        <f ca="1">DB_25[[#This Row],[GB-11]]</f>
        <v>1263.3619099550447</v>
      </c>
      <c r="AQ55" s="7"/>
      <c r="AR55" s="7"/>
      <c r="AS55" s="7"/>
      <c r="AT55" s="7"/>
      <c r="AU55" s="47">
        <v>356698426.63772953</v>
      </c>
      <c r="AV55" s="47">
        <v>361472509.74885845</v>
      </c>
      <c r="AW55" s="47">
        <v>723021358.93249607</v>
      </c>
      <c r="AX55" s="47">
        <v>0</v>
      </c>
      <c r="AY55" s="47">
        <v>702016035.65862703</v>
      </c>
      <c r="AZ55" s="47">
        <v>351002517.82936013</v>
      </c>
      <c r="BA55" s="47">
        <v>0</v>
      </c>
      <c r="BB55" s="47">
        <v>533051079.10726643</v>
      </c>
      <c r="BC55" s="47">
        <v>0</v>
      </c>
      <c r="BD55" s="19">
        <f ca="1">DB_25[[#This Row],[SL-10]]*DB_25[[#This Row],[GB-10]]*BD$2/10^3</f>
        <v>364100.90244904388</v>
      </c>
      <c r="BE55" s="19">
        <f ca="1">DB_25[[#This Row],[SL-11]]*DB_25[[#This Row],[GB-11]]*BE$2/10^3</f>
        <v>364100.90244904388</v>
      </c>
      <c r="BF55" s="19">
        <f ca="1">DB_25[[#This Row],[SL-12]]*DB_25[[#This Row],[GB-12]]*BF$2/10^3</f>
        <v>364100.90244904388</v>
      </c>
      <c r="BG55" s="47">
        <f ca="1">SUM(DB_25[[#This Row],[DT-01]:[DT-12]])</f>
        <v>3028354230.621685</v>
      </c>
      <c r="BH55" s="7"/>
      <c r="BI55" s="7"/>
      <c r="BJ55" s="7"/>
      <c r="BK55" s="50">
        <v>14152.584569231691</v>
      </c>
      <c r="BL55" s="109">
        <v>14303.213885265724</v>
      </c>
      <c r="BM55" s="109">
        <v>28494.217311871227</v>
      </c>
      <c r="BN55" s="109">
        <v>0</v>
      </c>
      <c r="BO55" s="109">
        <v>27232.250863960224</v>
      </c>
      <c r="BP55" s="109">
        <v>13544.422432028006</v>
      </c>
      <c r="BQ55" s="109">
        <v>0</v>
      </c>
      <c r="BR55" s="109">
        <v>20397.649518439808</v>
      </c>
      <c r="BS55" s="109">
        <v>0</v>
      </c>
      <c r="BT55" s="147">
        <f ca="1">DB_25[[#This Row],[SL-10]]*DB_25[[#This Row],[GB-10]]</f>
        <v>13896.981009505491</v>
      </c>
      <c r="BU55" s="147">
        <f ca="1">DB_25[[#This Row],[SL-11]]*DB_25[[#This Row],[GB-11]]</f>
        <v>13896.981009505491</v>
      </c>
      <c r="BV55" s="147">
        <f ca="1">DB_25[[#This Row],[SL-12]]*DB_25[[#This Row],[GB-12]]</f>
        <v>13896.981009505491</v>
      </c>
      <c r="BW55" s="47">
        <f ca="1">SUM(DB_25[[#This Row],[DT-01-USD]:[DT-12-USD]])</f>
        <v>159815.28160931316</v>
      </c>
    </row>
    <row r="56" spans="1:75" x14ac:dyDescent="0.35">
      <c r="A56" s="18">
        <f>ROWS($A$6:A56)</f>
        <v>51</v>
      </c>
      <c r="B56" s="18" t="s">
        <v>104</v>
      </c>
      <c r="C56" s="18" t="str">
        <f>IFERROR(_xlfn.XLOOKUP(DB_25[[#This Row],[Salesman]],MD_Salesman[Salesman],MD_Salesman[SalesManager]),"")</f>
        <v>Quốc Anh</v>
      </c>
      <c r="D56" s="7" t="s">
        <v>629</v>
      </c>
      <c r="E56" s="7" t="s">
        <v>60</v>
      </c>
      <c r="F56" s="7"/>
      <c r="G56" s="7" t="str">
        <f>_xlfn.XLOOKUP(DB_25[[#This Row],[Mã khách]],MD_Customer[Mã khách],MD_Customer[Kênh bán hàng])</f>
        <v>Xuất Khẩu</v>
      </c>
      <c r="H56" s="7"/>
      <c r="I56" s="7"/>
      <c r="J56" s="7"/>
      <c r="K56" s="7" t="s">
        <v>195</v>
      </c>
      <c r="L56" s="7" t="str">
        <f>_xlfn.XLOOKUP(DB_25[[#This Row],[Mã sản phẩm]],MD_SKU[Mã SKU],MD_SKU[Tên SKU-rút gọn])</f>
        <v>rHDI3R01</v>
      </c>
      <c r="M56" s="7" t="str">
        <f>_xlfn.XLOOKUP(DB_25[[#This Row],[Mã sản phẩm]],MD_SKU[Mã SKU],MD_SKU[Nhóm ngành])</f>
        <v>Hạt HD ép</v>
      </c>
      <c r="N56" s="7"/>
      <c r="O56" s="47">
        <v>0</v>
      </c>
      <c r="P56" s="47">
        <v>25</v>
      </c>
      <c r="Q56" s="47">
        <v>0</v>
      </c>
      <c r="R56" s="47">
        <v>0</v>
      </c>
      <c r="S56" s="47">
        <v>0</v>
      </c>
      <c r="T56" s="47">
        <v>0</v>
      </c>
      <c r="U56" s="47">
        <v>0</v>
      </c>
      <c r="V56" s="47">
        <v>0</v>
      </c>
      <c r="W56" s="110">
        <f ca="1">SUMIFS(Data_Actual_LG_EXW[SL],Data_Actual_LG_EXW[Year],2025,Data_Actual_LG_EXW[Month],'DB 2025'!W$1,Data_Actual_LG_EXW[Mã KH],DB_25[[#This Row],[Mã khách]],Data_Actual_LG_EXW[Mã SKU],DB_25[[#This Row],[Mã sản phẩm]])/10^3</f>
        <v>0</v>
      </c>
      <c r="X56" s="33">
        <v>25</v>
      </c>
      <c r="Y56" s="33">
        <v>25</v>
      </c>
      <c r="Z56" s="33">
        <v>25</v>
      </c>
      <c r="AA56" s="19">
        <f ca="1">SUM(DB_25[[#This Row],[SL-01]:[SL-12]])</f>
        <v>100</v>
      </c>
      <c r="AB56" s="7"/>
      <c r="AC56" s="20">
        <f ca="1">DB_25[[#This Row],[SL-DB25]]-DB_25[[#This Row],[SL-KH25]]</f>
        <v>100</v>
      </c>
      <c r="AD56" s="21">
        <f ca="1">IFERROR(DB_25[[#This Row],[SL-+/-]]/DB_25[[#This Row],[SL-KH25]],0)</f>
        <v>0</v>
      </c>
      <c r="AE56" s="23">
        <v>0</v>
      </c>
      <c r="AF56" s="23">
        <v>750.02822721893494</v>
      </c>
      <c r="AG56" s="23">
        <v>0</v>
      </c>
      <c r="AH56" s="23">
        <v>0</v>
      </c>
      <c r="AI56" s="23">
        <v>0</v>
      </c>
      <c r="AJ56" s="23">
        <v>0</v>
      </c>
      <c r="AK56" s="23">
        <v>0</v>
      </c>
      <c r="AL56" s="23">
        <v>0</v>
      </c>
      <c r="AM56" s="111">
        <v>0</v>
      </c>
      <c r="AN56" s="51">
        <f ca="1">IFERROR(SUM(DB_25[[#This Row],[DT-01-USD]:[DT-09-USD]])/SUM(DB_25[[#This Row],[SL-01]:[SL-09]]),0)</f>
        <v>750.02822721893494</v>
      </c>
      <c r="AO56" s="51">
        <f ca="1">DB_25[[#This Row],[GB-10]]</f>
        <v>750.02822721893494</v>
      </c>
      <c r="AP56" s="51">
        <f ca="1">DB_25[[#This Row],[GB-11]]</f>
        <v>750.02822721893494</v>
      </c>
      <c r="AQ56" s="7"/>
      <c r="AR56" s="7"/>
      <c r="AS56" s="7"/>
      <c r="AT56" s="7"/>
      <c r="AU56" s="47">
        <v>0</v>
      </c>
      <c r="AV56" s="47">
        <v>475330389</v>
      </c>
      <c r="AW56" s="47">
        <v>0</v>
      </c>
      <c r="AX56" s="47">
        <v>0</v>
      </c>
      <c r="AY56" s="47">
        <v>0</v>
      </c>
      <c r="AZ56" s="47">
        <v>0</v>
      </c>
      <c r="BA56" s="47">
        <v>0</v>
      </c>
      <c r="BB56" s="47">
        <v>0</v>
      </c>
      <c r="BC56" s="47">
        <v>0</v>
      </c>
      <c r="BD56" s="19">
        <f ca="1">DB_25[[#This Row],[SL-10]]*DB_25[[#This Row],[GB-10]]*BD$2/10^3</f>
        <v>491268.48882840242</v>
      </c>
      <c r="BE56" s="19">
        <f ca="1">DB_25[[#This Row],[SL-11]]*DB_25[[#This Row],[GB-11]]*BE$2/10^3</f>
        <v>491268.48882840242</v>
      </c>
      <c r="BF56" s="19">
        <f ca="1">DB_25[[#This Row],[SL-12]]*DB_25[[#This Row],[GB-12]]*BF$2/10^3</f>
        <v>491268.48882840242</v>
      </c>
      <c r="BG56" s="47">
        <f ca="1">SUM(DB_25[[#This Row],[DT-01]:[DT-12]])</f>
        <v>476804194.46648526</v>
      </c>
      <c r="BH56" s="7"/>
      <c r="BI56" s="7"/>
      <c r="BJ56" s="7"/>
      <c r="BK56" s="50">
        <v>0</v>
      </c>
      <c r="BL56" s="109">
        <v>18750.705680473373</v>
      </c>
      <c r="BM56" s="109">
        <v>0</v>
      </c>
      <c r="BN56" s="109">
        <v>0</v>
      </c>
      <c r="BO56" s="109">
        <v>0</v>
      </c>
      <c r="BP56" s="109">
        <v>0</v>
      </c>
      <c r="BQ56" s="109">
        <v>0</v>
      </c>
      <c r="BR56" s="109">
        <v>0</v>
      </c>
      <c r="BS56" s="109">
        <v>0</v>
      </c>
      <c r="BT56" s="147">
        <f ca="1">DB_25[[#This Row],[SL-10]]*DB_25[[#This Row],[GB-10]]</f>
        <v>18750.705680473373</v>
      </c>
      <c r="BU56" s="147">
        <f ca="1">DB_25[[#This Row],[SL-11]]*DB_25[[#This Row],[GB-11]]</f>
        <v>18750.705680473373</v>
      </c>
      <c r="BV56" s="147">
        <f ca="1">DB_25[[#This Row],[SL-12]]*DB_25[[#This Row],[GB-12]]</f>
        <v>18750.705680473373</v>
      </c>
      <c r="BW56" s="47">
        <f ca="1">SUM(DB_25[[#This Row],[DT-01-USD]:[DT-12-USD]])</f>
        <v>75002.822721893492</v>
      </c>
    </row>
    <row r="57" spans="1:75" x14ac:dyDescent="0.35">
      <c r="A57" s="18">
        <f>ROWS($A$6:A57)</f>
        <v>52</v>
      </c>
      <c r="B57" s="18" t="s">
        <v>97</v>
      </c>
      <c r="C57" s="18" t="str">
        <f>IFERROR(_xlfn.XLOOKUP(DB_25[[#This Row],[Salesman]],MD_Salesman[Salesman],MD_Salesman[SalesManager]),"")</f>
        <v>Cường</v>
      </c>
      <c r="D57" s="7" t="s">
        <v>625</v>
      </c>
      <c r="E57" s="7" t="s">
        <v>271</v>
      </c>
      <c r="F57" s="7"/>
      <c r="G57" s="7" t="str">
        <f>_xlfn.XLOOKUP(DB_25[[#This Row],[Mã khách]],MD_Customer[Mã khách],MD_Customer[Kênh bán hàng])</f>
        <v>Nội địa</v>
      </c>
      <c r="H57" s="7"/>
      <c r="I57" s="7"/>
      <c r="J57" s="7"/>
      <c r="K57" s="7" t="s">
        <v>171</v>
      </c>
      <c r="L57" s="7" t="str">
        <f>_xlfn.XLOOKUP(DB_25[[#This Row],[Mã sản phẩm]],MD_SKU[Mã SKU],MD_SKU[Tên SKU-rút gọn])</f>
        <v>WSS01G 1</v>
      </c>
      <c r="M57" s="7" t="str">
        <f>_xlfn.XLOOKUP(DB_25[[#This Row],[Mã sản phẩm]],MD_SKU[Mã SKU],MD_SKU[Nhóm ngành])</f>
        <v>Hạt PET</v>
      </c>
      <c r="N57" s="7"/>
      <c r="O57" s="47">
        <v>11</v>
      </c>
      <c r="P57" s="47">
        <v>23.1</v>
      </c>
      <c r="Q57" s="47">
        <v>11</v>
      </c>
      <c r="R57" s="47">
        <v>0</v>
      </c>
      <c r="S57" s="47">
        <v>11</v>
      </c>
      <c r="T57" s="47">
        <v>22</v>
      </c>
      <c r="U57" s="47">
        <v>0</v>
      </c>
      <c r="V57" s="47">
        <v>5.5</v>
      </c>
      <c r="W57" s="110">
        <f ca="1">SUMIFS(Data_Actual_LG_EXW[SL],Data_Actual_LG_EXW[Year],2025,Data_Actual_LG_EXW[Month],'DB 2025'!W$1,Data_Actual_LG_EXW[Mã KH],DB_25[[#This Row],[Mã khách]],Data_Actual_LG_EXW[Mã SKU],DB_25[[#This Row],[Mã sản phẩm]])/10^3</f>
        <v>16.5</v>
      </c>
      <c r="X57" s="33">
        <v>11</v>
      </c>
      <c r="Y57" s="33"/>
      <c r="Z57" s="33"/>
      <c r="AA57" s="19">
        <f ca="1">SUM(DB_25[[#This Row],[SL-01]:[SL-12]])</f>
        <v>111.1</v>
      </c>
      <c r="AB57" s="7"/>
      <c r="AC57" s="20">
        <f ca="1">DB_25[[#This Row],[SL-DB25]]-DB_25[[#This Row],[SL-KH25]]</f>
        <v>111.1</v>
      </c>
      <c r="AD57" s="21">
        <f ca="1">IFERROR(DB_25[[#This Row],[SL-+/-]]/DB_25[[#This Row],[SL-KH25]],0)</f>
        <v>0</v>
      </c>
      <c r="AE57" s="23">
        <v>1332.6202731587912</v>
      </c>
      <c r="AF57" s="23">
        <v>1237.0762590104544</v>
      </c>
      <c r="AG57" s="23">
        <v>1220.2734291398413</v>
      </c>
      <c r="AH57" s="23">
        <v>0</v>
      </c>
      <c r="AI57" s="23">
        <v>1243.1440194090862</v>
      </c>
      <c r="AJ57" s="23">
        <v>1256.3932140259913</v>
      </c>
      <c r="AK57" s="23">
        <v>0</v>
      </c>
      <c r="AL57" s="23">
        <v>1244.5702799185658</v>
      </c>
      <c r="AM57" s="111">
        <v>1232.4010670033704</v>
      </c>
      <c r="AN57" s="51">
        <f ca="1">IFERROR(SUM(DB_25[[#This Row],[DT-01-USD]:[DT-09-USD]])/SUM(DB_25[[#This Row],[SL-01]:[SL-09]]),0)</f>
        <v>1250.2825312248347</v>
      </c>
      <c r="AO57" s="51">
        <f ca="1">DB_25[[#This Row],[GB-10]]</f>
        <v>1250.2825312248347</v>
      </c>
      <c r="AP57" s="51">
        <f ca="1">DB_25[[#This Row],[GB-11]]</f>
        <v>1250.2825312248347</v>
      </c>
      <c r="AQ57" s="7"/>
      <c r="AR57" s="7"/>
      <c r="AS57" s="7"/>
      <c r="AT57" s="7"/>
      <c r="AU57" s="47">
        <v>369457541.59432387</v>
      </c>
      <c r="AV57" s="47">
        <v>722187710.47260273</v>
      </c>
      <c r="AW57" s="47">
        <v>340599679.46624804</v>
      </c>
      <c r="AX57" s="47">
        <v>0</v>
      </c>
      <c r="AY57" s="47">
        <v>352515017.82931352</v>
      </c>
      <c r="AZ57" s="47">
        <v>716305035.65872025</v>
      </c>
      <c r="BA57" s="47">
        <v>0</v>
      </c>
      <c r="BB57" s="47">
        <v>178883719.70242214</v>
      </c>
      <c r="BC57" s="47">
        <v>532980303.28611898</v>
      </c>
      <c r="BD57" s="19">
        <f ca="1">DB_25[[#This Row],[SL-10]]*DB_25[[#This Row],[GB-10]]*BD$2/10^3</f>
        <v>360331.42549899733</v>
      </c>
      <c r="BE57" s="19">
        <f ca="1">DB_25[[#This Row],[SL-11]]*DB_25[[#This Row],[GB-11]]*BE$2/10^3</f>
        <v>0</v>
      </c>
      <c r="BF57" s="19">
        <f ca="1">DB_25[[#This Row],[SL-12]]*DB_25[[#This Row],[GB-12]]*BF$2/10^3</f>
        <v>0</v>
      </c>
      <c r="BG57" s="47">
        <f ca="1">SUM(DB_25[[#This Row],[DT-01]:[DT-12]])</f>
        <v>3213289339.4352484</v>
      </c>
      <c r="BH57" s="7"/>
      <c r="BI57" s="7"/>
      <c r="BJ57" s="7"/>
      <c r="BK57" s="50">
        <v>14658.823004746702</v>
      </c>
      <c r="BL57" s="109">
        <v>28576.461583141499</v>
      </c>
      <c r="BM57" s="109">
        <v>13423.007720538255</v>
      </c>
      <c r="BN57" s="109">
        <v>0</v>
      </c>
      <c r="BO57" s="109">
        <v>13674.584213499948</v>
      </c>
      <c r="BP57" s="109">
        <v>27640.650708571808</v>
      </c>
      <c r="BQ57" s="109">
        <v>0</v>
      </c>
      <c r="BR57" s="109">
        <v>6845.1365395521116</v>
      </c>
      <c r="BS57" s="109">
        <v>20334.61760555561</v>
      </c>
      <c r="BT57" s="147">
        <f ca="1">DB_25[[#This Row],[SL-10]]*DB_25[[#This Row],[GB-10]]</f>
        <v>13753.107843473181</v>
      </c>
      <c r="BU57" s="147">
        <f ca="1">DB_25[[#This Row],[SL-11]]*DB_25[[#This Row],[GB-11]]</f>
        <v>0</v>
      </c>
      <c r="BV57" s="147">
        <f ca="1">DB_25[[#This Row],[SL-12]]*DB_25[[#This Row],[GB-12]]</f>
        <v>0</v>
      </c>
      <c r="BW57" s="47">
        <f ca="1">SUM(DB_25[[#This Row],[DT-01-USD]:[DT-12-USD]])</f>
        <v>138906.38921907911</v>
      </c>
    </row>
    <row r="58" spans="1:75" x14ac:dyDescent="0.35">
      <c r="A58" s="18">
        <f>ROWS($A$6:A58)</f>
        <v>53</v>
      </c>
      <c r="B58" s="18" t="s">
        <v>115</v>
      </c>
      <c r="C58" s="18" t="str">
        <f>IFERROR(_xlfn.XLOOKUP(DB_25[[#This Row],[Salesman]],MD_Salesman[Salesman],MD_Salesman[SalesManager]),"")</f>
        <v>Quốc Anh</v>
      </c>
      <c r="D58" s="7" t="s">
        <v>630</v>
      </c>
      <c r="E58" s="7" t="s">
        <v>328</v>
      </c>
      <c r="F58" s="7"/>
      <c r="G58" s="7" t="str">
        <f>_xlfn.XLOOKUP(DB_25[[#This Row],[Mã khách]],MD_Customer[Mã khách],MD_Customer[Kênh bán hàng])</f>
        <v>Xuất khẩu</v>
      </c>
      <c r="H58" s="7"/>
      <c r="I58" s="7"/>
      <c r="J58" s="7"/>
      <c r="K58" s="7" t="s">
        <v>174</v>
      </c>
      <c r="L58" s="7" t="str">
        <f>_xlfn.XLOOKUP(DB_25[[#This Row],[Mã sản phẩm]],MD_SKU[Mã SKU],MD_SKU[Tên SKU-rút gọn])</f>
        <v>WSS03G</v>
      </c>
      <c r="M58" s="7" t="str">
        <f>_xlfn.XLOOKUP(DB_25[[#This Row],[Mã sản phẩm]],MD_SKU[Mã SKU],MD_SKU[Nhóm ngành])</f>
        <v>Hạt PET</v>
      </c>
      <c r="N58" s="7"/>
      <c r="O58" s="47">
        <v>0</v>
      </c>
      <c r="P58" s="47">
        <v>0</v>
      </c>
      <c r="Q58" s="47">
        <v>0</v>
      </c>
      <c r="R58" s="47">
        <v>0</v>
      </c>
      <c r="S58" s="47">
        <v>0</v>
      </c>
      <c r="T58" s="47">
        <v>22</v>
      </c>
      <c r="U58" s="47">
        <v>0</v>
      </c>
      <c r="V58" s="47">
        <v>44</v>
      </c>
      <c r="W58" s="110">
        <f ca="1">SUMIFS(Data_Actual_LG_EXW[SL],Data_Actual_LG_EXW[Year],2025,Data_Actual_LG_EXW[Month],'DB 2025'!W$1,Data_Actual_LG_EXW[Mã KH],DB_25[[#This Row],[Mã khách]],Data_Actual_LG_EXW[Mã SKU],DB_25[[#This Row],[Mã sản phẩm]])/10^3</f>
        <v>0</v>
      </c>
      <c r="X58" s="33">
        <v>22</v>
      </c>
      <c r="Y58" s="33"/>
      <c r="Z58" s="33">
        <v>22</v>
      </c>
      <c r="AA58" s="19">
        <f ca="1">SUM(DB_25[[#This Row],[SL-01]:[SL-12]])</f>
        <v>110</v>
      </c>
      <c r="AB58" s="7"/>
      <c r="AC58" s="20">
        <f ca="1">DB_25[[#This Row],[SL-DB25]]-DB_25[[#This Row],[SL-KH25]]</f>
        <v>110</v>
      </c>
      <c r="AD58" s="21">
        <f ca="1">IFERROR(DB_25[[#This Row],[SL-+/-]]/DB_25[[#This Row],[SL-KH25]],0)</f>
        <v>0</v>
      </c>
      <c r="AE58" s="23">
        <v>0</v>
      </c>
      <c r="AF58" s="23">
        <v>0</v>
      </c>
      <c r="AG58" s="23">
        <v>0</v>
      </c>
      <c r="AH58" s="23">
        <v>0</v>
      </c>
      <c r="AI58" s="23">
        <v>0</v>
      </c>
      <c r="AJ58" s="23">
        <v>1128.3389083787099</v>
      </c>
      <c r="AK58" s="23">
        <v>0</v>
      </c>
      <c r="AL58" s="23">
        <v>1056.9441574384123</v>
      </c>
      <c r="AM58" s="111">
        <v>0</v>
      </c>
      <c r="AN58" s="51">
        <f ca="1">IFERROR(SUM(DB_25[[#This Row],[DT-01-USD]:[DT-09-USD]])/SUM(DB_25[[#This Row],[SL-01]:[SL-09]]),0)</f>
        <v>1080.7424077518449</v>
      </c>
      <c r="AO58" s="51">
        <f ca="1">DB_25[[#This Row],[GB-10]]</f>
        <v>1080.7424077518449</v>
      </c>
      <c r="AP58" s="51">
        <f ca="1">DB_25[[#This Row],[GB-11]]</f>
        <v>1080.7424077518449</v>
      </c>
      <c r="AQ58" s="7"/>
      <c r="AR58" s="7"/>
      <c r="AS58" s="7"/>
      <c r="AT58" s="7"/>
      <c r="AU58" s="47">
        <v>0</v>
      </c>
      <c r="AV58" s="47">
        <v>0</v>
      </c>
      <c r="AW58" s="47">
        <v>0</v>
      </c>
      <c r="AX58" s="47">
        <v>0</v>
      </c>
      <c r="AY58" s="47">
        <v>0</v>
      </c>
      <c r="AZ58" s="47">
        <v>643920448.23356223</v>
      </c>
      <c r="BA58" s="47">
        <v>0</v>
      </c>
      <c r="BB58" s="47">
        <v>1211004337.8266351</v>
      </c>
      <c r="BC58" s="47">
        <v>0</v>
      </c>
      <c r="BD58" s="19">
        <f ca="1">DB_25[[#This Row],[SL-10]]*DB_25[[#This Row],[GB-10]]*BD$2/10^3</f>
        <v>622939.92382816342</v>
      </c>
      <c r="BE58" s="19">
        <f ca="1">DB_25[[#This Row],[SL-11]]*DB_25[[#This Row],[GB-11]]*BE$2/10^3</f>
        <v>0</v>
      </c>
      <c r="BF58" s="19">
        <f ca="1">DB_25[[#This Row],[SL-12]]*DB_25[[#This Row],[GB-12]]*BF$2/10^3</f>
        <v>622939.92382816342</v>
      </c>
      <c r="BG58" s="47">
        <f ca="1">SUM(DB_25[[#This Row],[DT-01]:[DT-12]])</f>
        <v>1856170665.9078536</v>
      </c>
      <c r="BH58" s="7"/>
      <c r="BI58" s="7"/>
      <c r="BJ58" s="7"/>
      <c r="BK58" s="50">
        <v>0</v>
      </c>
      <c r="BL58" s="109">
        <v>0</v>
      </c>
      <c r="BM58" s="109">
        <v>0</v>
      </c>
      <c r="BN58" s="109">
        <v>0</v>
      </c>
      <c r="BO58" s="109">
        <v>0</v>
      </c>
      <c r="BP58" s="109">
        <v>24823.45598433162</v>
      </c>
      <c r="BQ58" s="109">
        <v>0</v>
      </c>
      <c r="BR58" s="109">
        <v>46505.542927290138</v>
      </c>
      <c r="BS58" s="109">
        <v>0</v>
      </c>
      <c r="BT58" s="147">
        <f ca="1">DB_25[[#This Row],[SL-10]]*DB_25[[#This Row],[GB-10]]</f>
        <v>23776.332970540589</v>
      </c>
      <c r="BU58" s="147">
        <f ca="1">DB_25[[#This Row],[SL-11]]*DB_25[[#This Row],[GB-11]]</f>
        <v>0</v>
      </c>
      <c r="BV58" s="147">
        <f ca="1">DB_25[[#This Row],[SL-12]]*DB_25[[#This Row],[GB-12]]</f>
        <v>23776.332970540589</v>
      </c>
      <c r="BW58" s="47">
        <f ca="1">SUM(DB_25[[#This Row],[DT-01-USD]:[DT-12-USD]])</f>
        <v>118881.66485270295</v>
      </c>
    </row>
    <row r="59" spans="1:75" x14ac:dyDescent="0.35">
      <c r="A59" s="18">
        <f>ROWS($A$6:A59)</f>
        <v>54</v>
      </c>
      <c r="B59" s="18" t="s">
        <v>95</v>
      </c>
      <c r="C59" s="18" t="str">
        <f>IFERROR(_xlfn.XLOOKUP(DB_25[[#This Row],[Salesman]],MD_Salesman[Salesman],MD_Salesman[SalesManager]),"")</f>
        <v>Cường</v>
      </c>
      <c r="D59" s="7" t="s">
        <v>631</v>
      </c>
      <c r="E59" s="7" t="s">
        <v>129</v>
      </c>
      <c r="F59" s="7"/>
      <c r="G59" s="7" t="str">
        <f>_xlfn.XLOOKUP(DB_25[[#This Row],[Mã khách]],MD_Customer[Mã khách],MD_Customer[Kênh bán hàng])</f>
        <v>Xuất khẩu</v>
      </c>
      <c r="H59" s="7"/>
      <c r="I59" s="7"/>
      <c r="J59" s="7"/>
      <c r="K59" s="7" t="s">
        <v>168</v>
      </c>
      <c r="L59" s="7" t="str">
        <f>_xlfn.XLOOKUP(DB_25[[#This Row],[Mã sản phẩm]],MD_SKU[Mã SKU],MD_SKU[Tên SKU-rút gọn])</f>
        <v>iSS1084G</v>
      </c>
      <c r="M59" s="7" t="str">
        <f>_xlfn.XLOOKUP(DB_25[[#This Row],[Mã sản phẩm]],MD_SKU[Mã SKU],MD_SKU[Nhóm ngành])</f>
        <v>Hạt PET</v>
      </c>
      <c r="N59" s="7"/>
      <c r="O59" s="47">
        <v>0</v>
      </c>
      <c r="P59" s="47">
        <v>0</v>
      </c>
      <c r="Q59" s="47">
        <v>0</v>
      </c>
      <c r="R59" s="47">
        <v>0</v>
      </c>
      <c r="S59" s="47">
        <v>0</v>
      </c>
      <c r="T59" s="47">
        <v>22</v>
      </c>
      <c r="U59" s="47">
        <v>0</v>
      </c>
      <c r="V59" s="47">
        <v>0</v>
      </c>
      <c r="W59" s="110">
        <f ca="1">SUMIFS(Data_Actual_LG_EXW[SL],Data_Actual_LG_EXW[Year],2025,Data_Actual_LG_EXW[Month],'DB 2025'!W$1,Data_Actual_LG_EXW[Mã KH],DB_25[[#This Row],[Mã khách]],Data_Actual_LG_EXW[Mã SKU],DB_25[[#This Row],[Mã sản phẩm]])/10^3</f>
        <v>0</v>
      </c>
      <c r="X59" s="33">
        <v>44</v>
      </c>
      <c r="Y59" s="33"/>
      <c r="Z59" s="33">
        <v>44</v>
      </c>
      <c r="AA59" s="19">
        <f ca="1">SUM(DB_25[[#This Row],[SL-01]:[SL-12]])</f>
        <v>110</v>
      </c>
      <c r="AB59" s="7"/>
      <c r="AC59" s="20">
        <f ca="1">DB_25[[#This Row],[SL-DB25]]-DB_25[[#This Row],[SL-KH25]]</f>
        <v>110</v>
      </c>
      <c r="AD59" s="21">
        <f ca="1">IFERROR(DB_25[[#This Row],[SL-+/-]]/DB_25[[#This Row],[SL-KH25]],0)</f>
        <v>0</v>
      </c>
      <c r="AE59" s="23">
        <v>0</v>
      </c>
      <c r="AF59" s="23">
        <v>0</v>
      </c>
      <c r="AG59" s="23">
        <v>0</v>
      </c>
      <c r="AH59" s="23">
        <v>0</v>
      </c>
      <c r="AI59" s="23">
        <v>0</v>
      </c>
      <c r="AJ59" s="23">
        <v>1321.4930962990361</v>
      </c>
      <c r="AK59" s="23">
        <v>0</v>
      </c>
      <c r="AL59" s="23">
        <v>0</v>
      </c>
      <c r="AM59" s="111">
        <v>0</v>
      </c>
      <c r="AN59" s="51">
        <f ca="1">IFERROR(SUM(DB_25[[#This Row],[DT-01-USD]:[DT-09-USD]])/SUM(DB_25[[#This Row],[SL-01]:[SL-09]]),0)</f>
        <v>1321.4930962990361</v>
      </c>
      <c r="AO59" s="51">
        <f ca="1">DB_25[[#This Row],[GB-10]]</f>
        <v>1321.4930962990361</v>
      </c>
      <c r="AP59" s="51">
        <f ca="1">DB_25[[#This Row],[GB-11]]</f>
        <v>1321.4930962990361</v>
      </c>
      <c r="AQ59" s="7"/>
      <c r="AR59" s="7"/>
      <c r="AS59" s="7"/>
      <c r="AT59" s="7"/>
      <c r="AU59" s="47">
        <v>0</v>
      </c>
      <c r="AV59" s="47">
        <v>0</v>
      </c>
      <c r="AW59" s="47">
        <v>0</v>
      </c>
      <c r="AX59" s="47">
        <v>0</v>
      </c>
      <c r="AY59" s="47">
        <v>0</v>
      </c>
      <c r="AZ59" s="47">
        <v>753568223.23356235</v>
      </c>
      <c r="BA59" s="47">
        <v>0</v>
      </c>
      <c r="BB59" s="47">
        <v>0</v>
      </c>
      <c r="BC59" s="47">
        <v>0</v>
      </c>
      <c r="BD59" s="19">
        <f ca="1">DB_25[[#This Row],[SL-10]]*DB_25[[#This Row],[GB-10]]*BD$2/10^3</f>
        <v>1523417.2414135286</v>
      </c>
      <c r="BE59" s="19">
        <f ca="1">DB_25[[#This Row],[SL-11]]*DB_25[[#This Row],[GB-11]]*BE$2/10^3</f>
        <v>0</v>
      </c>
      <c r="BF59" s="19">
        <f ca="1">DB_25[[#This Row],[SL-12]]*DB_25[[#This Row],[GB-12]]*BF$2/10^3</f>
        <v>1523417.2414135286</v>
      </c>
      <c r="BG59" s="47">
        <f ca="1">SUM(DB_25[[#This Row],[DT-01]:[DT-12]])</f>
        <v>756615057.7163893</v>
      </c>
      <c r="BH59" s="7"/>
      <c r="BI59" s="7"/>
      <c r="BJ59" s="7"/>
      <c r="BK59" s="50">
        <v>0</v>
      </c>
      <c r="BL59" s="109">
        <v>0</v>
      </c>
      <c r="BM59" s="109">
        <v>0</v>
      </c>
      <c r="BN59" s="109">
        <v>0</v>
      </c>
      <c r="BO59" s="109">
        <v>0</v>
      </c>
      <c r="BP59" s="109">
        <v>29072.848118578793</v>
      </c>
      <c r="BQ59" s="109">
        <v>0</v>
      </c>
      <c r="BR59" s="109">
        <v>0</v>
      </c>
      <c r="BS59" s="109">
        <v>0</v>
      </c>
      <c r="BT59" s="147">
        <f ca="1">DB_25[[#This Row],[SL-10]]*DB_25[[#This Row],[GB-10]]</f>
        <v>58145.696237157586</v>
      </c>
      <c r="BU59" s="147">
        <f ca="1">DB_25[[#This Row],[SL-11]]*DB_25[[#This Row],[GB-11]]</f>
        <v>0</v>
      </c>
      <c r="BV59" s="147">
        <f ca="1">DB_25[[#This Row],[SL-12]]*DB_25[[#This Row],[GB-12]]</f>
        <v>58145.696237157586</v>
      </c>
      <c r="BW59" s="47">
        <f ca="1">SUM(DB_25[[#This Row],[DT-01-USD]:[DT-12-USD]])</f>
        <v>145364.24059289397</v>
      </c>
    </row>
    <row r="60" spans="1:75" x14ac:dyDescent="0.35">
      <c r="A60" s="18">
        <f>ROWS($A$6:A60)</f>
        <v>55</v>
      </c>
      <c r="B60" s="18" t="s">
        <v>115</v>
      </c>
      <c r="C60" s="18" t="str">
        <f>IFERROR(_xlfn.XLOOKUP(DB_25[[#This Row],[Salesman]],MD_Salesman[Salesman],MD_Salesman[SalesManager]),"")</f>
        <v>Quốc Anh</v>
      </c>
      <c r="D60" s="7" t="s">
        <v>632</v>
      </c>
      <c r="E60" s="7" t="s">
        <v>131</v>
      </c>
      <c r="F60" s="7"/>
      <c r="G60" s="7" t="str">
        <f>_xlfn.XLOOKUP(DB_25[[#This Row],[Mã khách]],MD_Customer[Mã khách],MD_Customer[Kênh bán hàng])</f>
        <v>Xuất khẩu</v>
      </c>
      <c r="H60" s="7"/>
      <c r="I60" s="7"/>
      <c r="J60" s="7"/>
      <c r="K60" s="7" t="s">
        <v>174</v>
      </c>
      <c r="L60" s="7" t="str">
        <f>_xlfn.XLOOKUP(DB_25[[#This Row],[Mã sản phẩm]],MD_SKU[Mã SKU],MD_SKU[Tên SKU-rút gọn])</f>
        <v>WSS03G</v>
      </c>
      <c r="M60" s="7" t="str">
        <f>_xlfn.XLOOKUP(DB_25[[#This Row],[Mã sản phẩm]],MD_SKU[Mã SKU],MD_SKU[Nhóm ngành])</f>
        <v>Hạt PET</v>
      </c>
      <c r="N60" s="7"/>
      <c r="O60" s="47">
        <v>0</v>
      </c>
      <c r="P60" s="47">
        <v>0</v>
      </c>
      <c r="Q60" s="47">
        <v>0</v>
      </c>
      <c r="R60" s="47">
        <v>110</v>
      </c>
      <c r="S60" s="47">
        <v>0</v>
      </c>
      <c r="T60" s="47">
        <v>0</v>
      </c>
      <c r="U60" s="47">
        <v>0</v>
      </c>
      <c r="V60" s="47">
        <v>0</v>
      </c>
      <c r="W60" s="110">
        <f ca="1">SUMIFS(Data_Actual_LG_EXW[SL],Data_Actual_LG_EXW[Year],2025,Data_Actual_LG_EXW[Month],'DB 2025'!W$1,Data_Actual_LG_EXW[Mã KH],DB_25[[#This Row],[Mã khách]],Data_Actual_LG_EXW[Mã SKU],DB_25[[#This Row],[Mã sản phẩm]])/10^3</f>
        <v>66</v>
      </c>
      <c r="X60" s="33"/>
      <c r="Y60" s="33"/>
      <c r="Z60" s="33"/>
      <c r="AA60" s="19">
        <f ca="1">SUM(DB_25[[#This Row],[SL-01]:[SL-12]])</f>
        <v>176</v>
      </c>
      <c r="AB60" s="7"/>
      <c r="AC60" s="20">
        <f ca="1">DB_25[[#This Row],[SL-DB25]]-DB_25[[#This Row],[SL-KH25]]</f>
        <v>176</v>
      </c>
      <c r="AD60" s="21">
        <f ca="1">IFERROR(DB_25[[#This Row],[SL-+/-]]/DB_25[[#This Row],[SL-KH25]],0)</f>
        <v>0</v>
      </c>
      <c r="AE60" s="23">
        <v>0</v>
      </c>
      <c r="AF60" s="23">
        <v>0</v>
      </c>
      <c r="AG60" s="23">
        <v>0</v>
      </c>
      <c r="AH60" s="23">
        <v>1128.4678981245181</v>
      </c>
      <c r="AI60" s="23">
        <v>0</v>
      </c>
      <c r="AJ60" s="23">
        <v>0</v>
      </c>
      <c r="AK60" s="23">
        <v>0</v>
      </c>
      <c r="AL60" s="23">
        <v>0</v>
      </c>
      <c r="AM60" s="111">
        <v>1078.6540344869206</v>
      </c>
      <c r="AN60" s="51">
        <f ca="1">IFERROR(SUM(DB_25[[#This Row],[DT-01-USD]:[DT-09-USD]])/SUM(DB_25[[#This Row],[SL-01]:[SL-09]]),0)</f>
        <v>1109.7876992604192</v>
      </c>
      <c r="AO60" s="51">
        <f ca="1">DB_25[[#This Row],[GB-10]]</f>
        <v>1109.7876992604192</v>
      </c>
      <c r="AP60" s="51">
        <f ca="1">DB_25[[#This Row],[GB-11]]</f>
        <v>1109.7876992604192</v>
      </c>
      <c r="AQ60" s="7"/>
      <c r="AR60" s="7"/>
      <c r="AS60" s="7"/>
      <c r="AT60" s="7"/>
      <c r="AU60" s="47">
        <v>0</v>
      </c>
      <c r="AV60" s="47">
        <v>0</v>
      </c>
      <c r="AW60" s="47">
        <v>0</v>
      </c>
      <c r="AX60" s="47">
        <v>3191420062.6859498</v>
      </c>
      <c r="AY60" s="47">
        <v>0</v>
      </c>
      <c r="AZ60" s="47">
        <v>0</v>
      </c>
      <c r="BA60" s="47">
        <v>0</v>
      </c>
      <c r="BB60" s="47">
        <v>0</v>
      </c>
      <c r="BC60" s="47">
        <v>1865208556.434783</v>
      </c>
      <c r="BD60" s="19">
        <f ca="1">DB_25[[#This Row],[SL-10]]*DB_25[[#This Row],[GB-10]]*BD$2/10^3</f>
        <v>0</v>
      </c>
      <c r="BE60" s="19">
        <f ca="1">DB_25[[#This Row],[SL-11]]*DB_25[[#This Row],[GB-11]]*BE$2/10^3</f>
        <v>0</v>
      </c>
      <c r="BF60" s="19">
        <f ca="1">DB_25[[#This Row],[SL-12]]*DB_25[[#This Row],[GB-12]]*BF$2/10^3</f>
        <v>0</v>
      </c>
      <c r="BG60" s="47">
        <f ca="1">SUM(DB_25[[#This Row],[DT-01]:[DT-12]])</f>
        <v>5056628619.1207333</v>
      </c>
      <c r="BH60" s="7"/>
      <c r="BI60" s="7"/>
      <c r="BJ60" s="7"/>
      <c r="BK60" s="50">
        <v>0</v>
      </c>
      <c r="BL60" s="109">
        <v>0</v>
      </c>
      <c r="BM60" s="109">
        <v>0</v>
      </c>
      <c r="BN60" s="109">
        <v>124131.468793697</v>
      </c>
      <c r="BO60" s="109">
        <v>0</v>
      </c>
      <c r="BP60" s="109">
        <v>0</v>
      </c>
      <c r="BQ60" s="109">
        <v>0</v>
      </c>
      <c r="BR60" s="109">
        <v>0</v>
      </c>
      <c r="BS60" s="109">
        <v>71191.166276136762</v>
      </c>
      <c r="BT60" s="147">
        <f ca="1">DB_25[[#This Row],[SL-10]]*DB_25[[#This Row],[GB-10]]</f>
        <v>0</v>
      </c>
      <c r="BU60" s="147">
        <f ca="1">DB_25[[#This Row],[SL-11]]*DB_25[[#This Row],[GB-11]]</f>
        <v>0</v>
      </c>
      <c r="BV60" s="147">
        <f ca="1">DB_25[[#This Row],[SL-12]]*DB_25[[#This Row],[GB-12]]</f>
        <v>0</v>
      </c>
      <c r="BW60" s="47">
        <f ca="1">SUM(DB_25[[#This Row],[DT-01-USD]:[DT-12-USD]])</f>
        <v>195322.63506983378</v>
      </c>
    </row>
    <row r="61" spans="1:75" x14ac:dyDescent="0.35">
      <c r="A61" s="18">
        <f>ROWS($A$6:A61)</f>
        <v>56</v>
      </c>
      <c r="B61" s="18" t="s">
        <v>115</v>
      </c>
      <c r="C61" s="18" t="str">
        <f>IFERROR(_xlfn.XLOOKUP(DB_25[[#This Row],[Salesman]],MD_Salesman[Salesman],MD_Salesman[SalesManager]),"")</f>
        <v>Quốc Anh</v>
      </c>
      <c r="D61" s="7" t="s">
        <v>633</v>
      </c>
      <c r="E61" s="7" t="s">
        <v>27</v>
      </c>
      <c r="F61" s="7"/>
      <c r="G61" s="7" t="str">
        <f>_xlfn.XLOOKUP(DB_25[[#This Row],[Mã khách]],MD_Customer[Mã khách],MD_Customer[Kênh bán hàng])</f>
        <v>Xuất khẩu</v>
      </c>
      <c r="H61" s="7"/>
      <c r="I61" s="7"/>
      <c r="J61" s="7"/>
      <c r="K61" s="7" t="s">
        <v>182</v>
      </c>
      <c r="L61" s="7" t="str">
        <f>_xlfn.XLOOKUP(DB_25[[#This Row],[Mã sản phẩm]],MD_SKU[Mã SKU],MD_SKU[Tên SKU-rút gọn])</f>
        <v>WSS05SB</v>
      </c>
      <c r="M61" s="7" t="str">
        <f>_xlfn.XLOOKUP(DB_25[[#This Row],[Mã sản phẩm]],MD_SKU[Mã SKU],MD_SKU[Nhóm ngành])</f>
        <v>Hạt Xơ sợi</v>
      </c>
      <c r="N61" s="7"/>
      <c r="O61" s="47">
        <v>0</v>
      </c>
      <c r="P61" s="47">
        <v>0</v>
      </c>
      <c r="Q61" s="47">
        <v>0</v>
      </c>
      <c r="R61" s="47">
        <v>0</v>
      </c>
      <c r="S61" s="47">
        <v>0</v>
      </c>
      <c r="T61" s="47">
        <v>21</v>
      </c>
      <c r="U61" s="47">
        <v>0</v>
      </c>
      <c r="V61" s="47">
        <v>0</v>
      </c>
      <c r="W61" s="110">
        <f ca="1">SUMIFS(Data_Actual_LG_EXW[SL],Data_Actual_LG_EXW[Year],2025,Data_Actual_LG_EXW[Month],'DB 2025'!W$1,Data_Actual_LG_EXW[Mã KH],DB_25[[#This Row],[Mã khách]],Data_Actual_LG_EXW[Mã SKU],DB_25[[#This Row],[Mã sản phẩm]])/10^3</f>
        <v>0</v>
      </c>
      <c r="X61" s="33">
        <v>21</v>
      </c>
      <c r="Y61" s="33">
        <v>21</v>
      </c>
      <c r="Z61" s="33">
        <v>21</v>
      </c>
      <c r="AA61" s="19">
        <f ca="1">SUM(DB_25[[#This Row],[SL-01]:[SL-12]])</f>
        <v>84</v>
      </c>
      <c r="AB61" s="7"/>
      <c r="AC61" s="20">
        <f ca="1">DB_25[[#This Row],[SL-DB25]]-DB_25[[#This Row],[SL-KH25]]</f>
        <v>84</v>
      </c>
      <c r="AD61" s="21">
        <f ca="1">IFERROR(DB_25[[#This Row],[SL-+/-]]/DB_25[[#This Row],[SL-KH25]],0)</f>
        <v>0</v>
      </c>
      <c r="AE61" s="23">
        <v>0</v>
      </c>
      <c r="AF61" s="23">
        <v>0</v>
      </c>
      <c r="AG61" s="23">
        <v>0</v>
      </c>
      <c r="AH61" s="23">
        <v>0</v>
      </c>
      <c r="AI61" s="23">
        <v>0</v>
      </c>
      <c r="AJ61" s="23">
        <v>670.25615755796605</v>
      </c>
      <c r="AK61" s="23">
        <v>0</v>
      </c>
      <c r="AL61" s="23">
        <v>0</v>
      </c>
      <c r="AM61" s="111">
        <v>0</v>
      </c>
      <c r="AN61" s="51">
        <f ca="1">IFERROR(SUM(DB_25[[#This Row],[DT-01-USD]:[DT-09-USD]])/SUM(DB_25[[#This Row],[SL-01]:[SL-09]]),0)</f>
        <v>670.25615755796605</v>
      </c>
      <c r="AO61" s="51">
        <f ca="1">DB_25[[#This Row],[GB-10]]</f>
        <v>670.25615755796605</v>
      </c>
      <c r="AP61" s="51">
        <f ca="1">DB_25[[#This Row],[GB-11]]</f>
        <v>670.25615755796605</v>
      </c>
      <c r="AQ61" s="7"/>
      <c r="AR61" s="7"/>
      <c r="AS61" s="7"/>
      <c r="AT61" s="7"/>
      <c r="AU61" s="47">
        <v>0</v>
      </c>
      <c r="AV61" s="47">
        <v>0</v>
      </c>
      <c r="AW61" s="47">
        <v>0</v>
      </c>
      <c r="AX61" s="47">
        <v>0</v>
      </c>
      <c r="AY61" s="47">
        <v>0</v>
      </c>
      <c r="AZ61" s="47">
        <v>365819108.23356229</v>
      </c>
      <c r="BA61" s="47">
        <v>0</v>
      </c>
      <c r="BB61" s="47">
        <v>0</v>
      </c>
      <c r="BC61" s="47">
        <v>0</v>
      </c>
      <c r="BD61" s="19">
        <f ca="1">DB_25[[#This Row],[SL-10]]*DB_25[[#This Row],[GB-10]]*BD$2/10^3</f>
        <v>368774.93788839295</v>
      </c>
      <c r="BE61" s="19">
        <f ca="1">DB_25[[#This Row],[SL-11]]*DB_25[[#This Row],[GB-11]]*BE$2/10^3</f>
        <v>368774.93788839295</v>
      </c>
      <c r="BF61" s="19">
        <f ca="1">DB_25[[#This Row],[SL-12]]*DB_25[[#This Row],[GB-12]]*BF$2/10^3</f>
        <v>368774.93788839295</v>
      </c>
      <c r="BG61" s="47">
        <f ca="1">SUM(DB_25[[#This Row],[DT-01]:[DT-12]])</f>
        <v>366925433.04722744</v>
      </c>
      <c r="BH61" s="7"/>
      <c r="BI61" s="7"/>
      <c r="BJ61" s="7"/>
      <c r="BK61" s="50">
        <v>0</v>
      </c>
      <c r="BL61" s="109">
        <v>0</v>
      </c>
      <c r="BM61" s="109">
        <v>0</v>
      </c>
      <c r="BN61" s="109">
        <v>0</v>
      </c>
      <c r="BO61" s="109">
        <v>0</v>
      </c>
      <c r="BP61" s="109">
        <v>14075.379308717287</v>
      </c>
      <c r="BQ61" s="109">
        <v>0</v>
      </c>
      <c r="BR61" s="109">
        <v>0</v>
      </c>
      <c r="BS61" s="109">
        <v>0</v>
      </c>
      <c r="BT61" s="147">
        <f ca="1">DB_25[[#This Row],[SL-10]]*DB_25[[#This Row],[GB-10]]</f>
        <v>14075.379308717287</v>
      </c>
      <c r="BU61" s="147">
        <f ca="1">DB_25[[#This Row],[SL-11]]*DB_25[[#This Row],[GB-11]]</f>
        <v>14075.379308717287</v>
      </c>
      <c r="BV61" s="147">
        <f ca="1">DB_25[[#This Row],[SL-12]]*DB_25[[#This Row],[GB-12]]</f>
        <v>14075.379308717287</v>
      </c>
      <c r="BW61" s="47">
        <f ca="1">SUM(DB_25[[#This Row],[DT-01-USD]:[DT-12-USD]])</f>
        <v>56301.517234869149</v>
      </c>
    </row>
    <row r="62" spans="1:75" x14ac:dyDescent="0.35">
      <c r="A62" s="18">
        <f>ROWS($A$6:A62)</f>
        <v>57</v>
      </c>
      <c r="B62" s="18" t="s">
        <v>115</v>
      </c>
      <c r="C62" s="18" t="str">
        <f>IFERROR(_xlfn.XLOOKUP(DB_25[[#This Row],[Salesman]],MD_Salesman[Salesman],MD_Salesman[SalesManager]),"")</f>
        <v>Quốc Anh</v>
      </c>
      <c r="D62" s="7" t="s">
        <v>634</v>
      </c>
      <c r="E62" s="7" t="s">
        <v>148</v>
      </c>
      <c r="F62" s="7"/>
      <c r="G62" s="7" t="str">
        <f>_xlfn.XLOOKUP(DB_25[[#This Row],[Mã khách]],MD_Customer[Mã khách],MD_Customer[Kênh bán hàng])</f>
        <v>Nội địa</v>
      </c>
      <c r="H62" s="7"/>
      <c r="I62" s="7"/>
      <c r="J62" s="7"/>
      <c r="K62" s="7" t="s">
        <v>183</v>
      </c>
      <c r="L62" s="7" t="str">
        <f>_xlfn.XLOOKUP(DB_25[[#This Row],[Mã sản phẩm]],MD_SKU[Mã SKU],MD_SKU[Tên SKU-rút gọn])</f>
        <v>WSS05SB-2</v>
      </c>
      <c r="M62" s="7" t="str">
        <f>_xlfn.XLOOKUP(DB_25[[#This Row],[Mã sản phẩm]],MD_SKU[Mã SKU],MD_SKU[Nhóm ngành])</f>
        <v>Hạt Xơ sợi</v>
      </c>
      <c r="N62" s="7"/>
      <c r="O62" s="47">
        <v>11</v>
      </c>
      <c r="P62" s="47">
        <v>11</v>
      </c>
      <c r="Q62" s="47">
        <v>33</v>
      </c>
      <c r="R62" s="47">
        <v>0</v>
      </c>
      <c r="S62" s="47">
        <v>0</v>
      </c>
      <c r="T62" s="47">
        <v>10.5</v>
      </c>
      <c r="U62" s="47">
        <v>31.6</v>
      </c>
      <c r="V62" s="47">
        <v>0</v>
      </c>
      <c r="W62" s="110">
        <f ca="1">SUMIFS(Data_Actual_LG_EXW[SL],Data_Actual_LG_EXW[Year],2025,Data_Actual_LG_EXW[Month],'DB 2025'!W$1,Data_Actual_LG_EXW[Mã KH],DB_25[[#This Row],[Mã khách]],Data_Actual_LG_EXW[Mã SKU],DB_25[[#This Row],[Mã sản phẩm]])/10^3</f>
        <v>0</v>
      </c>
      <c r="X62" s="33"/>
      <c r="Y62" s="33"/>
      <c r="Z62" s="33"/>
      <c r="AA62" s="19">
        <f ca="1">SUM(DB_25[[#This Row],[SL-01]:[SL-12]])</f>
        <v>97.1</v>
      </c>
      <c r="AB62" s="7"/>
      <c r="AC62" s="20">
        <f ca="1">DB_25[[#This Row],[SL-DB25]]-DB_25[[#This Row],[SL-KH25]]</f>
        <v>97.1</v>
      </c>
      <c r="AD62" s="21">
        <f ca="1">IFERROR(DB_25[[#This Row],[SL-+/-]]/DB_25[[#This Row],[SL-KH25]],0)</f>
        <v>0</v>
      </c>
      <c r="AE62" s="23">
        <v>747.32182490803473</v>
      </c>
      <c r="AF62" s="23">
        <v>745.53059681951095</v>
      </c>
      <c r="AG62" s="23">
        <v>742.66455170305744</v>
      </c>
      <c r="AH62" s="23">
        <v>0</v>
      </c>
      <c r="AI62" s="23">
        <v>0</v>
      </c>
      <c r="AJ62" s="23">
        <v>630.50669032765563</v>
      </c>
      <c r="AK62" s="23">
        <v>628.75661391972415</v>
      </c>
      <c r="AL62" s="23">
        <v>0</v>
      </c>
      <c r="AM62" s="111">
        <v>0</v>
      </c>
      <c r="AN62" s="51">
        <f ca="1">IFERROR(SUM(DB_25[[#This Row],[DT-01-USD]:[DT-09-USD]])/SUM(DB_25[[#This Row],[SL-01]:[SL-09]]),0)</f>
        <v>694.31860034508327</v>
      </c>
      <c r="AO62" s="51">
        <f ca="1">DB_25[[#This Row],[GB-10]]</f>
        <v>694.31860034508327</v>
      </c>
      <c r="AP62" s="51">
        <f ca="1">DB_25[[#This Row],[GB-11]]</f>
        <v>694.31860034508327</v>
      </c>
      <c r="AQ62" s="7"/>
      <c r="AR62" s="7"/>
      <c r="AS62" s="7"/>
      <c r="AT62" s="7"/>
      <c r="AU62" s="47">
        <v>207188566.59432387</v>
      </c>
      <c r="AV62" s="47">
        <v>207252509.74885845</v>
      </c>
      <c r="AW62" s="47">
        <v>621872038.39874411</v>
      </c>
      <c r="AX62" s="47">
        <v>0</v>
      </c>
      <c r="AY62" s="47">
        <v>0</v>
      </c>
      <c r="AZ62" s="47">
        <v>171565017.8293601</v>
      </c>
      <c r="BA62" s="47">
        <v>516349152.51846385</v>
      </c>
      <c r="BB62" s="47">
        <v>0</v>
      </c>
      <c r="BC62" s="47">
        <v>0</v>
      </c>
      <c r="BD62" s="19">
        <f ca="1">DB_25[[#This Row],[SL-10]]*DB_25[[#This Row],[GB-10]]*BD$2/10^3</f>
        <v>0</v>
      </c>
      <c r="BE62" s="19">
        <f ca="1">DB_25[[#This Row],[SL-11]]*DB_25[[#This Row],[GB-11]]*BE$2/10^3</f>
        <v>0</v>
      </c>
      <c r="BF62" s="19">
        <f ca="1">DB_25[[#This Row],[SL-12]]*DB_25[[#This Row],[GB-12]]*BF$2/10^3</f>
        <v>0</v>
      </c>
      <c r="BG62" s="47">
        <f ca="1">SUM(DB_25[[#This Row],[DT-01]:[DT-12]])</f>
        <v>1724227285.0897503</v>
      </c>
      <c r="BH62" s="7"/>
      <c r="BI62" s="7"/>
      <c r="BJ62" s="7"/>
      <c r="BK62" s="50">
        <v>8220.5400739883826</v>
      </c>
      <c r="BL62" s="109">
        <v>8200.8365650146206</v>
      </c>
      <c r="BM62" s="109">
        <v>24507.930206200897</v>
      </c>
      <c r="BN62" s="109">
        <v>0</v>
      </c>
      <c r="BO62" s="109">
        <v>0</v>
      </c>
      <c r="BP62" s="109">
        <v>6620.3202484403846</v>
      </c>
      <c r="BQ62" s="109">
        <v>19868.708999863284</v>
      </c>
      <c r="BR62" s="109">
        <v>0</v>
      </c>
      <c r="BS62" s="109">
        <v>0</v>
      </c>
      <c r="BT62" s="147">
        <f ca="1">DB_25[[#This Row],[SL-10]]*DB_25[[#This Row],[GB-10]]</f>
        <v>0</v>
      </c>
      <c r="BU62" s="147">
        <f ca="1">DB_25[[#This Row],[SL-11]]*DB_25[[#This Row],[GB-11]]</f>
        <v>0</v>
      </c>
      <c r="BV62" s="147">
        <f ca="1">DB_25[[#This Row],[SL-12]]*DB_25[[#This Row],[GB-12]]</f>
        <v>0</v>
      </c>
      <c r="BW62" s="47">
        <f ca="1">SUM(DB_25[[#This Row],[DT-01-USD]:[DT-12-USD]])</f>
        <v>67418.336093507576</v>
      </c>
    </row>
    <row r="63" spans="1:75" x14ac:dyDescent="0.35">
      <c r="A63" s="18">
        <f>ROWS($A$6:A63)</f>
        <v>58</v>
      </c>
      <c r="B63" s="18" t="s">
        <v>115</v>
      </c>
      <c r="C63" s="18" t="str">
        <f>IFERROR(_xlfn.XLOOKUP(DB_25[[#This Row],[Salesman]],MD_Salesman[Salesman],MD_Salesman[SalesManager]),"")</f>
        <v>Quốc Anh</v>
      </c>
      <c r="D63" s="7" t="s">
        <v>628</v>
      </c>
      <c r="E63" s="7" t="s">
        <v>57</v>
      </c>
      <c r="F63" s="7"/>
      <c r="G63" s="7" t="str">
        <f>_xlfn.XLOOKUP(DB_25[[#This Row],[Mã khách]],MD_Customer[Mã khách],MD_Customer[Kênh bán hàng])</f>
        <v>Nội địa</v>
      </c>
      <c r="H63" s="7"/>
      <c r="I63" s="7"/>
      <c r="J63" s="7"/>
      <c r="K63" s="7" t="s">
        <v>197</v>
      </c>
      <c r="L63" s="7" t="str">
        <f>_xlfn.XLOOKUP(DB_25[[#This Row],[Mã sản phẩm]],MD_SKU[Mã SKU],MD_SKU[Tên SKU-rút gọn])</f>
        <v>rHDI3Y01</v>
      </c>
      <c r="M63" s="7" t="str">
        <f>_xlfn.XLOOKUP(DB_25[[#This Row],[Mã sản phẩm]],MD_SKU[Mã SKU],MD_SKU[Nhóm ngành])</f>
        <v>Hạt HD ép</v>
      </c>
      <c r="N63" s="7"/>
      <c r="O63" s="47">
        <v>0</v>
      </c>
      <c r="P63" s="47">
        <v>0</v>
      </c>
      <c r="Q63" s="47">
        <v>0</v>
      </c>
      <c r="R63" s="47">
        <v>1.5</v>
      </c>
      <c r="S63" s="47">
        <v>0</v>
      </c>
      <c r="T63" s="47">
        <v>0</v>
      </c>
      <c r="U63" s="47">
        <v>0</v>
      </c>
      <c r="V63" s="47">
        <v>37.125</v>
      </c>
      <c r="W63" s="110">
        <f ca="1">SUMIFS(Data_Actual_LG_EXW[SL],Data_Actual_LG_EXW[Year],2025,Data_Actual_LG_EXW[Month],'DB 2025'!W$1,Data_Actual_LG_EXW[Mã KH],DB_25[[#This Row],[Mã khách]],Data_Actual_LG_EXW[Mã SKU],DB_25[[#This Row],[Mã sản phẩm]])/10^3</f>
        <v>28.875</v>
      </c>
      <c r="X63" s="33">
        <v>6.9</v>
      </c>
      <c r="Y63" s="33">
        <v>11</v>
      </c>
      <c r="Z63" s="33">
        <v>11</v>
      </c>
      <c r="AA63" s="19">
        <f ca="1">SUM(DB_25[[#This Row],[SL-01]:[SL-12]])</f>
        <v>96.4</v>
      </c>
      <c r="AB63" s="7"/>
      <c r="AC63" s="20">
        <f ca="1">DB_25[[#This Row],[SL-DB25]]-DB_25[[#This Row],[SL-KH25]]</f>
        <v>96.4</v>
      </c>
      <c r="AD63" s="21">
        <f ca="1">IFERROR(DB_25[[#This Row],[SL-+/-]]/DB_25[[#This Row],[SL-KH25]],0)</f>
        <v>0</v>
      </c>
      <c r="AE63" s="23">
        <v>0</v>
      </c>
      <c r="AF63" s="23">
        <v>0</v>
      </c>
      <c r="AG63" s="23">
        <v>0</v>
      </c>
      <c r="AH63" s="23">
        <v>703.34128749552747</v>
      </c>
      <c r="AI63" s="23">
        <v>0</v>
      </c>
      <c r="AJ63" s="23">
        <v>0</v>
      </c>
      <c r="AK63" s="23">
        <v>0</v>
      </c>
      <c r="AL63" s="23">
        <v>708.79996389353846</v>
      </c>
      <c r="AM63" s="111">
        <v>688.86751299521256</v>
      </c>
      <c r="AN63" s="51">
        <f ca="1">IFERROR(SUM(DB_25[[#This Row],[DT-01-USD]:[DT-09-USD]])/SUM(DB_25[[#This Row],[SL-01]:[SL-09]]),0)</f>
        <v>700.15200042263211</v>
      </c>
      <c r="AO63" s="51">
        <f ca="1">DB_25[[#This Row],[GB-10]]</f>
        <v>700.15200042263211</v>
      </c>
      <c r="AP63" s="51">
        <f ca="1">DB_25[[#This Row],[GB-11]]</f>
        <v>700.15200042263211</v>
      </c>
      <c r="AQ63" s="7"/>
      <c r="AR63" s="7"/>
      <c r="AS63" s="7"/>
      <c r="AT63" s="7"/>
      <c r="AU63" s="47">
        <v>0</v>
      </c>
      <c r="AV63" s="47">
        <v>0</v>
      </c>
      <c r="AW63" s="47">
        <v>0</v>
      </c>
      <c r="AX63" s="47">
        <v>27083333</v>
      </c>
      <c r="AY63" s="47">
        <v>0</v>
      </c>
      <c r="AZ63" s="47">
        <v>0</v>
      </c>
      <c r="BA63" s="47">
        <v>0</v>
      </c>
      <c r="BB63" s="47">
        <v>687668056</v>
      </c>
      <c r="BC63" s="47">
        <v>521354164</v>
      </c>
      <c r="BD63" s="19">
        <f ca="1">DB_25[[#This Row],[SL-10]]*DB_25[[#This Row],[GB-10]]*BD$2/10^3</f>
        <v>126573.47863640342</v>
      </c>
      <c r="BE63" s="19">
        <f ca="1">DB_25[[#This Row],[SL-11]]*DB_25[[#This Row],[GB-11]]*BE$2/10^3</f>
        <v>201783.80652180259</v>
      </c>
      <c r="BF63" s="19">
        <f ca="1">DB_25[[#This Row],[SL-12]]*DB_25[[#This Row],[GB-12]]*BF$2/10^3</f>
        <v>201783.80652180259</v>
      </c>
      <c r="BG63" s="47">
        <f ca="1">SUM(DB_25[[#This Row],[DT-01]:[DT-12]])</f>
        <v>1236635694.0916803</v>
      </c>
      <c r="BH63" s="7"/>
      <c r="BI63" s="7"/>
      <c r="BJ63" s="7"/>
      <c r="BK63" s="50">
        <v>0</v>
      </c>
      <c r="BL63" s="109">
        <v>0</v>
      </c>
      <c r="BM63" s="109">
        <v>0</v>
      </c>
      <c r="BN63" s="109">
        <v>1055.0119312432912</v>
      </c>
      <c r="BO63" s="109">
        <v>0</v>
      </c>
      <c r="BP63" s="109">
        <v>0</v>
      </c>
      <c r="BQ63" s="109">
        <v>0</v>
      </c>
      <c r="BR63" s="109">
        <v>26314.198659547616</v>
      </c>
      <c r="BS63" s="109">
        <v>19891.049437736761</v>
      </c>
      <c r="BT63" s="147">
        <f ca="1">DB_25[[#This Row],[SL-10]]*DB_25[[#This Row],[GB-10]]</f>
        <v>4831.0488029161615</v>
      </c>
      <c r="BU63" s="147">
        <f ca="1">DB_25[[#This Row],[SL-11]]*DB_25[[#This Row],[GB-11]]</f>
        <v>7701.6720046489536</v>
      </c>
      <c r="BV63" s="147">
        <f ca="1">DB_25[[#This Row],[SL-12]]*DB_25[[#This Row],[GB-12]]</f>
        <v>7701.6720046489536</v>
      </c>
      <c r="BW63" s="47">
        <f ca="1">SUM(DB_25[[#This Row],[DT-01-USD]:[DT-12-USD]])</f>
        <v>67494.652840741735</v>
      </c>
    </row>
    <row r="64" spans="1:75" x14ac:dyDescent="0.35">
      <c r="A64" s="18">
        <f>ROWS($A$6:A64)</f>
        <v>59</v>
      </c>
      <c r="B64" s="18" t="s">
        <v>115</v>
      </c>
      <c r="C64" s="18" t="str">
        <f>IFERROR(_xlfn.XLOOKUP(DB_25[[#This Row],[Salesman]],MD_Salesman[Salesman],MD_Salesman[SalesManager]),"")</f>
        <v>Quốc Anh</v>
      </c>
      <c r="D64" s="7" t="s">
        <v>635</v>
      </c>
      <c r="E64" s="7" t="s">
        <v>62</v>
      </c>
      <c r="F64" s="7"/>
      <c r="G64" s="7" t="str">
        <f>_xlfn.XLOOKUP(DB_25[[#This Row],[Mã khách]],MD_Customer[Mã khách],MD_Customer[Kênh bán hàng])</f>
        <v>Nội địa</v>
      </c>
      <c r="H64" s="7"/>
      <c r="I64" s="7"/>
      <c r="J64" s="7"/>
      <c r="K64" s="7" t="s">
        <v>209</v>
      </c>
      <c r="L64" s="7" t="str">
        <f>_xlfn.XLOOKUP(DB_25[[#This Row],[Mã sản phẩm]],MD_SKU[Mã SKU],MD_SKU[Tên SKU-rút gọn])</f>
        <v>rPP20R02</v>
      </c>
      <c r="M64" s="7" t="str">
        <f>_xlfn.XLOOKUP(DB_25[[#This Row],[Mã sản phẩm]],MD_SKU[Mã SKU],MD_SKU[Nhóm ngành])</f>
        <v>Hạt PP</v>
      </c>
      <c r="N64" s="7"/>
      <c r="O64" s="47">
        <v>0</v>
      </c>
      <c r="P64" s="47">
        <v>0</v>
      </c>
      <c r="Q64" s="47">
        <v>23.625</v>
      </c>
      <c r="R64" s="47">
        <v>6.375</v>
      </c>
      <c r="S64" s="47">
        <v>0</v>
      </c>
      <c r="T64" s="47">
        <v>0</v>
      </c>
      <c r="U64" s="47">
        <v>11</v>
      </c>
      <c r="V64" s="47">
        <v>16.5</v>
      </c>
      <c r="W64" s="110">
        <f ca="1">SUMIFS(Data_Actual_LG_EXW[SL],Data_Actual_LG_EXW[Year],2025,Data_Actual_LG_EXW[Month],'DB 2025'!W$1,Data_Actual_LG_EXW[Mã KH],DB_25[[#This Row],[Mã khách]],Data_Actual_LG_EXW[Mã SKU],DB_25[[#This Row],[Mã sản phẩm]])/10^3</f>
        <v>16.5</v>
      </c>
      <c r="X64" s="33">
        <v>23</v>
      </c>
      <c r="Y64" s="33"/>
      <c r="Z64" s="33"/>
      <c r="AA64" s="19">
        <f ca="1">SUM(DB_25[[#This Row],[SL-01]:[SL-12]])</f>
        <v>97</v>
      </c>
      <c r="AB64" s="7"/>
      <c r="AC64" s="20">
        <f ca="1">DB_25[[#This Row],[SL-DB25]]-DB_25[[#This Row],[SL-KH25]]</f>
        <v>97</v>
      </c>
      <c r="AD64" s="21">
        <f ca="1">IFERROR(DB_25[[#This Row],[SL-+/-]]/DB_25[[#This Row],[SL-KH25]],0)</f>
        <v>0</v>
      </c>
      <c r="AE64" s="23">
        <v>0</v>
      </c>
      <c r="AF64" s="23">
        <v>0</v>
      </c>
      <c r="AG64" s="23">
        <v>766.30408971670681</v>
      </c>
      <c r="AH64" s="23">
        <v>757.44447074228992</v>
      </c>
      <c r="AI64" s="23">
        <v>0</v>
      </c>
      <c r="AJ64" s="23">
        <v>0</v>
      </c>
      <c r="AK64" s="23">
        <v>730.39246712655256</v>
      </c>
      <c r="AL64" s="23">
        <v>744.05807765083705</v>
      </c>
      <c r="AM64" s="111">
        <v>741.85732471090625</v>
      </c>
      <c r="AN64" s="51">
        <f ca="1">IFERROR(SUM(DB_25[[#This Row],[DT-01-USD]:[DT-09-USD]])/SUM(DB_25[[#This Row],[SL-01]:[SL-09]]),0)</f>
        <v>749.79140402567759</v>
      </c>
      <c r="AO64" s="51">
        <f ca="1">DB_25[[#This Row],[GB-10]]</f>
        <v>749.79140402567759</v>
      </c>
      <c r="AP64" s="51">
        <f ca="1">DB_25[[#This Row],[GB-11]]</f>
        <v>749.79140402567759</v>
      </c>
      <c r="AQ64" s="7"/>
      <c r="AR64" s="7"/>
      <c r="AS64" s="7"/>
      <c r="AT64" s="7"/>
      <c r="AU64" s="47">
        <v>0</v>
      </c>
      <c r="AV64" s="47">
        <v>0</v>
      </c>
      <c r="AW64" s="47">
        <v>459374999</v>
      </c>
      <c r="AX64" s="47">
        <v>123958333</v>
      </c>
      <c r="AY64" s="47">
        <v>0</v>
      </c>
      <c r="AZ64" s="47">
        <v>0</v>
      </c>
      <c r="BA64" s="47">
        <v>208796296</v>
      </c>
      <c r="BB64" s="47">
        <v>320833332</v>
      </c>
      <c r="BC64" s="47">
        <v>320833333</v>
      </c>
      <c r="BD64" s="19">
        <f ca="1">DB_25[[#This Row],[SL-10]]*DB_25[[#This Row],[GB-10]]*BD$2/10^3</f>
        <v>451824.30006587331</v>
      </c>
      <c r="BE64" s="19">
        <f ca="1">DB_25[[#This Row],[SL-11]]*DB_25[[#This Row],[GB-11]]*BE$2/10^3</f>
        <v>0</v>
      </c>
      <c r="BF64" s="19">
        <f ca="1">DB_25[[#This Row],[SL-12]]*DB_25[[#This Row],[GB-12]]*BF$2/10^3</f>
        <v>0</v>
      </c>
      <c r="BG64" s="47">
        <f ca="1">SUM(DB_25[[#This Row],[DT-01]:[DT-12]])</f>
        <v>1434248117.3000658</v>
      </c>
      <c r="BH64" s="7"/>
      <c r="BI64" s="7"/>
      <c r="BJ64" s="7"/>
      <c r="BK64" s="50">
        <v>0</v>
      </c>
      <c r="BL64" s="109">
        <v>0</v>
      </c>
      <c r="BM64" s="109">
        <v>18103.934119557198</v>
      </c>
      <c r="BN64" s="109">
        <v>4828.7085009820985</v>
      </c>
      <c r="BO64" s="109">
        <v>0</v>
      </c>
      <c r="BP64" s="109">
        <v>0</v>
      </c>
      <c r="BQ64" s="109">
        <v>8034.317138392078</v>
      </c>
      <c r="BR64" s="109">
        <v>12276.958281238811</v>
      </c>
      <c r="BS64" s="109">
        <v>12240.645857729953</v>
      </c>
      <c r="BT64" s="147">
        <f ca="1">DB_25[[#This Row],[SL-10]]*DB_25[[#This Row],[GB-10]]</f>
        <v>17245.202292590584</v>
      </c>
      <c r="BU64" s="147">
        <f ca="1">DB_25[[#This Row],[SL-11]]*DB_25[[#This Row],[GB-11]]</f>
        <v>0</v>
      </c>
      <c r="BV64" s="147">
        <f ca="1">DB_25[[#This Row],[SL-12]]*DB_25[[#This Row],[GB-12]]</f>
        <v>0</v>
      </c>
      <c r="BW64" s="47">
        <f ca="1">SUM(DB_25[[#This Row],[DT-01-USD]:[DT-12-USD]])</f>
        <v>72729.766190490715</v>
      </c>
    </row>
    <row r="65" spans="1:75" x14ac:dyDescent="0.35">
      <c r="A65" s="18">
        <f>ROWS($A$6:A65)</f>
        <v>60</v>
      </c>
      <c r="B65" s="18" t="s">
        <v>115</v>
      </c>
      <c r="C65" s="18" t="str">
        <f>IFERROR(_xlfn.XLOOKUP(DB_25[[#This Row],[Salesman]],MD_Salesman[Salesman],MD_Salesman[SalesManager]),"")</f>
        <v>Quốc Anh</v>
      </c>
      <c r="D65" s="7" t="s">
        <v>603</v>
      </c>
      <c r="E65" s="7" t="s">
        <v>56</v>
      </c>
      <c r="F65" s="7"/>
      <c r="G65" s="7" t="str">
        <f>_xlfn.XLOOKUP(DB_25[[#This Row],[Mã khách]],MD_Customer[Mã khách],MD_Customer[Kênh bán hàng])</f>
        <v>Nội địa</v>
      </c>
      <c r="H65" s="7"/>
      <c r="I65" s="7"/>
      <c r="J65" s="7"/>
      <c r="K65" s="7" t="s">
        <v>203</v>
      </c>
      <c r="L65" s="7" t="str">
        <f>_xlfn.XLOOKUP(DB_25[[#This Row],[Mã sản phẩm]],MD_SKU[Mã SKU],MD_SKU[Tên SKU-rút gọn])</f>
        <v>Vảy HD Ép Lá</v>
      </c>
      <c r="M65" s="7" t="str">
        <f>_xlfn.XLOOKUP(DB_25[[#This Row],[Mã sản phẩm]],MD_SKU[Mã SKU],MD_SKU[Nhóm ngành])</f>
        <v>Vảy HD ép</v>
      </c>
      <c r="N65" s="7"/>
      <c r="O65" s="47">
        <v>0</v>
      </c>
      <c r="P65" s="47">
        <v>0.75</v>
      </c>
      <c r="Q65" s="47">
        <v>24</v>
      </c>
      <c r="R65" s="47">
        <v>9</v>
      </c>
      <c r="S65" s="47">
        <v>15.75</v>
      </c>
      <c r="T65" s="47">
        <v>26.25</v>
      </c>
      <c r="U65" s="47">
        <v>10.5</v>
      </c>
      <c r="V65" s="47">
        <v>2.25</v>
      </c>
      <c r="W65" s="110">
        <f ca="1">SUMIFS(Data_Actual_LG_EXW[SL],Data_Actual_LG_EXW[Year],2025,Data_Actual_LG_EXW[Month],'DB 2025'!W$1,Data_Actual_LG_EXW[Mã KH],DB_25[[#This Row],[Mã khách]],Data_Actual_LG_EXW[Mã SKU],DB_25[[#This Row],[Mã sản phẩm]])/10^3</f>
        <v>0</v>
      </c>
      <c r="X65" s="33"/>
      <c r="Y65" s="33"/>
      <c r="Z65" s="33"/>
      <c r="AA65" s="19">
        <f ca="1">SUM(DB_25[[#This Row],[SL-01]:[SL-12]])</f>
        <v>88.5</v>
      </c>
      <c r="AB65" s="7"/>
      <c r="AC65" s="20">
        <f ca="1">DB_25[[#This Row],[SL-DB25]]-DB_25[[#This Row],[SL-KH25]]</f>
        <v>88.5</v>
      </c>
      <c r="AD65" s="21">
        <f ca="1">IFERROR(DB_25[[#This Row],[SL-+/-]]/DB_25[[#This Row],[SL-KH25]],0)</f>
        <v>0</v>
      </c>
      <c r="AE65" s="23">
        <v>0</v>
      </c>
      <c r="AF65" s="23">
        <v>584.31989249325477</v>
      </c>
      <c r="AG65" s="23">
        <v>582.16697802715578</v>
      </c>
      <c r="AH65" s="23">
        <v>595.0398138271421</v>
      </c>
      <c r="AI65" s="23">
        <v>592.55309419153195</v>
      </c>
      <c r="AJ65" s="23">
        <v>589.44192461815555</v>
      </c>
      <c r="AK65" s="23">
        <v>607.0295123832268</v>
      </c>
      <c r="AL65" s="23">
        <v>591.88578033783926</v>
      </c>
      <c r="AM65" s="111">
        <v>0</v>
      </c>
      <c r="AN65" s="51">
        <f ca="1">IFERROR(SUM(DB_25[[#This Row],[DT-01-USD]:[DT-09-USD]])/SUM(DB_25[[#This Row],[SL-01]:[SL-09]]),0)</f>
        <v>590.69740516376487</v>
      </c>
      <c r="AO65" s="51">
        <f ca="1">DB_25[[#This Row],[GB-10]]</f>
        <v>590.69740516376487</v>
      </c>
      <c r="AP65" s="51">
        <f ca="1">DB_25[[#This Row],[GB-11]]</f>
        <v>590.69740516376487</v>
      </c>
      <c r="AQ65" s="7"/>
      <c r="AR65" s="7"/>
      <c r="AS65" s="7"/>
      <c r="AT65" s="7"/>
      <c r="AU65" s="47">
        <v>0</v>
      </c>
      <c r="AV65" s="47">
        <v>11075250.974885846</v>
      </c>
      <c r="AW65" s="47">
        <v>354530174.29199374</v>
      </c>
      <c r="AX65" s="47">
        <v>137478021.37585422</v>
      </c>
      <c r="AY65" s="47">
        <v>240586537.44155842</v>
      </c>
      <c r="AZ65" s="47">
        <v>400977562.40276039</v>
      </c>
      <c r="BA65" s="47">
        <v>165642937.84194979</v>
      </c>
      <c r="BB65" s="47">
        <v>34802394.544148177</v>
      </c>
      <c r="BC65" s="47">
        <v>0</v>
      </c>
      <c r="BD65" s="19">
        <f ca="1">DB_25[[#This Row],[SL-10]]*DB_25[[#This Row],[GB-10]]*BD$2/10^3</f>
        <v>0</v>
      </c>
      <c r="BE65" s="19">
        <f ca="1">DB_25[[#This Row],[SL-11]]*DB_25[[#This Row],[GB-11]]*BE$2/10^3</f>
        <v>0</v>
      </c>
      <c r="BF65" s="19">
        <f ca="1">DB_25[[#This Row],[SL-12]]*DB_25[[#This Row],[GB-12]]*BF$2/10^3</f>
        <v>0</v>
      </c>
      <c r="BG65" s="47">
        <f ca="1">SUM(DB_25[[#This Row],[DT-01]:[DT-12]])</f>
        <v>1345092878.8731503</v>
      </c>
      <c r="BH65" s="7"/>
      <c r="BI65" s="7"/>
      <c r="BJ65" s="7"/>
      <c r="BK65" s="50">
        <v>0</v>
      </c>
      <c r="BL65" s="109">
        <v>438.23991936994111</v>
      </c>
      <c r="BM65" s="109">
        <v>13972.00747265174</v>
      </c>
      <c r="BN65" s="109">
        <v>5355.3583244442789</v>
      </c>
      <c r="BO65" s="109">
        <v>9332.7112335166275</v>
      </c>
      <c r="BP65" s="109">
        <v>15472.850521226583</v>
      </c>
      <c r="BQ65" s="109">
        <v>6373.8098800238813</v>
      </c>
      <c r="BR65" s="109">
        <v>1331.7430057601384</v>
      </c>
      <c r="BS65" s="109">
        <v>0</v>
      </c>
      <c r="BT65" s="147">
        <f ca="1">DB_25[[#This Row],[SL-10]]*DB_25[[#This Row],[GB-10]]</f>
        <v>0</v>
      </c>
      <c r="BU65" s="147">
        <f ca="1">DB_25[[#This Row],[SL-11]]*DB_25[[#This Row],[GB-11]]</f>
        <v>0</v>
      </c>
      <c r="BV65" s="147">
        <f ca="1">DB_25[[#This Row],[SL-12]]*DB_25[[#This Row],[GB-12]]</f>
        <v>0</v>
      </c>
      <c r="BW65" s="47">
        <f ca="1">SUM(DB_25[[#This Row],[DT-01-USD]:[DT-12-USD]])</f>
        <v>52276.720356993188</v>
      </c>
    </row>
    <row r="66" spans="1:75" x14ac:dyDescent="0.35">
      <c r="A66" s="18">
        <f>ROWS($A$6:A66)</f>
        <v>61</v>
      </c>
      <c r="B66" s="18" t="s">
        <v>95</v>
      </c>
      <c r="C66" s="18" t="str">
        <f>IFERROR(_xlfn.XLOOKUP(DB_25[[#This Row],[Salesman]],MD_Salesman[Salesman],MD_Salesman[SalesManager]),"")</f>
        <v>Cường</v>
      </c>
      <c r="D66" s="7" t="s">
        <v>636</v>
      </c>
      <c r="E66" s="7" t="s">
        <v>270</v>
      </c>
      <c r="F66" s="7"/>
      <c r="G66" s="7" t="str">
        <f>_xlfn.XLOOKUP(DB_25[[#This Row],[Mã khách]],MD_Customer[Mã khách],MD_Customer[Kênh bán hàng])</f>
        <v>Nội địa</v>
      </c>
      <c r="H66" s="7"/>
      <c r="I66" s="7"/>
      <c r="J66" s="7"/>
      <c r="K66" s="7" t="s">
        <v>171</v>
      </c>
      <c r="L66" s="7" t="str">
        <f>_xlfn.XLOOKUP(DB_25[[#This Row],[Mã sản phẩm]],MD_SKU[Mã SKU],MD_SKU[Tên SKU-rút gọn])</f>
        <v>WSS01G 1</v>
      </c>
      <c r="M66" s="7" t="str">
        <f>_xlfn.XLOOKUP(DB_25[[#This Row],[Mã sản phẩm]],MD_SKU[Mã SKU],MD_SKU[Nhóm ngành])</f>
        <v>Hạt PET</v>
      </c>
      <c r="N66" s="7"/>
      <c r="O66" s="47">
        <v>22</v>
      </c>
      <c r="P66" s="47">
        <v>0</v>
      </c>
      <c r="Q66" s="47">
        <v>22</v>
      </c>
      <c r="R66" s="47">
        <v>0</v>
      </c>
      <c r="S66" s="47">
        <v>0</v>
      </c>
      <c r="T66" s="47">
        <v>22</v>
      </c>
      <c r="U66" s="47">
        <v>11</v>
      </c>
      <c r="V66" s="47">
        <v>11</v>
      </c>
      <c r="W66" s="110">
        <f ca="1">SUMIFS(Data_Actual_LG_EXW[SL],Data_Actual_LG_EXW[Year],2025,Data_Actual_LG_EXW[Month],'DB 2025'!W$1,Data_Actual_LG_EXW[Mã KH],DB_25[[#This Row],[Mã khách]],Data_Actual_LG_EXW[Mã SKU],DB_25[[#This Row],[Mã sản phẩm]])/10^3</f>
        <v>0</v>
      </c>
      <c r="X66" s="33"/>
      <c r="Y66" s="33"/>
      <c r="Z66" s="33"/>
      <c r="AA66" s="19">
        <f ca="1">SUM(DB_25[[#This Row],[SL-01]:[SL-12]])</f>
        <v>88</v>
      </c>
      <c r="AB66" s="7"/>
      <c r="AC66" s="20">
        <f ca="1">DB_25[[#This Row],[SL-DB25]]-DB_25[[#This Row],[SL-KH25]]</f>
        <v>88</v>
      </c>
      <c r="AD66" s="21">
        <f ca="1">IFERROR(DB_25[[#This Row],[SL-+/-]]/DB_25[[#This Row],[SL-KH25]],0)</f>
        <v>0</v>
      </c>
      <c r="AE66" s="23">
        <v>1275.8654606996672</v>
      </c>
      <c r="AF66" s="23">
        <v>0</v>
      </c>
      <c r="AG66" s="23">
        <v>1273.3113058008219</v>
      </c>
      <c r="AH66" s="23">
        <v>0</v>
      </c>
      <c r="AI66" s="23">
        <v>0</v>
      </c>
      <c r="AJ66" s="23">
        <v>1269.9877034681533</v>
      </c>
      <c r="AK66" s="23">
        <v>1279.3855015293861</v>
      </c>
      <c r="AL66" s="23">
        <v>1272.3818954486019</v>
      </c>
      <c r="AM66" s="111">
        <v>0</v>
      </c>
      <c r="AN66" s="51">
        <f ca="1">IFERROR(SUM(DB_25[[#This Row],[DT-01-USD]:[DT-09-USD]])/SUM(DB_25[[#This Row],[SL-01]:[SL-09]]),0)</f>
        <v>1273.7620421144093</v>
      </c>
      <c r="AO66" s="51">
        <f ca="1">DB_25[[#This Row],[GB-10]]</f>
        <v>1273.7620421144093</v>
      </c>
      <c r="AP66" s="51">
        <f ca="1">DB_25[[#This Row],[GB-11]]</f>
        <v>1273.7620421144093</v>
      </c>
      <c r="AQ66" s="7"/>
      <c r="AR66" s="7"/>
      <c r="AS66" s="7"/>
      <c r="AT66" s="7"/>
      <c r="AU66" s="47">
        <v>707445513.18864775</v>
      </c>
      <c r="AV66" s="47">
        <v>0</v>
      </c>
      <c r="AW66" s="47">
        <v>710806958.93249607</v>
      </c>
      <c r="AX66" s="47">
        <v>0</v>
      </c>
      <c r="AY66" s="47">
        <v>0</v>
      </c>
      <c r="AZ66" s="47">
        <v>724055635.65872037</v>
      </c>
      <c r="BA66" s="47">
        <v>365736184.17282134</v>
      </c>
      <c r="BB66" s="47">
        <v>365762239.40484434</v>
      </c>
      <c r="BC66" s="47">
        <v>0</v>
      </c>
      <c r="BD66" s="19">
        <f ca="1">DB_25[[#This Row],[SL-10]]*DB_25[[#This Row],[GB-10]]*BD$2/10^3</f>
        <v>0</v>
      </c>
      <c r="BE66" s="19">
        <f ca="1">DB_25[[#This Row],[SL-11]]*DB_25[[#This Row],[GB-11]]*BE$2/10^3</f>
        <v>0</v>
      </c>
      <c r="BF66" s="19">
        <f ca="1">DB_25[[#This Row],[SL-12]]*DB_25[[#This Row],[GB-12]]*BF$2/10^3</f>
        <v>0</v>
      </c>
      <c r="BG66" s="47">
        <f ca="1">SUM(DB_25[[#This Row],[DT-01]:[DT-12]])</f>
        <v>2873806531.3575301</v>
      </c>
      <c r="BH66" s="7"/>
      <c r="BI66" s="7"/>
      <c r="BJ66" s="7"/>
      <c r="BK66" s="50">
        <v>28069.040135392679</v>
      </c>
      <c r="BL66" s="109">
        <v>0</v>
      </c>
      <c r="BM66" s="109">
        <v>28012.848727618082</v>
      </c>
      <c r="BN66" s="109">
        <v>0</v>
      </c>
      <c r="BO66" s="109">
        <v>0</v>
      </c>
      <c r="BP66" s="109">
        <v>27939.729476299373</v>
      </c>
      <c r="BQ66" s="109">
        <v>14073.240516823247</v>
      </c>
      <c r="BR66" s="109">
        <v>13996.200849934621</v>
      </c>
      <c r="BS66" s="109">
        <v>0</v>
      </c>
      <c r="BT66" s="147">
        <f ca="1">DB_25[[#This Row],[SL-10]]*DB_25[[#This Row],[GB-10]]</f>
        <v>0</v>
      </c>
      <c r="BU66" s="147">
        <f ca="1">DB_25[[#This Row],[SL-11]]*DB_25[[#This Row],[GB-11]]</f>
        <v>0</v>
      </c>
      <c r="BV66" s="147">
        <f ca="1">DB_25[[#This Row],[SL-12]]*DB_25[[#This Row],[GB-12]]</f>
        <v>0</v>
      </c>
      <c r="BW66" s="47">
        <f ca="1">SUM(DB_25[[#This Row],[DT-01-USD]:[DT-12-USD]])</f>
        <v>112091.05970606802</v>
      </c>
    </row>
    <row r="67" spans="1:75" x14ac:dyDescent="0.35">
      <c r="A67" s="18">
        <f>ROWS($A$6:A67)</f>
        <v>62</v>
      </c>
      <c r="B67" s="18" t="s">
        <v>115</v>
      </c>
      <c r="C67" s="18" t="str">
        <f>IFERROR(_xlfn.XLOOKUP(DB_25[[#This Row],[Salesman]],MD_Salesman[Salesman],MD_Salesman[SalesManager]),"")</f>
        <v>Quốc Anh</v>
      </c>
      <c r="D67" s="7" t="s">
        <v>637</v>
      </c>
      <c r="E67" s="7" t="s">
        <v>64</v>
      </c>
      <c r="F67" s="7"/>
      <c r="G67" s="7" t="str">
        <f>_xlfn.XLOOKUP(DB_25[[#This Row],[Mã khách]],MD_Customer[Mã khách],MD_Customer[Kênh bán hàng])</f>
        <v>Xuất khẩu</v>
      </c>
      <c r="H67" s="7"/>
      <c r="I67" s="7"/>
      <c r="J67" s="7"/>
      <c r="K67" s="7" t="s">
        <v>216</v>
      </c>
      <c r="L67" s="7" t="str">
        <f>_xlfn.XLOOKUP(DB_25[[#This Row],[Mã sản phẩm]],MD_SKU[Mã SKU],MD_SKU[Tên SKU-rút gọn])</f>
        <v>rPP20L05</v>
      </c>
      <c r="M67" s="7" t="str">
        <f>_xlfn.XLOOKUP(DB_25[[#This Row],[Mã sản phẩm]],MD_SKU[Mã SKU],MD_SKU[Nhóm ngành])</f>
        <v>Hạt PP</v>
      </c>
      <c r="N67" s="7"/>
      <c r="O67" s="47">
        <v>0</v>
      </c>
      <c r="P67" s="47">
        <v>0</v>
      </c>
      <c r="Q67" s="47">
        <v>19</v>
      </c>
      <c r="R67" s="47">
        <v>0</v>
      </c>
      <c r="S67" s="47">
        <v>0</v>
      </c>
      <c r="T67" s="47">
        <v>20</v>
      </c>
      <c r="U67" s="47">
        <v>12</v>
      </c>
      <c r="V67" s="47">
        <v>0</v>
      </c>
      <c r="W67" s="110">
        <f ca="1">SUMIFS(Data_Actual_LG_EXW[SL],Data_Actual_LG_EXW[Year],2025,Data_Actual_LG_EXW[Month],'DB 2025'!W$1,Data_Actual_LG_EXW[Mã KH],DB_25[[#This Row],[Mã khách]],Data_Actual_LG_EXW[Mã SKU],DB_25[[#This Row],[Mã sản phẩm]])/10^3</f>
        <v>16</v>
      </c>
      <c r="X67" s="33"/>
      <c r="Y67" s="33">
        <v>18</v>
      </c>
      <c r="Z67" s="33"/>
      <c r="AA67" s="19">
        <f ca="1">SUM(DB_25[[#This Row],[SL-01]:[SL-12]])</f>
        <v>85</v>
      </c>
      <c r="AB67" s="7"/>
      <c r="AC67" s="20">
        <f ca="1">DB_25[[#This Row],[SL-DB25]]-DB_25[[#This Row],[SL-KH25]]</f>
        <v>85</v>
      </c>
      <c r="AD67" s="21">
        <f ca="1">IFERROR(DB_25[[#This Row],[SL-+/-]]/DB_25[[#This Row],[SL-KH25]],0)</f>
        <v>0</v>
      </c>
      <c r="AE67" s="23">
        <v>0</v>
      </c>
      <c r="AF67" s="23">
        <v>0</v>
      </c>
      <c r="AG67" s="23">
        <v>1051.2031900968072</v>
      </c>
      <c r="AH67" s="23">
        <v>0</v>
      </c>
      <c r="AI67" s="23">
        <v>0</v>
      </c>
      <c r="AJ67" s="23">
        <v>1055.7065506125082</v>
      </c>
      <c r="AK67" s="23">
        <v>1052.0476087374902</v>
      </c>
      <c r="AL67" s="23">
        <v>0</v>
      </c>
      <c r="AM67" s="111">
        <v>1050.3010222222224</v>
      </c>
      <c r="AN67" s="51">
        <f ca="1">IFERROR(SUM(DB_25[[#This Row],[DT-01-USD]:[DT-09-USD]])/SUM(DB_25[[#This Row],[SL-01]:[SL-09]]),0)</f>
        <v>1052.4832729029094</v>
      </c>
      <c r="AO67" s="51">
        <f ca="1">DB_25[[#This Row],[GB-10]]</f>
        <v>1052.4832729029094</v>
      </c>
      <c r="AP67" s="51">
        <f ca="1">DB_25[[#This Row],[GB-11]]</f>
        <v>1052.4832729029094</v>
      </c>
      <c r="AQ67" s="7"/>
      <c r="AR67" s="7"/>
      <c r="AS67" s="7"/>
      <c r="AT67" s="7"/>
      <c r="AU67" s="47">
        <v>0</v>
      </c>
      <c r="AV67" s="47">
        <v>0</v>
      </c>
      <c r="AW67" s="47">
        <v>506911202.32848233</v>
      </c>
      <c r="AX67" s="47">
        <v>0</v>
      </c>
      <c r="AY67" s="47">
        <v>0</v>
      </c>
      <c r="AZ67" s="47">
        <v>545800286.66666675</v>
      </c>
      <c r="BA67" s="47">
        <v>327986362.5</v>
      </c>
      <c r="BB67" s="47">
        <v>0</v>
      </c>
      <c r="BC67" s="47">
        <v>441126429.33333337</v>
      </c>
      <c r="BD67" s="19">
        <f ca="1">DB_25[[#This Row],[SL-10]]*DB_25[[#This Row],[GB-10]]*BD$2/10^3</f>
        <v>0</v>
      </c>
      <c r="BE67" s="19">
        <f ca="1">DB_25[[#This Row],[SL-11]]*DB_25[[#This Row],[GB-11]]*BE$2/10^3</f>
        <v>496351.11150101211</v>
      </c>
      <c r="BF67" s="19">
        <f ca="1">DB_25[[#This Row],[SL-12]]*DB_25[[#This Row],[GB-12]]*BF$2/10^3</f>
        <v>0</v>
      </c>
      <c r="BG67" s="47">
        <f ca="1">SUM(DB_25[[#This Row],[DT-01]:[DT-12]])</f>
        <v>1822320631.9399836</v>
      </c>
      <c r="BH67" s="7"/>
      <c r="BI67" s="7"/>
      <c r="BJ67" s="7"/>
      <c r="BK67" s="50">
        <v>0</v>
      </c>
      <c r="BL67" s="109">
        <v>0</v>
      </c>
      <c r="BM67" s="109">
        <v>19972.860611839336</v>
      </c>
      <c r="BN67" s="109">
        <v>0</v>
      </c>
      <c r="BO67" s="109">
        <v>0</v>
      </c>
      <c r="BP67" s="109">
        <v>21114.131012250164</v>
      </c>
      <c r="BQ67" s="109">
        <v>12624.571304849884</v>
      </c>
      <c r="BR67" s="109">
        <v>0</v>
      </c>
      <c r="BS67" s="109">
        <v>16804.816355555558</v>
      </c>
      <c r="BT67" s="147">
        <f ca="1">DB_25[[#This Row],[SL-10]]*DB_25[[#This Row],[GB-10]]</f>
        <v>0</v>
      </c>
      <c r="BU67" s="147">
        <f ca="1">DB_25[[#This Row],[SL-11]]*DB_25[[#This Row],[GB-11]]</f>
        <v>18944.69891225237</v>
      </c>
      <c r="BV67" s="147">
        <f ca="1">DB_25[[#This Row],[SL-12]]*DB_25[[#This Row],[GB-12]]</f>
        <v>0</v>
      </c>
      <c r="BW67" s="47">
        <f ca="1">SUM(DB_25[[#This Row],[DT-01-USD]:[DT-12-USD]])</f>
        <v>89461.078196747301</v>
      </c>
    </row>
    <row r="68" spans="1:75" x14ac:dyDescent="0.35">
      <c r="A68" s="18">
        <f>ROWS($A$6:A68)</f>
        <v>63</v>
      </c>
      <c r="B68" s="18" t="s">
        <v>115</v>
      </c>
      <c r="C68" s="18" t="str">
        <f>IFERROR(_xlfn.XLOOKUP(DB_25[[#This Row],[Salesman]],MD_Salesman[Salesman],MD_Salesman[SalesManager]),"")</f>
        <v>Quốc Anh</v>
      </c>
      <c r="D68" s="7" t="s">
        <v>638</v>
      </c>
      <c r="E68" s="7" t="s">
        <v>52</v>
      </c>
      <c r="F68" s="7"/>
      <c r="G68" s="7" t="str">
        <f>_xlfn.XLOOKUP(DB_25[[#This Row],[Mã khách]],MD_Customer[Mã khách],MD_Customer[Kênh bán hàng])</f>
        <v>Nội địa</v>
      </c>
      <c r="H68" s="7"/>
      <c r="I68" s="7"/>
      <c r="J68" s="7"/>
      <c r="K68" s="7" t="s">
        <v>185</v>
      </c>
      <c r="L68" s="7" t="str">
        <f>_xlfn.XLOOKUP(DB_25[[#This Row],[Mã sản phẩm]],MD_SKU[Mã SKU],MD_SKU[Tên SKU-rút gọn])</f>
        <v>rHDB04B01</v>
      </c>
      <c r="M68" s="7" t="str">
        <f>_xlfn.XLOOKUP(DB_25[[#This Row],[Mã sản phẩm]],MD_SKU[Mã SKU],MD_SKU[Nhóm ngành])</f>
        <v>Hạt HD thổi</v>
      </c>
      <c r="N68" s="7"/>
      <c r="O68" s="47">
        <v>0</v>
      </c>
      <c r="P68" s="47">
        <v>0</v>
      </c>
      <c r="Q68" s="47">
        <v>0</v>
      </c>
      <c r="R68" s="47">
        <v>1</v>
      </c>
      <c r="S68" s="47">
        <v>0</v>
      </c>
      <c r="T68" s="47">
        <v>28.125</v>
      </c>
      <c r="U68" s="47">
        <v>22</v>
      </c>
      <c r="V68" s="47">
        <v>23.375</v>
      </c>
      <c r="W68" s="110">
        <f ca="1">SUMIFS(Data_Actual_LG_EXW[SL],Data_Actual_LG_EXW[Year],2025,Data_Actual_LG_EXW[Month],'DB 2025'!W$1,Data_Actual_LG_EXW[Mã KH],DB_25[[#This Row],[Mã khách]],Data_Actual_LG_EXW[Mã SKU],DB_25[[#This Row],[Mã sản phẩm]])/10^3</f>
        <v>48.125</v>
      </c>
      <c r="X68" s="33"/>
      <c r="Y68" s="33"/>
      <c r="Z68" s="33"/>
      <c r="AA68" s="19">
        <f ca="1">SUM(DB_25[[#This Row],[SL-01]:[SL-12]])</f>
        <v>122.625</v>
      </c>
      <c r="AB68" s="7"/>
      <c r="AC68" s="20">
        <f ca="1">DB_25[[#This Row],[SL-DB25]]-DB_25[[#This Row],[SL-KH25]]</f>
        <v>122.625</v>
      </c>
      <c r="AD68" s="21">
        <f ca="1">IFERROR(DB_25[[#This Row],[SL-+/-]]/DB_25[[#This Row],[SL-KH25]],0)</f>
        <v>0</v>
      </c>
      <c r="AE68" s="23">
        <v>0</v>
      </c>
      <c r="AF68" s="23">
        <v>0</v>
      </c>
      <c r="AG68" s="23">
        <v>0</v>
      </c>
      <c r="AH68" s="23">
        <v>650.53659576400605</v>
      </c>
      <c r="AI68" s="23">
        <v>0</v>
      </c>
      <c r="AJ68" s="23">
        <v>610.86379087555702</v>
      </c>
      <c r="AK68" s="23">
        <v>598.69510100239165</v>
      </c>
      <c r="AL68" s="23">
        <v>602.3327388813907</v>
      </c>
      <c r="AM68" s="111">
        <v>600.55117209352761</v>
      </c>
      <c r="AN68" s="51">
        <f ca="1">IFERROR(SUM(DB_25[[#This Row],[DT-01-USD]:[DT-09-USD]])/SUM(DB_25[[#This Row],[SL-01]:[SL-09]]),0)</f>
        <v>603.33069002687205</v>
      </c>
      <c r="AO68" s="51">
        <f ca="1">DB_25[[#This Row],[GB-10]]</f>
        <v>603.33069002687205</v>
      </c>
      <c r="AP68" s="51">
        <f ca="1">DB_25[[#This Row],[GB-11]]</f>
        <v>603.33069002687205</v>
      </c>
      <c r="AQ68" s="7"/>
      <c r="AR68" s="7"/>
      <c r="AS68" s="7"/>
      <c r="AT68" s="7"/>
      <c r="AU68" s="47">
        <v>0</v>
      </c>
      <c r="AV68" s="47">
        <v>0</v>
      </c>
      <c r="AW68" s="47">
        <v>0</v>
      </c>
      <c r="AX68" s="47">
        <v>16700000</v>
      </c>
      <c r="AY68" s="47">
        <v>0</v>
      </c>
      <c r="AZ68" s="47">
        <v>445232292</v>
      </c>
      <c r="BA68" s="47">
        <v>342296300</v>
      </c>
      <c r="BB68" s="47">
        <v>367939819</v>
      </c>
      <c r="BC68" s="47">
        <v>757523153</v>
      </c>
      <c r="BD68" s="19">
        <f ca="1">DB_25[[#This Row],[SL-10]]*DB_25[[#This Row],[GB-10]]*BD$2/10^3</f>
        <v>0</v>
      </c>
      <c r="BE68" s="19">
        <f ca="1">DB_25[[#This Row],[SL-11]]*DB_25[[#This Row],[GB-11]]*BE$2/10^3</f>
        <v>0</v>
      </c>
      <c r="BF68" s="19">
        <f ca="1">DB_25[[#This Row],[SL-12]]*DB_25[[#This Row],[GB-12]]*BF$2/10^3</f>
        <v>0</v>
      </c>
      <c r="BG68" s="47">
        <f ca="1">SUM(DB_25[[#This Row],[DT-01]:[DT-12]])</f>
        <v>1929691564</v>
      </c>
      <c r="BH68" s="7"/>
      <c r="BI68" s="7"/>
      <c r="BJ68" s="7"/>
      <c r="BK68" s="50">
        <v>0</v>
      </c>
      <c r="BL68" s="109">
        <v>0</v>
      </c>
      <c r="BM68" s="109">
        <v>0</v>
      </c>
      <c r="BN68" s="109">
        <v>650.53659576400605</v>
      </c>
      <c r="BO68" s="109">
        <v>0</v>
      </c>
      <c r="BP68" s="109">
        <v>17180.544118375041</v>
      </c>
      <c r="BQ68" s="109">
        <v>13171.292222052616</v>
      </c>
      <c r="BR68" s="109">
        <v>14079.527771352507</v>
      </c>
      <c r="BS68" s="109">
        <v>28901.525157001015</v>
      </c>
      <c r="BT68" s="147">
        <f ca="1">DB_25[[#This Row],[SL-10]]*DB_25[[#This Row],[GB-10]]</f>
        <v>0</v>
      </c>
      <c r="BU68" s="147">
        <f ca="1">DB_25[[#This Row],[SL-11]]*DB_25[[#This Row],[GB-11]]</f>
        <v>0</v>
      </c>
      <c r="BV68" s="147">
        <f ca="1">DB_25[[#This Row],[SL-12]]*DB_25[[#This Row],[GB-12]]</f>
        <v>0</v>
      </c>
      <c r="BW68" s="47">
        <f ca="1">SUM(DB_25[[#This Row],[DT-01-USD]:[DT-12-USD]])</f>
        <v>73983.425864545192</v>
      </c>
    </row>
    <row r="69" spans="1:75" x14ac:dyDescent="0.35">
      <c r="A69" s="18">
        <f>ROWS($A$6:A69)</f>
        <v>64</v>
      </c>
      <c r="B69" s="18" t="s">
        <v>115</v>
      </c>
      <c r="C69" s="18" t="str">
        <f>IFERROR(_xlfn.XLOOKUP(DB_25[[#This Row],[Salesman]],MD_Salesman[Salesman],MD_Salesman[SalesManager]),"")</f>
        <v>Quốc Anh</v>
      </c>
      <c r="D69" s="7" t="s">
        <v>639</v>
      </c>
      <c r="E69" s="7" t="s">
        <v>25</v>
      </c>
      <c r="F69" s="7"/>
      <c r="G69" s="7" t="str">
        <f>_xlfn.XLOOKUP(DB_25[[#This Row],[Mã khách]],MD_Customer[Mã khách],MD_Customer[Kênh bán hàng])</f>
        <v>Nội địa</v>
      </c>
      <c r="H69" s="7"/>
      <c r="I69" s="7"/>
      <c r="J69" s="7"/>
      <c r="K69" s="7" t="s">
        <v>182</v>
      </c>
      <c r="L69" s="7" t="str">
        <f>_xlfn.XLOOKUP(DB_25[[#This Row],[Mã sản phẩm]],MD_SKU[Mã SKU],MD_SKU[Tên SKU-rút gọn])</f>
        <v>WSS05SB</v>
      </c>
      <c r="M69" s="7" t="str">
        <f>_xlfn.XLOOKUP(DB_25[[#This Row],[Mã sản phẩm]],MD_SKU[Mã SKU],MD_SKU[Nhóm ngành])</f>
        <v>Hạt Xơ sợi</v>
      </c>
      <c r="N69" s="7"/>
      <c r="O69" s="47">
        <v>0</v>
      </c>
      <c r="P69" s="47">
        <v>0</v>
      </c>
      <c r="Q69" s="47">
        <v>0</v>
      </c>
      <c r="R69" s="47">
        <v>0</v>
      </c>
      <c r="S69" s="47">
        <v>0</v>
      </c>
      <c r="T69" s="47">
        <v>0</v>
      </c>
      <c r="U69" s="47">
        <v>0</v>
      </c>
      <c r="V69" s="47">
        <v>10.5</v>
      </c>
      <c r="W69" s="110">
        <f ca="1">SUMIFS(Data_Actual_LG_EXW[SL],Data_Actual_LG_EXW[Year],2025,Data_Actual_LG_EXW[Month],'DB 2025'!W$1,Data_Actual_LG_EXW[Mã KH],DB_25[[#This Row],[Mã khách]],Data_Actual_LG_EXW[Mã SKU],DB_25[[#This Row],[Mã sản phẩm]])/10^3</f>
        <v>25.2</v>
      </c>
      <c r="X69" s="33">
        <v>12.6</v>
      </c>
      <c r="Y69" s="33">
        <v>12.6</v>
      </c>
      <c r="Z69" s="33">
        <v>12.6</v>
      </c>
      <c r="AA69" s="19">
        <f ca="1">SUM(DB_25[[#This Row],[SL-01]:[SL-12]])</f>
        <v>73.5</v>
      </c>
      <c r="AB69" s="7"/>
      <c r="AC69" s="20">
        <f ca="1">DB_25[[#This Row],[SL-DB25]]-DB_25[[#This Row],[SL-KH25]]</f>
        <v>73.5</v>
      </c>
      <c r="AD69" s="21">
        <f ca="1">IFERROR(DB_25[[#This Row],[SL-+/-]]/DB_25[[#This Row],[SL-KH25]],0)</f>
        <v>0</v>
      </c>
      <c r="AE69" s="23">
        <v>0</v>
      </c>
      <c r="AF69" s="23">
        <v>0</v>
      </c>
      <c r="AG69" s="23">
        <v>0</v>
      </c>
      <c r="AH69" s="23">
        <v>0</v>
      </c>
      <c r="AI69" s="23">
        <v>0</v>
      </c>
      <c r="AJ69" s="23">
        <v>0</v>
      </c>
      <c r="AK69" s="23">
        <v>0</v>
      </c>
      <c r="AL69" s="23">
        <v>675.09126825661133</v>
      </c>
      <c r="AM69" s="111">
        <v>673.13515905273562</v>
      </c>
      <c r="AN69" s="51">
        <f ca="1">IFERROR(SUM(DB_25[[#This Row],[DT-01-USD]:[DT-09-USD]])/SUM(DB_25[[#This Row],[SL-01]:[SL-09]]),0)</f>
        <v>673.71048528916958</v>
      </c>
      <c r="AO69" s="51">
        <f ca="1">DB_25[[#This Row],[GB-10]]</f>
        <v>673.71048528916958</v>
      </c>
      <c r="AP69" s="51">
        <f ca="1">DB_25[[#This Row],[GB-11]]</f>
        <v>673.71048528916958</v>
      </c>
      <c r="AQ69" s="7"/>
      <c r="AR69" s="7"/>
      <c r="AS69" s="7"/>
      <c r="AT69" s="7"/>
      <c r="AU69" s="47">
        <v>0</v>
      </c>
      <c r="AV69" s="47">
        <v>0</v>
      </c>
      <c r="AW69" s="47">
        <v>0</v>
      </c>
      <c r="AX69" s="47">
        <v>0</v>
      </c>
      <c r="AY69" s="47">
        <v>0</v>
      </c>
      <c r="AZ69" s="47">
        <v>0</v>
      </c>
      <c r="BA69" s="47">
        <v>0</v>
      </c>
      <c r="BB69" s="47">
        <v>185242439.40484428</v>
      </c>
      <c r="BC69" s="47">
        <v>444608709.25779039</v>
      </c>
      <c r="BD69" s="19">
        <f ca="1">DB_25[[#This Row],[SL-10]]*DB_25[[#This Row],[GB-10]]*BD$2/10^3</f>
        <v>222405.30540366063</v>
      </c>
      <c r="BE69" s="19">
        <f ca="1">DB_25[[#This Row],[SL-11]]*DB_25[[#This Row],[GB-11]]*BE$2/10^3</f>
        <v>222405.30540366063</v>
      </c>
      <c r="BF69" s="19">
        <f ca="1">DB_25[[#This Row],[SL-12]]*DB_25[[#This Row],[GB-12]]*BF$2/10^3</f>
        <v>222405.30540366063</v>
      </c>
      <c r="BG69" s="47">
        <f ca="1">SUM(DB_25[[#This Row],[DT-01]:[DT-12]])</f>
        <v>630518364.57884574</v>
      </c>
      <c r="BH69" s="7"/>
      <c r="BI69" s="7"/>
      <c r="BJ69" s="7"/>
      <c r="BK69" s="50">
        <v>0</v>
      </c>
      <c r="BL69" s="109">
        <v>0</v>
      </c>
      <c r="BM69" s="109">
        <v>0</v>
      </c>
      <c r="BN69" s="109">
        <v>0</v>
      </c>
      <c r="BO69" s="109">
        <v>0</v>
      </c>
      <c r="BP69" s="109">
        <v>0</v>
      </c>
      <c r="BQ69" s="109">
        <v>0</v>
      </c>
      <c r="BR69" s="109">
        <v>7088.4583166944185</v>
      </c>
      <c r="BS69" s="109">
        <v>16963.006008128938</v>
      </c>
      <c r="BT69" s="147">
        <f ca="1">DB_25[[#This Row],[SL-10]]*DB_25[[#This Row],[GB-10]]</f>
        <v>8488.7521146435356</v>
      </c>
      <c r="BU69" s="147">
        <f ca="1">DB_25[[#This Row],[SL-11]]*DB_25[[#This Row],[GB-11]]</f>
        <v>8488.7521146435356</v>
      </c>
      <c r="BV69" s="147">
        <f ca="1">DB_25[[#This Row],[SL-12]]*DB_25[[#This Row],[GB-12]]</f>
        <v>8488.7521146435356</v>
      </c>
      <c r="BW69" s="47">
        <f ca="1">SUM(DB_25[[#This Row],[DT-01-USD]:[DT-12-USD]])</f>
        <v>49517.720668753958</v>
      </c>
    </row>
    <row r="70" spans="1:75" x14ac:dyDescent="0.35">
      <c r="A70" s="18">
        <f>ROWS($A$6:A70)</f>
        <v>65</v>
      </c>
      <c r="B70" s="18" t="s">
        <v>115</v>
      </c>
      <c r="C70" s="18" t="str">
        <f>IFERROR(_xlfn.XLOOKUP(DB_25[[#This Row],[Salesman]],MD_Salesman[Salesman],MD_Salesman[SalesManager]),"")</f>
        <v>Quốc Anh</v>
      </c>
      <c r="D70" s="7" t="s">
        <v>628</v>
      </c>
      <c r="E70" s="7" t="s">
        <v>57</v>
      </c>
      <c r="F70" s="7"/>
      <c r="G70" s="7" t="str">
        <f>_xlfn.XLOOKUP(DB_25[[#This Row],[Mã khách]],MD_Customer[Mã khách],MD_Customer[Kênh bán hàng])</f>
        <v>Nội địa</v>
      </c>
      <c r="H70" s="7"/>
      <c r="I70" s="7"/>
      <c r="J70" s="7"/>
      <c r="K70" s="7" t="s">
        <v>200</v>
      </c>
      <c r="L70" s="7" t="str">
        <f>_xlfn.XLOOKUP(DB_25[[#This Row],[Mã sản phẩm]],MD_SKU[Mã SKU],MD_SKU[Tên SKU-rút gọn])</f>
        <v>Vảy HD Ép Đỏ</v>
      </c>
      <c r="M70" s="7" t="str">
        <f>_xlfn.XLOOKUP(DB_25[[#This Row],[Mã sản phẩm]],MD_SKU[Mã SKU],MD_SKU[Nhóm ngành])</f>
        <v>Vảy HD ép</v>
      </c>
      <c r="N70" s="7"/>
      <c r="O70" s="47">
        <v>0</v>
      </c>
      <c r="P70" s="47">
        <v>0</v>
      </c>
      <c r="Q70" s="47">
        <v>0.05</v>
      </c>
      <c r="R70" s="47">
        <v>6</v>
      </c>
      <c r="S70" s="47">
        <v>15</v>
      </c>
      <c r="T70" s="47">
        <v>6</v>
      </c>
      <c r="U70" s="47">
        <v>7.5</v>
      </c>
      <c r="V70" s="47">
        <v>5.25</v>
      </c>
      <c r="W70" s="110">
        <f ca="1">SUMIFS(Data_Actual_LG_EXW[SL],Data_Actual_LG_EXW[Year],2025,Data_Actual_LG_EXW[Month],'DB 2025'!W$1,Data_Actual_LG_EXW[Mã KH],DB_25[[#This Row],[Mã khách]],Data_Actual_LG_EXW[Mã SKU],DB_25[[#This Row],[Mã sản phẩm]])/10^3</f>
        <v>0</v>
      </c>
      <c r="X70" s="33">
        <v>11</v>
      </c>
      <c r="Y70" s="33">
        <v>11</v>
      </c>
      <c r="Z70" s="33">
        <v>11</v>
      </c>
      <c r="AA70" s="19">
        <f ca="1">SUM(DB_25[[#This Row],[SL-01]:[SL-12]])</f>
        <v>72.8</v>
      </c>
      <c r="AB70" s="7"/>
      <c r="AC70" s="20">
        <f ca="1">DB_25[[#This Row],[SL-DB25]]-DB_25[[#This Row],[SL-KH25]]</f>
        <v>72.8</v>
      </c>
      <c r="AD70" s="21">
        <f ca="1">IFERROR(DB_25[[#This Row],[SL-+/-]]/DB_25[[#This Row],[SL-KH25]],0)</f>
        <v>0</v>
      </c>
      <c r="AE70" s="23">
        <v>0</v>
      </c>
      <c r="AF70" s="23">
        <v>0</v>
      </c>
      <c r="AG70" s="23">
        <v>675.07782253455139</v>
      </c>
      <c r="AH70" s="23">
        <v>622.45208854211114</v>
      </c>
      <c r="AI70" s="23">
        <v>616.97736706798912</v>
      </c>
      <c r="AJ70" s="23">
        <v>613.73796167740022</v>
      </c>
      <c r="AK70" s="23">
        <v>653.6793114031102</v>
      </c>
      <c r="AL70" s="23">
        <v>608.75683616335937</v>
      </c>
      <c r="AM70" s="111">
        <v>0</v>
      </c>
      <c r="AN70" s="51">
        <f ca="1">IFERROR(SUM(DB_25[[#This Row],[DT-01-USD]:[DT-09-USD]])/SUM(DB_25[[#This Row],[SL-01]:[SL-09]]),0)</f>
        <v>623.21916894081903</v>
      </c>
      <c r="AO70" s="51">
        <f ca="1">DB_25[[#This Row],[GB-10]]</f>
        <v>623.21916894081903</v>
      </c>
      <c r="AP70" s="51">
        <f ca="1">DB_25[[#This Row],[GB-11]]</f>
        <v>623.21916894081903</v>
      </c>
      <c r="AQ70" s="7"/>
      <c r="AR70" s="7"/>
      <c r="AS70" s="7"/>
      <c r="AT70" s="7"/>
      <c r="AU70" s="47">
        <v>0</v>
      </c>
      <c r="AV70" s="47">
        <v>0</v>
      </c>
      <c r="AW70" s="47">
        <v>856482</v>
      </c>
      <c r="AX70" s="47">
        <v>95874236.250569493</v>
      </c>
      <c r="AY70" s="47">
        <v>238574479.65862709</v>
      </c>
      <c r="AZ70" s="47">
        <v>95429792.263488084</v>
      </c>
      <c r="BA70" s="47">
        <v>127408916.62771274</v>
      </c>
      <c r="BB70" s="47">
        <v>83520263.583391011</v>
      </c>
      <c r="BC70" s="47">
        <v>0</v>
      </c>
      <c r="BD70" s="19">
        <f ca="1">DB_25[[#This Row],[SL-10]]*DB_25[[#This Row],[GB-10]]*BD$2/10^3</f>
        <v>179611.76448874405</v>
      </c>
      <c r="BE70" s="19">
        <f ca="1">DB_25[[#This Row],[SL-11]]*DB_25[[#This Row],[GB-11]]*BE$2/10^3</f>
        <v>179611.76448874405</v>
      </c>
      <c r="BF70" s="19">
        <f ca="1">DB_25[[#This Row],[SL-12]]*DB_25[[#This Row],[GB-12]]*BF$2/10^3</f>
        <v>179611.76448874405</v>
      </c>
      <c r="BG70" s="47">
        <f ca="1">SUM(DB_25[[#This Row],[DT-01]:[DT-12]])</f>
        <v>642203005.67725444</v>
      </c>
      <c r="BH70" s="7"/>
      <c r="BI70" s="7"/>
      <c r="BJ70" s="7"/>
      <c r="BK70" s="50">
        <v>0</v>
      </c>
      <c r="BL70" s="109">
        <v>0</v>
      </c>
      <c r="BM70" s="109">
        <v>33.753891126727574</v>
      </c>
      <c r="BN70" s="109">
        <v>3734.7125312526668</v>
      </c>
      <c r="BO70" s="109">
        <v>9254.6605060198362</v>
      </c>
      <c r="BP70" s="109">
        <v>3682.4277700644011</v>
      </c>
      <c r="BQ70" s="109">
        <v>4902.5948355233268</v>
      </c>
      <c r="BR70" s="109">
        <v>3195.9733898576364</v>
      </c>
      <c r="BS70" s="109">
        <v>0</v>
      </c>
      <c r="BT70" s="147">
        <f ca="1">DB_25[[#This Row],[SL-10]]*DB_25[[#This Row],[GB-10]]</f>
        <v>6855.4108583490097</v>
      </c>
      <c r="BU70" s="147">
        <f ca="1">DB_25[[#This Row],[SL-11]]*DB_25[[#This Row],[GB-11]]</f>
        <v>6855.4108583490097</v>
      </c>
      <c r="BV70" s="147">
        <f ca="1">DB_25[[#This Row],[SL-12]]*DB_25[[#This Row],[GB-12]]</f>
        <v>6855.4108583490097</v>
      </c>
      <c r="BW70" s="47">
        <f ca="1">SUM(DB_25[[#This Row],[DT-01-USD]:[DT-12-USD]])</f>
        <v>45370.355498891622</v>
      </c>
    </row>
    <row r="71" spans="1:75" x14ac:dyDescent="0.35">
      <c r="A71" s="18">
        <f>ROWS($A$6:A71)</f>
        <v>66</v>
      </c>
      <c r="B71" s="18" t="s">
        <v>104</v>
      </c>
      <c r="C71" s="18" t="str">
        <f>IFERROR(_xlfn.XLOOKUP(DB_25[[#This Row],[Salesman]],MD_Salesman[Salesman],MD_Salesman[SalesManager]),"")</f>
        <v>Quốc Anh</v>
      </c>
      <c r="D71" s="7" t="s">
        <v>640</v>
      </c>
      <c r="E71" s="7" t="s">
        <v>552</v>
      </c>
      <c r="F71" s="7"/>
      <c r="G71" s="7" t="str">
        <f>_xlfn.XLOOKUP(DB_25[[#This Row],[Mã khách]],MD_Customer[Mã khách],MD_Customer[Kênh bán hàng])</f>
        <v>Nội địa</v>
      </c>
      <c r="H71" s="7"/>
      <c r="I71" s="7"/>
      <c r="J71" s="7"/>
      <c r="K71" s="7" t="s">
        <v>168</v>
      </c>
      <c r="L71" s="7" t="str">
        <f>_xlfn.XLOOKUP(DB_25[[#This Row],[Mã sản phẩm]],MD_SKU[Mã SKU],MD_SKU[Tên SKU-rút gọn])</f>
        <v>iSS1084G</v>
      </c>
      <c r="M71" s="7" t="str">
        <f>_xlfn.XLOOKUP(DB_25[[#This Row],[Mã sản phẩm]],MD_SKU[Mã SKU],MD_SKU[Nhóm ngành])</f>
        <v>Hạt PET</v>
      </c>
      <c r="N71" s="7"/>
      <c r="O71" s="47">
        <v>72.599999999999994</v>
      </c>
      <c r="P71" s="47">
        <v>0</v>
      </c>
      <c r="Q71" s="47">
        <v>0</v>
      </c>
      <c r="R71" s="47">
        <v>0</v>
      </c>
      <c r="S71" s="47">
        <v>0</v>
      </c>
      <c r="T71" s="47">
        <v>0</v>
      </c>
      <c r="U71" s="47">
        <v>0</v>
      </c>
      <c r="V71" s="47">
        <v>0</v>
      </c>
      <c r="W71" s="110">
        <f ca="1">SUMIFS(Data_Actual_LG_EXW[SL],Data_Actual_LG_EXW[Year],2025,Data_Actual_LG_EXW[Month],'DB 2025'!W$1,Data_Actual_LG_EXW[Mã KH],DB_25[[#This Row],[Mã khách]],Data_Actual_LG_EXW[Mã SKU],DB_25[[#This Row],[Mã sản phẩm]])/10^3</f>
        <v>0</v>
      </c>
      <c r="X71" s="33"/>
      <c r="Y71" s="33"/>
      <c r="Z71" s="33"/>
      <c r="AA71" s="19">
        <f ca="1">SUM(DB_25[[#This Row],[SL-01]:[SL-12]])</f>
        <v>72.599999999999994</v>
      </c>
      <c r="AB71" s="7"/>
      <c r="AC71" s="20">
        <f ca="1">DB_25[[#This Row],[SL-DB25]]-DB_25[[#This Row],[SL-KH25]]</f>
        <v>72.599999999999994</v>
      </c>
      <c r="AD71" s="21">
        <f ca="1">IFERROR(DB_25[[#This Row],[SL-+/-]]/DB_25[[#This Row],[SL-KH25]],0)</f>
        <v>0</v>
      </c>
      <c r="AE71" s="23">
        <v>1326.7662597896319</v>
      </c>
      <c r="AF71" s="23">
        <v>0</v>
      </c>
      <c r="AG71" s="23">
        <v>0</v>
      </c>
      <c r="AH71" s="23">
        <v>0</v>
      </c>
      <c r="AI71" s="23">
        <v>0</v>
      </c>
      <c r="AJ71" s="23">
        <v>0</v>
      </c>
      <c r="AK71" s="23">
        <v>0</v>
      </c>
      <c r="AL71" s="23">
        <v>0</v>
      </c>
      <c r="AM71" s="111">
        <v>0</v>
      </c>
      <c r="AN71" s="51">
        <f ca="1">IFERROR(SUM(DB_25[[#This Row],[DT-01-USD]:[DT-09-USD]])/SUM(DB_25[[#This Row],[SL-01]:[SL-09]]),0)</f>
        <v>1326.7662597896319</v>
      </c>
      <c r="AO71" s="51">
        <f ca="1">DB_25[[#This Row],[GB-10]]</f>
        <v>1326.7662597896319</v>
      </c>
      <c r="AP71" s="51">
        <f ca="1">DB_25[[#This Row],[GB-11]]</f>
        <v>1326.7662597896319</v>
      </c>
      <c r="AQ71" s="7"/>
      <c r="AR71" s="7"/>
      <c r="AS71" s="7"/>
      <c r="AT71" s="7"/>
      <c r="AU71" s="47">
        <v>2427708139.5225377</v>
      </c>
      <c r="AV71" s="47">
        <v>0</v>
      </c>
      <c r="AW71" s="47">
        <v>0</v>
      </c>
      <c r="AX71" s="47">
        <v>0</v>
      </c>
      <c r="AY71" s="47">
        <v>0</v>
      </c>
      <c r="AZ71" s="47">
        <v>0</v>
      </c>
      <c r="BA71" s="47">
        <v>0</v>
      </c>
      <c r="BB71" s="47">
        <v>0</v>
      </c>
      <c r="BC71" s="47">
        <v>0</v>
      </c>
      <c r="BD71" s="19">
        <f ca="1">DB_25[[#This Row],[SL-10]]*DB_25[[#This Row],[GB-10]]*BD$2/10^3</f>
        <v>0</v>
      </c>
      <c r="BE71" s="19">
        <f ca="1">DB_25[[#This Row],[SL-11]]*DB_25[[#This Row],[GB-11]]*BE$2/10^3</f>
        <v>0</v>
      </c>
      <c r="BF71" s="19">
        <f ca="1">DB_25[[#This Row],[SL-12]]*DB_25[[#This Row],[GB-12]]*BF$2/10^3</f>
        <v>0</v>
      </c>
      <c r="BG71" s="47">
        <f ca="1">SUM(DB_25[[#This Row],[DT-01]:[DT-12]])</f>
        <v>2427708139.5225377</v>
      </c>
      <c r="BH71" s="7"/>
      <c r="BI71" s="7"/>
      <c r="BJ71" s="7"/>
      <c r="BK71" s="50">
        <v>96323.230460727267</v>
      </c>
      <c r="BL71" s="109">
        <v>0</v>
      </c>
      <c r="BM71" s="109">
        <v>0</v>
      </c>
      <c r="BN71" s="109">
        <v>0</v>
      </c>
      <c r="BO71" s="109">
        <v>0</v>
      </c>
      <c r="BP71" s="109">
        <v>0</v>
      </c>
      <c r="BQ71" s="109">
        <v>0</v>
      </c>
      <c r="BR71" s="109">
        <v>0</v>
      </c>
      <c r="BS71" s="109">
        <v>0</v>
      </c>
      <c r="BT71" s="147">
        <f ca="1">DB_25[[#This Row],[SL-10]]*DB_25[[#This Row],[GB-10]]</f>
        <v>0</v>
      </c>
      <c r="BU71" s="147">
        <f ca="1">DB_25[[#This Row],[SL-11]]*DB_25[[#This Row],[GB-11]]</f>
        <v>0</v>
      </c>
      <c r="BV71" s="147">
        <f ca="1">DB_25[[#This Row],[SL-12]]*DB_25[[#This Row],[GB-12]]</f>
        <v>0</v>
      </c>
      <c r="BW71" s="47">
        <f ca="1">SUM(DB_25[[#This Row],[DT-01-USD]:[DT-12-USD]])</f>
        <v>96323.230460727267</v>
      </c>
    </row>
    <row r="72" spans="1:75" x14ac:dyDescent="0.35">
      <c r="A72" s="18">
        <f>ROWS($A$6:A72)</f>
        <v>67</v>
      </c>
      <c r="B72" s="18" t="s">
        <v>97</v>
      </c>
      <c r="C72" s="18" t="str">
        <f>IFERROR(_xlfn.XLOOKUP(DB_25[[#This Row],[Salesman]],MD_Salesman[Salesman],MD_Salesman[SalesManager]),"")</f>
        <v>Cường</v>
      </c>
      <c r="D72" s="7" t="s">
        <v>625</v>
      </c>
      <c r="E72" s="7" t="s">
        <v>271</v>
      </c>
      <c r="F72" s="7"/>
      <c r="G72" s="7" t="str">
        <f>_xlfn.XLOOKUP(DB_25[[#This Row],[Mã khách]],MD_Customer[Mã khách],MD_Customer[Kênh bán hàng])</f>
        <v>Nội địa</v>
      </c>
      <c r="H72" s="7"/>
      <c r="I72" s="7"/>
      <c r="J72" s="7"/>
      <c r="K72" s="7" t="s">
        <v>195</v>
      </c>
      <c r="L72" s="7" t="str">
        <f>_xlfn.XLOOKUP(DB_25[[#This Row],[Mã sản phẩm]],MD_SKU[Mã SKU],MD_SKU[Tên SKU-rút gọn])</f>
        <v>rHDI3R01</v>
      </c>
      <c r="M72" s="7" t="str">
        <f>_xlfn.XLOOKUP(DB_25[[#This Row],[Mã sản phẩm]],MD_SKU[Mã SKU],MD_SKU[Nhóm ngành])</f>
        <v>Hạt HD ép</v>
      </c>
      <c r="N72" s="7"/>
      <c r="O72" s="47">
        <v>0</v>
      </c>
      <c r="P72" s="47">
        <v>16.5</v>
      </c>
      <c r="Q72" s="47">
        <v>0</v>
      </c>
      <c r="R72" s="47">
        <v>11</v>
      </c>
      <c r="S72" s="47">
        <v>5.5</v>
      </c>
      <c r="T72" s="47">
        <v>0</v>
      </c>
      <c r="U72" s="47">
        <v>11</v>
      </c>
      <c r="V72" s="47">
        <v>5.5</v>
      </c>
      <c r="W72" s="110">
        <f ca="1">SUMIFS(Data_Actual_LG_EXW[SL],Data_Actual_LG_EXW[Year],2025,Data_Actual_LG_EXW[Month],'DB 2025'!W$1,Data_Actual_LG_EXW[Mã KH],DB_25[[#This Row],[Mã khách]],Data_Actual_LG_EXW[Mã SKU],DB_25[[#This Row],[Mã sản phẩm]])/10^3</f>
        <v>5.5</v>
      </c>
      <c r="X72" s="33">
        <v>5.5</v>
      </c>
      <c r="Y72" s="33">
        <v>5.5</v>
      </c>
      <c r="Z72" s="33">
        <v>5.5</v>
      </c>
      <c r="AA72" s="19">
        <f ca="1">SUM(DB_25[[#This Row],[SL-01]:[SL-12]])</f>
        <v>71.5</v>
      </c>
      <c r="AB72" s="7"/>
      <c r="AC72" s="20">
        <f ca="1">DB_25[[#This Row],[SL-DB25]]-DB_25[[#This Row],[SL-KH25]]</f>
        <v>71.5</v>
      </c>
      <c r="AD72" s="21">
        <f ca="1">IFERROR(DB_25[[#This Row],[SL-+/-]]/DB_25[[#This Row],[SL-KH25]],0)</f>
        <v>0</v>
      </c>
      <c r="AE72" s="23">
        <v>0</v>
      </c>
      <c r="AF72" s="23">
        <v>799.88151222720796</v>
      </c>
      <c r="AG72" s="23">
        <v>0</v>
      </c>
      <c r="AH72" s="23">
        <v>779.08574342994734</v>
      </c>
      <c r="AI72" s="23">
        <v>775.82988082063105</v>
      </c>
      <c r="AJ72" s="23">
        <v>0</v>
      </c>
      <c r="AK72" s="23">
        <v>769.58425913763119</v>
      </c>
      <c r="AL72" s="23">
        <v>765.3168830499701</v>
      </c>
      <c r="AM72" s="111">
        <v>763.05324906685746</v>
      </c>
      <c r="AN72" s="51">
        <f ca="1">IFERROR(SUM(DB_25[[#This Row],[DT-01-USD]:[DT-09-USD]])/SUM(DB_25[[#This Row],[SL-01]:[SL-09]]),0)</f>
        <v>780.11845547542396</v>
      </c>
      <c r="AO72" s="51">
        <f ca="1">DB_25[[#This Row],[GB-10]]</f>
        <v>780.11845547542396</v>
      </c>
      <c r="AP72" s="51">
        <f ca="1">DB_25[[#This Row],[GB-11]]</f>
        <v>780.11845547542396</v>
      </c>
      <c r="AQ72" s="7"/>
      <c r="AR72" s="7"/>
      <c r="AS72" s="7"/>
      <c r="AT72" s="7"/>
      <c r="AU72" s="47">
        <v>0</v>
      </c>
      <c r="AV72" s="47">
        <v>333542550</v>
      </c>
      <c r="AW72" s="47">
        <v>0</v>
      </c>
      <c r="AX72" s="47">
        <v>220000000</v>
      </c>
      <c r="AY72" s="47">
        <v>110000000</v>
      </c>
      <c r="AZ72" s="47">
        <v>0</v>
      </c>
      <c r="BA72" s="47">
        <v>220000000</v>
      </c>
      <c r="BB72" s="47">
        <v>110000000</v>
      </c>
      <c r="BC72" s="47">
        <v>110000000</v>
      </c>
      <c r="BD72" s="19">
        <f ca="1">DB_25[[#This Row],[SL-10]]*DB_25[[#This Row],[GB-10]]*BD$2/10^3</f>
        <v>112415.06943400859</v>
      </c>
      <c r="BE72" s="19">
        <f ca="1">DB_25[[#This Row],[SL-11]]*DB_25[[#This Row],[GB-11]]*BE$2/10^3</f>
        <v>112415.06943400859</v>
      </c>
      <c r="BF72" s="19">
        <f ca="1">DB_25[[#This Row],[SL-12]]*DB_25[[#This Row],[GB-12]]*BF$2/10^3</f>
        <v>112415.06943400859</v>
      </c>
      <c r="BG72" s="47">
        <f ca="1">SUM(DB_25[[#This Row],[DT-01]:[DT-12]])</f>
        <v>1103879795.2083018</v>
      </c>
      <c r="BH72" s="7"/>
      <c r="BI72" s="7"/>
      <c r="BJ72" s="7"/>
      <c r="BK72" s="50">
        <v>0</v>
      </c>
      <c r="BL72" s="109">
        <v>13198.044951748931</v>
      </c>
      <c r="BM72" s="109">
        <v>0</v>
      </c>
      <c r="BN72" s="109">
        <v>8569.9431777294212</v>
      </c>
      <c r="BO72" s="109">
        <v>4267.064344513471</v>
      </c>
      <c r="BP72" s="109">
        <v>0</v>
      </c>
      <c r="BQ72" s="109">
        <v>8465.4268505139426</v>
      </c>
      <c r="BR72" s="109">
        <v>4209.2428567748357</v>
      </c>
      <c r="BS72" s="109">
        <v>4196.792869867716</v>
      </c>
      <c r="BT72" s="147">
        <f ca="1">DB_25[[#This Row],[SL-10]]*DB_25[[#This Row],[GB-10]]</f>
        <v>4290.6515051148317</v>
      </c>
      <c r="BU72" s="147">
        <f ca="1">DB_25[[#This Row],[SL-11]]*DB_25[[#This Row],[GB-11]]</f>
        <v>4290.6515051148317</v>
      </c>
      <c r="BV72" s="147">
        <f ca="1">DB_25[[#This Row],[SL-12]]*DB_25[[#This Row],[GB-12]]</f>
        <v>4290.6515051148317</v>
      </c>
      <c r="BW72" s="47">
        <f ca="1">SUM(DB_25[[#This Row],[DT-01-USD]:[DT-12-USD]])</f>
        <v>55778.469566492808</v>
      </c>
    </row>
    <row r="73" spans="1:75" x14ac:dyDescent="0.35">
      <c r="A73" s="18">
        <f>ROWS($A$6:A73)</f>
        <v>68</v>
      </c>
      <c r="B73" s="18" t="s">
        <v>115</v>
      </c>
      <c r="C73" s="18" t="str">
        <f>IFERROR(_xlfn.XLOOKUP(DB_25[[#This Row],[Salesman]],MD_Salesman[Salesman],MD_Salesman[SalesManager]),"")</f>
        <v>Quốc Anh</v>
      </c>
      <c r="D73" s="7" t="s">
        <v>603</v>
      </c>
      <c r="E73" s="7" t="s">
        <v>56</v>
      </c>
      <c r="F73" s="7"/>
      <c r="G73" s="7" t="str">
        <f>_xlfn.XLOOKUP(DB_25[[#This Row],[Mã khách]],MD_Customer[Mã khách],MD_Customer[Kênh bán hàng])</f>
        <v>Nội địa</v>
      </c>
      <c r="H73" s="7"/>
      <c r="I73" s="7"/>
      <c r="J73" s="7"/>
      <c r="K73" s="72" t="s">
        <v>221</v>
      </c>
      <c r="L73" s="7" t="str">
        <f>_xlfn.XLOOKUP(DB_25[[#This Row],[Mã sản phẩm]],MD_SKU[Mã SKU],MD_SKU[Tên SKU-rút gọn])</f>
        <v>PS HD Ép Hỗn Hợp Cuối SSR</v>
      </c>
      <c r="M73" s="7" t="str">
        <f>_xlfn.XLOOKUP(DB_25[[#This Row],[Mã sản phẩm]],MD_SKU[Mã SKU],MD_SKU[Nhóm ngành])</f>
        <v>Vảy Phó sản HD ép</v>
      </c>
      <c r="N73" s="7"/>
      <c r="O73" s="47"/>
      <c r="P73" s="47"/>
      <c r="Q73" s="47"/>
      <c r="R73" s="47"/>
      <c r="S73" s="47"/>
      <c r="T73" s="47"/>
      <c r="U73" s="47"/>
      <c r="V73" s="47">
        <v>61.828000000000003</v>
      </c>
      <c r="W73" s="110">
        <f ca="1">SUMIFS(Data_Actual_LG_EXW[SL],Data_Actual_LG_EXW[Year],2025,Data_Actual_LG_EXW[Month],'DB 2025'!W$1,Data_Actual_LG_EXW[Mã KH],DB_25[[#This Row],[Mã khách]],Data_Actual_LG_EXW[Mã SKU],DB_25[[#This Row],[Mã sản phẩm]])/10^3</f>
        <v>0</v>
      </c>
      <c r="X73" s="33">
        <v>8.1720000000000006</v>
      </c>
      <c r="Y73" s="33"/>
      <c r="Z73" s="33"/>
      <c r="AA73" s="19">
        <f ca="1">SUM(DB_25[[#This Row],[SL-01]:[SL-12]])</f>
        <v>70</v>
      </c>
      <c r="AB73" s="7"/>
      <c r="AC73" s="20">
        <f ca="1">DB_25[[#This Row],[SL-DB25]]-DB_25[[#This Row],[SL-KH25]]</f>
        <v>70</v>
      </c>
      <c r="AD73" s="21">
        <f ca="1">IFERROR(DB_25[[#This Row],[SL-+/-]]/DB_25[[#This Row],[SL-KH25]],0)</f>
        <v>0</v>
      </c>
      <c r="AE73" s="23">
        <v>0</v>
      </c>
      <c r="AF73" s="23">
        <v>0</v>
      </c>
      <c r="AG73" s="23">
        <v>0</v>
      </c>
      <c r="AH73" s="23">
        <v>0</v>
      </c>
      <c r="AI73" s="23">
        <v>0</v>
      </c>
      <c r="AJ73" s="23">
        <v>0</v>
      </c>
      <c r="AK73" s="23">
        <v>0</v>
      </c>
      <c r="AL73" s="23">
        <v>424.83807355348046</v>
      </c>
      <c r="AM73" s="111">
        <v>0</v>
      </c>
      <c r="AN73" s="51">
        <f ca="1">IFERROR(SUM(DB_25[[#This Row],[DT-01-USD]:[DT-09-USD]])/SUM(DB_25[[#This Row],[SL-01]:[SL-09]]),0)</f>
        <v>424.83807355348046</v>
      </c>
      <c r="AO73" s="51">
        <f ca="1">DB_25[[#This Row],[GB-10]]</f>
        <v>424.83807355348046</v>
      </c>
      <c r="AP73" s="51">
        <f ca="1">DB_25[[#This Row],[GB-11]]</f>
        <v>424.83807355348046</v>
      </c>
      <c r="AQ73" s="7"/>
      <c r="AR73" s="7"/>
      <c r="AS73" s="7"/>
      <c r="AT73" s="7"/>
      <c r="AU73" s="47">
        <v>0</v>
      </c>
      <c r="AV73" s="47">
        <v>0</v>
      </c>
      <c r="AW73" s="47">
        <v>0</v>
      </c>
      <c r="AX73" s="47">
        <v>0</v>
      </c>
      <c r="AY73" s="47">
        <v>0</v>
      </c>
      <c r="AZ73" s="47">
        <v>0</v>
      </c>
      <c r="BA73" s="47">
        <v>0</v>
      </c>
      <c r="BB73" s="47">
        <v>686431698.90581226</v>
      </c>
      <c r="BC73" s="47">
        <v>0</v>
      </c>
      <c r="BD73" s="19">
        <f ca="1">DB_25[[#This Row],[SL-10]]*DB_25[[#This Row],[GB-10]]*BD$2/10^3</f>
        <v>90960.550511470909</v>
      </c>
      <c r="BE73" s="19">
        <f ca="1">DB_25[[#This Row],[SL-11]]*DB_25[[#This Row],[GB-11]]*BE$2/10^3</f>
        <v>0</v>
      </c>
      <c r="BF73" s="19">
        <f ca="1">DB_25[[#This Row],[SL-12]]*DB_25[[#This Row],[GB-12]]*BF$2/10^3</f>
        <v>0</v>
      </c>
      <c r="BG73" s="47">
        <f ca="1">SUM(DB_25[[#This Row],[DT-01]:[DT-12]])</f>
        <v>686522659.45632374</v>
      </c>
      <c r="BH73" s="7"/>
      <c r="BI73" s="7"/>
      <c r="BJ73" s="7"/>
      <c r="BK73" s="50">
        <v>0</v>
      </c>
      <c r="BL73" s="109">
        <v>0</v>
      </c>
      <c r="BM73" s="109">
        <v>0</v>
      </c>
      <c r="BN73" s="109">
        <v>0</v>
      </c>
      <c r="BO73" s="109">
        <v>0</v>
      </c>
      <c r="BP73" s="109">
        <v>0</v>
      </c>
      <c r="BQ73" s="109">
        <v>0</v>
      </c>
      <c r="BR73" s="109">
        <v>26266.88841166459</v>
      </c>
      <c r="BS73" s="109">
        <v>0</v>
      </c>
      <c r="BT73" s="147">
        <f ca="1">DB_25[[#This Row],[SL-10]]*DB_25[[#This Row],[GB-10]]</f>
        <v>3471.7767370790425</v>
      </c>
      <c r="BU73" s="147">
        <f ca="1">DB_25[[#This Row],[SL-11]]*DB_25[[#This Row],[GB-11]]</f>
        <v>0</v>
      </c>
      <c r="BV73" s="147">
        <f ca="1">DB_25[[#This Row],[SL-12]]*DB_25[[#This Row],[GB-12]]</f>
        <v>0</v>
      </c>
      <c r="BW73" s="47">
        <f ca="1">SUM(DB_25[[#This Row],[DT-01-USD]:[DT-12-USD]])</f>
        <v>29738.665148743632</v>
      </c>
    </row>
    <row r="74" spans="1:75" x14ac:dyDescent="0.35">
      <c r="A74" s="18">
        <f>ROWS($A$6:A74)</f>
        <v>69</v>
      </c>
      <c r="B74" s="18" t="s">
        <v>115</v>
      </c>
      <c r="C74" s="18" t="str">
        <f>IFERROR(_xlfn.XLOOKUP(DB_25[[#This Row],[Salesman]],MD_Salesman[Salesman],MD_Salesman[SalesManager]),"")</f>
        <v>Quốc Anh</v>
      </c>
      <c r="D74" s="7" t="s">
        <v>628</v>
      </c>
      <c r="E74" s="7" t="s">
        <v>57</v>
      </c>
      <c r="F74" s="7"/>
      <c r="G74" s="7" t="str">
        <f>_xlfn.XLOOKUP(DB_25[[#This Row],[Mã khách]],MD_Customer[Mã khách],MD_Customer[Kênh bán hàng])</f>
        <v>Nội địa</v>
      </c>
      <c r="H74" s="7"/>
      <c r="I74" s="7"/>
      <c r="J74" s="7"/>
      <c r="K74" s="7" t="s">
        <v>195</v>
      </c>
      <c r="L74" s="7" t="str">
        <f>_xlfn.XLOOKUP(DB_25[[#This Row],[Mã sản phẩm]],MD_SKU[Mã SKU],MD_SKU[Tên SKU-rút gọn])</f>
        <v>rHDI3R01</v>
      </c>
      <c r="M74" s="7" t="str">
        <f>_xlfn.XLOOKUP(DB_25[[#This Row],[Mã sản phẩm]],MD_SKU[Mã SKU],MD_SKU[Nhóm ngành])</f>
        <v>Hạt HD ép</v>
      </c>
      <c r="N74" s="7"/>
      <c r="O74" s="47">
        <v>0</v>
      </c>
      <c r="P74" s="47">
        <v>0</v>
      </c>
      <c r="Q74" s="47">
        <v>0</v>
      </c>
      <c r="R74" s="47">
        <v>1.5</v>
      </c>
      <c r="S74" s="47">
        <v>0</v>
      </c>
      <c r="T74" s="47">
        <v>0</v>
      </c>
      <c r="U74" s="47">
        <v>0</v>
      </c>
      <c r="V74" s="47">
        <v>9.625</v>
      </c>
      <c r="W74" s="110">
        <f ca="1">SUMIFS(Data_Actual_LG_EXW[SL],Data_Actual_LG_EXW[Year],2025,Data_Actual_LG_EXW[Month],'DB 2025'!W$1,Data_Actual_LG_EXW[Mã KH],DB_25[[#This Row],[Mã khách]],Data_Actual_LG_EXW[Mã SKU],DB_25[[#This Row],[Mã sản phẩm]])/10^3</f>
        <v>22</v>
      </c>
      <c r="X74" s="33">
        <v>11</v>
      </c>
      <c r="Y74" s="33">
        <v>11</v>
      </c>
      <c r="Z74" s="33">
        <v>11</v>
      </c>
      <c r="AA74" s="19">
        <f ca="1">SUM(DB_25[[#This Row],[SL-01]:[SL-12]])</f>
        <v>66.125</v>
      </c>
      <c r="AB74" s="7"/>
      <c r="AC74" s="20">
        <f ca="1">DB_25[[#This Row],[SL-DB25]]-DB_25[[#This Row],[SL-KH25]]</f>
        <v>66.125</v>
      </c>
      <c r="AD74" s="21">
        <f ca="1">IFERROR(DB_25[[#This Row],[SL-+/-]]/DB_25[[#This Row],[SL-KH25]],0)</f>
        <v>0</v>
      </c>
      <c r="AE74" s="23">
        <v>0</v>
      </c>
      <c r="AF74" s="23">
        <v>0</v>
      </c>
      <c r="AG74" s="23">
        <v>0</v>
      </c>
      <c r="AH74" s="23">
        <v>703.34128749552747</v>
      </c>
      <c r="AI74" s="23">
        <v>0</v>
      </c>
      <c r="AJ74" s="23">
        <v>0</v>
      </c>
      <c r="AK74" s="23">
        <v>0</v>
      </c>
      <c r="AL74" s="23">
        <v>690.91107409218478</v>
      </c>
      <c r="AM74" s="111">
        <v>688.86751613331035</v>
      </c>
      <c r="AN74" s="51">
        <f ca="1">IFERROR(SUM(DB_25[[#This Row],[DT-01-USD]:[DT-09-USD]])/SUM(DB_25[[#This Row],[SL-01]:[SL-09]]),0)</f>
        <v>690.11672073398927</v>
      </c>
      <c r="AO74" s="51">
        <f ca="1">DB_25[[#This Row],[GB-10]]</f>
        <v>690.11672073398927</v>
      </c>
      <c r="AP74" s="51">
        <f ca="1">DB_25[[#This Row],[GB-11]]</f>
        <v>690.11672073398927</v>
      </c>
      <c r="AQ74" s="7"/>
      <c r="AR74" s="7"/>
      <c r="AS74" s="7"/>
      <c r="AT74" s="7"/>
      <c r="AU74" s="47">
        <v>0</v>
      </c>
      <c r="AV74" s="47">
        <v>0</v>
      </c>
      <c r="AW74" s="47">
        <v>0</v>
      </c>
      <c r="AX74" s="47">
        <v>27083333</v>
      </c>
      <c r="AY74" s="47">
        <v>0</v>
      </c>
      <c r="AZ74" s="47">
        <v>0</v>
      </c>
      <c r="BA74" s="47">
        <v>0</v>
      </c>
      <c r="BB74" s="47">
        <v>173784722</v>
      </c>
      <c r="BC74" s="47">
        <v>397222222</v>
      </c>
      <c r="BD74" s="19">
        <f ca="1">DB_25[[#This Row],[SL-10]]*DB_25[[#This Row],[GB-10]]*BD$2/10^3</f>
        <v>198891.6389155357</v>
      </c>
      <c r="BE74" s="19">
        <f ca="1">DB_25[[#This Row],[SL-11]]*DB_25[[#This Row],[GB-11]]*BE$2/10^3</f>
        <v>198891.6389155357</v>
      </c>
      <c r="BF74" s="19">
        <f ca="1">DB_25[[#This Row],[SL-12]]*DB_25[[#This Row],[GB-12]]*BF$2/10^3</f>
        <v>198891.6389155357</v>
      </c>
      <c r="BG74" s="47">
        <f ca="1">SUM(DB_25[[#This Row],[DT-01]:[DT-12]])</f>
        <v>598686951.91674662</v>
      </c>
      <c r="BH74" s="7"/>
      <c r="BI74" s="7"/>
      <c r="BJ74" s="7"/>
      <c r="BK74" s="50">
        <v>0</v>
      </c>
      <c r="BL74" s="109">
        <v>0</v>
      </c>
      <c r="BM74" s="109">
        <v>0</v>
      </c>
      <c r="BN74" s="109">
        <v>1055.0119312432912</v>
      </c>
      <c r="BO74" s="109">
        <v>0</v>
      </c>
      <c r="BP74" s="109">
        <v>0</v>
      </c>
      <c r="BQ74" s="109">
        <v>0</v>
      </c>
      <c r="BR74" s="109">
        <v>6650.0190881372782</v>
      </c>
      <c r="BS74" s="109">
        <v>15155.085354932828</v>
      </c>
      <c r="BT74" s="147">
        <f ca="1">DB_25[[#This Row],[SL-10]]*DB_25[[#This Row],[GB-10]]</f>
        <v>7591.2839280738817</v>
      </c>
      <c r="BU74" s="147">
        <f ca="1">DB_25[[#This Row],[SL-11]]*DB_25[[#This Row],[GB-11]]</f>
        <v>7591.2839280738817</v>
      </c>
      <c r="BV74" s="147">
        <f ca="1">DB_25[[#This Row],[SL-12]]*DB_25[[#This Row],[GB-12]]</f>
        <v>7591.2839280738817</v>
      </c>
      <c r="BW74" s="47">
        <f ca="1">SUM(DB_25[[#This Row],[DT-01-USD]:[DT-12-USD]])</f>
        <v>45633.968158535041</v>
      </c>
    </row>
    <row r="75" spans="1:75" x14ac:dyDescent="0.35">
      <c r="A75" s="18">
        <f>ROWS($A$6:A75)</f>
        <v>70</v>
      </c>
      <c r="B75" s="18" t="s">
        <v>115</v>
      </c>
      <c r="C75" s="18" t="str">
        <f>IFERROR(_xlfn.XLOOKUP(DB_25[[#This Row],[Salesman]],MD_Salesman[Salesman],MD_Salesman[SalesManager]),"")</f>
        <v>Quốc Anh</v>
      </c>
      <c r="D75" s="7" t="s">
        <v>641</v>
      </c>
      <c r="E75" s="7" t="s">
        <v>125</v>
      </c>
      <c r="F75" s="7"/>
      <c r="G75" s="7" t="str">
        <f>_xlfn.XLOOKUP(DB_25[[#This Row],[Mã khách]],MD_Customer[Mã khách],MD_Customer[Kênh bán hàng])</f>
        <v>Xuất khẩu</v>
      </c>
      <c r="H75" s="7"/>
      <c r="I75" s="7"/>
      <c r="J75" s="7"/>
      <c r="K75" s="7" t="s">
        <v>172</v>
      </c>
      <c r="L75" s="7" t="str">
        <f>_xlfn.XLOOKUP(DB_25[[#This Row],[Mã sản phẩm]],MD_SKU[Mã SKU],MD_SKU[Tên SKU-rút gọn])</f>
        <v>iSS01G 1</v>
      </c>
      <c r="M75" s="7" t="str">
        <f>_xlfn.XLOOKUP(DB_25[[#This Row],[Mã sản phẩm]],MD_SKU[Mã SKU],MD_SKU[Nhóm ngành])</f>
        <v>Hạt PET</v>
      </c>
      <c r="N75" s="7"/>
      <c r="O75" s="47">
        <v>0</v>
      </c>
      <c r="P75" s="47">
        <v>0</v>
      </c>
      <c r="Q75" s="47">
        <v>0</v>
      </c>
      <c r="R75" s="47">
        <v>0</v>
      </c>
      <c r="S75" s="47">
        <v>0</v>
      </c>
      <c r="T75" s="47">
        <v>0</v>
      </c>
      <c r="U75" s="47">
        <v>0</v>
      </c>
      <c r="V75" s="47">
        <v>22</v>
      </c>
      <c r="W75" s="110">
        <f ca="1">SUMIFS(Data_Actual_LG_EXW[SL],Data_Actual_LG_EXW[Year],2025,Data_Actual_LG_EXW[Month],'DB 2025'!W$1,Data_Actual_LG_EXW[Mã KH],DB_25[[#This Row],[Mã khách]],Data_Actual_LG_EXW[Mã SKU],DB_25[[#This Row],[Mã sản phẩm]])/10^3</f>
        <v>0</v>
      </c>
      <c r="X75" s="33">
        <v>44</v>
      </c>
      <c r="Y75" s="33"/>
      <c r="Z75" s="33"/>
      <c r="AA75" s="19">
        <f ca="1">SUM(DB_25[[#This Row],[SL-01]:[SL-12]])</f>
        <v>66</v>
      </c>
      <c r="AB75" s="7"/>
      <c r="AC75" s="20">
        <f ca="1">DB_25[[#This Row],[SL-DB25]]-DB_25[[#This Row],[SL-KH25]]</f>
        <v>66</v>
      </c>
      <c r="AD75" s="21">
        <f ca="1">IFERROR(DB_25[[#This Row],[SL-+/-]]/DB_25[[#This Row],[SL-KH25]],0)</f>
        <v>0</v>
      </c>
      <c r="AE75" s="23">
        <v>0</v>
      </c>
      <c r="AF75" s="23">
        <v>0</v>
      </c>
      <c r="AG75" s="23">
        <v>0</v>
      </c>
      <c r="AH75" s="23">
        <v>0</v>
      </c>
      <c r="AI75" s="23">
        <v>0</v>
      </c>
      <c r="AJ75" s="23">
        <v>0</v>
      </c>
      <c r="AK75" s="23">
        <v>0</v>
      </c>
      <c r="AL75" s="23">
        <v>1244.3039518107066</v>
      </c>
      <c r="AM75" s="111">
        <v>0</v>
      </c>
      <c r="AN75" s="51">
        <f ca="1">IFERROR(SUM(DB_25[[#This Row],[DT-01-USD]:[DT-09-USD]])/SUM(DB_25[[#This Row],[SL-01]:[SL-09]]),0)</f>
        <v>1244.3039518107066</v>
      </c>
      <c r="AO75" s="51">
        <f ca="1">DB_25[[#This Row],[GB-10]]</f>
        <v>1244.3039518107066</v>
      </c>
      <c r="AP75" s="51">
        <f ca="1">DB_25[[#This Row],[GB-11]]</f>
        <v>1244.3039518107066</v>
      </c>
      <c r="AQ75" s="7"/>
      <c r="AR75" s="7"/>
      <c r="AS75" s="7"/>
      <c r="AT75" s="7"/>
      <c r="AU75" s="47">
        <v>0</v>
      </c>
      <c r="AV75" s="47">
        <v>0</v>
      </c>
      <c r="AW75" s="47">
        <v>0</v>
      </c>
      <c r="AX75" s="47">
        <v>0</v>
      </c>
      <c r="AY75" s="47">
        <v>0</v>
      </c>
      <c r="AZ75" s="47">
        <v>0</v>
      </c>
      <c r="BA75" s="47">
        <v>0</v>
      </c>
      <c r="BB75" s="47">
        <v>712836847.91331756</v>
      </c>
      <c r="BC75" s="47">
        <v>0</v>
      </c>
      <c r="BD75" s="19">
        <f ca="1">DB_25[[#This Row],[SL-10]]*DB_25[[#This Row],[GB-10]]*BD$2/10^3</f>
        <v>1434433.5956473825</v>
      </c>
      <c r="BE75" s="19">
        <f ca="1">DB_25[[#This Row],[SL-11]]*DB_25[[#This Row],[GB-11]]*BE$2/10^3</f>
        <v>0</v>
      </c>
      <c r="BF75" s="19">
        <f ca="1">DB_25[[#This Row],[SL-12]]*DB_25[[#This Row],[GB-12]]*BF$2/10^3</f>
        <v>0</v>
      </c>
      <c r="BG75" s="47">
        <f ca="1">SUM(DB_25[[#This Row],[DT-01]:[DT-12]])</f>
        <v>714271281.5089649</v>
      </c>
      <c r="BH75" s="7"/>
      <c r="BI75" s="7"/>
      <c r="BJ75" s="7"/>
      <c r="BK75" s="50">
        <v>0</v>
      </c>
      <c r="BL75" s="109">
        <v>0</v>
      </c>
      <c r="BM75" s="109">
        <v>0</v>
      </c>
      <c r="BN75" s="109">
        <v>0</v>
      </c>
      <c r="BO75" s="109">
        <v>0</v>
      </c>
      <c r="BP75" s="109">
        <v>0</v>
      </c>
      <c r="BQ75" s="109">
        <v>0</v>
      </c>
      <c r="BR75" s="109">
        <v>27374.686939835545</v>
      </c>
      <c r="BS75" s="109">
        <v>0</v>
      </c>
      <c r="BT75" s="147">
        <f ca="1">DB_25[[#This Row],[SL-10]]*DB_25[[#This Row],[GB-10]]</f>
        <v>54749.37387967109</v>
      </c>
      <c r="BU75" s="147">
        <f ca="1">DB_25[[#This Row],[SL-11]]*DB_25[[#This Row],[GB-11]]</f>
        <v>0</v>
      </c>
      <c r="BV75" s="147">
        <f ca="1">DB_25[[#This Row],[SL-12]]*DB_25[[#This Row],[GB-12]]</f>
        <v>0</v>
      </c>
      <c r="BW75" s="47">
        <f ca="1">SUM(DB_25[[#This Row],[DT-01-USD]:[DT-12-USD]])</f>
        <v>82124.060819506631</v>
      </c>
    </row>
    <row r="76" spans="1:75" x14ac:dyDescent="0.35">
      <c r="A76" s="18">
        <f>ROWS($A$6:A76)</f>
        <v>71</v>
      </c>
      <c r="B76" s="18" t="s">
        <v>115</v>
      </c>
      <c r="C76" s="18" t="str">
        <f>IFERROR(_xlfn.XLOOKUP(DB_25[[#This Row],[Salesman]],MD_Salesman[Salesman],MD_Salesman[SalesManager]),"")</f>
        <v>Quốc Anh</v>
      </c>
      <c r="D76" s="7" t="s">
        <v>641</v>
      </c>
      <c r="E76" s="7" t="s">
        <v>125</v>
      </c>
      <c r="F76" s="7"/>
      <c r="G76" s="7" t="str">
        <f>_xlfn.XLOOKUP(DB_25[[#This Row],[Mã khách]],MD_Customer[Mã khách],MD_Customer[Kênh bán hàng])</f>
        <v>Xuất khẩu</v>
      </c>
      <c r="H76" s="7"/>
      <c r="I76" s="7"/>
      <c r="J76" s="7"/>
      <c r="K76" s="7" t="s">
        <v>174</v>
      </c>
      <c r="L76" s="7" t="str">
        <f>_xlfn.XLOOKUP(DB_25[[#This Row],[Mã sản phẩm]],MD_SKU[Mã SKU],MD_SKU[Tên SKU-rút gọn])</f>
        <v>WSS03G</v>
      </c>
      <c r="M76" s="7" t="str">
        <f>_xlfn.XLOOKUP(DB_25[[#This Row],[Mã sản phẩm]],MD_SKU[Mã SKU],MD_SKU[Nhóm ngành])</f>
        <v>Hạt PET</v>
      </c>
      <c r="N76" s="7"/>
      <c r="O76" s="47">
        <v>0</v>
      </c>
      <c r="P76" s="47">
        <v>22</v>
      </c>
      <c r="Q76" s="47">
        <v>0</v>
      </c>
      <c r="R76" s="47">
        <v>0</v>
      </c>
      <c r="S76" s="47">
        <v>0</v>
      </c>
      <c r="T76" s="47">
        <v>0</v>
      </c>
      <c r="U76" s="47">
        <v>44</v>
      </c>
      <c r="V76" s="47">
        <v>0</v>
      </c>
      <c r="W76" s="110">
        <f ca="1">SUMIFS(Data_Actual_LG_EXW[SL],Data_Actual_LG_EXW[Year],2025,Data_Actual_LG_EXW[Month],'DB 2025'!W$1,Data_Actual_LG_EXW[Mã KH],DB_25[[#This Row],[Mã khách]],Data_Actual_LG_EXW[Mã SKU],DB_25[[#This Row],[Mã sản phẩm]])/10^3</f>
        <v>0</v>
      </c>
      <c r="X76" s="33"/>
      <c r="Y76" s="33"/>
      <c r="Z76" s="33"/>
      <c r="AA76" s="19">
        <f ca="1">SUM(DB_25[[#This Row],[SL-01]:[SL-12]])</f>
        <v>66</v>
      </c>
      <c r="AB76" s="7"/>
      <c r="AC76" s="20">
        <f ca="1">DB_25[[#This Row],[SL-DB25]]-DB_25[[#This Row],[SL-KH25]]</f>
        <v>66</v>
      </c>
      <c r="AD76" s="21">
        <f ca="1">IFERROR(DB_25[[#This Row],[SL-+/-]]/DB_25[[#This Row],[SL-KH25]],0)</f>
        <v>0</v>
      </c>
      <c r="AE76" s="23">
        <v>0</v>
      </c>
      <c r="AF76" s="23">
        <v>1069.431430807851</v>
      </c>
      <c r="AG76" s="23">
        <v>0</v>
      </c>
      <c r="AH76" s="23">
        <v>0</v>
      </c>
      <c r="AI76" s="23">
        <v>0</v>
      </c>
      <c r="AJ76" s="23">
        <v>0</v>
      </c>
      <c r="AK76" s="23">
        <v>1127.2931146940439</v>
      </c>
      <c r="AL76" s="23">
        <v>0</v>
      </c>
      <c r="AM76" s="111">
        <v>0</v>
      </c>
      <c r="AN76" s="51">
        <f ca="1">IFERROR(SUM(DB_25[[#This Row],[DT-01-USD]:[DT-09-USD]])/SUM(DB_25[[#This Row],[SL-01]:[SL-09]]),0)</f>
        <v>1108.0058867319797</v>
      </c>
      <c r="AO76" s="51">
        <f ca="1">DB_25[[#This Row],[GB-10]]</f>
        <v>1108.0058867319797</v>
      </c>
      <c r="AP76" s="51">
        <f ca="1">DB_25[[#This Row],[GB-11]]</f>
        <v>1108.0058867319797</v>
      </c>
      <c r="AQ76" s="7"/>
      <c r="AR76" s="7"/>
      <c r="AS76" s="7"/>
      <c r="AT76" s="7"/>
      <c r="AU76" s="47">
        <v>0</v>
      </c>
      <c r="AV76" s="47">
        <v>596421908.96153855</v>
      </c>
      <c r="AW76" s="47">
        <v>0</v>
      </c>
      <c r="AX76" s="47">
        <v>0</v>
      </c>
      <c r="AY76" s="47">
        <v>0</v>
      </c>
      <c r="AZ76" s="47">
        <v>0</v>
      </c>
      <c r="BA76" s="47">
        <v>1287639287.3281248</v>
      </c>
      <c r="BB76" s="47">
        <v>0</v>
      </c>
      <c r="BC76" s="47">
        <v>0</v>
      </c>
      <c r="BD76" s="19">
        <f ca="1">DB_25[[#This Row],[SL-10]]*DB_25[[#This Row],[GB-10]]*BD$2/10^3</f>
        <v>0</v>
      </c>
      <c r="BE76" s="19">
        <f ca="1">DB_25[[#This Row],[SL-11]]*DB_25[[#This Row],[GB-11]]*BE$2/10^3</f>
        <v>0</v>
      </c>
      <c r="BF76" s="19">
        <f ca="1">DB_25[[#This Row],[SL-12]]*DB_25[[#This Row],[GB-12]]*BF$2/10^3</f>
        <v>0</v>
      </c>
      <c r="BG76" s="47">
        <f ca="1">SUM(DB_25[[#This Row],[DT-01]:[DT-12]])</f>
        <v>1884061196.2896633</v>
      </c>
      <c r="BH76" s="7"/>
      <c r="BI76" s="7"/>
      <c r="BJ76" s="7"/>
      <c r="BK76" s="50">
        <v>0</v>
      </c>
      <c r="BL76" s="109">
        <v>23527.491477772724</v>
      </c>
      <c r="BM76" s="109">
        <v>0</v>
      </c>
      <c r="BN76" s="109">
        <v>0</v>
      </c>
      <c r="BO76" s="109">
        <v>0</v>
      </c>
      <c r="BP76" s="109">
        <v>0</v>
      </c>
      <c r="BQ76" s="109">
        <v>49600.897046537932</v>
      </c>
      <c r="BR76" s="109">
        <v>0</v>
      </c>
      <c r="BS76" s="109">
        <v>0</v>
      </c>
      <c r="BT76" s="147">
        <f ca="1">DB_25[[#This Row],[SL-10]]*DB_25[[#This Row],[GB-10]]</f>
        <v>0</v>
      </c>
      <c r="BU76" s="147">
        <f ca="1">DB_25[[#This Row],[SL-11]]*DB_25[[#This Row],[GB-11]]</f>
        <v>0</v>
      </c>
      <c r="BV76" s="147">
        <f ca="1">DB_25[[#This Row],[SL-12]]*DB_25[[#This Row],[GB-12]]</f>
        <v>0</v>
      </c>
      <c r="BW76" s="47">
        <f ca="1">SUM(DB_25[[#This Row],[DT-01-USD]:[DT-12-USD]])</f>
        <v>73128.388524310663</v>
      </c>
    </row>
    <row r="77" spans="1:75" x14ac:dyDescent="0.35">
      <c r="A77" s="18">
        <f>ROWS($A$6:A77)</f>
        <v>72</v>
      </c>
      <c r="B77" s="18" t="s">
        <v>95</v>
      </c>
      <c r="C77" s="18" t="str">
        <f>IFERROR(_xlfn.XLOOKUP(DB_25[[#This Row],[Salesman]],MD_Salesman[Salesman],MD_Salesman[SalesManager]),"")</f>
        <v>Cường</v>
      </c>
      <c r="D77" s="7" t="s">
        <v>642</v>
      </c>
      <c r="E77" s="7" t="s">
        <v>133</v>
      </c>
      <c r="F77" s="7"/>
      <c r="G77" s="7" t="str">
        <f>_xlfn.XLOOKUP(DB_25[[#This Row],[Mã khách]],MD_Customer[Mã khách],MD_Customer[Kênh bán hàng])</f>
        <v>Xuất khẩu</v>
      </c>
      <c r="H77" s="7"/>
      <c r="I77" s="7"/>
      <c r="J77" s="7"/>
      <c r="K77" s="7" t="s">
        <v>172</v>
      </c>
      <c r="L77" s="7" t="str">
        <f>_xlfn.XLOOKUP(DB_25[[#This Row],[Mã sản phẩm]],MD_SKU[Mã SKU],MD_SKU[Tên SKU-rút gọn])</f>
        <v>iSS01G 1</v>
      </c>
      <c r="M77" s="7" t="str">
        <f>_xlfn.XLOOKUP(DB_25[[#This Row],[Mã sản phẩm]],MD_SKU[Mã SKU],MD_SKU[Nhóm ngành])</f>
        <v>Hạt PET</v>
      </c>
      <c r="N77" s="7"/>
      <c r="O77" s="47">
        <v>0</v>
      </c>
      <c r="P77" s="47">
        <v>66</v>
      </c>
      <c r="Q77" s="47">
        <v>0</v>
      </c>
      <c r="R77" s="47">
        <v>0</v>
      </c>
      <c r="S77" s="47">
        <v>0</v>
      </c>
      <c r="T77" s="47">
        <v>0</v>
      </c>
      <c r="U77" s="47">
        <v>0</v>
      </c>
      <c r="V77" s="47">
        <v>0</v>
      </c>
      <c r="W77" s="110">
        <f ca="1">SUMIFS(Data_Actual_LG_EXW[SL],Data_Actual_LG_EXW[Year],2025,Data_Actual_LG_EXW[Month],'DB 2025'!W$1,Data_Actual_LG_EXW[Mã KH],DB_25[[#This Row],[Mã khách]],Data_Actual_LG_EXW[Mã SKU],DB_25[[#This Row],[Mã sản phẩm]])/10^3</f>
        <v>0</v>
      </c>
      <c r="X77" s="33"/>
      <c r="Y77" s="33"/>
      <c r="Z77" s="33"/>
      <c r="AA77" s="19">
        <f ca="1">SUM(DB_25[[#This Row],[SL-01]:[SL-12]])</f>
        <v>66</v>
      </c>
      <c r="AB77" s="7"/>
      <c r="AC77" s="20">
        <f ca="1">DB_25[[#This Row],[SL-DB25]]-DB_25[[#This Row],[SL-KH25]]</f>
        <v>66</v>
      </c>
      <c r="AD77" s="21">
        <f ca="1">IFERROR(DB_25[[#This Row],[SL-+/-]]/DB_25[[#This Row],[SL-KH25]],0)</f>
        <v>0</v>
      </c>
      <c r="AE77" s="23">
        <v>0</v>
      </c>
      <c r="AF77" s="23">
        <v>1281.3012192245624</v>
      </c>
      <c r="AG77" s="23">
        <v>0</v>
      </c>
      <c r="AH77" s="23">
        <v>0</v>
      </c>
      <c r="AI77" s="23">
        <v>0</v>
      </c>
      <c r="AJ77" s="23">
        <v>0</v>
      </c>
      <c r="AK77" s="23">
        <v>0</v>
      </c>
      <c r="AL77" s="23">
        <v>0</v>
      </c>
      <c r="AM77" s="111">
        <v>0</v>
      </c>
      <c r="AN77" s="51">
        <f ca="1">IFERROR(SUM(DB_25[[#This Row],[DT-01-USD]:[DT-09-USD]])/SUM(DB_25[[#This Row],[SL-01]:[SL-09]]),0)</f>
        <v>1281.3012192245624</v>
      </c>
      <c r="AO77" s="51">
        <f ca="1">DB_25[[#This Row],[GB-10]]</f>
        <v>1281.3012192245624</v>
      </c>
      <c r="AP77" s="51">
        <f ca="1">DB_25[[#This Row],[GB-11]]</f>
        <v>1281.3012192245624</v>
      </c>
      <c r="AQ77" s="7"/>
      <c r="AR77" s="7"/>
      <c r="AS77" s="7"/>
      <c r="AT77" s="7"/>
      <c r="AU77" s="47">
        <v>0</v>
      </c>
      <c r="AV77" s="47">
        <v>2143745069.8846154</v>
      </c>
      <c r="AW77" s="47">
        <v>0</v>
      </c>
      <c r="AX77" s="47">
        <v>0</v>
      </c>
      <c r="AY77" s="47">
        <v>0</v>
      </c>
      <c r="AZ77" s="47">
        <v>0</v>
      </c>
      <c r="BA77" s="47">
        <v>0</v>
      </c>
      <c r="BB77" s="47">
        <v>0</v>
      </c>
      <c r="BC77" s="47">
        <v>0</v>
      </c>
      <c r="BD77" s="19">
        <f ca="1">DB_25[[#This Row],[SL-10]]*DB_25[[#This Row],[GB-10]]*BD$2/10^3</f>
        <v>0</v>
      </c>
      <c r="BE77" s="19">
        <f ca="1">DB_25[[#This Row],[SL-11]]*DB_25[[#This Row],[GB-11]]*BE$2/10^3</f>
        <v>0</v>
      </c>
      <c r="BF77" s="19">
        <f ca="1">DB_25[[#This Row],[SL-12]]*DB_25[[#This Row],[GB-12]]*BF$2/10^3</f>
        <v>0</v>
      </c>
      <c r="BG77" s="47">
        <f ca="1">SUM(DB_25[[#This Row],[DT-01]:[DT-12]])</f>
        <v>2143745069.8846154</v>
      </c>
      <c r="BH77" s="7"/>
      <c r="BI77" s="7"/>
      <c r="BJ77" s="7"/>
      <c r="BK77" s="50">
        <v>0</v>
      </c>
      <c r="BL77" s="109">
        <v>84565.880468821124</v>
      </c>
      <c r="BM77" s="109">
        <v>0</v>
      </c>
      <c r="BN77" s="109">
        <v>0</v>
      </c>
      <c r="BO77" s="109">
        <v>0</v>
      </c>
      <c r="BP77" s="109">
        <v>0</v>
      </c>
      <c r="BQ77" s="109">
        <v>0</v>
      </c>
      <c r="BR77" s="109">
        <v>0</v>
      </c>
      <c r="BS77" s="109">
        <v>0</v>
      </c>
      <c r="BT77" s="147">
        <f ca="1">DB_25[[#This Row],[SL-10]]*DB_25[[#This Row],[GB-10]]</f>
        <v>0</v>
      </c>
      <c r="BU77" s="147">
        <f ca="1">DB_25[[#This Row],[SL-11]]*DB_25[[#This Row],[GB-11]]</f>
        <v>0</v>
      </c>
      <c r="BV77" s="147">
        <f ca="1">DB_25[[#This Row],[SL-12]]*DB_25[[#This Row],[GB-12]]</f>
        <v>0</v>
      </c>
      <c r="BW77" s="47">
        <f ca="1">SUM(DB_25[[#This Row],[DT-01-USD]:[DT-12-USD]])</f>
        <v>84565.880468821124</v>
      </c>
    </row>
    <row r="78" spans="1:75" x14ac:dyDescent="0.35">
      <c r="A78" s="18">
        <f>ROWS($A$6:A78)</f>
        <v>73</v>
      </c>
      <c r="B78" s="18" t="s">
        <v>115</v>
      </c>
      <c r="C78" s="18" t="str">
        <f>IFERROR(_xlfn.XLOOKUP(DB_25[[#This Row],[Salesman]],MD_Salesman[Salesman],MD_Salesman[SalesManager]),"")</f>
        <v>Quốc Anh</v>
      </c>
      <c r="D78" s="7" t="s">
        <v>643</v>
      </c>
      <c r="E78" s="7" t="s">
        <v>138</v>
      </c>
      <c r="F78" s="7"/>
      <c r="G78" s="7" t="str">
        <f>_xlfn.XLOOKUP(DB_25[[#This Row],[Mã khách]],MD_Customer[Mã khách],MD_Customer[Kênh bán hàng])</f>
        <v>Xuất khẩu</v>
      </c>
      <c r="H78" s="7"/>
      <c r="I78" s="7"/>
      <c r="J78" s="7"/>
      <c r="K78" s="7" t="s">
        <v>168</v>
      </c>
      <c r="L78" s="7" t="str">
        <f>_xlfn.XLOOKUP(DB_25[[#This Row],[Mã sản phẩm]],MD_SKU[Mã SKU],MD_SKU[Tên SKU-rút gọn])</f>
        <v>iSS1084G</v>
      </c>
      <c r="M78" s="7" t="str">
        <f>_xlfn.XLOOKUP(DB_25[[#This Row],[Mã sản phẩm]],MD_SKU[Mã SKU],MD_SKU[Nhóm ngành])</f>
        <v>Hạt PET</v>
      </c>
      <c r="N78" s="7"/>
      <c r="O78" s="47">
        <v>0</v>
      </c>
      <c r="P78" s="47">
        <v>66</v>
      </c>
      <c r="Q78" s="47">
        <v>0</v>
      </c>
      <c r="R78" s="47">
        <v>0</v>
      </c>
      <c r="S78" s="47">
        <v>0</v>
      </c>
      <c r="T78" s="47">
        <v>0</v>
      </c>
      <c r="U78" s="47">
        <v>0</v>
      </c>
      <c r="V78" s="47">
        <v>0</v>
      </c>
      <c r="W78" s="110">
        <f ca="1">SUMIFS(Data_Actual_LG_EXW[SL],Data_Actual_LG_EXW[Year],2025,Data_Actual_LG_EXW[Month],'DB 2025'!W$1,Data_Actual_LG_EXW[Mã KH],DB_25[[#This Row],[Mã khách]],Data_Actual_LG_EXW[Mã SKU],DB_25[[#This Row],[Mã sản phẩm]])/10^3</f>
        <v>0</v>
      </c>
      <c r="X78" s="33"/>
      <c r="Y78" s="33"/>
      <c r="Z78" s="33"/>
      <c r="AA78" s="19">
        <f ca="1">SUM(DB_25[[#This Row],[SL-01]:[SL-12]])</f>
        <v>66</v>
      </c>
      <c r="AB78" s="7"/>
      <c r="AC78" s="20">
        <f ca="1">DB_25[[#This Row],[SL-DB25]]-DB_25[[#This Row],[SL-KH25]]</f>
        <v>66</v>
      </c>
      <c r="AD78" s="21">
        <f ca="1">IFERROR(DB_25[[#This Row],[SL-+/-]]/DB_25[[#This Row],[SL-KH25]],0)</f>
        <v>0</v>
      </c>
      <c r="AE78" s="23">
        <v>0</v>
      </c>
      <c r="AF78" s="23">
        <v>1286.2298283931716</v>
      </c>
      <c r="AG78" s="23">
        <v>0</v>
      </c>
      <c r="AH78" s="23">
        <v>0</v>
      </c>
      <c r="AI78" s="23">
        <v>0</v>
      </c>
      <c r="AJ78" s="23">
        <v>0</v>
      </c>
      <c r="AK78" s="23">
        <v>0</v>
      </c>
      <c r="AL78" s="23">
        <v>0</v>
      </c>
      <c r="AM78" s="111">
        <v>0</v>
      </c>
      <c r="AN78" s="51">
        <f ca="1">IFERROR(SUM(DB_25[[#This Row],[DT-01-USD]:[DT-09-USD]])/SUM(DB_25[[#This Row],[SL-01]:[SL-09]]),0)</f>
        <v>1286.2298283931716</v>
      </c>
      <c r="AO78" s="51">
        <f ca="1">DB_25[[#This Row],[GB-10]]</f>
        <v>1286.2298283931716</v>
      </c>
      <c r="AP78" s="51">
        <f ca="1">DB_25[[#This Row],[GB-11]]</f>
        <v>1286.2298283931716</v>
      </c>
      <c r="AQ78" s="7"/>
      <c r="AR78" s="7"/>
      <c r="AS78" s="7"/>
      <c r="AT78" s="7"/>
      <c r="AU78" s="47">
        <v>0</v>
      </c>
      <c r="AV78" s="47">
        <v>2151991125.8846154</v>
      </c>
      <c r="AW78" s="47">
        <v>0</v>
      </c>
      <c r="AX78" s="47">
        <v>0</v>
      </c>
      <c r="AY78" s="47">
        <v>0</v>
      </c>
      <c r="AZ78" s="47">
        <v>0</v>
      </c>
      <c r="BA78" s="47">
        <v>0</v>
      </c>
      <c r="BB78" s="47">
        <v>0</v>
      </c>
      <c r="BC78" s="47">
        <v>0</v>
      </c>
      <c r="BD78" s="19">
        <f ca="1">DB_25[[#This Row],[SL-10]]*DB_25[[#This Row],[GB-10]]*BD$2/10^3</f>
        <v>0</v>
      </c>
      <c r="BE78" s="19">
        <f ca="1">DB_25[[#This Row],[SL-11]]*DB_25[[#This Row],[GB-11]]*BE$2/10^3</f>
        <v>0</v>
      </c>
      <c r="BF78" s="19">
        <f ca="1">DB_25[[#This Row],[SL-12]]*DB_25[[#This Row],[GB-12]]*BF$2/10^3</f>
        <v>0</v>
      </c>
      <c r="BG78" s="47">
        <f ca="1">SUM(DB_25[[#This Row],[DT-01]:[DT-12]])</f>
        <v>2151991125.8846154</v>
      </c>
      <c r="BH78" s="7"/>
      <c r="BI78" s="7"/>
      <c r="BJ78" s="7"/>
      <c r="BK78" s="50">
        <v>0</v>
      </c>
      <c r="BL78" s="109">
        <v>84891.168673949331</v>
      </c>
      <c r="BM78" s="109">
        <v>0</v>
      </c>
      <c r="BN78" s="109">
        <v>0</v>
      </c>
      <c r="BO78" s="109">
        <v>0</v>
      </c>
      <c r="BP78" s="109">
        <v>0</v>
      </c>
      <c r="BQ78" s="109">
        <v>0</v>
      </c>
      <c r="BR78" s="109">
        <v>0</v>
      </c>
      <c r="BS78" s="109">
        <v>0</v>
      </c>
      <c r="BT78" s="147">
        <f ca="1">DB_25[[#This Row],[SL-10]]*DB_25[[#This Row],[GB-10]]</f>
        <v>0</v>
      </c>
      <c r="BU78" s="147">
        <f ca="1">DB_25[[#This Row],[SL-11]]*DB_25[[#This Row],[GB-11]]</f>
        <v>0</v>
      </c>
      <c r="BV78" s="147">
        <f ca="1">DB_25[[#This Row],[SL-12]]*DB_25[[#This Row],[GB-12]]</f>
        <v>0</v>
      </c>
      <c r="BW78" s="47">
        <f ca="1">SUM(DB_25[[#This Row],[DT-01-USD]:[DT-12-USD]])</f>
        <v>84891.168673949331</v>
      </c>
    </row>
    <row r="79" spans="1:75" x14ac:dyDescent="0.35">
      <c r="A79" s="18">
        <f>ROWS($A$6:A79)</f>
        <v>74</v>
      </c>
      <c r="B79" s="18" t="s">
        <v>115</v>
      </c>
      <c r="C79" s="18" t="str">
        <f>IFERROR(_xlfn.XLOOKUP(DB_25[[#This Row],[Salesman]],MD_Salesman[Salesman],MD_Salesman[SalesManager]),"")</f>
        <v>Quốc Anh</v>
      </c>
      <c r="D79" s="7" t="s">
        <v>628</v>
      </c>
      <c r="E79" s="7" t="s">
        <v>57</v>
      </c>
      <c r="F79" s="7"/>
      <c r="G79" s="7" t="str">
        <f>_xlfn.XLOOKUP(DB_25[[#This Row],[Mã khách]],MD_Customer[Mã khách],MD_Customer[Kênh bán hàng])</f>
        <v>Nội địa</v>
      </c>
      <c r="H79" s="7"/>
      <c r="I79" s="7"/>
      <c r="J79" s="7"/>
      <c r="K79" s="7" t="s">
        <v>202</v>
      </c>
      <c r="L79" s="7" t="str">
        <f>_xlfn.XLOOKUP(DB_25[[#This Row],[Mã sản phẩm]],MD_SKU[Mã SKU],MD_SKU[Tên SKU-rút gọn])</f>
        <v>Vảy HD Ép Vàng</v>
      </c>
      <c r="M79" s="7" t="str">
        <f>_xlfn.XLOOKUP(DB_25[[#This Row],[Mã sản phẩm]],MD_SKU[Mã SKU],MD_SKU[Nhóm ngành])</f>
        <v>Vảy HD ép</v>
      </c>
      <c r="N79" s="7"/>
      <c r="O79" s="47">
        <v>0</v>
      </c>
      <c r="P79" s="47">
        <v>0</v>
      </c>
      <c r="Q79" s="47">
        <v>0.05</v>
      </c>
      <c r="R79" s="47">
        <v>0</v>
      </c>
      <c r="S79" s="47">
        <v>25.5</v>
      </c>
      <c r="T79" s="47">
        <v>0</v>
      </c>
      <c r="U79" s="47">
        <v>0</v>
      </c>
      <c r="V79" s="47">
        <v>5.25</v>
      </c>
      <c r="W79" s="110">
        <f ca="1">SUMIFS(Data_Actual_LG_EXW[SL],Data_Actual_LG_EXW[Year],2025,Data_Actual_LG_EXW[Month],'DB 2025'!W$1,Data_Actual_LG_EXW[Mã KH],DB_25[[#This Row],[Mã khách]],Data_Actual_LG_EXW[Mã SKU],DB_25[[#This Row],[Mã sản phẩm]])/10^3</f>
        <v>0</v>
      </c>
      <c r="X79" s="33">
        <v>11</v>
      </c>
      <c r="Y79" s="33">
        <v>11</v>
      </c>
      <c r="Z79" s="33">
        <v>11</v>
      </c>
      <c r="AA79" s="19">
        <f ca="1">SUM(DB_25[[#This Row],[SL-01]:[SL-12]])</f>
        <v>63.8</v>
      </c>
      <c r="AB79" s="7"/>
      <c r="AC79" s="20">
        <f ca="1">DB_25[[#This Row],[SL-DB25]]-DB_25[[#This Row],[SL-KH25]]</f>
        <v>63.8</v>
      </c>
      <c r="AD79" s="21">
        <f ca="1">IFERROR(DB_25[[#This Row],[SL-+/-]]/DB_25[[#This Row],[SL-KH25]],0)</f>
        <v>0</v>
      </c>
      <c r="AE79" s="23">
        <v>0</v>
      </c>
      <c r="AF79" s="23">
        <v>0</v>
      </c>
      <c r="AG79" s="23">
        <v>675.07782253455139</v>
      </c>
      <c r="AH79" s="23">
        <v>0</v>
      </c>
      <c r="AI79" s="23">
        <v>618.16054901383404</v>
      </c>
      <c r="AJ79" s="23">
        <v>0</v>
      </c>
      <c r="AK79" s="23">
        <v>0</v>
      </c>
      <c r="AL79" s="23">
        <v>608.75683616335937</v>
      </c>
      <c r="AM79" s="111">
        <v>0</v>
      </c>
      <c r="AN79" s="51">
        <f ca="1">IFERROR(SUM(DB_25[[#This Row],[DT-01-USD]:[DT-09-USD]])/SUM(DB_25[[#This Row],[SL-01]:[SL-09]]),0)</f>
        <v>616.65004158562112</v>
      </c>
      <c r="AO79" s="51">
        <f ca="1">DB_25[[#This Row],[GB-10]]</f>
        <v>616.65004158562112</v>
      </c>
      <c r="AP79" s="51">
        <f ca="1">DB_25[[#This Row],[GB-11]]</f>
        <v>616.65004158562112</v>
      </c>
      <c r="AQ79" s="7"/>
      <c r="AR79" s="7"/>
      <c r="AS79" s="7"/>
      <c r="AT79" s="7"/>
      <c r="AU79" s="47">
        <v>0</v>
      </c>
      <c r="AV79" s="47">
        <v>0</v>
      </c>
      <c r="AW79" s="47">
        <v>856482</v>
      </c>
      <c r="AX79" s="47">
        <v>0</v>
      </c>
      <c r="AY79" s="47">
        <v>406354392.61966598</v>
      </c>
      <c r="AZ79" s="47">
        <v>0</v>
      </c>
      <c r="BA79" s="47">
        <v>0</v>
      </c>
      <c r="BB79" s="47">
        <v>83520263.583391011</v>
      </c>
      <c r="BC79" s="47">
        <v>0</v>
      </c>
      <c r="BD79" s="19">
        <f ca="1">DB_25[[#This Row],[SL-10]]*DB_25[[#This Row],[GB-10]]*BD$2/10^3</f>
        <v>177718.54198497601</v>
      </c>
      <c r="BE79" s="19">
        <f ca="1">DB_25[[#This Row],[SL-11]]*DB_25[[#This Row],[GB-11]]*BE$2/10^3</f>
        <v>177718.54198497601</v>
      </c>
      <c r="BF79" s="19">
        <f ca="1">DB_25[[#This Row],[SL-12]]*DB_25[[#This Row],[GB-12]]*BF$2/10^3</f>
        <v>177718.54198497601</v>
      </c>
      <c r="BG79" s="47">
        <f ca="1">SUM(DB_25[[#This Row],[DT-01]:[DT-12]])</f>
        <v>491264293.82901192</v>
      </c>
      <c r="BH79" s="7"/>
      <c r="BI79" s="7"/>
      <c r="BJ79" s="7"/>
      <c r="BK79" s="50">
        <v>0</v>
      </c>
      <c r="BL79" s="109">
        <v>0</v>
      </c>
      <c r="BM79" s="109">
        <v>33.753891126727574</v>
      </c>
      <c r="BN79" s="109">
        <v>0</v>
      </c>
      <c r="BO79" s="109">
        <v>15763.093999852768</v>
      </c>
      <c r="BP79" s="109">
        <v>0</v>
      </c>
      <c r="BQ79" s="109">
        <v>0</v>
      </c>
      <c r="BR79" s="109">
        <v>3195.9733898576364</v>
      </c>
      <c r="BS79" s="109">
        <v>0</v>
      </c>
      <c r="BT79" s="147">
        <f ca="1">DB_25[[#This Row],[SL-10]]*DB_25[[#This Row],[GB-10]]</f>
        <v>6783.1504574418323</v>
      </c>
      <c r="BU79" s="147">
        <f ca="1">DB_25[[#This Row],[SL-11]]*DB_25[[#This Row],[GB-11]]</f>
        <v>6783.1504574418323</v>
      </c>
      <c r="BV79" s="147">
        <f ca="1">DB_25[[#This Row],[SL-12]]*DB_25[[#This Row],[GB-12]]</f>
        <v>6783.1504574418323</v>
      </c>
      <c r="BW79" s="47">
        <f ca="1">SUM(DB_25[[#This Row],[DT-01-USD]:[DT-12-USD]])</f>
        <v>39342.272653162625</v>
      </c>
    </row>
    <row r="80" spans="1:75" x14ac:dyDescent="0.35">
      <c r="A80" s="18">
        <f>ROWS($A$6:A80)</f>
        <v>75</v>
      </c>
      <c r="B80" s="18" t="s">
        <v>101</v>
      </c>
      <c r="C80" s="18" t="str">
        <f>IFERROR(_xlfn.XLOOKUP(DB_25[[#This Row],[Salesman]],MD_Salesman[Salesman],MD_Salesman[SalesManager]),"")</f>
        <v>Cường</v>
      </c>
      <c r="D80" s="7" t="s">
        <v>644</v>
      </c>
      <c r="E80" s="7" t="s">
        <v>150</v>
      </c>
      <c r="F80" s="7"/>
      <c r="G80" s="7" t="str">
        <f>_xlfn.XLOOKUP(DB_25[[#This Row],[Mã khách]],MD_Customer[Mã khách],MD_Customer[Kênh bán hàng])</f>
        <v>Xuất khẩu</v>
      </c>
      <c r="H80" s="7"/>
      <c r="I80" s="7"/>
      <c r="J80" s="7"/>
      <c r="K80" s="7" t="s">
        <v>183</v>
      </c>
      <c r="L80" s="7" t="str">
        <f>_xlfn.XLOOKUP(DB_25[[#This Row],[Mã sản phẩm]],MD_SKU[Mã SKU],MD_SKU[Tên SKU-rút gọn])</f>
        <v>WSS05SB-2</v>
      </c>
      <c r="M80" s="7" t="str">
        <f>_xlfn.XLOOKUP(DB_25[[#This Row],[Mã sản phẩm]],MD_SKU[Mã SKU],MD_SKU[Nhóm ngành])</f>
        <v>Hạt Xơ sợi</v>
      </c>
      <c r="N80" s="7"/>
      <c r="O80" s="47">
        <v>0</v>
      </c>
      <c r="P80" s="47">
        <v>0</v>
      </c>
      <c r="Q80" s="47">
        <v>0</v>
      </c>
      <c r="R80" s="47">
        <v>0</v>
      </c>
      <c r="S80" s="47">
        <v>0</v>
      </c>
      <c r="T80" s="47">
        <v>63</v>
      </c>
      <c r="U80" s="47">
        <v>0</v>
      </c>
      <c r="V80" s="47">
        <v>0</v>
      </c>
      <c r="W80" s="110">
        <f ca="1">SUMIFS(Data_Actual_LG_EXW[SL],Data_Actual_LG_EXW[Year],2025,Data_Actual_LG_EXW[Month],'DB 2025'!W$1,Data_Actual_LG_EXW[Mã KH],DB_25[[#This Row],[Mã khách]],Data_Actual_LG_EXW[Mã SKU],DB_25[[#This Row],[Mã sản phẩm]])/10^3</f>
        <v>0</v>
      </c>
      <c r="X80" s="33"/>
      <c r="Y80" s="33"/>
      <c r="Z80" s="33"/>
      <c r="AA80" s="19">
        <f ca="1">SUM(DB_25[[#This Row],[SL-01]:[SL-12]])</f>
        <v>63</v>
      </c>
      <c r="AB80" s="7"/>
      <c r="AC80" s="20">
        <f ca="1">DB_25[[#This Row],[SL-DB25]]-DB_25[[#This Row],[SL-KH25]]</f>
        <v>63</v>
      </c>
      <c r="AD80" s="21">
        <f ca="1">IFERROR(DB_25[[#This Row],[SL-+/-]]/DB_25[[#This Row],[SL-KH25]],0)</f>
        <v>0</v>
      </c>
      <c r="AE80" s="23">
        <v>0</v>
      </c>
      <c r="AF80" s="23">
        <v>0</v>
      </c>
      <c r="AG80" s="23">
        <v>0</v>
      </c>
      <c r="AH80" s="23">
        <v>0</v>
      </c>
      <c r="AI80" s="23">
        <v>0</v>
      </c>
      <c r="AJ80" s="23">
        <v>599.48748001387708</v>
      </c>
      <c r="AK80" s="23">
        <v>0</v>
      </c>
      <c r="AL80" s="23">
        <v>0</v>
      </c>
      <c r="AM80" s="111">
        <v>0</v>
      </c>
      <c r="AN80" s="51">
        <f ca="1">IFERROR(SUM(DB_25[[#This Row],[DT-01-USD]:[DT-09-USD]])/SUM(DB_25[[#This Row],[SL-01]:[SL-09]]),0)</f>
        <v>599.48748001387708</v>
      </c>
      <c r="AO80" s="51">
        <f ca="1">DB_25[[#This Row],[GB-10]]</f>
        <v>599.48748001387708</v>
      </c>
      <c r="AP80" s="51">
        <f ca="1">DB_25[[#This Row],[GB-11]]</f>
        <v>599.48748001387708</v>
      </c>
      <c r="AQ80" s="7"/>
      <c r="AR80" s="7"/>
      <c r="AS80" s="7"/>
      <c r="AT80" s="7"/>
      <c r="AU80" s="47">
        <v>0</v>
      </c>
      <c r="AV80" s="47">
        <v>0</v>
      </c>
      <c r="AW80" s="47">
        <v>0</v>
      </c>
      <c r="AX80" s="47">
        <v>0</v>
      </c>
      <c r="AY80" s="47">
        <v>0</v>
      </c>
      <c r="AZ80" s="47">
        <v>980072106.70068693</v>
      </c>
      <c r="BA80" s="47">
        <v>0</v>
      </c>
      <c r="BB80" s="47">
        <v>0</v>
      </c>
      <c r="BC80" s="47">
        <v>0</v>
      </c>
      <c r="BD80" s="19">
        <f ca="1">DB_25[[#This Row],[SL-10]]*DB_25[[#This Row],[GB-10]]*BD$2/10^3</f>
        <v>0</v>
      </c>
      <c r="BE80" s="19">
        <f ca="1">DB_25[[#This Row],[SL-11]]*DB_25[[#This Row],[GB-11]]*BE$2/10^3</f>
        <v>0</v>
      </c>
      <c r="BF80" s="19">
        <f ca="1">DB_25[[#This Row],[SL-12]]*DB_25[[#This Row],[GB-12]]*BF$2/10^3</f>
        <v>0</v>
      </c>
      <c r="BG80" s="47">
        <f ca="1">SUM(DB_25[[#This Row],[DT-01]:[DT-12]])</f>
        <v>980072106.70068693</v>
      </c>
      <c r="BH80" s="7"/>
      <c r="BI80" s="7"/>
      <c r="BJ80" s="7"/>
      <c r="BK80" s="50">
        <v>0</v>
      </c>
      <c r="BL80" s="109">
        <v>0</v>
      </c>
      <c r="BM80" s="109">
        <v>0</v>
      </c>
      <c r="BN80" s="109">
        <v>0</v>
      </c>
      <c r="BO80" s="109">
        <v>0</v>
      </c>
      <c r="BP80" s="109">
        <v>37767.711240874254</v>
      </c>
      <c r="BQ80" s="109">
        <v>0</v>
      </c>
      <c r="BR80" s="109">
        <v>0</v>
      </c>
      <c r="BS80" s="109">
        <v>0</v>
      </c>
      <c r="BT80" s="147">
        <f ca="1">DB_25[[#This Row],[SL-10]]*DB_25[[#This Row],[GB-10]]</f>
        <v>0</v>
      </c>
      <c r="BU80" s="147">
        <f ca="1">DB_25[[#This Row],[SL-11]]*DB_25[[#This Row],[GB-11]]</f>
        <v>0</v>
      </c>
      <c r="BV80" s="147">
        <f ca="1">DB_25[[#This Row],[SL-12]]*DB_25[[#This Row],[GB-12]]</f>
        <v>0</v>
      </c>
      <c r="BW80" s="47">
        <f ca="1">SUM(DB_25[[#This Row],[DT-01-USD]:[DT-12-USD]])</f>
        <v>37767.711240874254</v>
      </c>
    </row>
    <row r="81" spans="1:75" x14ac:dyDescent="0.35">
      <c r="A81" s="18">
        <f>ROWS($A$6:A81)</f>
        <v>76</v>
      </c>
      <c r="B81" s="18" t="s">
        <v>97</v>
      </c>
      <c r="C81" s="18" t="str">
        <f>IFERROR(_xlfn.XLOOKUP(DB_25[[#This Row],[Salesman]],MD_Salesman[Salesman],MD_Salesman[SalesManager]),"")</f>
        <v>Cường</v>
      </c>
      <c r="D81" s="7" t="s">
        <v>625</v>
      </c>
      <c r="E81" s="7" t="s">
        <v>271</v>
      </c>
      <c r="F81" s="7"/>
      <c r="G81" s="7" t="str">
        <f>_xlfn.XLOOKUP(DB_25[[#This Row],[Mã khách]],MD_Customer[Mã khách],MD_Customer[Kênh bán hàng])</f>
        <v>Nội địa</v>
      </c>
      <c r="H81" s="7"/>
      <c r="I81" s="7"/>
      <c r="J81" s="7"/>
      <c r="K81" s="7" t="s">
        <v>187</v>
      </c>
      <c r="L81" s="7" t="str">
        <f>_xlfn.XLOOKUP(DB_25[[#This Row],[Mã sản phẩm]],MD_SKU[Mã SKU],MD_SKU[Tên SKU-rút gọn])</f>
        <v>HCBF-Whi-U</v>
      </c>
      <c r="M81" s="7" t="str">
        <f>_xlfn.XLOOKUP(DB_25[[#This Row],[Mã sản phẩm]],MD_SKU[Mã SKU],MD_SKU[Nhóm ngành])</f>
        <v>Hạt HD thổi</v>
      </c>
      <c r="N81" s="7"/>
      <c r="O81" s="47">
        <v>0</v>
      </c>
      <c r="P81" s="47">
        <v>0</v>
      </c>
      <c r="Q81" s="47">
        <v>0</v>
      </c>
      <c r="R81" s="47">
        <v>0</v>
      </c>
      <c r="S81" s="47">
        <v>2.5000000000000001E-2</v>
      </c>
      <c r="T81" s="47">
        <v>5.5</v>
      </c>
      <c r="U81" s="47">
        <v>0</v>
      </c>
      <c r="V81" s="47">
        <v>0</v>
      </c>
      <c r="W81" s="110">
        <f ca="1">SUMIFS(Data_Actual_LG_EXW[SL],Data_Actual_LG_EXW[Year],2025,Data_Actual_LG_EXW[Month],'DB 2025'!W$1,Data_Actual_LG_EXW[Mã KH],DB_25[[#This Row],[Mã khách]],Data_Actual_LG_EXW[Mã SKU],DB_25[[#This Row],[Mã sản phẩm]])/10^3</f>
        <v>0</v>
      </c>
      <c r="X81" s="33">
        <v>22</v>
      </c>
      <c r="Y81" s="33">
        <v>11</v>
      </c>
      <c r="Z81" s="33">
        <v>11</v>
      </c>
      <c r="AA81" s="19">
        <f ca="1">SUM(DB_25[[#This Row],[SL-01]:[SL-12]])</f>
        <v>49.524999999999999</v>
      </c>
      <c r="AB81" s="7"/>
      <c r="AC81" s="20">
        <f ca="1">DB_25[[#This Row],[SL-DB25]]-DB_25[[#This Row],[SL-KH25]]</f>
        <v>49.524999999999999</v>
      </c>
      <c r="AD81" s="21">
        <f ca="1">IFERROR(DB_25[[#This Row],[SL-+/-]]/DB_25[[#This Row],[SL-KH25]],0)</f>
        <v>0</v>
      </c>
      <c r="AE81" s="23">
        <v>0</v>
      </c>
      <c r="AF81" s="23">
        <v>0</v>
      </c>
      <c r="AG81" s="23">
        <v>0</v>
      </c>
      <c r="AH81" s="23">
        <v>0</v>
      </c>
      <c r="AI81" s="23">
        <v>1293.502368798197</v>
      </c>
      <c r="AJ81" s="23">
        <v>1286.7109010754677</v>
      </c>
      <c r="AK81" s="23">
        <v>0</v>
      </c>
      <c r="AL81" s="23">
        <v>0</v>
      </c>
      <c r="AM81" s="111">
        <v>0</v>
      </c>
      <c r="AN81" s="51">
        <f ca="1">IFERROR(SUM(DB_25[[#This Row],[DT-01-USD]:[DT-09-USD]])/SUM(DB_25[[#This Row],[SL-01]:[SL-09]]),0)</f>
        <v>1286.7416316986473</v>
      </c>
      <c r="AO81" s="51">
        <f ca="1">DB_25[[#This Row],[GB-10]]</f>
        <v>1286.7416316986473</v>
      </c>
      <c r="AP81" s="51">
        <f ca="1">DB_25[[#This Row],[GB-11]]</f>
        <v>1286.7416316986473</v>
      </c>
      <c r="AQ81" s="7"/>
      <c r="AR81" s="7"/>
      <c r="AS81" s="7"/>
      <c r="AT81" s="7"/>
      <c r="AU81" s="47">
        <v>0</v>
      </c>
      <c r="AV81" s="47">
        <v>0</v>
      </c>
      <c r="AW81" s="47">
        <v>0</v>
      </c>
      <c r="AX81" s="47">
        <v>0</v>
      </c>
      <c r="AY81" s="47">
        <v>833625</v>
      </c>
      <c r="AZ81" s="47">
        <v>183397500</v>
      </c>
      <c r="BA81" s="47">
        <v>0</v>
      </c>
      <c r="BB81" s="47">
        <v>0</v>
      </c>
      <c r="BC81" s="47">
        <v>0</v>
      </c>
      <c r="BD81" s="19">
        <f ca="1">DB_25[[#This Row],[SL-10]]*DB_25[[#This Row],[GB-10]]*BD$2/10^3</f>
        <v>741677.87651110033</v>
      </c>
      <c r="BE81" s="19">
        <f ca="1">DB_25[[#This Row],[SL-11]]*DB_25[[#This Row],[GB-11]]*BE$2/10^3</f>
        <v>370838.93825555017</v>
      </c>
      <c r="BF81" s="19">
        <f ca="1">DB_25[[#This Row],[SL-12]]*DB_25[[#This Row],[GB-12]]*BF$2/10^3</f>
        <v>370838.93825555017</v>
      </c>
      <c r="BG81" s="47">
        <f ca="1">SUM(DB_25[[#This Row],[DT-01]:[DT-12]])</f>
        <v>185714480.75302219</v>
      </c>
      <c r="BH81" s="7"/>
      <c r="BI81" s="7"/>
      <c r="BJ81" s="7"/>
      <c r="BK81" s="50">
        <v>0</v>
      </c>
      <c r="BL81" s="109">
        <v>0</v>
      </c>
      <c r="BM81" s="109">
        <v>0</v>
      </c>
      <c r="BN81" s="109">
        <v>0</v>
      </c>
      <c r="BO81" s="109">
        <v>32.337559219954926</v>
      </c>
      <c r="BP81" s="109">
        <v>7076.9099559150727</v>
      </c>
      <c r="BQ81" s="109">
        <v>0</v>
      </c>
      <c r="BR81" s="109">
        <v>0</v>
      </c>
      <c r="BS81" s="109">
        <v>0</v>
      </c>
      <c r="BT81" s="147">
        <f ca="1">DB_25[[#This Row],[SL-10]]*DB_25[[#This Row],[GB-10]]</f>
        <v>28308.315897370241</v>
      </c>
      <c r="BU81" s="147">
        <f ca="1">DB_25[[#This Row],[SL-11]]*DB_25[[#This Row],[GB-11]]</f>
        <v>14154.157948685121</v>
      </c>
      <c r="BV81" s="147">
        <f ca="1">DB_25[[#This Row],[SL-12]]*DB_25[[#This Row],[GB-12]]</f>
        <v>14154.157948685121</v>
      </c>
      <c r="BW81" s="47">
        <f ca="1">SUM(DB_25[[#This Row],[DT-01-USD]:[DT-12-USD]])</f>
        <v>63725.879309875505</v>
      </c>
    </row>
    <row r="82" spans="1:75" x14ac:dyDescent="0.35">
      <c r="A82" s="18">
        <f>ROWS($A$6:A82)</f>
        <v>77</v>
      </c>
      <c r="B82" s="18" t="s">
        <v>115</v>
      </c>
      <c r="C82" s="18" t="str">
        <f>IFERROR(_xlfn.XLOOKUP(DB_25[[#This Row],[Salesman]],MD_Salesman[Salesman],MD_Salesman[SalesManager]),"")</f>
        <v>Quốc Anh</v>
      </c>
      <c r="D82" s="7" t="s">
        <v>628</v>
      </c>
      <c r="E82" s="7" t="s">
        <v>57</v>
      </c>
      <c r="F82" s="7"/>
      <c r="G82" s="7" t="str">
        <f>_xlfn.XLOOKUP(DB_25[[#This Row],[Mã khách]],MD_Customer[Mã khách],MD_Customer[Kênh bán hàng])</f>
        <v>Nội địa</v>
      </c>
      <c r="H82" s="7"/>
      <c r="I82" s="7"/>
      <c r="J82" s="7"/>
      <c r="K82" s="7" t="s">
        <v>204</v>
      </c>
      <c r="L82" s="7" t="str">
        <f>_xlfn.XLOOKUP(DB_25[[#This Row],[Mã sản phẩm]],MD_SKU[Mã SKU],MD_SKU[Tên SKU-rút gọn])</f>
        <v>Vảy HD Ép Dương</v>
      </c>
      <c r="M82" s="7" t="str">
        <f>_xlfn.XLOOKUP(DB_25[[#This Row],[Mã sản phẩm]],MD_SKU[Mã SKU],MD_SKU[Nhóm ngành])</f>
        <v>Vảy HD ép</v>
      </c>
      <c r="N82" s="7"/>
      <c r="O82" s="47">
        <v>0</v>
      </c>
      <c r="P82" s="47">
        <v>0</v>
      </c>
      <c r="Q82" s="47">
        <v>10.55</v>
      </c>
      <c r="R82" s="47">
        <v>0</v>
      </c>
      <c r="S82" s="47">
        <v>5.25</v>
      </c>
      <c r="T82" s="47">
        <v>0</v>
      </c>
      <c r="U82" s="47">
        <v>0</v>
      </c>
      <c r="V82" s="47">
        <v>0</v>
      </c>
      <c r="W82" s="110">
        <f ca="1">SUMIFS(Data_Actual_LG_EXW[SL],Data_Actual_LG_EXW[Year],2025,Data_Actual_LG_EXW[Month],'DB 2025'!W$1,Data_Actual_LG_EXW[Mã KH],DB_25[[#This Row],[Mã khách]],Data_Actual_LG_EXW[Mã SKU],DB_25[[#This Row],[Mã sản phẩm]])/10^3</f>
        <v>0</v>
      </c>
      <c r="X82" s="33">
        <v>11</v>
      </c>
      <c r="Y82" s="33">
        <v>11</v>
      </c>
      <c r="Z82" s="33">
        <v>11</v>
      </c>
      <c r="AA82" s="19">
        <f ca="1">SUM(DB_25[[#This Row],[SL-01]:[SL-12]])</f>
        <v>48.8</v>
      </c>
      <c r="AB82" s="7"/>
      <c r="AC82" s="20">
        <f ca="1">DB_25[[#This Row],[SL-DB25]]-DB_25[[#This Row],[SL-KH25]]</f>
        <v>48.8</v>
      </c>
      <c r="AD82" s="21">
        <f ca="1">IFERROR(DB_25[[#This Row],[SL-+/-]]/DB_25[[#This Row],[SL-KH25]],0)</f>
        <v>0</v>
      </c>
      <c r="AE82" s="23">
        <v>0</v>
      </c>
      <c r="AF82" s="23">
        <v>0</v>
      </c>
      <c r="AG82" s="23">
        <v>629.82036248254963</v>
      </c>
      <c r="AH82" s="23">
        <v>0</v>
      </c>
      <c r="AI82" s="23">
        <v>616.97737150130263</v>
      </c>
      <c r="AJ82" s="23">
        <v>0</v>
      </c>
      <c r="AK82" s="23">
        <v>0</v>
      </c>
      <c r="AL82" s="23">
        <v>0</v>
      </c>
      <c r="AM82" s="111">
        <v>0</v>
      </c>
      <c r="AN82" s="51">
        <f ca="1">IFERROR(SUM(DB_25[[#This Row],[DT-01-USD]:[DT-09-USD]])/SUM(DB_25[[#This Row],[SL-01]:[SL-09]]),0)</f>
        <v>625.55291294764163</v>
      </c>
      <c r="AO82" s="51">
        <f ca="1">DB_25[[#This Row],[GB-10]]</f>
        <v>625.55291294764163</v>
      </c>
      <c r="AP82" s="51">
        <f ca="1">DB_25[[#This Row],[GB-11]]</f>
        <v>625.55291294764163</v>
      </c>
      <c r="AQ82" s="7"/>
      <c r="AR82" s="7"/>
      <c r="AS82" s="7"/>
      <c r="AT82" s="7"/>
      <c r="AU82" s="47">
        <v>0</v>
      </c>
      <c r="AV82" s="47">
        <v>0</v>
      </c>
      <c r="AW82" s="47">
        <v>168602322.2527473</v>
      </c>
      <c r="AX82" s="47">
        <v>0</v>
      </c>
      <c r="AY82" s="47">
        <v>83501068.480519474</v>
      </c>
      <c r="AZ82" s="47">
        <v>0</v>
      </c>
      <c r="BA82" s="47">
        <v>0</v>
      </c>
      <c r="BB82" s="47">
        <v>0</v>
      </c>
      <c r="BC82" s="47">
        <v>0</v>
      </c>
      <c r="BD82" s="19">
        <f ca="1">DB_25[[#This Row],[SL-10]]*DB_25[[#This Row],[GB-10]]*BD$2/10^3</f>
        <v>180284.34951151031</v>
      </c>
      <c r="BE82" s="19">
        <f ca="1">DB_25[[#This Row],[SL-11]]*DB_25[[#This Row],[GB-11]]*BE$2/10^3</f>
        <v>180284.34951151031</v>
      </c>
      <c r="BF82" s="19">
        <f ca="1">DB_25[[#This Row],[SL-12]]*DB_25[[#This Row],[GB-12]]*BF$2/10^3</f>
        <v>180284.34951151031</v>
      </c>
      <c r="BG82" s="47">
        <f ca="1">SUM(DB_25[[#This Row],[DT-01]:[DT-12]])</f>
        <v>252644243.78180128</v>
      </c>
      <c r="BH82" s="7"/>
      <c r="BI82" s="7"/>
      <c r="BJ82" s="7"/>
      <c r="BK82" s="50">
        <v>0</v>
      </c>
      <c r="BL82" s="109">
        <v>0</v>
      </c>
      <c r="BM82" s="109">
        <v>6644.6048241908993</v>
      </c>
      <c r="BN82" s="109">
        <v>0</v>
      </c>
      <c r="BO82" s="109">
        <v>3239.1312003818389</v>
      </c>
      <c r="BP82" s="109">
        <v>0</v>
      </c>
      <c r="BQ82" s="109">
        <v>0</v>
      </c>
      <c r="BR82" s="109">
        <v>0</v>
      </c>
      <c r="BS82" s="109">
        <v>0</v>
      </c>
      <c r="BT82" s="147">
        <f ca="1">DB_25[[#This Row],[SL-10]]*DB_25[[#This Row],[GB-10]]</f>
        <v>6881.0820424240583</v>
      </c>
      <c r="BU82" s="147">
        <f ca="1">DB_25[[#This Row],[SL-11]]*DB_25[[#This Row],[GB-11]]</f>
        <v>6881.0820424240583</v>
      </c>
      <c r="BV82" s="147">
        <f ca="1">DB_25[[#This Row],[SL-12]]*DB_25[[#This Row],[GB-12]]</f>
        <v>6881.0820424240583</v>
      </c>
      <c r="BW82" s="47">
        <f ca="1">SUM(DB_25[[#This Row],[DT-01-USD]:[DT-12-USD]])</f>
        <v>30526.982151844913</v>
      </c>
    </row>
    <row r="83" spans="1:75" x14ac:dyDescent="0.35">
      <c r="A83" s="18">
        <f>ROWS($A$6:A83)</f>
        <v>78</v>
      </c>
      <c r="B83" s="18" t="s">
        <v>97</v>
      </c>
      <c r="C83" s="18" t="str">
        <f>IFERROR(_xlfn.XLOOKUP(DB_25[[#This Row],[Salesman]],MD_Salesman[Salesman],MD_Salesman[SalesManager]),"")</f>
        <v>Cường</v>
      </c>
      <c r="D83" s="7" t="s">
        <v>625</v>
      </c>
      <c r="E83" s="7" t="s">
        <v>271</v>
      </c>
      <c r="F83" s="7"/>
      <c r="G83" s="7" t="str">
        <f>_xlfn.XLOOKUP(DB_25[[#This Row],[Mã khách]],MD_Customer[Mã khách],MD_Customer[Kênh bán hàng])</f>
        <v>Nội địa</v>
      </c>
      <c r="H83" s="7"/>
      <c r="I83" s="7"/>
      <c r="J83" s="7"/>
      <c r="K83" s="7" t="s">
        <v>197</v>
      </c>
      <c r="L83" s="7" t="str">
        <f>_xlfn.XLOOKUP(DB_25[[#This Row],[Mã sản phẩm]],MD_SKU[Mã SKU],MD_SKU[Tên SKU-rút gọn])</f>
        <v>rHDI3Y01</v>
      </c>
      <c r="M83" s="7" t="str">
        <f>_xlfn.XLOOKUP(DB_25[[#This Row],[Mã sản phẩm]],MD_SKU[Mã SKU],MD_SKU[Nhóm ngành])</f>
        <v>Hạt HD ép</v>
      </c>
      <c r="N83" s="7"/>
      <c r="O83" s="47">
        <v>0</v>
      </c>
      <c r="P83" s="47">
        <v>5.5</v>
      </c>
      <c r="Q83" s="47">
        <v>11</v>
      </c>
      <c r="R83" s="47">
        <v>0</v>
      </c>
      <c r="S83" s="47">
        <v>5.5</v>
      </c>
      <c r="T83" s="47">
        <v>0</v>
      </c>
      <c r="U83" s="47">
        <v>5.5</v>
      </c>
      <c r="V83" s="47">
        <v>0</v>
      </c>
      <c r="W83" s="110">
        <f ca="1">SUMIFS(Data_Actual_LG_EXW[SL],Data_Actual_LG_EXW[Year],2025,Data_Actual_LG_EXW[Month],'DB 2025'!W$1,Data_Actual_LG_EXW[Mã KH],DB_25[[#This Row],[Mã khách]],Data_Actual_LG_EXW[Mã SKU],DB_25[[#This Row],[Mã sản phẩm]])/10^3</f>
        <v>2.75</v>
      </c>
      <c r="X83" s="33">
        <v>4.125</v>
      </c>
      <c r="Y83" s="33">
        <v>4.125</v>
      </c>
      <c r="Z83" s="33">
        <v>4.125</v>
      </c>
      <c r="AA83" s="19">
        <f ca="1">SUM(DB_25[[#This Row],[SL-01]:[SL-12]])</f>
        <v>42.625</v>
      </c>
      <c r="AB83" s="7"/>
      <c r="AC83" s="20">
        <f ca="1">DB_25[[#This Row],[SL-DB25]]-DB_25[[#This Row],[SL-KH25]]</f>
        <v>42.625</v>
      </c>
      <c r="AD83" s="21">
        <f ca="1">IFERROR(DB_25[[#This Row],[SL-+/-]]/DB_25[[#This Row],[SL-KH25]],0)</f>
        <v>0</v>
      </c>
      <c r="AE83" s="23">
        <v>0</v>
      </c>
      <c r="AF83" s="23">
        <v>799.88151222720796</v>
      </c>
      <c r="AG83" s="23">
        <v>816.28397683315461</v>
      </c>
      <c r="AH83" s="23">
        <v>0</v>
      </c>
      <c r="AI83" s="23">
        <v>775.82988082063105</v>
      </c>
      <c r="AJ83" s="23">
        <v>0</v>
      </c>
      <c r="AK83" s="23">
        <v>769.58425913763119</v>
      </c>
      <c r="AL83" s="23">
        <v>0</v>
      </c>
      <c r="AM83" s="111">
        <v>763.05324906685746</v>
      </c>
      <c r="AN83" s="51">
        <f ca="1">IFERROR(SUM(DB_25[[#This Row],[DT-01-USD]:[DT-09-USD]])/SUM(DB_25[[#This Row],[SL-01]:[SL-09]]),0)</f>
        <v>792.61640552458323</v>
      </c>
      <c r="AO83" s="51">
        <f ca="1">DB_25[[#This Row],[GB-10]]</f>
        <v>792.61640552458323</v>
      </c>
      <c r="AP83" s="51">
        <f ca="1">DB_25[[#This Row],[GB-11]]</f>
        <v>792.61640552458323</v>
      </c>
      <c r="AQ83" s="7"/>
      <c r="AR83" s="7"/>
      <c r="AS83" s="7"/>
      <c r="AT83" s="7"/>
      <c r="AU83" s="47">
        <v>0</v>
      </c>
      <c r="AV83" s="47">
        <v>111180850</v>
      </c>
      <c r="AW83" s="47">
        <v>227839150.00000003</v>
      </c>
      <c r="AX83" s="47">
        <v>0</v>
      </c>
      <c r="AY83" s="47">
        <v>110000000</v>
      </c>
      <c r="AZ83" s="47">
        <v>0</v>
      </c>
      <c r="BA83" s="47">
        <v>110000000</v>
      </c>
      <c r="BB83" s="47">
        <v>0</v>
      </c>
      <c r="BC83" s="47">
        <v>55000000</v>
      </c>
      <c r="BD83" s="19">
        <f ca="1">DB_25[[#This Row],[SL-10]]*DB_25[[#This Row],[GB-10]]*BD$2/10^3</f>
        <v>85662.018027069324</v>
      </c>
      <c r="BE83" s="19">
        <f ca="1">DB_25[[#This Row],[SL-11]]*DB_25[[#This Row],[GB-11]]*BE$2/10^3</f>
        <v>85662.018027069324</v>
      </c>
      <c r="BF83" s="19">
        <f ca="1">DB_25[[#This Row],[SL-12]]*DB_25[[#This Row],[GB-12]]*BF$2/10^3</f>
        <v>85662.018027069324</v>
      </c>
      <c r="BG83" s="47">
        <f ca="1">SUM(DB_25[[#This Row],[DT-01]:[DT-12]])</f>
        <v>614276986.0540812</v>
      </c>
      <c r="BH83" s="7"/>
      <c r="BI83" s="7"/>
      <c r="BJ83" s="7"/>
      <c r="BK83" s="50">
        <v>0</v>
      </c>
      <c r="BL83" s="109">
        <v>4399.3483172496435</v>
      </c>
      <c r="BM83" s="109">
        <v>8979.1237451647012</v>
      </c>
      <c r="BN83" s="109">
        <v>0</v>
      </c>
      <c r="BO83" s="109">
        <v>4267.064344513471</v>
      </c>
      <c r="BP83" s="109">
        <v>0</v>
      </c>
      <c r="BQ83" s="109">
        <v>4232.7134252569713</v>
      </c>
      <c r="BR83" s="109">
        <v>0</v>
      </c>
      <c r="BS83" s="109">
        <v>2098.396434933858</v>
      </c>
      <c r="BT83" s="147">
        <f ca="1">DB_25[[#This Row],[SL-10]]*DB_25[[#This Row],[GB-10]]</f>
        <v>3269.5426727889057</v>
      </c>
      <c r="BU83" s="147">
        <f ca="1">DB_25[[#This Row],[SL-11]]*DB_25[[#This Row],[GB-11]]</f>
        <v>3269.5426727889057</v>
      </c>
      <c r="BV83" s="147">
        <f ca="1">DB_25[[#This Row],[SL-12]]*DB_25[[#This Row],[GB-12]]</f>
        <v>3269.5426727889057</v>
      </c>
      <c r="BW83" s="47">
        <f ca="1">SUM(DB_25[[#This Row],[DT-01-USD]:[DT-12-USD]])</f>
        <v>33785.274285485357</v>
      </c>
    </row>
    <row r="84" spans="1:75" x14ac:dyDescent="0.35">
      <c r="A84" s="18">
        <f>ROWS($A$6:A84)</f>
        <v>79</v>
      </c>
      <c r="B84" s="18" t="s">
        <v>115</v>
      </c>
      <c r="C84" s="18" t="str">
        <f>IFERROR(_xlfn.XLOOKUP(DB_25[[#This Row],[Salesman]],MD_Salesman[Salesman],MD_Salesman[SalesManager]),"")</f>
        <v>Quốc Anh</v>
      </c>
      <c r="D84" s="7" t="s">
        <v>627</v>
      </c>
      <c r="E84" s="7" t="s">
        <v>58</v>
      </c>
      <c r="F84" s="7"/>
      <c r="G84" s="7" t="str">
        <f>_xlfn.XLOOKUP(DB_25[[#This Row],[Mã khách]],MD_Customer[Mã khách],MD_Customer[Kênh bán hàng])</f>
        <v>Nội địa</v>
      </c>
      <c r="H84" s="7"/>
      <c r="I84" s="7"/>
      <c r="J84" s="7"/>
      <c r="K84" s="7" t="s">
        <v>202</v>
      </c>
      <c r="L84" s="7" t="str">
        <f>_xlfn.XLOOKUP(DB_25[[#This Row],[Mã sản phẩm]],MD_SKU[Mã SKU],MD_SKU[Tên SKU-rút gọn])</f>
        <v>Vảy HD Ép Vàng</v>
      </c>
      <c r="M84" s="7" t="str">
        <f>_xlfn.XLOOKUP(DB_25[[#This Row],[Mã sản phẩm]],MD_SKU[Mã SKU],MD_SKU[Nhóm ngành])</f>
        <v>Vảy HD ép</v>
      </c>
      <c r="N84" s="7"/>
      <c r="O84" s="47">
        <v>1.5</v>
      </c>
      <c r="P84" s="47">
        <v>1.5</v>
      </c>
      <c r="Q84" s="47">
        <v>7.5</v>
      </c>
      <c r="R84" s="47">
        <v>9.75</v>
      </c>
      <c r="S84" s="47">
        <v>3</v>
      </c>
      <c r="T84" s="47">
        <v>0</v>
      </c>
      <c r="U84" s="47">
        <v>0</v>
      </c>
      <c r="V84" s="47">
        <v>7.5</v>
      </c>
      <c r="W84" s="110">
        <f ca="1">SUMIFS(Data_Actual_LG_EXW[SL],Data_Actual_LG_EXW[Year],2025,Data_Actual_LG_EXW[Month],'DB 2025'!W$1,Data_Actual_LG_EXW[Mã KH],DB_25[[#This Row],[Mã khách]],Data_Actual_LG_EXW[Mã SKU],DB_25[[#This Row],[Mã sản phẩm]])/10^3</f>
        <v>14.25</v>
      </c>
      <c r="X84" s="33">
        <v>3</v>
      </c>
      <c r="Y84" s="33"/>
      <c r="Z84" s="33"/>
      <c r="AA84" s="19">
        <f ca="1">SUM(DB_25[[#This Row],[SL-01]:[SL-12]])</f>
        <v>48</v>
      </c>
      <c r="AB84" s="7"/>
      <c r="AC84" s="20">
        <f ca="1">DB_25[[#This Row],[SL-DB25]]-DB_25[[#This Row],[SL-KH25]]</f>
        <v>48</v>
      </c>
      <c r="AD84" s="21">
        <f ca="1">IFERROR(DB_25[[#This Row],[SL-+/-]]/DB_25[[#This Row],[SL-KH25]],0)</f>
        <v>0</v>
      </c>
      <c r="AE84" s="23">
        <v>624.5392377174586</v>
      </c>
      <c r="AF84" s="23">
        <v>613.63048155079821</v>
      </c>
      <c r="AG84" s="23">
        <v>618.01428296161055</v>
      </c>
      <c r="AH84" s="23">
        <v>588.93956446546258</v>
      </c>
      <c r="AI84" s="23">
        <v>573.15734717101623</v>
      </c>
      <c r="AJ84" s="23">
        <v>0</v>
      </c>
      <c r="AK84" s="23">
        <v>0</v>
      </c>
      <c r="AL84" s="23">
        <v>584.18026303009094</v>
      </c>
      <c r="AM84" s="111">
        <v>583.55339212581021</v>
      </c>
      <c r="AN84" s="51">
        <f ca="1">IFERROR(SUM(DB_25[[#This Row],[DT-01-USD]:[DT-09-USD]])/SUM(DB_25[[#This Row],[SL-01]:[SL-09]]),0)</f>
        <v>592.24405125965006</v>
      </c>
      <c r="AO84" s="51">
        <f ca="1">DB_25[[#This Row],[GB-10]]</f>
        <v>592.24405125965006</v>
      </c>
      <c r="AP84" s="51">
        <f ca="1">DB_25[[#This Row],[GB-11]]</f>
        <v>592.24405125965006</v>
      </c>
      <c r="AQ84" s="7"/>
      <c r="AR84" s="7"/>
      <c r="AS84" s="7"/>
      <c r="AT84" s="7"/>
      <c r="AU84" s="47">
        <v>23611111</v>
      </c>
      <c r="AV84" s="47">
        <v>23261612.949771691</v>
      </c>
      <c r="AW84" s="47">
        <v>117612686.58898245</v>
      </c>
      <c r="AX84" s="47">
        <v>147407671.15717539</v>
      </c>
      <c r="AY84" s="47">
        <v>44326007.131725416</v>
      </c>
      <c r="AZ84" s="47">
        <v>0</v>
      </c>
      <c r="BA84" s="47">
        <v>0</v>
      </c>
      <c r="BB84" s="47">
        <v>114497721.65654966</v>
      </c>
      <c r="BC84" s="47">
        <v>217956894.82908401</v>
      </c>
      <c r="BD84" s="19">
        <f ca="1">DB_25[[#This Row],[SL-10]]*DB_25[[#This Row],[GB-10]]*BD$2/10^3</f>
        <v>46550.382429008496</v>
      </c>
      <c r="BE84" s="19">
        <f ca="1">DB_25[[#This Row],[SL-11]]*DB_25[[#This Row],[GB-11]]*BE$2/10^3</f>
        <v>0</v>
      </c>
      <c r="BF84" s="19">
        <f ca="1">DB_25[[#This Row],[SL-12]]*DB_25[[#This Row],[GB-12]]*BF$2/10^3</f>
        <v>0</v>
      </c>
      <c r="BG84" s="47">
        <f ca="1">SUM(DB_25[[#This Row],[DT-01]:[DT-12]])</f>
        <v>688720255.69571769</v>
      </c>
      <c r="BH84" s="7"/>
      <c r="BI84" s="7"/>
      <c r="BJ84" s="7"/>
      <c r="BK84" s="50">
        <v>936.80885657618785</v>
      </c>
      <c r="BL84" s="109">
        <v>920.44572232619737</v>
      </c>
      <c r="BM84" s="109">
        <v>4635.107122212079</v>
      </c>
      <c r="BN84" s="109">
        <v>5742.16075353826</v>
      </c>
      <c r="BO84" s="109">
        <v>1719.4720415130487</v>
      </c>
      <c r="BP84" s="109">
        <v>0</v>
      </c>
      <c r="BQ84" s="109">
        <v>0</v>
      </c>
      <c r="BR84" s="109">
        <v>4381.3519727256817</v>
      </c>
      <c r="BS84" s="109">
        <v>8315.6358377927954</v>
      </c>
      <c r="BT84" s="147">
        <f ca="1">DB_25[[#This Row],[SL-10]]*DB_25[[#This Row],[GB-10]]</f>
        <v>1776.7321537789503</v>
      </c>
      <c r="BU84" s="147">
        <f ca="1">DB_25[[#This Row],[SL-11]]*DB_25[[#This Row],[GB-11]]</f>
        <v>0</v>
      </c>
      <c r="BV84" s="147">
        <f ca="1">DB_25[[#This Row],[SL-12]]*DB_25[[#This Row],[GB-12]]</f>
        <v>0</v>
      </c>
      <c r="BW84" s="47">
        <f ca="1">SUM(DB_25[[#This Row],[DT-01-USD]:[DT-12-USD]])</f>
        <v>28427.714460463201</v>
      </c>
    </row>
    <row r="85" spans="1:75" x14ac:dyDescent="0.35">
      <c r="A85" s="18">
        <f>ROWS($A$6:A85)</f>
        <v>80</v>
      </c>
      <c r="B85" s="18" t="s">
        <v>115</v>
      </c>
      <c r="C85" s="18" t="str">
        <f>IFERROR(_xlfn.XLOOKUP(DB_25[[#This Row],[Salesman]],MD_Salesman[Salesman],MD_Salesman[SalesManager]),"")</f>
        <v>Quốc Anh</v>
      </c>
      <c r="D85" s="7" t="s">
        <v>603</v>
      </c>
      <c r="E85" s="7" t="s">
        <v>56</v>
      </c>
      <c r="F85" s="7"/>
      <c r="G85" s="7" t="str">
        <f>_xlfn.XLOOKUP(DB_25[[#This Row],[Mã khách]],MD_Customer[Mã khách],MD_Customer[Kênh bán hàng])</f>
        <v>Nội địa</v>
      </c>
      <c r="H85" s="7"/>
      <c r="I85" s="7"/>
      <c r="J85" s="7"/>
      <c r="K85" s="7" t="s">
        <v>204</v>
      </c>
      <c r="L85" s="7" t="str">
        <f>_xlfn.XLOOKUP(DB_25[[#This Row],[Mã sản phẩm]],MD_SKU[Mã SKU],MD_SKU[Tên SKU-rút gọn])</f>
        <v>Vảy HD Ép Dương</v>
      </c>
      <c r="M85" s="7" t="str">
        <f>_xlfn.XLOOKUP(DB_25[[#This Row],[Mã sản phẩm]],MD_SKU[Mã SKU],MD_SKU[Nhóm ngành])</f>
        <v>Vảy HD ép</v>
      </c>
      <c r="N85" s="7"/>
      <c r="O85" s="47">
        <v>0</v>
      </c>
      <c r="P85" s="47">
        <v>0.75</v>
      </c>
      <c r="Q85" s="47">
        <v>0</v>
      </c>
      <c r="R85" s="47">
        <v>3</v>
      </c>
      <c r="S85" s="47">
        <v>10.5</v>
      </c>
      <c r="T85" s="47">
        <v>5.25</v>
      </c>
      <c r="U85" s="47">
        <v>0</v>
      </c>
      <c r="V85" s="47">
        <v>5.25</v>
      </c>
      <c r="W85" s="110">
        <f ca="1">SUMIFS(Data_Actual_LG_EXW[SL],Data_Actual_LG_EXW[Year],2025,Data_Actual_LG_EXW[Month],'DB 2025'!W$1,Data_Actual_LG_EXW[Mã KH],DB_25[[#This Row],[Mã khách]],Data_Actual_LG_EXW[Mã SKU],DB_25[[#This Row],[Mã sản phẩm]])/10^3</f>
        <v>0</v>
      </c>
      <c r="X85" s="33">
        <v>5.25</v>
      </c>
      <c r="Y85" s="33">
        <v>5.25</v>
      </c>
      <c r="Z85" s="33">
        <v>5.25</v>
      </c>
      <c r="AA85" s="19">
        <f ca="1">SUM(DB_25[[#This Row],[SL-01]:[SL-12]])</f>
        <v>40.5</v>
      </c>
      <c r="AB85" s="7"/>
      <c r="AC85" s="20">
        <f ca="1">DB_25[[#This Row],[SL-DB25]]-DB_25[[#This Row],[SL-KH25]]</f>
        <v>40.5</v>
      </c>
      <c r="AD85" s="21">
        <f ca="1">IFERROR(DB_25[[#This Row],[SL-+/-]]/DB_25[[#This Row],[SL-KH25]],0)</f>
        <v>0</v>
      </c>
      <c r="AE85" s="23">
        <v>0</v>
      </c>
      <c r="AF85" s="23">
        <v>584.31989249325477</v>
      </c>
      <c r="AG85" s="23">
        <v>0</v>
      </c>
      <c r="AH85" s="23">
        <v>595.0398138271421</v>
      </c>
      <c r="AI85" s="23">
        <v>592.55309419153195</v>
      </c>
      <c r="AJ85" s="23">
        <v>589.44192461815555</v>
      </c>
      <c r="AK85" s="23">
        <v>0</v>
      </c>
      <c r="AL85" s="23">
        <v>593.87567211892144</v>
      </c>
      <c r="AM85" s="111">
        <v>0</v>
      </c>
      <c r="AN85" s="51">
        <f ca="1">IFERROR(SUM(DB_25[[#This Row],[DT-01-USD]:[DT-09-USD]])/SUM(DB_25[[#This Row],[SL-01]:[SL-09]]),0)</f>
        <v>592.22562556493369</v>
      </c>
      <c r="AO85" s="51">
        <f ca="1">DB_25[[#This Row],[GB-10]]</f>
        <v>592.22562556493369</v>
      </c>
      <c r="AP85" s="51">
        <f ca="1">DB_25[[#This Row],[GB-11]]</f>
        <v>592.22562556493369</v>
      </c>
      <c r="AQ85" s="7"/>
      <c r="AR85" s="7"/>
      <c r="AS85" s="7"/>
      <c r="AT85" s="7"/>
      <c r="AU85" s="47">
        <v>0</v>
      </c>
      <c r="AV85" s="47">
        <v>11075250.974885846</v>
      </c>
      <c r="AW85" s="47">
        <v>0</v>
      </c>
      <c r="AX85" s="47">
        <v>45826007.125284739</v>
      </c>
      <c r="AY85" s="47">
        <v>160391024.96103895</v>
      </c>
      <c r="AZ85" s="47">
        <v>80195512.480552077</v>
      </c>
      <c r="BA85" s="47">
        <v>0</v>
      </c>
      <c r="BB85" s="47">
        <v>81478596.583391011</v>
      </c>
      <c r="BC85" s="47">
        <v>0</v>
      </c>
      <c r="BD85" s="19">
        <f ca="1">DB_25[[#This Row],[SL-10]]*DB_25[[#This Row],[GB-10]]*BD$2/10^3</f>
        <v>81460.634796456623</v>
      </c>
      <c r="BE85" s="19">
        <f ca="1">DB_25[[#This Row],[SL-11]]*DB_25[[#This Row],[GB-11]]*BE$2/10^3</f>
        <v>81460.634796456623</v>
      </c>
      <c r="BF85" s="19">
        <f ca="1">DB_25[[#This Row],[SL-12]]*DB_25[[#This Row],[GB-12]]*BF$2/10^3</f>
        <v>81460.634796456623</v>
      </c>
      <c r="BG85" s="47">
        <f ca="1">SUM(DB_25[[#This Row],[DT-01]:[DT-12]])</f>
        <v>379210774.02954197</v>
      </c>
      <c r="BH85" s="7"/>
      <c r="BI85" s="7"/>
      <c r="BJ85" s="7"/>
      <c r="BK85" s="50">
        <v>0</v>
      </c>
      <c r="BL85" s="109">
        <v>438.23991936994111</v>
      </c>
      <c r="BM85" s="109">
        <v>0</v>
      </c>
      <c r="BN85" s="109">
        <v>1785.1194414814263</v>
      </c>
      <c r="BO85" s="109">
        <v>6221.8074890110856</v>
      </c>
      <c r="BP85" s="109">
        <v>3094.5701042453165</v>
      </c>
      <c r="BQ85" s="109">
        <v>0</v>
      </c>
      <c r="BR85" s="109">
        <v>3117.8472786243374</v>
      </c>
      <c r="BS85" s="109">
        <v>0</v>
      </c>
      <c r="BT85" s="147">
        <f ca="1">DB_25[[#This Row],[SL-10]]*DB_25[[#This Row],[GB-10]]</f>
        <v>3109.1845342159017</v>
      </c>
      <c r="BU85" s="147">
        <f ca="1">DB_25[[#This Row],[SL-11]]*DB_25[[#This Row],[GB-11]]</f>
        <v>3109.1845342159017</v>
      </c>
      <c r="BV85" s="147">
        <f ca="1">DB_25[[#This Row],[SL-12]]*DB_25[[#This Row],[GB-12]]</f>
        <v>3109.1845342159017</v>
      </c>
      <c r="BW85" s="47">
        <f ca="1">SUM(DB_25[[#This Row],[DT-01-USD]:[DT-12-USD]])</f>
        <v>23985.137835379817</v>
      </c>
    </row>
    <row r="86" spans="1:75" x14ac:dyDescent="0.35">
      <c r="A86" s="18">
        <f>ROWS($A$6:A86)</f>
        <v>81</v>
      </c>
      <c r="B86" s="18" t="s">
        <v>115</v>
      </c>
      <c r="C86" s="18" t="str">
        <f>IFERROR(_xlfn.XLOOKUP(DB_25[[#This Row],[Salesman]],MD_Salesman[Salesman],MD_Salesman[SalesManager]),"")</f>
        <v>Quốc Anh</v>
      </c>
      <c r="D86" s="7" t="s">
        <v>635</v>
      </c>
      <c r="E86" s="7" t="s">
        <v>62</v>
      </c>
      <c r="F86" s="7"/>
      <c r="G86" s="7" t="str">
        <f>_xlfn.XLOOKUP(DB_25[[#This Row],[Mã khách]],MD_Customer[Mã khách],MD_Customer[Kênh bán hàng])</f>
        <v>Nội địa</v>
      </c>
      <c r="H86" s="7"/>
      <c r="I86" s="7"/>
      <c r="J86" s="7"/>
      <c r="K86" s="7" t="s">
        <v>212</v>
      </c>
      <c r="L86" s="7" t="str">
        <f>_xlfn.XLOOKUP(DB_25[[#This Row],[Mã sản phẩm]],MD_SKU[Mã SKU],MD_SKU[Tên SKU-rút gọn])</f>
        <v>Vảy PP Đỏ Nhạt</v>
      </c>
      <c r="M86" s="7" t="str">
        <f>_xlfn.XLOOKUP(DB_25[[#This Row],[Mã sản phẩm]],MD_SKU[Mã SKU],MD_SKU[Nhóm ngành])</f>
        <v>Vảy PP</v>
      </c>
      <c r="N86" s="7"/>
      <c r="O86" s="47">
        <v>0</v>
      </c>
      <c r="P86" s="47">
        <v>0</v>
      </c>
      <c r="Q86" s="47">
        <v>5.25</v>
      </c>
      <c r="R86" s="47">
        <v>0</v>
      </c>
      <c r="S86" s="47">
        <v>20.25</v>
      </c>
      <c r="T86" s="47">
        <v>0</v>
      </c>
      <c r="U86" s="47">
        <v>9.75</v>
      </c>
      <c r="V86" s="47">
        <v>0</v>
      </c>
      <c r="W86" s="110">
        <f ca="1">SUMIFS(Data_Actual_LG_EXW[SL],Data_Actual_LG_EXW[Year],2025,Data_Actual_LG_EXW[Month],'DB 2025'!W$1,Data_Actual_LG_EXW[Mã KH],DB_25[[#This Row],[Mã khách]],Data_Actual_LG_EXW[Mã SKU],DB_25[[#This Row],[Mã sản phẩm]])/10^3</f>
        <v>0</v>
      </c>
      <c r="X86" s="33"/>
      <c r="Y86" s="33"/>
      <c r="Z86" s="33"/>
      <c r="AA86" s="19">
        <f ca="1">SUM(DB_25[[#This Row],[SL-01]:[SL-12]])</f>
        <v>35.25</v>
      </c>
      <c r="AB86" s="7"/>
      <c r="AC86" s="20">
        <f ca="1">DB_25[[#This Row],[SL-DB25]]-DB_25[[#This Row],[SL-KH25]]</f>
        <v>35.25</v>
      </c>
      <c r="AD86" s="21">
        <f ca="1">IFERROR(DB_25[[#This Row],[SL-+/-]]/DB_25[[#This Row],[SL-KH25]],0)</f>
        <v>0</v>
      </c>
      <c r="AE86" s="23">
        <v>0</v>
      </c>
      <c r="AF86" s="23">
        <v>0</v>
      </c>
      <c r="AG86" s="23">
        <v>720.83152622865066</v>
      </c>
      <c r="AH86" s="23">
        <v>0</v>
      </c>
      <c r="AI86" s="23">
        <v>691.68691229639023</v>
      </c>
      <c r="AJ86" s="23">
        <v>0</v>
      </c>
      <c r="AK86" s="23">
        <v>686.12567366567862</v>
      </c>
      <c r="AL86" s="23">
        <v>0</v>
      </c>
      <c r="AM86" s="111">
        <v>0</v>
      </c>
      <c r="AN86" s="51">
        <f ca="1">IFERROR(SUM(DB_25[[#This Row],[DT-01-USD]:[DT-09-USD]])/SUM(DB_25[[#This Row],[SL-01]:[SL-09]]),0)</f>
        <v>694.48938453738106</v>
      </c>
      <c r="AO86" s="51">
        <f ca="1">DB_25[[#This Row],[GB-10]]</f>
        <v>694.48938453738106</v>
      </c>
      <c r="AP86" s="51">
        <f ca="1">DB_25[[#This Row],[GB-11]]</f>
        <v>694.48938453738106</v>
      </c>
      <c r="AQ86" s="7"/>
      <c r="AR86" s="7"/>
      <c r="AS86" s="7"/>
      <c r="AT86" s="7"/>
      <c r="AU86" s="47">
        <v>0</v>
      </c>
      <c r="AV86" s="47">
        <v>0</v>
      </c>
      <c r="AW86" s="47">
        <v>96025697.626373619</v>
      </c>
      <c r="AX86" s="47">
        <v>0</v>
      </c>
      <c r="AY86" s="47">
        <v>361075548.13914651</v>
      </c>
      <c r="AZ86" s="47">
        <v>0</v>
      </c>
      <c r="BA86" s="47">
        <v>173852966.42466766</v>
      </c>
      <c r="BB86" s="47">
        <v>0</v>
      </c>
      <c r="BC86" s="47">
        <v>0</v>
      </c>
      <c r="BD86" s="19">
        <f ca="1">DB_25[[#This Row],[SL-10]]*DB_25[[#This Row],[GB-10]]*BD$2/10^3</f>
        <v>0</v>
      </c>
      <c r="BE86" s="19">
        <f ca="1">DB_25[[#This Row],[SL-11]]*DB_25[[#This Row],[GB-11]]*BE$2/10^3</f>
        <v>0</v>
      </c>
      <c r="BF86" s="19">
        <f ca="1">DB_25[[#This Row],[SL-12]]*DB_25[[#This Row],[GB-12]]*BF$2/10^3</f>
        <v>0</v>
      </c>
      <c r="BG86" s="47">
        <f ca="1">SUM(DB_25[[#This Row],[DT-01]:[DT-12]])</f>
        <v>630954212.19018769</v>
      </c>
      <c r="BH86" s="7"/>
      <c r="BI86" s="7"/>
      <c r="BJ86" s="7"/>
      <c r="BK86" s="50">
        <v>0</v>
      </c>
      <c r="BL86" s="109">
        <v>0</v>
      </c>
      <c r="BM86" s="109">
        <v>3784.3655127004158</v>
      </c>
      <c r="BN86" s="109">
        <v>0</v>
      </c>
      <c r="BO86" s="109">
        <v>14006.659974001903</v>
      </c>
      <c r="BP86" s="109">
        <v>0</v>
      </c>
      <c r="BQ86" s="109">
        <v>6689.7253182403665</v>
      </c>
      <c r="BR86" s="109">
        <v>0</v>
      </c>
      <c r="BS86" s="109">
        <v>0</v>
      </c>
      <c r="BT86" s="147">
        <f ca="1">DB_25[[#This Row],[SL-10]]*DB_25[[#This Row],[GB-10]]</f>
        <v>0</v>
      </c>
      <c r="BU86" s="147">
        <f ca="1">DB_25[[#This Row],[SL-11]]*DB_25[[#This Row],[GB-11]]</f>
        <v>0</v>
      </c>
      <c r="BV86" s="147">
        <f ca="1">DB_25[[#This Row],[SL-12]]*DB_25[[#This Row],[GB-12]]</f>
        <v>0</v>
      </c>
      <c r="BW86" s="47">
        <f ca="1">SUM(DB_25[[#This Row],[DT-01-USD]:[DT-12-USD]])</f>
        <v>24480.750804942683</v>
      </c>
    </row>
    <row r="87" spans="1:75" x14ac:dyDescent="0.35">
      <c r="A87" s="18">
        <f>ROWS($A$6:A87)</f>
        <v>82</v>
      </c>
      <c r="B87" s="18" t="s">
        <v>115</v>
      </c>
      <c r="C87" s="18" t="str">
        <f>IFERROR(_xlfn.XLOOKUP(DB_25[[#This Row],[Salesman]],MD_Salesman[Salesman],MD_Salesman[SalesManager]),"")</f>
        <v>Quốc Anh</v>
      </c>
      <c r="D87" s="7" t="s">
        <v>637</v>
      </c>
      <c r="E87" s="7" t="s">
        <v>64</v>
      </c>
      <c r="F87" s="7"/>
      <c r="G87" s="7" t="str">
        <f>_xlfn.XLOOKUP(DB_25[[#This Row],[Mã khách]],MD_Customer[Mã khách],MD_Customer[Kênh bán hàng])</f>
        <v>Xuất khẩu</v>
      </c>
      <c r="H87" s="7"/>
      <c r="I87" s="7"/>
      <c r="J87" s="7"/>
      <c r="K87" s="7" t="s">
        <v>217</v>
      </c>
      <c r="L87" s="7" t="str">
        <f>_xlfn.XLOOKUP(DB_25[[#This Row],[Mã sản phẩm]],MD_SKU[Mã SKU],MD_SKU[Tên SKU-rút gọn])</f>
        <v>rPP20Gy01</v>
      </c>
      <c r="M87" s="7" t="str">
        <f>_xlfn.XLOOKUP(DB_25[[#This Row],[Mã sản phẩm]],MD_SKU[Mã SKU],MD_SKU[Nhóm ngành])</f>
        <v>Hạt PP</v>
      </c>
      <c r="N87" s="7"/>
      <c r="O87" s="47">
        <v>0</v>
      </c>
      <c r="P87" s="47">
        <v>0</v>
      </c>
      <c r="Q87" s="47">
        <v>5</v>
      </c>
      <c r="R87" s="47">
        <v>0</v>
      </c>
      <c r="S87" s="47">
        <v>0</v>
      </c>
      <c r="T87" s="47">
        <v>4</v>
      </c>
      <c r="U87" s="47">
        <v>12</v>
      </c>
      <c r="V87" s="47">
        <v>0</v>
      </c>
      <c r="W87" s="110">
        <f ca="1">SUMIFS(Data_Actual_LG_EXW[SL],Data_Actual_LG_EXW[Year],2025,Data_Actual_LG_EXW[Month],'DB 2025'!W$1,Data_Actual_LG_EXW[Mã KH],DB_25[[#This Row],[Mã khách]],Data_Actual_LG_EXW[Mã SKU],DB_25[[#This Row],[Mã sản phẩm]])/10^3</f>
        <v>8</v>
      </c>
      <c r="X87" s="33"/>
      <c r="Y87" s="33">
        <v>6</v>
      </c>
      <c r="Z87" s="33"/>
      <c r="AA87" s="19">
        <f ca="1">SUM(DB_25[[#This Row],[SL-01]:[SL-12]])</f>
        <v>35</v>
      </c>
      <c r="AB87" s="7"/>
      <c r="AC87" s="20">
        <f ca="1">DB_25[[#This Row],[SL-DB25]]-DB_25[[#This Row],[SL-KH25]]</f>
        <v>35</v>
      </c>
      <c r="AD87" s="21">
        <f ca="1">IFERROR(DB_25[[#This Row],[SL-+/-]]/DB_25[[#This Row],[SL-KH25]],0)</f>
        <v>0</v>
      </c>
      <c r="AE87" s="23">
        <v>0</v>
      </c>
      <c r="AF87" s="23">
        <v>0</v>
      </c>
      <c r="AG87" s="23">
        <v>1051.2031900968072</v>
      </c>
      <c r="AH87" s="23">
        <v>0</v>
      </c>
      <c r="AI87" s="23">
        <v>0</v>
      </c>
      <c r="AJ87" s="23">
        <v>1055.7065506125082</v>
      </c>
      <c r="AK87" s="23">
        <v>1052.0476087374902</v>
      </c>
      <c r="AL87" s="23">
        <v>0</v>
      </c>
      <c r="AM87" s="111">
        <v>1050.3010222222224</v>
      </c>
      <c r="AN87" s="51">
        <f ca="1">IFERROR(SUM(DB_25[[#This Row],[DT-01-USD]:[DT-09-USD]])/SUM(DB_25[[#This Row],[SL-01]:[SL-09]]),0)</f>
        <v>1051.9248839848872</v>
      </c>
      <c r="AO87" s="51">
        <f ca="1">DB_25[[#This Row],[GB-10]]</f>
        <v>1051.9248839848872</v>
      </c>
      <c r="AP87" s="51">
        <f ca="1">DB_25[[#This Row],[GB-11]]</f>
        <v>1051.9248839848872</v>
      </c>
      <c r="AQ87" s="7"/>
      <c r="AR87" s="7"/>
      <c r="AS87" s="7"/>
      <c r="AT87" s="7"/>
      <c r="AU87" s="47">
        <v>0</v>
      </c>
      <c r="AV87" s="47">
        <v>0</v>
      </c>
      <c r="AW87" s="47">
        <v>133397684.82328482</v>
      </c>
      <c r="AX87" s="47">
        <v>0</v>
      </c>
      <c r="AY87" s="47">
        <v>0</v>
      </c>
      <c r="AZ87" s="47">
        <v>109160057.33333334</v>
      </c>
      <c r="BA87" s="47">
        <v>327986362.5</v>
      </c>
      <c r="BB87" s="47">
        <v>0</v>
      </c>
      <c r="BC87" s="47">
        <v>220563214.66666669</v>
      </c>
      <c r="BD87" s="19">
        <f ca="1">DB_25[[#This Row],[SL-10]]*DB_25[[#This Row],[GB-10]]*BD$2/10^3</f>
        <v>0</v>
      </c>
      <c r="BE87" s="19">
        <f ca="1">DB_25[[#This Row],[SL-11]]*DB_25[[#This Row],[GB-11]]*BE$2/10^3</f>
        <v>165362.5917624243</v>
      </c>
      <c r="BF87" s="19">
        <f ca="1">DB_25[[#This Row],[SL-12]]*DB_25[[#This Row],[GB-12]]*BF$2/10^3</f>
        <v>0</v>
      </c>
      <c r="BG87" s="47">
        <f ca="1">SUM(DB_25[[#This Row],[DT-01]:[DT-12]])</f>
        <v>791272681.91504729</v>
      </c>
      <c r="BH87" s="7"/>
      <c r="BI87" s="7"/>
      <c r="BJ87" s="7"/>
      <c r="BK87" s="50">
        <v>0</v>
      </c>
      <c r="BL87" s="109">
        <v>0</v>
      </c>
      <c r="BM87" s="109">
        <v>5256.0159504840358</v>
      </c>
      <c r="BN87" s="109">
        <v>0</v>
      </c>
      <c r="BO87" s="109">
        <v>0</v>
      </c>
      <c r="BP87" s="109">
        <v>4222.8262024500327</v>
      </c>
      <c r="BQ87" s="109">
        <v>12624.571304849884</v>
      </c>
      <c r="BR87" s="109">
        <v>0</v>
      </c>
      <c r="BS87" s="109">
        <v>8402.4081777777792</v>
      </c>
      <c r="BT87" s="147">
        <f ca="1">DB_25[[#This Row],[SL-10]]*DB_25[[#This Row],[GB-10]]</f>
        <v>0</v>
      </c>
      <c r="BU87" s="147">
        <f ca="1">DB_25[[#This Row],[SL-11]]*DB_25[[#This Row],[GB-11]]</f>
        <v>6311.5493039093235</v>
      </c>
      <c r="BV87" s="147">
        <f ca="1">DB_25[[#This Row],[SL-12]]*DB_25[[#This Row],[GB-12]]</f>
        <v>0</v>
      </c>
      <c r="BW87" s="47">
        <f ca="1">SUM(DB_25[[#This Row],[DT-01-USD]:[DT-12-USD]])</f>
        <v>36817.370939471053</v>
      </c>
    </row>
    <row r="88" spans="1:75" x14ac:dyDescent="0.35">
      <c r="A88" s="18">
        <f>ROWS($A$6:A88)</f>
        <v>83</v>
      </c>
      <c r="B88" s="18" t="s">
        <v>115</v>
      </c>
      <c r="C88" s="18" t="str">
        <f>IFERROR(_xlfn.XLOOKUP(DB_25[[#This Row],[Salesman]],MD_Salesman[Salesman],MD_Salesman[SalesManager]),"")</f>
        <v>Quốc Anh</v>
      </c>
      <c r="D88" s="7" t="s">
        <v>635</v>
      </c>
      <c r="E88" s="7" t="s">
        <v>62</v>
      </c>
      <c r="F88" s="7"/>
      <c r="G88" s="7" t="str">
        <f>_xlfn.XLOOKUP(DB_25[[#This Row],[Mã khách]],MD_Customer[Mã khách],MD_Customer[Kênh bán hàng])</f>
        <v>Nội địa</v>
      </c>
      <c r="H88" s="7"/>
      <c r="I88" s="7"/>
      <c r="J88" s="7"/>
      <c r="K88" s="7" t="s">
        <v>200</v>
      </c>
      <c r="L88" s="7" t="str">
        <f>_xlfn.XLOOKUP(DB_25[[#This Row],[Mã sản phẩm]],MD_SKU[Mã SKU],MD_SKU[Tên SKU-rút gọn])</f>
        <v>Vảy HD Ép Đỏ</v>
      </c>
      <c r="M88" s="7" t="str">
        <f>_xlfn.XLOOKUP(DB_25[[#This Row],[Mã sản phẩm]],MD_SKU[Mã SKU],MD_SKU[Nhóm ngành])</f>
        <v>Vảy HD ép</v>
      </c>
      <c r="N88" s="7"/>
      <c r="O88" s="47">
        <v>0</v>
      </c>
      <c r="P88" s="47">
        <v>0</v>
      </c>
      <c r="Q88" s="47">
        <v>0</v>
      </c>
      <c r="R88" s="47">
        <v>0</v>
      </c>
      <c r="S88" s="47">
        <v>5.25</v>
      </c>
      <c r="T88" s="47">
        <v>4.5</v>
      </c>
      <c r="U88" s="47">
        <v>0</v>
      </c>
      <c r="V88" s="47">
        <v>0</v>
      </c>
      <c r="W88" s="110">
        <f ca="1">SUMIFS(Data_Actual_LG_EXW[SL],Data_Actual_LG_EXW[Year],2025,Data_Actual_LG_EXW[Month],'DB 2025'!W$1,Data_Actual_LG_EXW[Mã KH],DB_25[[#This Row],[Mã khách]],Data_Actual_LG_EXW[Mã SKU],DB_25[[#This Row],[Mã sản phẩm]])/10^3</f>
        <v>10.5</v>
      </c>
      <c r="X88" s="33">
        <v>14</v>
      </c>
      <c r="Y88" s="33"/>
      <c r="Z88" s="33"/>
      <c r="AA88" s="19">
        <f ca="1">SUM(DB_25[[#This Row],[SL-01]:[SL-12]])</f>
        <v>34.25</v>
      </c>
      <c r="AB88" s="7"/>
      <c r="AC88" s="20">
        <f ca="1">DB_25[[#This Row],[SL-DB25]]-DB_25[[#This Row],[SL-KH25]]</f>
        <v>34.25</v>
      </c>
      <c r="AD88" s="21">
        <f ca="1">IFERROR(DB_25[[#This Row],[SL-+/-]]/DB_25[[#This Row],[SL-KH25]],0)</f>
        <v>0</v>
      </c>
      <c r="AE88" s="23">
        <v>0</v>
      </c>
      <c r="AF88" s="23">
        <v>0</v>
      </c>
      <c r="AG88" s="23">
        <v>0</v>
      </c>
      <c r="AH88" s="23">
        <v>0</v>
      </c>
      <c r="AI88" s="23">
        <v>637.80983723940199</v>
      </c>
      <c r="AJ88" s="23">
        <v>639.22916746037845</v>
      </c>
      <c r="AK88" s="23">
        <v>0</v>
      </c>
      <c r="AL88" s="23">
        <v>0</v>
      </c>
      <c r="AM88" s="111">
        <v>609.83931264164653</v>
      </c>
      <c r="AN88" s="51">
        <f ca="1">IFERROR(SUM(DB_25[[#This Row],[DT-01-USD]:[DT-09-USD]])/SUM(DB_25[[#This Row],[SL-01]:[SL-09]]),0)</f>
        <v>623.62200897856064</v>
      </c>
      <c r="AO88" s="51">
        <f ca="1">DB_25[[#This Row],[GB-10]]</f>
        <v>623.62200897856064</v>
      </c>
      <c r="AP88" s="51">
        <f ca="1">DB_25[[#This Row],[GB-11]]</f>
        <v>623.62200897856064</v>
      </c>
      <c r="AQ88" s="7"/>
      <c r="AR88" s="7"/>
      <c r="AS88" s="7"/>
      <c r="AT88" s="7"/>
      <c r="AU88" s="47">
        <v>0</v>
      </c>
      <c r="AV88" s="47">
        <v>0</v>
      </c>
      <c r="AW88" s="47">
        <v>0</v>
      </c>
      <c r="AX88" s="47">
        <v>0</v>
      </c>
      <c r="AY88" s="47">
        <v>86320512.480519459</v>
      </c>
      <c r="AZ88" s="47">
        <v>74545054.813927233</v>
      </c>
      <c r="BA88" s="47">
        <v>0</v>
      </c>
      <c r="BB88" s="47">
        <v>0</v>
      </c>
      <c r="BC88" s="47">
        <v>167833969.40037772</v>
      </c>
      <c r="BD88" s="19">
        <f ca="1">DB_25[[#This Row],[SL-10]]*DB_25[[#This Row],[GB-10]]*BD$2/10^3</f>
        <v>228744.55289333605</v>
      </c>
      <c r="BE88" s="19">
        <f ca="1">DB_25[[#This Row],[SL-11]]*DB_25[[#This Row],[GB-11]]*BE$2/10^3</f>
        <v>0</v>
      </c>
      <c r="BF88" s="19">
        <f ca="1">DB_25[[#This Row],[SL-12]]*DB_25[[#This Row],[GB-12]]*BF$2/10^3</f>
        <v>0</v>
      </c>
      <c r="BG88" s="47">
        <f ca="1">SUM(DB_25[[#This Row],[DT-01]:[DT-12]])</f>
        <v>328928281.2477178</v>
      </c>
      <c r="BH88" s="7"/>
      <c r="BI88" s="7"/>
      <c r="BJ88" s="7"/>
      <c r="BK88" s="50">
        <v>0</v>
      </c>
      <c r="BL88" s="109">
        <v>0</v>
      </c>
      <c r="BM88" s="109">
        <v>0</v>
      </c>
      <c r="BN88" s="109">
        <v>0</v>
      </c>
      <c r="BO88" s="109">
        <v>3348.5016455068603</v>
      </c>
      <c r="BP88" s="109">
        <v>2876.531253571703</v>
      </c>
      <c r="BQ88" s="109">
        <v>0</v>
      </c>
      <c r="BR88" s="109">
        <v>0</v>
      </c>
      <c r="BS88" s="109">
        <v>6403.3127827372882</v>
      </c>
      <c r="BT88" s="147">
        <f ca="1">DB_25[[#This Row],[SL-10]]*DB_25[[#This Row],[GB-10]]</f>
        <v>8730.7081256998499</v>
      </c>
      <c r="BU88" s="147">
        <f ca="1">DB_25[[#This Row],[SL-11]]*DB_25[[#This Row],[GB-11]]</f>
        <v>0</v>
      </c>
      <c r="BV88" s="147">
        <f ca="1">DB_25[[#This Row],[SL-12]]*DB_25[[#This Row],[GB-12]]</f>
        <v>0</v>
      </c>
      <c r="BW88" s="47">
        <f ca="1">SUM(DB_25[[#This Row],[DT-01-USD]:[DT-12-USD]])</f>
        <v>21359.053807515702</v>
      </c>
    </row>
    <row r="89" spans="1:75" x14ac:dyDescent="0.35">
      <c r="A89" s="18">
        <f>ROWS($A$6:A89)</f>
        <v>84</v>
      </c>
      <c r="B89" s="18" t="s">
        <v>101</v>
      </c>
      <c r="C89" s="18" t="str">
        <f>IFERROR(_xlfn.XLOOKUP(DB_25[[#This Row],[Salesman]],MD_Salesman[Salesman],MD_Salesman[SalesManager]),"")</f>
        <v>Cường</v>
      </c>
      <c r="D89" s="7" t="s">
        <v>645</v>
      </c>
      <c r="E89" s="7" t="s">
        <v>117</v>
      </c>
      <c r="F89" s="7"/>
      <c r="G89" s="7" t="str">
        <f>_xlfn.XLOOKUP(DB_25[[#This Row],[Mã khách]],MD_Customer[Mã khách],MD_Customer[Kênh bán hàng])</f>
        <v>Nội địa</v>
      </c>
      <c r="H89" s="7"/>
      <c r="I89" s="7"/>
      <c r="J89" s="7"/>
      <c r="K89" s="7" t="s">
        <v>174</v>
      </c>
      <c r="L89" s="7" t="str">
        <f>_xlfn.XLOOKUP(DB_25[[#This Row],[Mã sản phẩm]],MD_SKU[Mã SKU],MD_SKU[Tên SKU-rút gọn])</f>
        <v>WSS03G</v>
      </c>
      <c r="M89" s="7" t="str">
        <f>_xlfn.XLOOKUP(DB_25[[#This Row],[Mã sản phẩm]],MD_SKU[Mã SKU],MD_SKU[Nhóm ngành])</f>
        <v>Hạt PET</v>
      </c>
      <c r="N89" s="7"/>
      <c r="O89" s="47">
        <v>0</v>
      </c>
      <c r="P89" s="47">
        <v>0</v>
      </c>
      <c r="Q89" s="47">
        <v>11</v>
      </c>
      <c r="R89" s="47">
        <v>0</v>
      </c>
      <c r="S89" s="47">
        <v>11</v>
      </c>
      <c r="T89" s="47">
        <v>0</v>
      </c>
      <c r="U89" s="47">
        <v>0</v>
      </c>
      <c r="V89" s="47">
        <v>0</v>
      </c>
      <c r="W89" s="110">
        <f ca="1">SUMIFS(Data_Actual_LG_EXW[SL],Data_Actual_LG_EXW[Year],2025,Data_Actual_LG_EXW[Month],'DB 2025'!W$1,Data_Actual_LG_EXW[Mã KH],DB_25[[#This Row],[Mã khách]],Data_Actual_LG_EXW[Mã SKU],DB_25[[#This Row],[Mã sản phẩm]])/10^3</f>
        <v>0</v>
      </c>
      <c r="X89" s="33"/>
      <c r="Y89" s="33">
        <v>11</v>
      </c>
      <c r="Z89" s="33"/>
      <c r="AA89" s="19">
        <f ca="1">SUM(DB_25[[#This Row],[SL-01]:[SL-12]])</f>
        <v>33</v>
      </c>
      <c r="AB89" s="7"/>
      <c r="AC89" s="20">
        <f ca="1">DB_25[[#This Row],[SL-DB25]]-DB_25[[#This Row],[SL-KH25]]</f>
        <v>33</v>
      </c>
      <c r="AD89" s="21">
        <f ca="1">IFERROR(DB_25[[#This Row],[SL-+/-]]/DB_25[[#This Row],[SL-KH25]],0)</f>
        <v>0</v>
      </c>
      <c r="AE89" s="23">
        <v>0</v>
      </c>
      <c r="AF89" s="23">
        <v>0</v>
      </c>
      <c r="AG89" s="23">
        <v>1106.2605169833421</v>
      </c>
      <c r="AH89" s="23">
        <v>0</v>
      </c>
      <c r="AI89" s="23">
        <v>1192.8780014307174</v>
      </c>
      <c r="AJ89" s="23">
        <v>0</v>
      </c>
      <c r="AK89" s="23">
        <v>0</v>
      </c>
      <c r="AL89" s="23">
        <v>0</v>
      </c>
      <c r="AM89" s="111">
        <v>0</v>
      </c>
      <c r="AN89" s="51">
        <f ca="1">IFERROR(SUM(DB_25[[#This Row],[DT-01-USD]:[DT-09-USD]])/SUM(DB_25[[#This Row],[SL-01]:[SL-09]]),0)</f>
        <v>1149.5692592070297</v>
      </c>
      <c r="AO89" s="51">
        <f ca="1">DB_25[[#This Row],[GB-10]]</f>
        <v>1149.5692592070297</v>
      </c>
      <c r="AP89" s="51">
        <f ca="1">DB_25[[#This Row],[GB-11]]</f>
        <v>1149.5692592070297</v>
      </c>
      <c r="AQ89" s="7"/>
      <c r="AR89" s="7"/>
      <c r="AS89" s="7"/>
      <c r="AT89" s="7"/>
      <c r="AU89" s="47">
        <v>0</v>
      </c>
      <c r="AV89" s="47">
        <v>0</v>
      </c>
      <c r="AW89" s="47">
        <v>308776679.46624804</v>
      </c>
      <c r="AX89" s="47">
        <v>0</v>
      </c>
      <c r="AY89" s="47">
        <v>338261217.82931352</v>
      </c>
      <c r="AZ89" s="47">
        <v>0</v>
      </c>
      <c r="BA89" s="47">
        <v>0</v>
      </c>
      <c r="BB89" s="47">
        <v>0</v>
      </c>
      <c r="BC89" s="47">
        <v>0</v>
      </c>
      <c r="BD89" s="19">
        <f ca="1">DB_25[[#This Row],[SL-10]]*DB_25[[#This Row],[GB-10]]*BD$2/10^3</f>
        <v>0</v>
      </c>
      <c r="BE89" s="19">
        <f ca="1">DB_25[[#This Row],[SL-11]]*DB_25[[#This Row],[GB-11]]*BE$2/10^3</f>
        <v>331305.86050346598</v>
      </c>
      <c r="BF89" s="19">
        <f ca="1">DB_25[[#This Row],[SL-12]]*DB_25[[#This Row],[GB-12]]*BF$2/10^3</f>
        <v>0</v>
      </c>
      <c r="BG89" s="47">
        <f ca="1">SUM(DB_25[[#This Row],[DT-01]:[DT-12]])</f>
        <v>647369203.15606499</v>
      </c>
      <c r="BH89" s="7"/>
      <c r="BI89" s="7"/>
      <c r="BJ89" s="7"/>
      <c r="BK89" s="50">
        <v>0</v>
      </c>
      <c r="BL89" s="109">
        <v>0</v>
      </c>
      <c r="BM89" s="109">
        <v>12168.865686816762</v>
      </c>
      <c r="BN89" s="109">
        <v>0</v>
      </c>
      <c r="BO89" s="109">
        <v>13121.658015737892</v>
      </c>
      <c r="BP89" s="109">
        <v>0</v>
      </c>
      <c r="BQ89" s="109">
        <v>0</v>
      </c>
      <c r="BR89" s="109">
        <v>0</v>
      </c>
      <c r="BS89" s="109">
        <v>0</v>
      </c>
      <c r="BT89" s="147">
        <f ca="1">DB_25[[#This Row],[SL-10]]*DB_25[[#This Row],[GB-10]]</f>
        <v>0</v>
      </c>
      <c r="BU89" s="147">
        <f ca="1">DB_25[[#This Row],[SL-11]]*DB_25[[#This Row],[GB-11]]</f>
        <v>12645.261851277328</v>
      </c>
      <c r="BV89" s="147">
        <f ca="1">DB_25[[#This Row],[SL-12]]*DB_25[[#This Row],[GB-12]]</f>
        <v>0</v>
      </c>
      <c r="BW89" s="47">
        <f ca="1">SUM(DB_25[[#This Row],[DT-01-USD]:[DT-12-USD]])</f>
        <v>37935.785553831978</v>
      </c>
    </row>
    <row r="90" spans="1:75" x14ac:dyDescent="0.35">
      <c r="A90" s="18">
        <f>ROWS($A$6:A90)</f>
        <v>85</v>
      </c>
      <c r="B90" s="18" t="s">
        <v>95</v>
      </c>
      <c r="C90" s="18" t="str">
        <f>IFERROR(_xlfn.XLOOKUP(DB_25[[#This Row],[Salesman]],MD_Salesman[Salesman],MD_Salesman[SalesManager]),"")</f>
        <v>Cường</v>
      </c>
      <c r="D90" s="7" t="s">
        <v>595</v>
      </c>
      <c r="E90" s="7" t="s">
        <v>478</v>
      </c>
      <c r="F90" s="7"/>
      <c r="G90" s="7" t="str">
        <f>_xlfn.XLOOKUP(DB_25[[#This Row],[Mã khách]],MD_Customer[Mã khách],MD_Customer[Kênh bán hàng])</f>
        <v>Nội địa</v>
      </c>
      <c r="H90" s="7"/>
      <c r="I90" s="7"/>
      <c r="J90" s="7"/>
      <c r="K90" s="7" t="s">
        <v>187</v>
      </c>
      <c r="L90" s="7" t="str">
        <f>_xlfn.XLOOKUP(DB_25[[#This Row],[Mã sản phẩm]],MD_SKU[Mã SKU],MD_SKU[Tên SKU-rút gọn])</f>
        <v>HCBF-Whi-U</v>
      </c>
      <c r="M90" s="7" t="str">
        <f>_xlfn.XLOOKUP(DB_25[[#This Row],[Mã sản phẩm]],MD_SKU[Mã SKU],MD_SKU[Nhóm ngành])</f>
        <v>Hạt HD thổi</v>
      </c>
      <c r="N90" s="7"/>
      <c r="O90" s="47">
        <v>5.5</v>
      </c>
      <c r="P90" s="47">
        <v>5.5</v>
      </c>
      <c r="Q90" s="47">
        <v>5.5</v>
      </c>
      <c r="R90" s="47">
        <v>0</v>
      </c>
      <c r="S90" s="47">
        <v>5.5</v>
      </c>
      <c r="T90" s="47">
        <v>0</v>
      </c>
      <c r="U90" s="47">
        <v>9.625</v>
      </c>
      <c r="V90" s="47">
        <v>0</v>
      </c>
      <c r="W90" s="110">
        <f ca="1">SUMIFS(Data_Actual_LG_EXW[SL],Data_Actual_LG_EXW[Year],2025,Data_Actual_LG_EXW[Month],'DB 2025'!W$1,Data_Actual_LG_EXW[Mã KH],DB_25[[#This Row],[Mã khách]],Data_Actual_LG_EXW[Mã SKU],DB_25[[#This Row],[Mã sản phẩm]])/10^3</f>
        <v>5.5</v>
      </c>
      <c r="X90" s="33"/>
      <c r="Y90" s="33"/>
      <c r="Z90" s="33"/>
      <c r="AA90" s="19">
        <f ca="1">SUM(DB_25[[#This Row],[SL-01]:[SL-12]])</f>
        <v>37.125</v>
      </c>
      <c r="AB90" s="7"/>
      <c r="AC90" s="20">
        <f ca="1">DB_25[[#This Row],[SL-DB25]]-DB_25[[#This Row],[SL-KH25]]</f>
        <v>37.125</v>
      </c>
      <c r="AD90" s="21">
        <f ca="1">IFERROR(DB_25[[#This Row],[SL-+/-]]/DB_25[[#This Row],[SL-KH25]],0)</f>
        <v>0</v>
      </c>
      <c r="AE90" s="23">
        <v>1340.2810513215195</v>
      </c>
      <c r="AF90" s="23">
        <v>1356.8312690403991</v>
      </c>
      <c r="AG90" s="23">
        <v>1351.3663179558805</v>
      </c>
      <c r="AH90" s="23">
        <v>0</v>
      </c>
      <c r="AI90" s="23">
        <v>1293.5023687981973</v>
      </c>
      <c r="AJ90" s="23">
        <v>0</v>
      </c>
      <c r="AK90" s="23">
        <v>1294.2971974046266</v>
      </c>
      <c r="AL90" s="23">
        <v>0</v>
      </c>
      <c r="AM90" s="111">
        <v>1298.1302234898835</v>
      </c>
      <c r="AN90" s="51">
        <f ca="1">IFERROR(SUM(DB_25[[#This Row],[DT-01-USD]:[DT-09-USD]])/SUM(DB_25[[#This Row],[SL-01]:[SL-09]]),0)</f>
        <v>1319.2787149724411</v>
      </c>
      <c r="AO90" s="51">
        <f ca="1">DB_25[[#This Row],[GB-10]]</f>
        <v>1319.2787149724411</v>
      </c>
      <c r="AP90" s="51">
        <f ca="1">DB_25[[#This Row],[GB-11]]</f>
        <v>1319.2787149724411</v>
      </c>
      <c r="AQ90" s="7"/>
      <c r="AR90" s="7"/>
      <c r="AS90" s="7"/>
      <c r="AT90" s="7"/>
      <c r="AU90" s="47">
        <v>185790713.31886476</v>
      </c>
      <c r="AV90" s="47">
        <v>188595000</v>
      </c>
      <c r="AW90" s="47">
        <v>188595000</v>
      </c>
      <c r="AX90" s="47">
        <v>0</v>
      </c>
      <c r="AY90" s="47">
        <v>183397500</v>
      </c>
      <c r="AZ90" s="47">
        <v>0</v>
      </c>
      <c r="BA90" s="47">
        <v>323749099</v>
      </c>
      <c r="BB90" s="47">
        <v>0</v>
      </c>
      <c r="BC90" s="47">
        <v>187135465</v>
      </c>
      <c r="BD90" s="19">
        <f ca="1">DB_25[[#This Row],[SL-10]]*DB_25[[#This Row],[GB-10]]*BD$2/10^3</f>
        <v>0</v>
      </c>
      <c r="BE90" s="19">
        <f ca="1">DB_25[[#This Row],[SL-11]]*DB_25[[#This Row],[GB-11]]*BE$2/10^3</f>
        <v>0</v>
      </c>
      <c r="BF90" s="19">
        <f ca="1">DB_25[[#This Row],[SL-12]]*DB_25[[#This Row],[GB-12]]*BF$2/10^3</f>
        <v>0</v>
      </c>
      <c r="BG90" s="47">
        <f ca="1">SUM(DB_25[[#This Row],[DT-01]:[DT-12]])</f>
        <v>1257262777.3188648</v>
      </c>
      <c r="BH90" s="7"/>
      <c r="BI90" s="7"/>
      <c r="BJ90" s="7"/>
      <c r="BK90" s="50">
        <v>7371.5457822683575</v>
      </c>
      <c r="BL90" s="109">
        <v>7462.5719797221955</v>
      </c>
      <c r="BM90" s="109">
        <v>7432.5147487573431</v>
      </c>
      <c r="BN90" s="109">
        <v>0</v>
      </c>
      <c r="BO90" s="109">
        <v>7114.2630283900844</v>
      </c>
      <c r="BP90" s="109">
        <v>0</v>
      </c>
      <c r="BQ90" s="109">
        <v>12457.610525019531</v>
      </c>
      <c r="BR90" s="109">
        <v>0</v>
      </c>
      <c r="BS90" s="109">
        <v>7139.7162291943596</v>
      </c>
      <c r="BT90" s="147">
        <f ca="1">DB_25[[#This Row],[SL-10]]*DB_25[[#This Row],[GB-10]]</f>
        <v>0</v>
      </c>
      <c r="BU90" s="147">
        <f ca="1">DB_25[[#This Row],[SL-11]]*DB_25[[#This Row],[GB-11]]</f>
        <v>0</v>
      </c>
      <c r="BV90" s="147">
        <f ca="1">DB_25[[#This Row],[SL-12]]*DB_25[[#This Row],[GB-12]]</f>
        <v>0</v>
      </c>
      <c r="BW90" s="47">
        <f ca="1">SUM(DB_25[[#This Row],[DT-01-USD]:[DT-12-USD]])</f>
        <v>48978.222293351871</v>
      </c>
    </row>
    <row r="91" spans="1:75" x14ac:dyDescent="0.35">
      <c r="A91" s="18">
        <f>ROWS($A$6:A91)</f>
        <v>86</v>
      </c>
      <c r="B91" s="18" t="s">
        <v>115</v>
      </c>
      <c r="C91" s="18" t="str">
        <f>IFERROR(_xlfn.XLOOKUP(DB_25[[#This Row],[Salesman]],MD_Salesman[Salesman],MD_Salesman[SalesManager]),"")</f>
        <v>Quốc Anh</v>
      </c>
      <c r="D91" s="7" t="s">
        <v>628</v>
      </c>
      <c r="E91" s="7" t="s">
        <v>57</v>
      </c>
      <c r="F91" s="7"/>
      <c r="G91" s="7" t="str">
        <f>_xlfn.XLOOKUP(DB_25[[#This Row],[Mã khách]],MD_Customer[Mã khách],MD_Customer[Kênh bán hàng])</f>
        <v>Nội địa</v>
      </c>
      <c r="H91" s="7"/>
      <c r="I91" s="7"/>
      <c r="J91" s="7"/>
      <c r="K91" s="7" t="s">
        <v>205</v>
      </c>
      <c r="L91" s="7" t="str">
        <f>_xlfn.XLOOKUP(DB_25[[#This Row],[Mã sản phẩm]],MD_SKU[Mã SKU],MD_SKU[Tên SKU-rút gọn])</f>
        <v>Vảy HD Ép Đen</v>
      </c>
      <c r="M91" s="7" t="str">
        <f>_xlfn.XLOOKUP(DB_25[[#This Row],[Mã sản phẩm]],MD_SKU[Mã SKU],MD_SKU[Nhóm ngành])</f>
        <v>Vảy HD ép</v>
      </c>
      <c r="N91" s="7"/>
      <c r="O91" s="47">
        <v>0</v>
      </c>
      <c r="P91" s="47">
        <v>0</v>
      </c>
      <c r="Q91" s="47">
        <v>0</v>
      </c>
      <c r="R91" s="47">
        <v>0</v>
      </c>
      <c r="S91" s="47">
        <v>0</v>
      </c>
      <c r="T91" s="47">
        <v>28</v>
      </c>
      <c r="U91" s="47">
        <v>0</v>
      </c>
      <c r="V91" s="47"/>
      <c r="W91" s="110">
        <f ca="1">SUMIFS(Data_Actual_LG_EXW[SL],Data_Actual_LG_EXW[Year],2025,Data_Actual_LG_EXW[Month],'DB 2025'!W$1,Data_Actual_LG_EXW[Mã KH],DB_25[[#This Row],[Mã khách]],Data_Actual_LG_EXW[Mã SKU],DB_25[[#This Row],[Mã sản phẩm]])/10^3</f>
        <v>0</v>
      </c>
      <c r="X91" s="33"/>
      <c r="Y91" s="33"/>
      <c r="Z91" s="33"/>
      <c r="AA91" s="19">
        <f ca="1">SUM(DB_25[[#This Row],[SL-01]:[SL-12]])</f>
        <v>28</v>
      </c>
      <c r="AB91" s="7"/>
      <c r="AC91" s="20">
        <f ca="1">DB_25[[#This Row],[SL-DB25]]-DB_25[[#This Row],[SL-KH25]]</f>
        <v>28</v>
      </c>
      <c r="AD91" s="21">
        <f ca="1">IFERROR(DB_25[[#This Row],[SL-+/-]]/DB_25[[#This Row],[SL-KH25]],0)</f>
        <v>0</v>
      </c>
      <c r="AE91" s="23">
        <v>0</v>
      </c>
      <c r="AF91" s="23">
        <v>0</v>
      </c>
      <c r="AG91" s="23">
        <v>0</v>
      </c>
      <c r="AH91" s="23">
        <v>0</v>
      </c>
      <c r="AI91" s="23">
        <v>0</v>
      </c>
      <c r="AJ91" s="23">
        <v>491.3883810835049</v>
      </c>
      <c r="AK91" s="23">
        <v>0</v>
      </c>
      <c r="AL91" s="23">
        <v>0</v>
      </c>
      <c r="AM91" s="111">
        <v>0</v>
      </c>
      <c r="AN91" s="51">
        <f ca="1">IFERROR(SUM(DB_25[[#This Row],[DT-01-USD]:[DT-09-USD]])/SUM(DB_25[[#This Row],[SL-01]:[SL-09]]),0)</f>
        <v>430.51618358859707</v>
      </c>
      <c r="AO91" s="51">
        <f ca="1">DB_25[[#This Row],[GB-10]]</f>
        <v>430.51618358859707</v>
      </c>
      <c r="AP91" s="51">
        <f ca="1">DB_25[[#This Row],[GB-11]]</f>
        <v>430.51618358859707</v>
      </c>
      <c r="AQ91" s="7"/>
      <c r="AR91" s="7"/>
      <c r="AS91" s="7"/>
      <c r="AT91" s="7"/>
      <c r="AU91" s="47">
        <v>0</v>
      </c>
      <c r="AV91" s="47">
        <v>0</v>
      </c>
      <c r="AW91" s="47">
        <v>0</v>
      </c>
      <c r="AX91" s="47">
        <v>0</v>
      </c>
      <c r="AY91" s="47">
        <v>0</v>
      </c>
      <c r="AZ91" s="47">
        <v>356560028.75156838</v>
      </c>
      <c r="BA91" s="47">
        <v>0</v>
      </c>
      <c r="BB91" s="47">
        <v>-44541589.702422142</v>
      </c>
      <c r="BC91" s="47">
        <v>0</v>
      </c>
      <c r="BD91" s="19">
        <f ca="1">DB_25[[#This Row],[SL-10]]*DB_25[[#This Row],[GB-10]]*BD$2/10^3</f>
        <v>0</v>
      </c>
      <c r="BE91" s="19">
        <f ca="1">DB_25[[#This Row],[SL-11]]*DB_25[[#This Row],[GB-11]]*BE$2/10^3</f>
        <v>0</v>
      </c>
      <c r="BF91" s="19">
        <f ca="1">DB_25[[#This Row],[SL-12]]*DB_25[[#This Row],[GB-12]]*BF$2/10^3</f>
        <v>0</v>
      </c>
      <c r="BG91" s="47">
        <f ca="1">SUM(DB_25[[#This Row],[DT-01]:[DT-12]])</f>
        <v>312018439.04914623</v>
      </c>
      <c r="BH91" s="7"/>
      <c r="BI91" s="7"/>
      <c r="BJ91" s="7"/>
      <c r="BK91" s="50">
        <v>0</v>
      </c>
      <c r="BL91" s="109">
        <v>0</v>
      </c>
      <c r="BM91" s="109">
        <v>0</v>
      </c>
      <c r="BN91" s="109">
        <v>0</v>
      </c>
      <c r="BO91" s="109">
        <v>0</v>
      </c>
      <c r="BP91" s="109">
        <v>13758.874670338137</v>
      </c>
      <c r="BQ91" s="109">
        <v>0</v>
      </c>
      <c r="BR91" s="109">
        <v>-1704.4215298574179</v>
      </c>
      <c r="BS91" s="109">
        <v>0</v>
      </c>
      <c r="BT91" s="147">
        <f ca="1">DB_25[[#This Row],[SL-10]]*DB_25[[#This Row],[GB-10]]</f>
        <v>0</v>
      </c>
      <c r="BU91" s="147">
        <f ca="1">DB_25[[#This Row],[SL-11]]*DB_25[[#This Row],[GB-11]]</f>
        <v>0</v>
      </c>
      <c r="BV91" s="147">
        <f ca="1">DB_25[[#This Row],[SL-12]]*DB_25[[#This Row],[GB-12]]</f>
        <v>0</v>
      </c>
      <c r="BW91" s="47">
        <f ca="1">SUM(DB_25[[#This Row],[DT-01-USD]:[DT-12-USD]])</f>
        <v>12054.453140480719</v>
      </c>
    </row>
    <row r="92" spans="1:75" x14ac:dyDescent="0.35">
      <c r="A92" s="18">
        <f>ROWS($A$6:A92)</f>
        <v>87</v>
      </c>
      <c r="B92" s="18" t="s">
        <v>110</v>
      </c>
      <c r="C92" s="18" t="str">
        <f>IFERROR(_xlfn.XLOOKUP(DB_25[[#This Row],[Salesman]],MD_Salesman[Salesman],MD_Salesman[SalesManager]),"")</f>
        <v>Quốc Anh</v>
      </c>
      <c r="D92" s="7" t="s">
        <v>646</v>
      </c>
      <c r="E92" s="7" t="s">
        <v>50</v>
      </c>
      <c r="F92" s="7"/>
      <c r="G92" s="7" t="str">
        <f>_xlfn.XLOOKUP(DB_25[[#This Row],[Mã khách]],MD_Customer[Mã khách],MD_Customer[Kênh bán hàng])</f>
        <v>Xuất khẩu</v>
      </c>
      <c r="H92" s="7"/>
      <c r="I92" s="7"/>
      <c r="J92" s="7"/>
      <c r="K92" s="7" t="s">
        <v>185</v>
      </c>
      <c r="L92" s="7" t="str">
        <f>_xlfn.XLOOKUP(DB_25[[#This Row],[Mã sản phẩm]],MD_SKU[Mã SKU],MD_SKU[Tên SKU-rút gọn])</f>
        <v>rHDB04B01</v>
      </c>
      <c r="M92" s="7" t="str">
        <f>_xlfn.XLOOKUP(DB_25[[#This Row],[Mã sản phẩm]],MD_SKU[Mã SKU],MD_SKU[Nhóm ngành])</f>
        <v>Hạt HD thổi</v>
      </c>
      <c r="N92" s="7"/>
      <c r="O92" s="47">
        <v>0</v>
      </c>
      <c r="P92" s="47">
        <v>0</v>
      </c>
      <c r="Q92" s="47">
        <v>0</v>
      </c>
      <c r="R92" s="47">
        <v>0</v>
      </c>
      <c r="S92" s="47">
        <v>0</v>
      </c>
      <c r="T92" s="47">
        <v>0</v>
      </c>
      <c r="U92" s="47">
        <v>0</v>
      </c>
      <c r="V92" s="47">
        <v>27</v>
      </c>
      <c r="W92" s="110">
        <f ca="1">SUMIFS(Data_Actual_LG_EXW[SL],Data_Actual_LG_EXW[Year],2025,Data_Actual_LG_EXW[Month],'DB 2025'!W$1,Data_Actual_LG_EXW[Mã KH],DB_25[[#This Row],[Mã khách]],Data_Actual_LG_EXW[Mã SKU],DB_25[[#This Row],[Mã sản phẩm]])/10^3</f>
        <v>0</v>
      </c>
      <c r="X92" s="33"/>
      <c r="Y92" s="33"/>
      <c r="Z92" s="33"/>
      <c r="AA92" s="19">
        <f ca="1">SUM(DB_25[[#This Row],[SL-01]:[SL-12]])</f>
        <v>27</v>
      </c>
      <c r="AB92" s="7"/>
      <c r="AC92" s="20">
        <f ca="1">DB_25[[#This Row],[SL-DB25]]-DB_25[[#This Row],[SL-KH25]]</f>
        <v>27</v>
      </c>
      <c r="AD92" s="21">
        <f ca="1">IFERROR(DB_25[[#This Row],[SL-+/-]]/DB_25[[#This Row],[SL-KH25]],0)</f>
        <v>0</v>
      </c>
      <c r="AE92" s="23">
        <v>0</v>
      </c>
      <c r="AF92" s="23">
        <v>0</v>
      </c>
      <c r="AG92" s="23">
        <v>0</v>
      </c>
      <c r="AH92" s="23">
        <v>0</v>
      </c>
      <c r="AI92" s="23">
        <v>0</v>
      </c>
      <c r="AJ92" s="23">
        <v>0</v>
      </c>
      <c r="AK92" s="23">
        <v>0</v>
      </c>
      <c r="AL92" s="23">
        <v>645.02019033902377</v>
      </c>
      <c r="AM92" s="111">
        <v>0</v>
      </c>
      <c r="AN92" s="51">
        <f ca="1">IFERROR(SUM(DB_25[[#This Row],[DT-01-USD]:[DT-09-USD]])/SUM(DB_25[[#This Row],[SL-01]:[SL-09]]),0)</f>
        <v>645.02019033902377</v>
      </c>
      <c r="AO92" s="51">
        <f ca="1">DB_25[[#This Row],[GB-10]]</f>
        <v>645.02019033902377</v>
      </c>
      <c r="AP92" s="51">
        <f ca="1">DB_25[[#This Row],[GB-11]]</f>
        <v>645.02019033902377</v>
      </c>
      <c r="AQ92" s="7"/>
      <c r="AR92" s="7"/>
      <c r="AS92" s="7"/>
      <c r="AT92" s="7"/>
      <c r="AU92" s="47">
        <v>0</v>
      </c>
      <c r="AV92" s="47">
        <v>0</v>
      </c>
      <c r="AW92" s="47">
        <v>0</v>
      </c>
      <c r="AX92" s="47">
        <v>0</v>
      </c>
      <c r="AY92" s="47">
        <v>0</v>
      </c>
      <c r="AZ92" s="47">
        <v>0</v>
      </c>
      <c r="BA92" s="47">
        <v>0</v>
      </c>
      <c r="BB92" s="47">
        <v>456809749</v>
      </c>
      <c r="BC92" s="47">
        <v>0</v>
      </c>
      <c r="BD92" s="19">
        <f ca="1">DB_25[[#This Row],[SL-10]]*DB_25[[#This Row],[GB-10]]*BD$2/10^3</f>
        <v>0</v>
      </c>
      <c r="BE92" s="19">
        <f ca="1">DB_25[[#This Row],[SL-11]]*DB_25[[#This Row],[GB-11]]*BE$2/10^3</f>
        <v>0</v>
      </c>
      <c r="BF92" s="19">
        <f ca="1">DB_25[[#This Row],[SL-12]]*DB_25[[#This Row],[GB-12]]*BF$2/10^3</f>
        <v>0</v>
      </c>
      <c r="BG92" s="47">
        <f ca="1">SUM(DB_25[[#This Row],[DT-01]:[DT-12]])</f>
        <v>456809749</v>
      </c>
      <c r="BH92" s="7"/>
      <c r="BI92" s="7"/>
      <c r="BJ92" s="7"/>
      <c r="BK92" s="50">
        <v>0</v>
      </c>
      <c r="BL92" s="109">
        <v>0</v>
      </c>
      <c r="BM92" s="109">
        <v>0</v>
      </c>
      <c r="BN92" s="109">
        <v>0</v>
      </c>
      <c r="BO92" s="109">
        <v>0</v>
      </c>
      <c r="BP92" s="109">
        <v>0</v>
      </c>
      <c r="BQ92" s="109">
        <v>0</v>
      </c>
      <c r="BR92" s="109">
        <v>17415.545139153641</v>
      </c>
      <c r="BS92" s="109">
        <v>0</v>
      </c>
      <c r="BT92" s="147">
        <f ca="1">DB_25[[#This Row],[SL-10]]*DB_25[[#This Row],[GB-10]]</f>
        <v>0</v>
      </c>
      <c r="BU92" s="147">
        <f ca="1">DB_25[[#This Row],[SL-11]]*DB_25[[#This Row],[GB-11]]</f>
        <v>0</v>
      </c>
      <c r="BV92" s="147">
        <f ca="1">DB_25[[#This Row],[SL-12]]*DB_25[[#This Row],[GB-12]]</f>
        <v>0</v>
      </c>
      <c r="BW92" s="47">
        <f ca="1">SUM(DB_25[[#This Row],[DT-01-USD]:[DT-12-USD]])</f>
        <v>17415.545139153641</v>
      </c>
    </row>
    <row r="93" spans="1:75" x14ac:dyDescent="0.35">
      <c r="A93" s="18">
        <f>ROWS($A$6:A93)</f>
        <v>88</v>
      </c>
      <c r="B93" s="18" t="s">
        <v>115</v>
      </c>
      <c r="C93" s="18" t="str">
        <f>IFERROR(_xlfn.XLOOKUP(DB_25[[#This Row],[Salesman]],MD_Salesman[Salesman],MD_Salesman[SalesManager]),"")</f>
        <v>Quốc Anh</v>
      </c>
      <c r="D93" s="7" t="s">
        <v>627</v>
      </c>
      <c r="E93" s="7" t="s">
        <v>58</v>
      </c>
      <c r="F93" s="7"/>
      <c r="G93" s="7" t="str">
        <f>_xlfn.XLOOKUP(DB_25[[#This Row],[Mã khách]],MD_Customer[Mã khách],MD_Customer[Kênh bán hàng])</f>
        <v>Nội địa</v>
      </c>
      <c r="H93" s="7"/>
      <c r="I93" s="7"/>
      <c r="J93" s="7"/>
      <c r="K93" s="7" t="s">
        <v>201</v>
      </c>
      <c r="L93" s="7" t="str">
        <f>_xlfn.XLOOKUP(DB_25[[#This Row],[Mã sản phẩm]],MD_SKU[Mã SKU],MD_SKU[Tên SKU-rút gọn])</f>
        <v>Vảy HD Ép Trắng</v>
      </c>
      <c r="M93" s="7" t="str">
        <f>_xlfn.XLOOKUP(DB_25[[#This Row],[Mã sản phẩm]],MD_SKU[Mã SKU],MD_SKU[Nhóm ngành])</f>
        <v>Vảy HD ép</v>
      </c>
      <c r="N93" s="7"/>
      <c r="O93" s="47">
        <v>0</v>
      </c>
      <c r="P93" s="47">
        <v>0</v>
      </c>
      <c r="Q93" s="47">
        <v>0</v>
      </c>
      <c r="R93" s="47">
        <v>4.5</v>
      </c>
      <c r="S93" s="47">
        <v>0</v>
      </c>
      <c r="T93" s="47">
        <v>0</v>
      </c>
      <c r="U93" s="47">
        <v>0.75</v>
      </c>
      <c r="V93" s="47">
        <v>3.7749999999999999</v>
      </c>
      <c r="W93" s="110">
        <f ca="1">SUMIFS(Data_Actual_LG_EXW[SL],Data_Actual_LG_EXW[Year],2025,Data_Actual_LG_EXW[Month],'DB 2025'!W$1,Data_Actual_LG_EXW[Mã KH],DB_25[[#This Row],[Mã khách]],Data_Actual_LG_EXW[Mã SKU],DB_25[[#This Row],[Mã sản phẩm]])/10^3</f>
        <v>21</v>
      </c>
      <c r="X93" s="33"/>
      <c r="Y93" s="33"/>
      <c r="Z93" s="33"/>
      <c r="AA93" s="19">
        <f ca="1">SUM(DB_25[[#This Row],[SL-01]:[SL-12]])</f>
        <v>30.024999999999999</v>
      </c>
      <c r="AB93" s="7"/>
      <c r="AC93" s="20">
        <f ca="1">DB_25[[#This Row],[SL-DB25]]-DB_25[[#This Row],[SL-KH25]]</f>
        <v>30.024999999999999</v>
      </c>
      <c r="AD93" s="21">
        <f ca="1">IFERROR(DB_25[[#This Row],[SL-+/-]]/DB_25[[#This Row],[SL-KH25]],0)</f>
        <v>0</v>
      </c>
      <c r="AE93" s="23">
        <v>0</v>
      </c>
      <c r="AF93" s="23">
        <v>0</v>
      </c>
      <c r="AG93" s="23">
        <v>0</v>
      </c>
      <c r="AH93" s="23">
        <v>590.10525751633497</v>
      </c>
      <c r="AI93" s="23">
        <v>0</v>
      </c>
      <c r="AJ93" s="23">
        <v>0</v>
      </c>
      <c r="AK93" s="23">
        <v>579.23895259027324</v>
      </c>
      <c r="AL93" s="23">
        <v>565.58660859111319</v>
      </c>
      <c r="AM93" s="111">
        <v>563.9148111366685</v>
      </c>
      <c r="AN93" s="51">
        <f ca="1">IFERROR(SUM(DB_25[[#This Row],[DT-01-USD]:[DT-09-USD]])/SUM(DB_25[[#This Row],[SL-01]:[SL-09]]),0)</f>
        <v>568.43308424871623</v>
      </c>
      <c r="AO93" s="51">
        <f ca="1">DB_25[[#This Row],[GB-10]]</f>
        <v>568.43308424871623</v>
      </c>
      <c r="AP93" s="51">
        <f ca="1">DB_25[[#This Row],[GB-11]]</f>
        <v>568.43308424871623</v>
      </c>
      <c r="AQ93" s="7"/>
      <c r="AR93" s="7"/>
      <c r="AS93" s="7"/>
      <c r="AT93" s="7"/>
      <c r="AU93" s="47">
        <v>0</v>
      </c>
      <c r="AV93" s="47">
        <v>0</v>
      </c>
      <c r="AW93" s="47">
        <v>0</v>
      </c>
      <c r="AX93" s="47">
        <v>68168970.648409203</v>
      </c>
      <c r="AY93" s="47">
        <v>0</v>
      </c>
      <c r="AZ93" s="47">
        <v>0</v>
      </c>
      <c r="BA93" s="47">
        <v>11289971.417282127</v>
      </c>
      <c r="BB93" s="47">
        <v>55796219.702422149</v>
      </c>
      <c r="BC93" s="47">
        <v>310390160.80075544</v>
      </c>
      <c r="BD93" s="19">
        <f ca="1">DB_25[[#This Row],[SL-10]]*DB_25[[#This Row],[GB-10]]*BD$2/10^3</f>
        <v>0</v>
      </c>
      <c r="BE93" s="19">
        <f ca="1">DB_25[[#This Row],[SL-11]]*DB_25[[#This Row],[GB-11]]*BE$2/10^3</f>
        <v>0</v>
      </c>
      <c r="BF93" s="19">
        <f ca="1">DB_25[[#This Row],[SL-12]]*DB_25[[#This Row],[GB-12]]*BF$2/10^3</f>
        <v>0</v>
      </c>
      <c r="BG93" s="47">
        <f ca="1">SUM(DB_25[[#This Row],[DT-01]:[DT-12]])</f>
        <v>445645322.56886888</v>
      </c>
      <c r="BH93" s="7"/>
      <c r="BI93" s="7"/>
      <c r="BJ93" s="7"/>
      <c r="BK93" s="50">
        <v>0</v>
      </c>
      <c r="BL93" s="109">
        <v>0</v>
      </c>
      <c r="BM93" s="109">
        <v>0</v>
      </c>
      <c r="BN93" s="109">
        <v>2655.4736588235073</v>
      </c>
      <c r="BO93" s="109">
        <v>0</v>
      </c>
      <c r="BP93" s="109">
        <v>0</v>
      </c>
      <c r="BQ93" s="109">
        <v>434.4292144427049</v>
      </c>
      <c r="BR93" s="109">
        <v>2135.0894474314523</v>
      </c>
      <c r="BS93" s="109">
        <v>11842.211033870039</v>
      </c>
      <c r="BT93" s="147">
        <f ca="1">DB_25[[#This Row],[SL-10]]*DB_25[[#This Row],[GB-10]]</f>
        <v>0</v>
      </c>
      <c r="BU93" s="147">
        <f ca="1">DB_25[[#This Row],[SL-11]]*DB_25[[#This Row],[GB-11]]</f>
        <v>0</v>
      </c>
      <c r="BV93" s="147">
        <f ca="1">DB_25[[#This Row],[SL-12]]*DB_25[[#This Row],[GB-12]]</f>
        <v>0</v>
      </c>
      <c r="BW93" s="47">
        <f ca="1">SUM(DB_25[[#This Row],[DT-01-USD]:[DT-12-USD]])</f>
        <v>17067.203354567704</v>
      </c>
    </row>
    <row r="94" spans="1:75" x14ac:dyDescent="0.35">
      <c r="A94" s="18">
        <f>ROWS($A$6:A94)</f>
        <v>89</v>
      </c>
      <c r="B94" s="18" t="s">
        <v>104</v>
      </c>
      <c r="C94" s="18" t="str">
        <f>IFERROR(_xlfn.XLOOKUP(DB_25[[#This Row],[Salesman]],MD_Salesman[Salesman],MD_Salesman[SalesManager]),"")</f>
        <v>Quốc Anh</v>
      </c>
      <c r="D94" s="7" t="s">
        <v>588</v>
      </c>
      <c r="E94" s="7" t="s">
        <v>9</v>
      </c>
      <c r="F94" s="7"/>
      <c r="G94" s="7" t="str">
        <f>_xlfn.XLOOKUP(DB_25[[#This Row],[Mã khách]],MD_Customer[Mã khách],MD_Customer[Kênh bán hàng])</f>
        <v>Xuất khẩu</v>
      </c>
      <c r="H94" s="7"/>
      <c r="I94" s="7"/>
      <c r="J94" s="7"/>
      <c r="K94" s="7" t="s">
        <v>207</v>
      </c>
      <c r="L94" s="7" t="str">
        <f>_xlfn.XLOOKUP(DB_25[[#This Row],[Mã sản phẩm]],MD_SKU[Mã SKU],MD_SKU[Tên SKU-rút gọn])</f>
        <v>rHDI7DL02</v>
      </c>
      <c r="M94" s="7" t="str">
        <f>_xlfn.XLOOKUP(DB_25[[#This Row],[Mã sản phẩm]],MD_SKU[Mã SKU],MD_SKU[Nhóm ngành])</f>
        <v>Hạt HD ép</v>
      </c>
      <c r="N94" s="7"/>
      <c r="O94" s="47">
        <v>0</v>
      </c>
      <c r="P94" s="47">
        <v>25</v>
      </c>
      <c r="Q94" s="47">
        <v>0</v>
      </c>
      <c r="R94" s="47">
        <v>0</v>
      </c>
      <c r="S94" s="47">
        <v>0</v>
      </c>
      <c r="T94" s="47">
        <v>0</v>
      </c>
      <c r="U94" s="47">
        <v>0</v>
      </c>
      <c r="V94" s="47">
        <v>0</v>
      </c>
      <c r="W94" s="110">
        <f ca="1">SUMIFS(Data_Actual_LG_EXW[SL],Data_Actual_LG_EXW[Year],2025,Data_Actual_LG_EXW[Month],'DB 2025'!W$1,Data_Actual_LG_EXW[Mã KH],DB_25[[#This Row],[Mã khách]],Data_Actual_LG_EXW[Mã SKU],DB_25[[#This Row],[Mã sản phẩm]])/10^3</f>
        <v>0</v>
      </c>
      <c r="X94" s="33"/>
      <c r="Y94" s="33"/>
      <c r="Z94" s="33"/>
      <c r="AA94" s="19">
        <f ca="1">SUM(DB_25[[#This Row],[SL-01]:[SL-12]])</f>
        <v>25</v>
      </c>
      <c r="AB94" s="7"/>
      <c r="AC94" s="20">
        <f ca="1">DB_25[[#This Row],[SL-DB25]]-DB_25[[#This Row],[SL-KH25]]</f>
        <v>25</v>
      </c>
      <c r="AD94" s="21">
        <f ca="1">IFERROR(DB_25[[#This Row],[SL-+/-]]/DB_25[[#This Row],[SL-KH25]],0)</f>
        <v>0</v>
      </c>
      <c r="AE94" s="23">
        <v>0</v>
      </c>
      <c r="AF94" s="23">
        <v>1176.4844181459566</v>
      </c>
      <c r="AG94" s="23">
        <v>0</v>
      </c>
      <c r="AH94" s="23">
        <v>0</v>
      </c>
      <c r="AI94" s="23">
        <v>0</v>
      </c>
      <c r="AJ94" s="23">
        <v>0</v>
      </c>
      <c r="AK94" s="23">
        <v>0</v>
      </c>
      <c r="AL94" s="23">
        <v>0</v>
      </c>
      <c r="AM94" s="111">
        <v>0</v>
      </c>
      <c r="AN94" s="51">
        <f ca="1">IFERROR(SUM(DB_25[[#This Row],[DT-01-USD]:[DT-09-USD]])/SUM(DB_25[[#This Row],[SL-01]:[SL-09]]),0)</f>
        <v>1176.4844181459566</v>
      </c>
      <c r="AO94" s="51">
        <f ca="1">DB_25[[#This Row],[GB-10]]</f>
        <v>1176.4844181459566</v>
      </c>
      <c r="AP94" s="51">
        <f ca="1">DB_25[[#This Row],[GB-11]]</f>
        <v>1176.4844181459566</v>
      </c>
      <c r="AQ94" s="7"/>
      <c r="AR94" s="7"/>
      <c r="AS94" s="7"/>
      <c r="AT94" s="7"/>
      <c r="AU94" s="47">
        <v>0</v>
      </c>
      <c r="AV94" s="47">
        <v>745597000</v>
      </c>
      <c r="AW94" s="47">
        <v>0</v>
      </c>
      <c r="AX94" s="47">
        <v>0</v>
      </c>
      <c r="AY94" s="47">
        <v>0</v>
      </c>
      <c r="AZ94" s="47">
        <v>0</v>
      </c>
      <c r="BA94" s="47">
        <v>0</v>
      </c>
      <c r="BB94" s="47">
        <v>0</v>
      </c>
      <c r="BC94" s="47">
        <v>0</v>
      </c>
      <c r="BD94" s="19">
        <f ca="1">DB_25[[#This Row],[SL-10]]*DB_25[[#This Row],[GB-10]]*BD$2/10^3</f>
        <v>0</v>
      </c>
      <c r="BE94" s="19">
        <f ca="1">DB_25[[#This Row],[SL-11]]*DB_25[[#This Row],[GB-11]]*BE$2/10^3</f>
        <v>0</v>
      </c>
      <c r="BF94" s="19">
        <f ca="1">DB_25[[#This Row],[SL-12]]*DB_25[[#This Row],[GB-12]]*BF$2/10^3</f>
        <v>0</v>
      </c>
      <c r="BG94" s="47">
        <f ca="1">SUM(DB_25[[#This Row],[DT-01]:[DT-12]])</f>
        <v>745597000</v>
      </c>
      <c r="BH94" s="7"/>
      <c r="BI94" s="7"/>
      <c r="BJ94" s="7"/>
      <c r="BK94" s="50">
        <v>0</v>
      </c>
      <c r="BL94" s="109">
        <v>29412.110453648915</v>
      </c>
      <c r="BM94" s="109">
        <v>0</v>
      </c>
      <c r="BN94" s="109">
        <v>0</v>
      </c>
      <c r="BO94" s="109">
        <v>0</v>
      </c>
      <c r="BP94" s="109">
        <v>0</v>
      </c>
      <c r="BQ94" s="109">
        <v>0</v>
      </c>
      <c r="BR94" s="109">
        <v>0</v>
      </c>
      <c r="BS94" s="109">
        <v>0</v>
      </c>
      <c r="BT94" s="147">
        <f ca="1">DB_25[[#This Row],[SL-10]]*DB_25[[#This Row],[GB-10]]</f>
        <v>0</v>
      </c>
      <c r="BU94" s="147">
        <f ca="1">DB_25[[#This Row],[SL-11]]*DB_25[[#This Row],[GB-11]]</f>
        <v>0</v>
      </c>
      <c r="BV94" s="147">
        <f ca="1">DB_25[[#This Row],[SL-12]]*DB_25[[#This Row],[GB-12]]</f>
        <v>0</v>
      </c>
      <c r="BW94" s="47">
        <f ca="1">SUM(DB_25[[#This Row],[DT-01-USD]:[DT-12-USD]])</f>
        <v>29412.110453648915</v>
      </c>
    </row>
    <row r="95" spans="1:75" x14ac:dyDescent="0.35">
      <c r="A95" s="18">
        <f>ROWS($A$6:A95)</f>
        <v>90</v>
      </c>
      <c r="B95" s="18" t="s">
        <v>95</v>
      </c>
      <c r="C95" s="18" t="str">
        <f>IFERROR(_xlfn.XLOOKUP(DB_25[[#This Row],[Salesman]],MD_Salesman[Salesman],MD_Salesman[SalesManager]),"")</f>
        <v>Cường</v>
      </c>
      <c r="D95" s="7" t="s">
        <v>593</v>
      </c>
      <c r="E95" s="7" t="s">
        <v>46</v>
      </c>
      <c r="F95" s="7"/>
      <c r="G95" s="7" t="str">
        <f>_xlfn.XLOOKUP(DB_25[[#This Row],[Mã khách]],MD_Customer[Mã khách],MD_Customer[Kênh bán hàng])</f>
        <v>Xuất khẩu</v>
      </c>
      <c r="H95" s="7"/>
      <c r="I95" s="7"/>
      <c r="J95" s="7"/>
      <c r="K95" s="7" t="s">
        <v>168</v>
      </c>
      <c r="L95" s="7" t="str">
        <f>_xlfn.XLOOKUP(DB_25[[#This Row],[Mã sản phẩm]],MD_SKU[Mã SKU],MD_SKU[Tên SKU-rút gọn])</f>
        <v>iSS1084G</v>
      </c>
      <c r="M95" s="7" t="str">
        <f>_xlfn.XLOOKUP(DB_25[[#This Row],[Mã sản phẩm]],MD_SKU[Mã SKU],MD_SKU[Nhóm ngành])</f>
        <v>Hạt PET</v>
      </c>
      <c r="N95" s="7"/>
      <c r="O95" s="47">
        <v>0</v>
      </c>
      <c r="P95" s="47">
        <v>0</v>
      </c>
      <c r="Q95" s="47">
        <v>0</v>
      </c>
      <c r="R95" s="47">
        <v>22</v>
      </c>
      <c r="S95" s="47">
        <v>0</v>
      </c>
      <c r="T95" s="47">
        <v>0</v>
      </c>
      <c r="U95" s="47">
        <v>0</v>
      </c>
      <c r="V95" s="47">
        <v>0</v>
      </c>
      <c r="W95" s="110">
        <f ca="1">SUMIFS(Data_Actual_LG_EXW[SL],Data_Actual_LG_EXW[Year],2025,Data_Actual_LG_EXW[Month],'DB 2025'!W$1,Data_Actual_LG_EXW[Mã KH],DB_25[[#This Row],[Mã khách]],Data_Actual_LG_EXW[Mã SKU],DB_25[[#This Row],[Mã sản phẩm]])/10^3</f>
        <v>0</v>
      </c>
      <c r="X95" s="33"/>
      <c r="Y95" s="33"/>
      <c r="Z95" s="33"/>
      <c r="AA95" s="19">
        <f ca="1">SUM(DB_25[[#This Row],[SL-01]:[SL-12]])</f>
        <v>22</v>
      </c>
      <c r="AB95" s="7"/>
      <c r="AC95" s="20">
        <f ca="1">DB_25[[#This Row],[SL-DB25]]-DB_25[[#This Row],[SL-KH25]]</f>
        <v>22</v>
      </c>
      <c r="AD95" s="21">
        <f ca="1">IFERROR(DB_25[[#This Row],[SL-+/-]]/DB_25[[#This Row],[SL-KH25]],0)</f>
        <v>0</v>
      </c>
      <c r="AE95" s="23">
        <v>0</v>
      </c>
      <c r="AF95" s="23">
        <v>0</v>
      </c>
      <c r="AG95" s="23">
        <v>0</v>
      </c>
      <c r="AH95" s="23">
        <v>1345.2899738733299</v>
      </c>
      <c r="AI95" s="23">
        <v>0</v>
      </c>
      <c r="AJ95" s="23">
        <v>0</v>
      </c>
      <c r="AK95" s="23">
        <v>0</v>
      </c>
      <c r="AL95" s="23">
        <v>0</v>
      </c>
      <c r="AM95" s="111">
        <v>0</v>
      </c>
      <c r="AN95" s="51">
        <f ca="1">IFERROR(SUM(DB_25[[#This Row],[DT-01-USD]:[DT-09-USD]])/SUM(DB_25[[#This Row],[SL-01]:[SL-09]]),0)</f>
        <v>1345.2899738733299</v>
      </c>
      <c r="AO95" s="51">
        <f ca="1">DB_25[[#This Row],[GB-10]]</f>
        <v>1345.2899738733299</v>
      </c>
      <c r="AP95" s="51">
        <f ca="1">DB_25[[#This Row],[GB-11]]</f>
        <v>1345.2899738733299</v>
      </c>
      <c r="AQ95" s="7"/>
      <c r="AR95" s="7"/>
      <c r="AS95" s="7"/>
      <c r="AT95" s="7"/>
      <c r="AU95" s="47">
        <v>0</v>
      </c>
      <c r="AV95" s="47">
        <v>0</v>
      </c>
      <c r="AW95" s="47">
        <v>0</v>
      </c>
      <c r="AX95" s="47">
        <v>755003639.13719022</v>
      </c>
      <c r="AY95" s="47">
        <v>0</v>
      </c>
      <c r="AZ95" s="47">
        <v>0</v>
      </c>
      <c r="BA95" s="47">
        <v>0</v>
      </c>
      <c r="BB95" s="47">
        <v>0</v>
      </c>
      <c r="BC95" s="47">
        <v>0</v>
      </c>
      <c r="BD95" s="19">
        <f ca="1">DB_25[[#This Row],[SL-10]]*DB_25[[#This Row],[GB-10]]*BD$2/10^3</f>
        <v>0</v>
      </c>
      <c r="BE95" s="19">
        <f ca="1">DB_25[[#This Row],[SL-11]]*DB_25[[#This Row],[GB-11]]*BE$2/10^3</f>
        <v>0</v>
      </c>
      <c r="BF95" s="19">
        <f ca="1">DB_25[[#This Row],[SL-12]]*DB_25[[#This Row],[GB-12]]*BF$2/10^3</f>
        <v>0</v>
      </c>
      <c r="BG95" s="47">
        <f ca="1">SUM(DB_25[[#This Row],[DT-01]:[DT-12]])</f>
        <v>755003639.13719022</v>
      </c>
      <c r="BH95" s="7"/>
      <c r="BI95" s="7"/>
      <c r="BJ95" s="7"/>
      <c r="BK95" s="50">
        <v>0</v>
      </c>
      <c r="BL95" s="109">
        <v>0</v>
      </c>
      <c r="BM95" s="109">
        <v>0</v>
      </c>
      <c r="BN95" s="109">
        <v>29596.379425213257</v>
      </c>
      <c r="BO95" s="109">
        <v>0</v>
      </c>
      <c r="BP95" s="109">
        <v>0</v>
      </c>
      <c r="BQ95" s="109">
        <v>0</v>
      </c>
      <c r="BR95" s="109">
        <v>0</v>
      </c>
      <c r="BS95" s="109">
        <v>0</v>
      </c>
      <c r="BT95" s="147">
        <f ca="1">DB_25[[#This Row],[SL-10]]*DB_25[[#This Row],[GB-10]]</f>
        <v>0</v>
      </c>
      <c r="BU95" s="147">
        <f ca="1">DB_25[[#This Row],[SL-11]]*DB_25[[#This Row],[GB-11]]</f>
        <v>0</v>
      </c>
      <c r="BV95" s="147">
        <f ca="1">DB_25[[#This Row],[SL-12]]*DB_25[[#This Row],[GB-12]]</f>
        <v>0</v>
      </c>
      <c r="BW95" s="47">
        <f ca="1">SUM(DB_25[[#This Row],[DT-01-USD]:[DT-12-USD]])</f>
        <v>29596.379425213257</v>
      </c>
    </row>
    <row r="96" spans="1:75" x14ac:dyDescent="0.35">
      <c r="A96" s="18">
        <f>ROWS($A$6:A96)</f>
        <v>91</v>
      </c>
      <c r="B96" s="18" t="s">
        <v>95</v>
      </c>
      <c r="C96" s="18" t="str">
        <f>IFERROR(_xlfn.XLOOKUP(DB_25[[#This Row],[Salesman]],MD_Salesman[Salesman],MD_Salesman[SalesManager]),"")</f>
        <v>Cường</v>
      </c>
      <c r="D96" s="7" t="s">
        <v>647</v>
      </c>
      <c r="E96" s="7" t="s">
        <v>136</v>
      </c>
      <c r="F96" s="7"/>
      <c r="G96" s="7" t="str">
        <f>_xlfn.XLOOKUP(DB_25[[#This Row],[Mã khách]],MD_Customer[Mã khách],MD_Customer[Kênh bán hàng])</f>
        <v>Xuất khẩu</v>
      </c>
      <c r="H96" s="7"/>
      <c r="I96" s="7"/>
      <c r="J96" s="7"/>
      <c r="K96" s="7" t="s">
        <v>172</v>
      </c>
      <c r="L96" s="7" t="str">
        <f>_xlfn.XLOOKUP(DB_25[[#This Row],[Mã sản phẩm]],MD_SKU[Mã SKU],MD_SKU[Tên SKU-rút gọn])</f>
        <v>iSS01G 1</v>
      </c>
      <c r="M96" s="7" t="str">
        <f>_xlfn.XLOOKUP(DB_25[[#This Row],[Mã sản phẩm]],MD_SKU[Mã SKU],MD_SKU[Nhóm ngành])</f>
        <v>Hạt PET</v>
      </c>
      <c r="N96" s="7"/>
      <c r="O96" s="47">
        <v>0</v>
      </c>
      <c r="P96" s="47">
        <v>0</v>
      </c>
      <c r="Q96" s="47">
        <v>0</v>
      </c>
      <c r="R96" s="47">
        <v>0</v>
      </c>
      <c r="S96" s="47">
        <v>22</v>
      </c>
      <c r="T96" s="47">
        <v>0</v>
      </c>
      <c r="U96" s="47">
        <v>0</v>
      </c>
      <c r="V96" s="47">
        <v>0</v>
      </c>
      <c r="W96" s="110">
        <f ca="1">SUMIFS(Data_Actual_LG_EXW[SL],Data_Actual_LG_EXW[Year],2025,Data_Actual_LG_EXW[Month],'DB 2025'!W$1,Data_Actual_LG_EXW[Mã KH],DB_25[[#This Row],[Mã khách]],Data_Actual_LG_EXW[Mã SKU],DB_25[[#This Row],[Mã sản phẩm]])/10^3</f>
        <v>0</v>
      </c>
      <c r="X96" s="33"/>
      <c r="Y96" s="33"/>
      <c r="Z96" s="33"/>
      <c r="AA96" s="19">
        <f ca="1">SUM(DB_25[[#This Row],[SL-01]:[SL-12]])</f>
        <v>22</v>
      </c>
      <c r="AB96" s="7"/>
      <c r="AC96" s="20">
        <f ca="1">DB_25[[#This Row],[SL-DB25]]-DB_25[[#This Row],[SL-KH25]]</f>
        <v>22</v>
      </c>
      <c r="AD96" s="21">
        <f ca="1">IFERROR(DB_25[[#This Row],[SL-+/-]]/DB_25[[#This Row],[SL-KH25]],0)</f>
        <v>0</v>
      </c>
      <c r="AE96" s="23">
        <v>0</v>
      </c>
      <c r="AF96" s="23">
        <v>0</v>
      </c>
      <c r="AG96" s="23">
        <v>0</v>
      </c>
      <c r="AH96" s="23">
        <v>0</v>
      </c>
      <c r="AI96" s="23">
        <v>1298.2807963483913</v>
      </c>
      <c r="AJ96" s="23">
        <v>0</v>
      </c>
      <c r="AK96" s="23">
        <v>0</v>
      </c>
      <c r="AL96" s="23">
        <v>0</v>
      </c>
      <c r="AM96" s="111">
        <v>0</v>
      </c>
      <c r="AN96" s="51">
        <f ca="1">IFERROR(SUM(DB_25[[#This Row],[DT-01-USD]:[DT-09-USD]])/SUM(DB_25[[#This Row],[SL-01]:[SL-09]]),0)</f>
        <v>1298.2807963483913</v>
      </c>
      <c r="AO96" s="51">
        <f ca="1">DB_25[[#This Row],[GB-10]]</f>
        <v>1298.2807963483913</v>
      </c>
      <c r="AP96" s="51">
        <f ca="1">DB_25[[#This Row],[GB-11]]</f>
        <v>1298.2807963483913</v>
      </c>
      <c r="AQ96" s="7"/>
      <c r="AR96" s="7"/>
      <c r="AS96" s="7"/>
      <c r="AT96" s="7"/>
      <c r="AU96" s="47">
        <v>0</v>
      </c>
      <c r="AV96" s="47">
        <v>0</v>
      </c>
      <c r="AW96" s="47">
        <v>0</v>
      </c>
      <c r="AX96" s="47">
        <v>0</v>
      </c>
      <c r="AY96" s="47">
        <v>736332936.45695364</v>
      </c>
      <c r="AZ96" s="47">
        <v>0</v>
      </c>
      <c r="BA96" s="47">
        <v>0</v>
      </c>
      <c r="BB96" s="47">
        <v>0</v>
      </c>
      <c r="BC96" s="47">
        <v>0</v>
      </c>
      <c r="BD96" s="19">
        <f ca="1">DB_25[[#This Row],[SL-10]]*DB_25[[#This Row],[GB-10]]*BD$2/10^3</f>
        <v>0</v>
      </c>
      <c r="BE96" s="19">
        <f ca="1">DB_25[[#This Row],[SL-11]]*DB_25[[#This Row],[GB-11]]*BE$2/10^3</f>
        <v>0</v>
      </c>
      <c r="BF96" s="19">
        <f ca="1">DB_25[[#This Row],[SL-12]]*DB_25[[#This Row],[GB-12]]*BF$2/10^3</f>
        <v>0</v>
      </c>
      <c r="BG96" s="47">
        <f ca="1">SUM(DB_25[[#This Row],[DT-01]:[DT-12]])</f>
        <v>736332936.45695364</v>
      </c>
      <c r="BH96" s="7"/>
      <c r="BI96" s="7"/>
      <c r="BJ96" s="7"/>
      <c r="BK96" s="50">
        <v>0</v>
      </c>
      <c r="BL96" s="109">
        <v>0</v>
      </c>
      <c r="BM96" s="109">
        <v>0</v>
      </c>
      <c r="BN96" s="109">
        <v>0</v>
      </c>
      <c r="BO96" s="109">
        <v>28562.177519664609</v>
      </c>
      <c r="BP96" s="109">
        <v>0</v>
      </c>
      <c r="BQ96" s="109">
        <v>0</v>
      </c>
      <c r="BR96" s="109">
        <v>0</v>
      </c>
      <c r="BS96" s="109">
        <v>0</v>
      </c>
      <c r="BT96" s="147">
        <f ca="1">DB_25[[#This Row],[SL-10]]*DB_25[[#This Row],[GB-10]]</f>
        <v>0</v>
      </c>
      <c r="BU96" s="147">
        <f ca="1">DB_25[[#This Row],[SL-11]]*DB_25[[#This Row],[GB-11]]</f>
        <v>0</v>
      </c>
      <c r="BV96" s="147">
        <f ca="1">DB_25[[#This Row],[SL-12]]*DB_25[[#This Row],[GB-12]]</f>
        <v>0</v>
      </c>
      <c r="BW96" s="47">
        <f ca="1">SUM(DB_25[[#This Row],[DT-01-USD]:[DT-12-USD]])</f>
        <v>28562.177519664609</v>
      </c>
    </row>
    <row r="97" spans="1:75" x14ac:dyDescent="0.35">
      <c r="A97" s="18">
        <f>ROWS($A$6:A97)</f>
        <v>92</v>
      </c>
      <c r="B97" s="18" t="s">
        <v>101</v>
      </c>
      <c r="C97" s="18" t="str">
        <f>IFERROR(_xlfn.XLOOKUP(DB_25[[#This Row],[Salesman]],MD_Salesman[Salesman],MD_Salesman[SalesManager]),"")</f>
        <v>Cường</v>
      </c>
      <c r="D97" s="7" t="s">
        <v>596</v>
      </c>
      <c r="E97" s="7" t="s">
        <v>266</v>
      </c>
      <c r="F97" s="7"/>
      <c r="G97" s="7" t="str">
        <f>_xlfn.XLOOKUP(DB_25[[#This Row],[Mã khách]],MD_Customer[Mã khách],MD_Customer[Kênh bán hàng])</f>
        <v>Nội địa</v>
      </c>
      <c r="H97" s="7"/>
      <c r="I97" s="7"/>
      <c r="J97" s="7"/>
      <c r="K97" s="7" t="s">
        <v>167</v>
      </c>
      <c r="L97" s="7" t="str">
        <f>_xlfn.XLOOKUP(DB_25[[#This Row],[Mã sản phẩm]],MD_SKU[Mã SKU],MD_SKU[Tên SKU-rút gọn])</f>
        <v>WSS01</v>
      </c>
      <c r="M97" s="7" t="str">
        <f>_xlfn.XLOOKUP(DB_25[[#This Row],[Mã sản phẩm]],MD_SKU[Mã SKU],MD_SKU[Nhóm ngành])</f>
        <v>Hạt PET</v>
      </c>
      <c r="N97" s="7"/>
      <c r="O97" s="47">
        <v>22</v>
      </c>
      <c r="P97" s="47">
        <v>0</v>
      </c>
      <c r="Q97" s="47">
        <v>0</v>
      </c>
      <c r="R97" s="47">
        <v>0</v>
      </c>
      <c r="S97" s="47">
        <v>0</v>
      </c>
      <c r="T97" s="47">
        <v>0</v>
      </c>
      <c r="U97" s="47">
        <v>0</v>
      </c>
      <c r="V97" s="47">
        <v>0</v>
      </c>
      <c r="W97" s="110">
        <f ca="1">SUMIFS(Data_Actual_LG_EXW[SL],Data_Actual_LG_EXW[Year],2025,Data_Actual_LG_EXW[Month],'DB 2025'!W$1,Data_Actual_LG_EXW[Mã KH],DB_25[[#This Row],[Mã khách]],Data_Actual_LG_EXW[Mã SKU],DB_25[[#This Row],[Mã sản phẩm]])/10^3</f>
        <v>0</v>
      </c>
      <c r="X97" s="33"/>
      <c r="Y97" s="33"/>
      <c r="Z97" s="33"/>
      <c r="AA97" s="19">
        <f ca="1">SUM(DB_25[[#This Row],[SL-01]:[SL-12]])</f>
        <v>22</v>
      </c>
      <c r="AB97" s="7"/>
      <c r="AC97" s="20">
        <f ca="1">DB_25[[#This Row],[SL-DB25]]-DB_25[[#This Row],[SL-KH25]]</f>
        <v>22</v>
      </c>
      <c r="AD97" s="21">
        <f ca="1">IFERROR(DB_25[[#This Row],[SL-+/-]]/DB_25[[#This Row],[SL-KH25]],0)</f>
        <v>0</v>
      </c>
      <c r="AE97" s="23">
        <v>1289.1609341995484</v>
      </c>
      <c r="AF97" s="23">
        <v>0</v>
      </c>
      <c r="AG97" s="23">
        <v>0</v>
      </c>
      <c r="AH97" s="23">
        <v>0</v>
      </c>
      <c r="AI97" s="23">
        <v>0</v>
      </c>
      <c r="AJ97" s="23">
        <v>0</v>
      </c>
      <c r="AK97" s="23">
        <v>0</v>
      </c>
      <c r="AL97" s="23">
        <v>0</v>
      </c>
      <c r="AM97" s="111">
        <v>0</v>
      </c>
      <c r="AN97" s="51">
        <f ca="1">IFERROR(SUM(DB_25[[#This Row],[DT-01-USD]:[DT-09-USD]])/SUM(DB_25[[#This Row],[SL-01]:[SL-09]]),0)</f>
        <v>1289.1609341995484</v>
      </c>
      <c r="AO97" s="51">
        <f ca="1">DB_25[[#This Row],[GB-10]]</f>
        <v>1289.1609341995484</v>
      </c>
      <c r="AP97" s="51">
        <f ca="1">DB_25[[#This Row],[GB-11]]</f>
        <v>1289.1609341995484</v>
      </c>
      <c r="AQ97" s="7"/>
      <c r="AR97" s="7"/>
      <c r="AS97" s="7"/>
      <c r="AT97" s="7"/>
      <c r="AU97" s="47">
        <v>714817625.18864775</v>
      </c>
      <c r="AV97" s="47">
        <v>0</v>
      </c>
      <c r="AW97" s="47">
        <v>0</v>
      </c>
      <c r="AX97" s="47">
        <v>0</v>
      </c>
      <c r="AY97" s="47">
        <v>0</v>
      </c>
      <c r="AZ97" s="47">
        <v>0</v>
      </c>
      <c r="BA97" s="47">
        <v>0</v>
      </c>
      <c r="BB97" s="47">
        <v>0</v>
      </c>
      <c r="BC97" s="47">
        <v>0</v>
      </c>
      <c r="BD97" s="19">
        <f ca="1">DB_25[[#This Row],[SL-10]]*DB_25[[#This Row],[GB-10]]*BD$2/10^3</f>
        <v>0</v>
      </c>
      <c r="BE97" s="19">
        <f ca="1">DB_25[[#This Row],[SL-11]]*DB_25[[#This Row],[GB-11]]*BE$2/10^3</f>
        <v>0</v>
      </c>
      <c r="BF97" s="19">
        <f ca="1">DB_25[[#This Row],[SL-12]]*DB_25[[#This Row],[GB-12]]*BF$2/10^3</f>
        <v>0</v>
      </c>
      <c r="BG97" s="47">
        <f ca="1">SUM(DB_25[[#This Row],[DT-01]:[DT-12]])</f>
        <v>714817625.18864775</v>
      </c>
      <c r="BH97" s="7"/>
      <c r="BI97" s="7"/>
      <c r="BJ97" s="7"/>
      <c r="BK97" s="50">
        <v>28361.540552390066</v>
      </c>
      <c r="BL97" s="109">
        <v>0</v>
      </c>
      <c r="BM97" s="109">
        <v>0</v>
      </c>
      <c r="BN97" s="109">
        <v>0</v>
      </c>
      <c r="BO97" s="109">
        <v>0</v>
      </c>
      <c r="BP97" s="109">
        <v>0</v>
      </c>
      <c r="BQ97" s="109">
        <v>0</v>
      </c>
      <c r="BR97" s="109">
        <v>0</v>
      </c>
      <c r="BS97" s="109">
        <v>0</v>
      </c>
      <c r="BT97" s="147">
        <f ca="1">DB_25[[#This Row],[SL-10]]*DB_25[[#This Row],[GB-10]]</f>
        <v>0</v>
      </c>
      <c r="BU97" s="147">
        <f ca="1">DB_25[[#This Row],[SL-11]]*DB_25[[#This Row],[GB-11]]</f>
        <v>0</v>
      </c>
      <c r="BV97" s="147">
        <f ca="1">DB_25[[#This Row],[SL-12]]*DB_25[[#This Row],[GB-12]]</f>
        <v>0</v>
      </c>
      <c r="BW97" s="47">
        <f ca="1">SUM(DB_25[[#This Row],[DT-01-USD]:[DT-12-USD]])</f>
        <v>28361.540552390066</v>
      </c>
    </row>
    <row r="98" spans="1:75" x14ac:dyDescent="0.35">
      <c r="A98" s="18">
        <f>ROWS($A$6:A98)</f>
        <v>93</v>
      </c>
      <c r="B98" s="18" t="s">
        <v>115</v>
      </c>
      <c r="C98" s="18" t="str">
        <f>IFERROR(_xlfn.XLOOKUP(DB_25[[#This Row],[Salesman]],MD_Salesman[Salesman],MD_Salesman[SalesManager]),"")</f>
        <v>Quốc Anh</v>
      </c>
      <c r="D98" s="7" t="s">
        <v>616</v>
      </c>
      <c r="E98" s="7" t="s">
        <v>128</v>
      </c>
      <c r="F98" s="7"/>
      <c r="G98" s="7" t="str">
        <f>_xlfn.XLOOKUP(DB_25[[#This Row],[Mã khách]],MD_Customer[Mã khách],MD_Customer[Kênh bán hàng])</f>
        <v>Xuất khẩu</v>
      </c>
      <c r="H98" s="7"/>
      <c r="I98" s="7"/>
      <c r="J98" s="7"/>
      <c r="K98" s="7" t="s">
        <v>172</v>
      </c>
      <c r="L98" s="7" t="str">
        <f>_xlfn.XLOOKUP(DB_25[[#This Row],[Mã sản phẩm]],MD_SKU[Mã SKU],MD_SKU[Tên SKU-rút gọn])</f>
        <v>iSS01G 1</v>
      </c>
      <c r="M98" s="7" t="str">
        <f>_xlfn.XLOOKUP(DB_25[[#This Row],[Mã sản phẩm]],MD_SKU[Mã SKU],MD_SKU[Nhóm ngành])</f>
        <v>Hạt PET</v>
      </c>
      <c r="N98" s="7"/>
      <c r="O98" s="47">
        <v>0</v>
      </c>
      <c r="P98" s="47">
        <v>22</v>
      </c>
      <c r="Q98" s="47">
        <v>0</v>
      </c>
      <c r="R98" s="47">
        <v>0</v>
      </c>
      <c r="S98" s="47">
        <v>0</v>
      </c>
      <c r="T98" s="47">
        <v>0</v>
      </c>
      <c r="U98" s="47">
        <v>0</v>
      </c>
      <c r="V98" s="47">
        <v>0</v>
      </c>
      <c r="W98" s="110">
        <f ca="1">SUMIFS(Data_Actual_LG_EXW[SL],Data_Actual_LG_EXW[Year],2025,Data_Actual_LG_EXW[Month],'DB 2025'!W$1,Data_Actual_LG_EXW[Mã KH],DB_25[[#This Row],[Mã khách]],Data_Actual_LG_EXW[Mã SKU],DB_25[[#This Row],[Mã sản phẩm]])/10^3</f>
        <v>0</v>
      </c>
      <c r="X98" s="33"/>
      <c r="Y98" s="33"/>
      <c r="Z98" s="33"/>
      <c r="AA98" s="19">
        <f ca="1">SUM(DB_25[[#This Row],[SL-01]:[SL-12]])</f>
        <v>22</v>
      </c>
      <c r="AB98" s="7"/>
      <c r="AC98" s="20">
        <f ca="1">DB_25[[#This Row],[SL-DB25]]-DB_25[[#This Row],[SL-KH25]]</f>
        <v>22</v>
      </c>
      <c r="AD98" s="21">
        <f ca="1">IFERROR(DB_25[[#This Row],[SL-+/-]]/DB_25[[#This Row],[SL-KH25]],0)</f>
        <v>0</v>
      </c>
      <c r="AE98" s="23">
        <v>0</v>
      </c>
      <c r="AF98" s="23">
        <v>1239.431430807851</v>
      </c>
      <c r="AG98" s="23">
        <v>0</v>
      </c>
      <c r="AH98" s="23">
        <v>0</v>
      </c>
      <c r="AI98" s="23">
        <v>0</v>
      </c>
      <c r="AJ98" s="23">
        <v>0</v>
      </c>
      <c r="AK98" s="23">
        <v>0</v>
      </c>
      <c r="AL98" s="23">
        <v>0</v>
      </c>
      <c r="AM98" s="111">
        <v>0</v>
      </c>
      <c r="AN98" s="51">
        <f ca="1">IFERROR(SUM(DB_25[[#This Row],[DT-01-USD]:[DT-09-USD]])/SUM(DB_25[[#This Row],[SL-01]:[SL-09]]),0)</f>
        <v>1239.431430807851</v>
      </c>
      <c r="AO98" s="51">
        <f ca="1">DB_25[[#This Row],[GB-10]]</f>
        <v>1239.431430807851</v>
      </c>
      <c r="AP98" s="51">
        <f ca="1">DB_25[[#This Row],[GB-11]]</f>
        <v>1239.431430807851</v>
      </c>
      <c r="AQ98" s="7"/>
      <c r="AR98" s="7"/>
      <c r="AS98" s="7"/>
      <c r="AT98" s="7"/>
      <c r="AU98" s="47">
        <v>0</v>
      </c>
      <c r="AV98" s="47">
        <v>691230908.96153843</v>
      </c>
      <c r="AW98" s="47">
        <v>0</v>
      </c>
      <c r="AX98" s="47">
        <v>0</v>
      </c>
      <c r="AY98" s="47">
        <v>0</v>
      </c>
      <c r="AZ98" s="47">
        <v>0</v>
      </c>
      <c r="BA98" s="47">
        <v>0</v>
      </c>
      <c r="BB98" s="47">
        <v>0</v>
      </c>
      <c r="BC98" s="47">
        <v>0</v>
      </c>
      <c r="BD98" s="19">
        <f ca="1">DB_25[[#This Row],[SL-10]]*DB_25[[#This Row],[GB-10]]*BD$2/10^3</f>
        <v>0</v>
      </c>
      <c r="BE98" s="19">
        <f ca="1">DB_25[[#This Row],[SL-11]]*DB_25[[#This Row],[GB-11]]*BE$2/10^3</f>
        <v>0</v>
      </c>
      <c r="BF98" s="19">
        <f ca="1">DB_25[[#This Row],[SL-12]]*DB_25[[#This Row],[GB-12]]*BF$2/10^3</f>
        <v>0</v>
      </c>
      <c r="BG98" s="47">
        <f ca="1">SUM(DB_25[[#This Row],[DT-01]:[DT-12]])</f>
        <v>691230908.96153843</v>
      </c>
      <c r="BH98" s="7"/>
      <c r="BI98" s="7"/>
      <c r="BJ98" s="7"/>
      <c r="BK98" s="50">
        <v>0</v>
      </c>
      <c r="BL98" s="109">
        <v>27267.491477772721</v>
      </c>
      <c r="BM98" s="109">
        <v>0</v>
      </c>
      <c r="BN98" s="109">
        <v>0</v>
      </c>
      <c r="BO98" s="109">
        <v>0</v>
      </c>
      <c r="BP98" s="109">
        <v>0</v>
      </c>
      <c r="BQ98" s="109">
        <v>0</v>
      </c>
      <c r="BR98" s="109">
        <v>0</v>
      </c>
      <c r="BS98" s="109">
        <v>0</v>
      </c>
      <c r="BT98" s="147">
        <f ca="1">DB_25[[#This Row],[SL-10]]*DB_25[[#This Row],[GB-10]]</f>
        <v>0</v>
      </c>
      <c r="BU98" s="147">
        <f ca="1">DB_25[[#This Row],[SL-11]]*DB_25[[#This Row],[GB-11]]</f>
        <v>0</v>
      </c>
      <c r="BV98" s="147">
        <f ca="1">DB_25[[#This Row],[SL-12]]*DB_25[[#This Row],[GB-12]]</f>
        <v>0</v>
      </c>
      <c r="BW98" s="47">
        <f ca="1">SUM(DB_25[[#This Row],[DT-01-USD]:[DT-12-USD]])</f>
        <v>27267.491477772721</v>
      </c>
    </row>
    <row r="99" spans="1:75" x14ac:dyDescent="0.35">
      <c r="A99" s="18">
        <f>ROWS($A$6:A99)</f>
        <v>94</v>
      </c>
      <c r="B99" s="18" t="s">
        <v>104</v>
      </c>
      <c r="C99" s="18" t="str">
        <f>IFERROR(_xlfn.XLOOKUP(DB_25[[#This Row],[Salesman]],MD_Salesman[Salesman],MD_Salesman[SalesManager]),"")</f>
        <v>Quốc Anh</v>
      </c>
      <c r="D99" s="7" t="s">
        <v>648</v>
      </c>
      <c r="E99" s="7" t="s">
        <v>140</v>
      </c>
      <c r="F99" s="7"/>
      <c r="G99" s="7" t="str">
        <f>_xlfn.XLOOKUP(DB_25[[#This Row],[Mã khách]],MD_Customer[Mã khách],MD_Customer[Kênh bán hàng])</f>
        <v>Xuất khẩu</v>
      </c>
      <c r="H99" s="7"/>
      <c r="I99" s="7"/>
      <c r="J99" s="7"/>
      <c r="K99" s="7" t="s">
        <v>172</v>
      </c>
      <c r="L99" s="7" t="str">
        <f>_xlfn.XLOOKUP(DB_25[[#This Row],[Mã sản phẩm]],MD_SKU[Mã SKU],MD_SKU[Tên SKU-rút gọn])</f>
        <v>iSS01G 1</v>
      </c>
      <c r="M99" s="7" t="str">
        <f>_xlfn.XLOOKUP(DB_25[[#This Row],[Mã sản phẩm]],MD_SKU[Mã SKU],MD_SKU[Nhóm ngành])</f>
        <v>Hạt PET</v>
      </c>
      <c r="N99" s="7"/>
      <c r="O99" s="47">
        <v>0</v>
      </c>
      <c r="P99" s="47">
        <v>22</v>
      </c>
      <c r="Q99" s="47">
        <v>0</v>
      </c>
      <c r="R99" s="47">
        <v>0</v>
      </c>
      <c r="S99" s="47">
        <v>0</v>
      </c>
      <c r="T99" s="47">
        <v>0</v>
      </c>
      <c r="U99" s="47">
        <v>0</v>
      </c>
      <c r="V99" s="47">
        <v>0</v>
      </c>
      <c r="W99" s="110">
        <f ca="1">SUMIFS(Data_Actual_LG_EXW[SL],Data_Actual_LG_EXW[Year],2025,Data_Actual_LG_EXW[Month],'DB 2025'!W$1,Data_Actual_LG_EXW[Mã KH],DB_25[[#This Row],[Mã khách]],Data_Actual_LG_EXW[Mã SKU],DB_25[[#This Row],[Mã sản phẩm]])/10^3</f>
        <v>0</v>
      </c>
      <c r="X99" s="33"/>
      <c r="Y99" s="33"/>
      <c r="Z99" s="33"/>
      <c r="AA99" s="19">
        <f ca="1">SUM(DB_25[[#This Row],[SL-01]:[SL-12]])</f>
        <v>22</v>
      </c>
      <c r="AB99" s="7"/>
      <c r="AC99" s="20">
        <f ca="1">DB_25[[#This Row],[SL-DB25]]-DB_25[[#This Row],[SL-KH25]]</f>
        <v>22</v>
      </c>
      <c r="AD99" s="21">
        <f ca="1">IFERROR(DB_25[[#This Row],[SL-+/-]]/DB_25[[#This Row],[SL-KH25]],0)</f>
        <v>0</v>
      </c>
      <c r="AE99" s="23">
        <v>0</v>
      </c>
      <c r="AF99" s="23">
        <v>1246.0783754547933</v>
      </c>
      <c r="AG99" s="23">
        <v>0</v>
      </c>
      <c r="AH99" s="23">
        <v>0</v>
      </c>
      <c r="AI99" s="23">
        <v>0</v>
      </c>
      <c r="AJ99" s="23">
        <v>0</v>
      </c>
      <c r="AK99" s="23">
        <v>0</v>
      </c>
      <c r="AL99" s="23">
        <v>0</v>
      </c>
      <c r="AM99" s="111">
        <v>0</v>
      </c>
      <c r="AN99" s="51">
        <f ca="1">IFERROR(SUM(DB_25[[#This Row],[DT-01-USD]:[DT-09-USD]])/SUM(DB_25[[#This Row],[SL-01]:[SL-09]]),0)</f>
        <v>1246.0783754547933</v>
      </c>
      <c r="AO99" s="51">
        <f ca="1">DB_25[[#This Row],[GB-10]]</f>
        <v>1246.0783754547933</v>
      </c>
      <c r="AP99" s="51">
        <f ca="1">DB_25[[#This Row],[GB-11]]</f>
        <v>1246.0783754547933</v>
      </c>
      <c r="AQ99" s="7"/>
      <c r="AR99" s="7"/>
      <c r="AS99" s="7"/>
      <c r="AT99" s="7"/>
      <c r="AU99" s="47">
        <v>0</v>
      </c>
      <c r="AV99" s="47">
        <v>696034458.96153843</v>
      </c>
      <c r="AW99" s="47">
        <v>0</v>
      </c>
      <c r="AX99" s="47">
        <v>0</v>
      </c>
      <c r="AY99" s="47">
        <v>0</v>
      </c>
      <c r="AZ99" s="47">
        <v>0</v>
      </c>
      <c r="BA99" s="47">
        <v>0</v>
      </c>
      <c r="BB99" s="47">
        <v>0</v>
      </c>
      <c r="BC99" s="47">
        <v>0</v>
      </c>
      <c r="BD99" s="19">
        <f ca="1">DB_25[[#This Row],[SL-10]]*DB_25[[#This Row],[GB-10]]*BD$2/10^3</f>
        <v>0</v>
      </c>
      <c r="BE99" s="19">
        <f ca="1">DB_25[[#This Row],[SL-11]]*DB_25[[#This Row],[GB-11]]*BE$2/10^3</f>
        <v>0</v>
      </c>
      <c r="BF99" s="19">
        <f ca="1">DB_25[[#This Row],[SL-12]]*DB_25[[#This Row],[GB-12]]*BF$2/10^3</f>
        <v>0</v>
      </c>
      <c r="BG99" s="47">
        <f ca="1">SUM(DB_25[[#This Row],[DT-01]:[DT-12]])</f>
        <v>696034458.96153843</v>
      </c>
      <c r="BH99" s="7"/>
      <c r="BI99" s="7"/>
      <c r="BJ99" s="7"/>
      <c r="BK99" s="50">
        <v>0</v>
      </c>
      <c r="BL99" s="109">
        <v>27413.724260005452</v>
      </c>
      <c r="BM99" s="109">
        <v>0</v>
      </c>
      <c r="BN99" s="109">
        <v>0</v>
      </c>
      <c r="BO99" s="109">
        <v>0</v>
      </c>
      <c r="BP99" s="109">
        <v>0</v>
      </c>
      <c r="BQ99" s="109">
        <v>0</v>
      </c>
      <c r="BR99" s="109">
        <v>0</v>
      </c>
      <c r="BS99" s="109">
        <v>0</v>
      </c>
      <c r="BT99" s="147">
        <f ca="1">DB_25[[#This Row],[SL-10]]*DB_25[[#This Row],[GB-10]]</f>
        <v>0</v>
      </c>
      <c r="BU99" s="147">
        <f ca="1">DB_25[[#This Row],[SL-11]]*DB_25[[#This Row],[GB-11]]</f>
        <v>0</v>
      </c>
      <c r="BV99" s="147">
        <f ca="1">DB_25[[#This Row],[SL-12]]*DB_25[[#This Row],[GB-12]]</f>
        <v>0</v>
      </c>
      <c r="BW99" s="47">
        <f ca="1">SUM(DB_25[[#This Row],[DT-01-USD]:[DT-12-USD]])</f>
        <v>27413.724260005452</v>
      </c>
    </row>
    <row r="100" spans="1:75" x14ac:dyDescent="0.35">
      <c r="A100" s="18">
        <f>ROWS($A$6:A100)</f>
        <v>95</v>
      </c>
      <c r="B100" s="18" t="s">
        <v>115</v>
      </c>
      <c r="C100" s="18" t="str">
        <f>IFERROR(_xlfn.XLOOKUP(DB_25[[#This Row],[Salesman]],MD_Salesman[Salesman],MD_Salesman[SalesManager]),"")</f>
        <v>Quốc Anh</v>
      </c>
      <c r="D100" s="7" t="s">
        <v>649</v>
      </c>
      <c r="E100" s="7" t="s">
        <v>135</v>
      </c>
      <c r="F100" s="7"/>
      <c r="G100" s="7" t="str">
        <f>_xlfn.XLOOKUP(DB_25[[#This Row],[Mã khách]],MD_Customer[Mã khách],MD_Customer[Kênh bán hàng])</f>
        <v>Xuất khẩu</v>
      </c>
      <c r="H100" s="7"/>
      <c r="I100" s="7"/>
      <c r="J100" s="7"/>
      <c r="K100" s="7" t="s">
        <v>172</v>
      </c>
      <c r="L100" s="7" t="str">
        <f>_xlfn.XLOOKUP(DB_25[[#This Row],[Mã sản phẩm]],MD_SKU[Mã SKU],MD_SKU[Tên SKU-rút gọn])</f>
        <v>iSS01G 1</v>
      </c>
      <c r="M100" s="7" t="str">
        <f>_xlfn.XLOOKUP(DB_25[[#This Row],[Mã sản phẩm]],MD_SKU[Mã SKU],MD_SKU[Nhóm ngành])</f>
        <v>Hạt PET</v>
      </c>
      <c r="N100" s="7"/>
      <c r="O100" s="47">
        <v>0</v>
      </c>
      <c r="P100" s="47">
        <v>22</v>
      </c>
      <c r="Q100" s="47">
        <v>0</v>
      </c>
      <c r="R100" s="47">
        <v>0</v>
      </c>
      <c r="S100" s="47">
        <v>0</v>
      </c>
      <c r="T100" s="47">
        <v>0</v>
      </c>
      <c r="U100" s="47">
        <v>0</v>
      </c>
      <c r="V100" s="47">
        <v>0</v>
      </c>
      <c r="W100" s="110">
        <f ca="1">SUMIFS(Data_Actual_LG_EXW[SL],Data_Actual_LG_EXW[Year],2025,Data_Actual_LG_EXW[Month],'DB 2025'!W$1,Data_Actual_LG_EXW[Mã KH],DB_25[[#This Row],[Mã khách]],Data_Actual_LG_EXW[Mã SKU],DB_25[[#This Row],[Mã sản phẩm]])/10^3</f>
        <v>0</v>
      </c>
      <c r="X100" s="33"/>
      <c r="Y100" s="33"/>
      <c r="Z100" s="33"/>
      <c r="AA100" s="19">
        <f ca="1">SUM(DB_25[[#This Row],[SL-01]:[SL-12]])</f>
        <v>22</v>
      </c>
      <c r="AB100" s="7"/>
      <c r="AC100" s="20">
        <f ca="1">DB_25[[#This Row],[SL-DB25]]-DB_25[[#This Row],[SL-KH25]]</f>
        <v>22</v>
      </c>
      <c r="AD100" s="21">
        <f ca="1">IFERROR(DB_25[[#This Row],[SL-+/-]]/DB_25[[#This Row],[SL-KH25]],0)</f>
        <v>0</v>
      </c>
      <c r="AE100" s="23">
        <v>0</v>
      </c>
      <c r="AF100" s="23">
        <v>1258.8243957417633</v>
      </c>
      <c r="AG100" s="23">
        <v>0</v>
      </c>
      <c r="AH100" s="23">
        <v>0</v>
      </c>
      <c r="AI100" s="23">
        <v>0</v>
      </c>
      <c r="AJ100" s="23">
        <v>0</v>
      </c>
      <c r="AK100" s="23">
        <v>0</v>
      </c>
      <c r="AL100" s="23">
        <v>0</v>
      </c>
      <c r="AM100" s="111">
        <v>0</v>
      </c>
      <c r="AN100" s="51">
        <f ca="1">IFERROR(SUM(DB_25[[#This Row],[DT-01-USD]:[DT-09-USD]])/SUM(DB_25[[#This Row],[SL-01]:[SL-09]]),0)</f>
        <v>1258.8243957417633</v>
      </c>
      <c r="AO100" s="51">
        <f ca="1">DB_25[[#This Row],[GB-10]]</f>
        <v>1258.8243957417633</v>
      </c>
      <c r="AP100" s="51">
        <f ca="1">DB_25[[#This Row],[GB-11]]</f>
        <v>1258.8243957417633</v>
      </c>
      <c r="AQ100" s="7"/>
      <c r="AR100" s="7"/>
      <c r="AS100" s="7"/>
      <c r="AT100" s="7"/>
      <c r="AU100" s="47">
        <v>0</v>
      </c>
      <c r="AV100" s="47">
        <v>694845889.96153843</v>
      </c>
      <c r="AW100" s="47">
        <v>0</v>
      </c>
      <c r="AX100" s="47">
        <v>0</v>
      </c>
      <c r="AY100" s="47">
        <v>0</v>
      </c>
      <c r="AZ100" s="47">
        <v>0</v>
      </c>
      <c r="BA100" s="47">
        <v>0</v>
      </c>
      <c r="BB100" s="47">
        <v>0</v>
      </c>
      <c r="BC100" s="47">
        <v>0</v>
      </c>
      <c r="BD100" s="19">
        <f ca="1">DB_25[[#This Row],[SL-10]]*DB_25[[#This Row],[GB-10]]*BD$2/10^3</f>
        <v>0</v>
      </c>
      <c r="BE100" s="19">
        <f ca="1">DB_25[[#This Row],[SL-11]]*DB_25[[#This Row],[GB-11]]*BE$2/10^3</f>
        <v>0</v>
      </c>
      <c r="BF100" s="19">
        <f ca="1">DB_25[[#This Row],[SL-12]]*DB_25[[#This Row],[GB-12]]*BF$2/10^3</f>
        <v>0</v>
      </c>
      <c r="BG100" s="47">
        <f ca="1">SUM(DB_25[[#This Row],[DT-01]:[DT-12]])</f>
        <v>694845889.96153843</v>
      </c>
      <c r="BH100" s="7"/>
      <c r="BI100" s="7"/>
      <c r="BJ100" s="7"/>
      <c r="BK100" s="50">
        <v>0</v>
      </c>
      <c r="BL100" s="109">
        <v>27694.13670631879</v>
      </c>
      <c r="BM100" s="109">
        <v>0</v>
      </c>
      <c r="BN100" s="109">
        <v>0</v>
      </c>
      <c r="BO100" s="109">
        <v>0</v>
      </c>
      <c r="BP100" s="109">
        <v>0</v>
      </c>
      <c r="BQ100" s="109">
        <v>0</v>
      </c>
      <c r="BR100" s="109">
        <v>0</v>
      </c>
      <c r="BS100" s="109">
        <v>0</v>
      </c>
      <c r="BT100" s="147">
        <f ca="1">DB_25[[#This Row],[SL-10]]*DB_25[[#This Row],[GB-10]]</f>
        <v>0</v>
      </c>
      <c r="BU100" s="147">
        <f ca="1">DB_25[[#This Row],[SL-11]]*DB_25[[#This Row],[GB-11]]</f>
        <v>0</v>
      </c>
      <c r="BV100" s="147">
        <f ca="1">DB_25[[#This Row],[SL-12]]*DB_25[[#This Row],[GB-12]]</f>
        <v>0</v>
      </c>
      <c r="BW100" s="47">
        <f ca="1">SUM(DB_25[[#This Row],[DT-01-USD]:[DT-12-USD]])</f>
        <v>27694.13670631879</v>
      </c>
    </row>
    <row r="101" spans="1:75" x14ac:dyDescent="0.35">
      <c r="A101" s="18">
        <f>ROWS($A$6:A101)</f>
        <v>96</v>
      </c>
      <c r="B101" s="18" t="s">
        <v>104</v>
      </c>
      <c r="C101" s="18" t="str">
        <f>IFERROR(_xlfn.XLOOKUP(DB_25[[#This Row],[Salesman]],MD_Salesman[Salesman],MD_Salesman[SalesManager]),"")</f>
        <v>Quốc Anh</v>
      </c>
      <c r="D101" s="7" t="s">
        <v>650</v>
      </c>
      <c r="E101" s="7" t="s">
        <v>134</v>
      </c>
      <c r="F101" s="7"/>
      <c r="G101" s="7" t="str">
        <f>_xlfn.XLOOKUP(DB_25[[#This Row],[Mã khách]],MD_Customer[Mã khách],MD_Customer[Kênh bán hàng])</f>
        <v>Xuất khẩu</v>
      </c>
      <c r="H101" s="7"/>
      <c r="I101" s="7"/>
      <c r="J101" s="7"/>
      <c r="K101" s="7" t="s">
        <v>171</v>
      </c>
      <c r="L101" s="7" t="str">
        <f>_xlfn.XLOOKUP(DB_25[[#This Row],[Mã sản phẩm]],MD_SKU[Mã SKU],MD_SKU[Tên SKU-rút gọn])</f>
        <v>WSS01G 1</v>
      </c>
      <c r="M101" s="7" t="str">
        <f>_xlfn.XLOOKUP(DB_25[[#This Row],[Mã sản phẩm]],MD_SKU[Mã SKU],MD_SKU[Nhóm ngành])</f>
        <v>Hạt PET</v>
      </c>
      <c r="N101" s="7"/>
      <c r="O101" s="47">
        <v>0</v>
      </c>
      <c r="P101" s="47">
        <v>0</v>
      </c>
      <c r="Q101" s="47">
        <v>0</v>
      </c>
      <c r="R101" s="47">
        <v>0</v>
      </c>
      <c r="S101" s="47">
        <v>0</v>
      </c>
      <c r="T101" s="47">
        <v>22</v>
      </c>
      <c r="U101" s="47">
        <v>0</v>
      </c>
      <c r="V101" s="47">
        <v>0</v>
      </c>
      <c r="W101" s="110">
        <f ca="1">SUMIFS(Data_Actual_LG_EXW[SL],Data_Actual_LG_EXW[Year],2025,Data_Actual_LG_EXW[Month],'DB 2025'!W$1,Data_Actual_LG_EXW[Mã KH],DB_25[[#This Row],[Mã khách]],Data_Actual_LG_EXW[Mã SKU],DB_25[[#This Row],[Mã sản phẩm]])/10^3</f>
        <v>0</v>
      </c>
      <c r="X101" s="33"/>
      <c r="Y101" s="33"/>
      <c r="Z101" s="33"/>
      <c r="AA101" s="19">
        <f ca="1">SUM(DB_25[[#This Row],[SL-01]:[SL-12]])</f>
        <v>22</v>
      </c>
      <c r="AB101" s="7"/>
      <c r="AC101" s="20">
        <f ca="1">DB_25[[#This Row],[SL-DB25]]-DB_25[[#This Row],[SL-KH25]]</f>
        <v>22</v>
      </c>
      <c r="AD101" s="21">
        <f ca="1">IFERROR(DB_25[[#This Row],[SL-+/-]]/DB_25[[#This Row],[SL-KH25]],0)</f>
        <v>0</v>
      </c>
      <c r="AE101" s="23">
        <v>0</v>
      </c>
      <c r="AF101" s="23">
        <v>0</v>
      </c>
      <c r="AG101" s="23">
        <v>0</v>
      </c>
      <c r="AH101" s="23">
        <v>0</v>
      </c>
      <c r="AI101" s="23">
        <v>0</v>
      </c>
      <c r="AJ101" s="23">
        <v>1231.0046600280357</v>
      </c>
      <c r="AK101" s="23">
        <v>0</v>
      </c>
      <c r="AL101" s="23">
        <v>0</v>
      </c>
      <c r="AM101" s="111">
        <v>0</v>
      </c>
      <c r="AN101" s="51">
        <f ca="1">IFERROR(SUM(DB_25[[#This Row],[DT-01-USD]:[DT-09-USD]])/SUM(DB_25[[#This Row],[SL-01]:[SL-09]]),0)</f>
        <v>1231.0046600280357</v>
      </c>
      <c r="AO101" s="51">
        <f ca="1">DB_25[[#This Row],[GB-10]]</f>
        <v>1231.0046600280357</v>
      </c>
      <c r="AP101" s="51">
        <f ca="1">DB_25[[#This Row],[GB-11]]</f>
        <v>1231.0046600280357</v>
      </c>
      <c r="AQ101" s="7"/>
      <c r="AR101" s="7"/>
      <c r="AS101" s="7"/>
      <c r="AT101" s="7"/>
      <c r="AU101" s="47">
        <v>0</v>
      </c>
      <c r="AV101" s="47">
        <v>0</v>
      </c>
      <c r="AW101" s="47">
        <v>0</v>
      </c>
      <c r="AX101" s="47">
        <v>0</v>
      </c>
      <c r="AY101" s="47">
        <v>0</v>
      </c>
      <c r="AZ101" s="47">
        <v>700884813.23356235</v>
      </c>
      <c r="BA101" s="47">
        <v>0</v>
      </c>
      <c r="BB101" s="47">
        <v>0</v>
      </c>
      <c r="BC101" s="47">
        <v>0</v>
      </c>
      <c r="BD101" s="19">
        <f ca="1">DB_25[[#This Row],[SL-10]]*DB_25[[#This Row],[GB-10]]*BD$2/10^3</f>
        <v>0</v>
      </c>
      <c r="BE101" s="19">
        <f ca="1">DB_25[[#This Row],[SL-11]]*DB_25[[#This Row],[GB-11]]*BE$2/10^3</f>
        <v>0</v>
      </c>
      <c r="BF101" s="19">
        <f ca="1">DB_25[[#This Row],[SL-12]]*DB_25[[#This Row],[GB-12]]*BF$2/10^3</f>
        <v>0</v>
      </c>
      <c r="BG101" s="47">
        <f ca="1">SUM(DB_25[[#This Row],[DT-01]:[DT-12]])</f>
        <v>700884813.23356235</v>
      </c>
      <c r="BH101" s="7"/>
      <c r="BI101" s="7"/>
      <c r="BJ101" s="7"/>
      <c r="BK101" s="50">
        <v>0</v>
      </c>
      <c r="BL101" s="109">
        <v>0</v>
      </c>
      <c r="BM101" s="109">
        <v>0</v>
      </c>
      <c r="BN101" s="109">
        <v>0</v>
      </c>
      <c r="BO101" s="109">
        <v>0</v>
      </c>
      <c r="BP101" s="109">
        <v>27082.102520616783</v>
      </c>
      <c r="BQ101" s="109">
        <v>0</v>
      </c>
      <c r="BR101" s="109">
        <v>0</v>
      </c>
      <c r="BS101" s="109">
        <v>0</v>
      </c>
      <c r="BT101" s="147">
        <f ca="1">DB_25[[#This Row],[SL-10]]*DB_25[[#This Row],[GB-10]]</f>
        <v>0</v>
      </c>
      <c r="BU101" s="147">
        <f ca="1">DB_25[[#This Row],[SL-11]]*DB_25[[#This Row],[GB-11]]</f>
        <v>0</v>
      </c>
      <c r="BV101" s="147">
        <f ca="1">DB_25[[#This Row],[SL-12]]*DB_25[[#This Row],[GB-12]]</f>
        <v>0</v>
      </c>
      <c r="BW101" s="47">
        <f ca="1">SUM(DB_25[[#This Row],[DT-01-USD]:[DT-12-USD]])</f>
        <v>27082.102520616783</v>
      </c>
    </row>
    <row r="102" spans="1:75" x14ac:dyDescent="0.35">
      <c r="A102" s="18">
        <f>ROWS($A$6:A102)</f>
        <v>97</v>
      </c>
      <c r="B102" s="18" t="s">
        <v>95</v>
      </c>
      <c r="C102" s="18" t="str">
        <f>IFERROR(_xlfn.XLOOKUP(DB_25[[#This Row],[Salesman]],MD_Salesman[Salesman],MD_Salesman[SalesManager]),"")</f>
        <v>Cường</v>
      </c>
      <c r="D102" s="7" t="s">
        <v>651</v>
      </c>
      <c r="E102" s="7" t="s">
        <v>464</v>
      </c>
      <c r="F102" s="7"/>
      <c r="G102" s="7" t="str">
        <f>_xlfn.XLOOKUP(DB_25[[#This Row],[Mã khách]],MD_Customer[Mã khách],MD_Customer[Kênh bán hàng])</f>
        <v>Nội địa</v>
      </c>
      <c r="H102" s="7"/>
      <c r="I102" s="7"/>
      <c r="J102" s="7"/>
      <c r="K102" s="7" t="s">
        <v>184</v>
      </c>
      <c r="L102" s="7" t="str">
        <f>_xlfn.XLOOKUP(DB_25[[#This Row],[Mã sản phẩm]],MD_SKU[Mã SKU],MD_SKU[Tên SKU-rút gọn])</f>
        <v>rHDPE MBF01</v>
      </c>
      <c r="M102" s="7" t="str">
        <f>_xlfn.XLOOKUP(DB_25[[#This Row],[Mã sản phẩm]],MD_SKU[Mã SKU],MD_SKU[Nhóm ngành])</f>
        <v>Hạt HD thổi</v>
      </c>
      <c r="N102" s="7"/>
      <c r="O102" s="47">
        <v>0</v>
      </c>
      <c r="P102" s="47">
        <v>2.75</v>
      </c>
      <c r="Q102" s="47">
        <v>9.625</v>
      </c>
      <c r="R102" s="47">
        <v>0</v>
      </c>
      <c r="S102" s="47">
        <v>9.6</v>
      </c>
      <c r="T102" s="47">
        <v>0</v>
      </c>
      <c r="U102" s="47">
        <v>0</v>
      </c>
      <c r="V102" s="47">
        <v>0</v>
      </c>
      <c r="W102" s="110">
        <f ca="1">SUMIFS(Data_Actual_LG_EXW[SL],Data_Actual_LG_EXW[Year],2025,Data_Actual_LG_EXW[Month],'DB 2025'!W$1,Data_Actual_LG_EXW[Mã KH],DB_25[[#This Row],[Mã khách]],Data_Actual_LG_EXW[Mã SKU],DB_25[[#This Row],[Mã sản phẩm]])/10^3</f>
        <v>0</v>
      </c>
      <c r="X102" s="33"/>
      <c r="Y102" s="33"/>
      <c r="Z102" s="33"/>
      <c r="AA102" s="19">
        <f ca="1">SUM(DB_25[[#This Row],[SL-01]:[SL-12]])</f>
        <v>21.975000000000001</v>
      </c>
      <c r="AB102" s="7"/>
      <c r="AC102" s="20">
        <f ca="1">DB_25[[#This Row],[SL-DB25]]-DB_25[[#This Row],[SL-KH25]]</f>
        <v>21.975000000000001</v>
      </c>
      <c r="AD102" s="21">
        <f ca="1">IFERROR(DB_25[[#This Row],[SL-+/-]]/DB_25[[#This Row],[SL-KH25]],0)</f>
        <v>0</v>
      </c>
      <c r="AE102" s="23">
        <v>0</v>
      </c>
      <c r="AF102" s="23">
        <v>1415.3146932352581</v>
      </c>
      <c r="AG102" s="23">
        <v>1409.6141866621738</v>
      </c>
      <c r="AH102" s="23">
        <v>0</v>
      </c>
      <c r="AI102" s="23">
        <v>1351.3016949193343</v>
      </c>
      <c r="AJ102" s="23">
        <v>0</v>
      </c>
      <c r="AK102" s="23">
        <v>0</v>
      </c>
      <c r="AL102" s="23">
        <v>0</v>
      </c>
      <c r="AM102" s="111">
        <v>0</v>
      </c>
      <c r="AN102" s="51">
        <f ca="1">IFERROR(SUM(DB_25[[#This Row],[DT-01-USD]:[DT-09-USD]])/SUM(DB_25[[#This Row],[SL-01]:[SL-09]]),0)</f>
        <v>1384.8531615129004</v>
      </c>
      <c r="AO102" s="51">
        <f ca="1">DB_25[[#This Row],[GB-10]]</f>
        <v>1384.8531615129004</v>
      </c>
      <c r="AP102" s="51">
        <f ca="1">DB_25[[#This Row],[GB-11]]</f>
        <v>1384.8531615129004</v>
      </c>
      <c r="AQ102" s="7"/>
      <c r="AR102" s="7"/>
      <c r="AS102" s="7"/>
      <c r="AT102" s="7"/>
      <c r="AU102" s="47">
        <v>0</v>
      </c>
      <c r="AV102" s="47">
        <v>98362000</v>
      </c>
      <c r="AW102" s="47">
        <v>344267000</v>
      </c>
      <c r="AX102" s="47">
        <v>0</v>
      </c>
      <c r="AY102" s="47">
        <v>334416000</v>
      </c>
      <c r="AZ102" s="47">
        <v>0</v>
      </c>
      <c r="BA102" s="47">
        <v>0</v>
      </c>
      <c r="BB102" s="47">
        <v>0</v>
      </c>
      <c r="BC102" s="47">
        <v>0</v>
      </c>
      <c r="BD102" s="19">
        <f ca="1">DB_25[[#This Row],[SL-10]]*DB_25[[#This Row],[GB-10]]*BD$2/10^3</f>
        <v>0</v>
      </c>
      <c r="BE102" s="19">
        <f ca="1">DB_25[[#This Row],[SL-11]]*DB_25[[#This Row],[GB-11]]*BE$2/10^3</f>
        <v>0</v>
      </c>
      <c r="BF102" s="19">
        <f ca="1">DB_25[[#This Row],[SL-12]]*DB_25[[#This Row],[GB-12]]*BF$2/10^3</f>
        <v>0</v>
      </c>
      <c r="BG102" s="47">
        <f ca="1">SUM(DB_25[[#This Row],[DT-01]:[DT-12]])</f>
        <v>777045000</v>
      </c>
      <c r="BH102" s="7"/>
      <c r="BI102" s="7"/>
      <c r="BJ102" s="7"/>
      <c r="BK102" s="50">
        <v>0</v>
      </c>
      <c r="BL102" s="109">
        <v>3892.1154063969598</v>
      </c>
      <c r="BM102" s="109">
        <v>13567.536546623422</v>
      </c>
      <c r="BN102" s="109">
        <v>0</v>
      </c>
      <c r="BO102" s="109">
        <v>12972.496271225609</v>
      </c>
      <c r="BP102" s="109">
        <v>0</v>
      </c>
      <c r="BQ102" s="109">
        <v>0</v>
      </c>
      <c r="BR102" s="109">
        <v>0</v>
      </c>
      <c r="BS102" s="109">
        <v>0</v>
      </c>
      <c r="BT102" s="147">
        <f ca="1">DB_25[[#This Row],[SL-10]]*DB_25[[#This Row],[GB-10]]</f>
        <v>0</v>
      </c>
      <c r="BU102" s="147">
        <f ca="1">DB_25[[#This Row],[SL-11]]*DB_25[[#This Row],[GB-11]]</f>
        <v>0</v>
      </c>
      <c r="BV102" s="147">
        <f ca="1">DB_25[[#This Row],[SL-12]]*DB_25[[#This Row],[GB-12]]</f>
        <v>0</v>
      </c>
      <c r="BW102" s="47">
        <f ca="1">SUM(DB_25[[#This Row],[DT-01-USD]:[DT-12-USD]])</f>
        <v>30432.14822424599</v>
      </c>
    </row>
    <row r="103" spans="1:75" x14ac:dyDescent="0.35">
      <c r="A103" s="18">
        <f>ROWS($A$6:A103)</f>
        <v>98</v>
      </c>
      <c r="B103" s="18" t="s">
        <v>115</v>
      </c>
      <c r="C103" s="18" t="str">
        <f>IFERROR(_xlfn.XLOOKUP(DB_25[[#This Row],[Salesman]],MD_Salesman[Salesman],MD_Salesman[SalesManager]),"")</f>
        <v>Quốc Anh</v>
      </c>
      <c r="D103" s="7" t="s">
        <v>652</v>
      </c>
      <c r="E103" s="7" t="s">
        <v>71</v>
      </c>
      <c r="F103" s="7"/>
      <c r="G103" s="7" t="str">
        <f>_xlfn.XLOOKUP(DB_25[[#This Row],[Mã khách]],MD_Customer[Mã khách],MD_Customer[Kênh bán hàng])</f>
        <v>Nội địa</v>
      </c>
      <c r="H103" s="7"/>
      <c r="I103" s="7"/>
      <c r="J103" s="7"/>
      <c r="K103" s="7" t="s">
        <v>171</v>
      </c>
      <c r="L103" s="7" t="str">
        <f>_xlfn.XLOOKUP(DB_25[[#This Row],[Mã sản phẩm]],MD_SKU[Mã SKU],MD_SKU[Tên SKU-rút gọn])</f>
        <v>WSS01G 1</v>
      </c>
      <c r="M103" s="7" t="str">
        <f>_xlfn.XLOOKUP(DB_25[[#This Row],[Mã sản phẩm]],MD_SKU[Mã SKU],MD_SKU[Nhóm ngành])</f>
        <v>Hạt PET</v>
      </c>
      <c r="N103" s="7"/>
      <c r="O103" s="47">
        <v>3.3</v>
      </c>
      <c r="P103" s="47">
        <v>3.3</v>
      </c>
      <c r="Q103" s="47">
        <v>0</v>
      </c>
      <c r="R103" s="47">
        <v>4.4000000000000004</v>
      </c>
      <c r="S103" s="47">
        <v>5.5</v>
      </c>
      <c r="T103" s="47">
        <v>4.4000000000000004</v>
      </c>
      <c r="U103" s="47">
        <v>0</v>
      </c>
      <c r="V103" s="47">
        <v>0</v>
      </c>
      <c r="W103" s="110">
        <f ca="1">SUMIFS(Data_Actual_LG_EXW[SL],Data_Actual_LG_EXW[Year],2025,Data_Actual_LG_EXW[Month],'DB 2025'!W$1,Data_Actual_LG_EXW[Mã KH],DB_25[[#This Row],[Mã khách]],Data_Actual_LG_EXW[Mã SKU],DB_25[[#This Row],[Mã sản phẩm]])/10^3</f>
        <v>0</v>
      </c>
      <c r="X103" s="33"/>
      <c r="Y103" s="33"/>
      <c r="Z103" s="33"/>
      <c r="AA103" s="19">
        <f ca="1">SUM(DB_25[[#This Row],[SL-01]:[SL-12]])</f>
        <v>20.9</v>
      </c>
      <c r="AB103" s="7"/>
      <c r="AC103" s="20">
        <f ca="1">DB_25[[#This Row],[SL-DB25]]-DB_25[[#This Row],[SL-KH25]]</f>
        <v>20.9</v>
      </c>
      <c r="AD103" s="21">
        <f ca="1">IFERROR(DB_25[[#This Row],[SL-+/-]]/DB_25[[#This Row],[SL-KH25]],0)</f>
        <v>0</v>
      </c>
      <c r="AE103" s="23">
        <v>1292.5003606151533</v>
      </c>
      <c r="AF103" s="23">
        <v>1240.8022226697915</v>
      </c>
      <c r="AG103" s="23">
        <v>0</v>
      </c>
      <c r="AH103" s="23">
        <v>1258.323757478267</v>
      </c>
      <c r="AI103" s="23">
        <v>1285.883196844693</v>
      </c>
      <c r="AJ103" s="23">
        <v>1279.1317279309935</v>
      </c>
      <c r="AK103" s="23">
        <v>0</v>
      </c>
      <c r="AL103" s="23">
        <v>0</v>
      </c>
      <c r="AM103" s="111">
        <v>0</v>
      </c>
      <c r="AN103" s="51">
        <f ca="1">IFERROR(SUM(DB_25[[#This Row],[DT-01-USD]:[DT-09-USD]])/SUM(DB_25[[#This Row],[SL-01]:[SL-09]]),0)</f>
        <v>1272.5866145113339</v>
      </c>
      <c r="AO103" s="51">
        <f ca="1">DB_25[[#This Row],[GB-10]]</f>
        <v>1272.5866145113339</v>
      </c>
      <c r="AP103" s="51">
        <f ca="1">DB_25[[#This Row],[GB-11]]</f>
        <v>1272.5866145113339</v>
      </c>
      <c r="AQ103" s="7"/>
      <c r="AR103" s="7"/>
      <c r="AS103" s="7"/>
      <c r="AT103" s="7"/>
      <c r="AU103" s="47">
        <v>107500391.97829716</v>
      </c>
      <c r="AV103" s="47">
        <v>103480410.80299208</v>
      </c>
      <c r="AW103" s="47">
        <v>0</v>
      </c>
      <c r="AX103" s="47">
        <v>142131327.12528473</v>
      </c>
      <c r="AY103" s="47">
        <v>182317225.91465676</v>
      </c>
      <c r="AZ103" s="47">
        <v>145853780.13174403</v>
      </c>
      <c r="BA103" s="47">
        <v>0</v>
      </c>
      <c r="BB103" s="47">
        <v>0</v>
      </c>
      <c r="BC103" s="47">
        <v>0</v>
      </c>
      <c r="BD103" s="19">
        <f ca="1">DB_25[[#This Row],[SL-10]]*DB_25[[#This Row],[GB-10]]*BD$2/10^3</f>
        <v>0</v>
      </c>
      <c r="BE103" s="19">
        <f ca="1">DB_25[[#This Row],[SL-11]]*DB_25[[#This Row],[GB-11]]*BE$2/10^3</f>
        <v>0</v>
      </c>
      <c r="BF103" s="19">
        <f ca="1">DB_25[[#This Row],[SL-12]]*DB_25[[#This Row],[GB-12]]*BF$2/10^3</f>
        <v>0</v>
      </c>
      <c r="BG103" s="47">
        <f ca="1">SUM(DB_25[[#This Row],[DT-01]:[DT-12]])</f>
        <v>681283135.9529748</v>
      </c>
      <c r="BH103" s="7"/>
      <c r="BI103" s="7"/>
      <c r="BJ103" s="7"/>
      <c r="BK103" s="50">
        <v>4265.251190030006</v>
      </c>
      <c r="BL103" s="109">
        <v>4094.6473348103113</v>
      </c>
      <c r="BM103" s="109">
        <v>0</v>
      </c>
      <c r="BN103" s="109">
        <v>5536.624532904375</v>
      </c>
      <c r="BO103" s="109">
        <v>7072.3575826458109</v>
      </c>
      <c r="BP103" s="109">
        <v>5628.1796028963718</v>
      </c>
      <c r="BQ103" s="109">
        <v>0</v>
      </c>
      <c r="BR103" s="109">
        <v>0</v>
      </c>
      <c r="BS103" s="109">
        <v>0</v>
      </c>
      <c r="BT103" s="147">
        <f ca="1">DB_25[[#This Row],[SL-10]]*DB_25[[#This Row],[GB-10]]</f>
        <v>0</v>
      </c>
      <c r="BU103" s="147">
        <f ca="1">DB_25[[#This Row],[SL-11]]*DB_25[[#This Row],[GB-11]]</f>
        <v>0</v>
      </c>
      <c r="BV103" s="147">
        <f ca="1">DB_25[[#This Row],[SL-12]]*DB_25[[#This Row],[GB-12]]</f>
        <v>0</v>
      </c>
      <c r="BW103" s="47">
        <f ca="1">SUM(DB_25[[#This Row],[DT-01-USD]:[DT-12-USD]])</f>
        <v>26597.060243286876</v>
      </c>
    </row>
    <row r="104" spans="1:75" x14ac:dyDescent="0.35">
      <c r="A104" s="18">
        <f>ROWS($A$6:A104)</f>
        <v>99</v>
      </c>
      <c r="B104" s="18" t="s">
        <v>97</v>
      </c>
      <c r="C104" s="18" t="str">
        <f>IFERROR(_xlfn.XLOOKUP(DB_25[[#This Row],[Salesman]],MD_Salesman[Salesman],MD_Salesman[SalesManager]),"")</f>
        <v>Cường</v>
      </c>
      <c r="D104" s="7" t="s">
        <v>625</v>
      </c>
      <c r="E104" s="7" t="s">
        <v>271</v>
      </c>
      <c r="F104" s="7"/>
      <c r="G104" s="7" t="str">
        <f>_xlfn.XLOOKUP(DB_25[[#This Row],[Mã khách]],MD_Customer[Mã khách],MD_Customer[Kênh bán hàng])</f>
        <v>Nội địa</v>
      </c>
      <c r="H104" s="7"/>
      <c r="I104" s="7"/>
      <c r="J104" s="7"/>
      <c r="K104" s="7" t="s">
        <v>192</v>
      </c>
      <c r="L104" s="7" t="str">
        <f>_xlfn.XLOOKUP(DB_25[[#This Row],[Mã sản phẩm]],MD_SKU[Mã SKU],MD_SKU[Tên SKU-rút gọn])</f>
        <v>rHDA03W01</v>
      </c>
      <c r="M104" s="7" t="str">
        <f>_xlfn.XLOOKUP(DB_25[[#This Row],[Mã sản phẩm]],MD_SKU[Mã SKU],MD_SKU[Nhóm ngành])</f>
        <v>Hạt HD thổi</v>
      </c>
      <c r="N104" s="7"/>
      <c r="O104" s="47">
        <v>0</v>
      </c>
      <c r="P104" s="47">
        <v>0</v>
      </c>
      <c r="Q104" s="47">
        <v>0.5</v>
      </c>
      <c r="R104" s="47">
        <v>0</v>
      </c>
      <c r="S104" s="47">
        <v>0</v>
      </c>
      <c r="T104" s="47">
        <v>0.35</v>
      </c>
      <c r="U104" s="47">
        <v>0</v>
      </c>
      <c r="V104" s="47">
        <v>0</v>
      </c>
      <c r="W104" s="110">
        <f ca="1">SUMIFS(Data_Actual_LG_EXW[SL],Data_Actual_LG_EXW[Year],2025,Data_Actual_LG_EXW[Month],'DB 2025'!W$1,Data_Actual_LG_EXW[Mã KH],DB_25[[#This Row],[Mã khách]],Data_Actual_LG_EXW[Mã SKU],DB_25[[#This Row],[Mã sản phẩm]])/10^3</f>
        <v>0</v>
      </c>
      <c r="X104" s="33">
        <v>5</v>
      </c>
      <c r="Y104" s="33">
        <v>5</v>
      </c>
      <c r="Z104" s="33">
        <v>5</v>
      </c>
      <c r="AA104" s="19">
        <f ca="1">SUM(DB_25[[#This Row],[SL-01]:[SL-12]])</f>
        <v>15.85</v>
      </c>
      <c r="AB104" s="7"/>
      <c r="AC104" s="20">
        <f ca="1">DB_25[[#This Row],[SL-DB25]]-DB_25[[#This Row],[SL-KH25]]</f>
        <v>15.85</v>
      </c>
      <c r="AD104" s="21">
        <f ca="1">IFERROR(DB_25[[#This Row],[SL-+/-]]/DB_25[[#This Row],[SL-KH25]],0)</f>
        <v>0</v>
      </c>
      <c r="AE104" s="23">
        <v>0</v>
      </c>
      <c r="AF104" s="23">
        <v>0</v>
      </c>
      <c r="AG104" s="23">
        <v>1346.0459781214086</v>
      </c>
      <c r="AH104" s="23">
        <v>0</v>
      </c>
      <c r="AI104" s="23">
        <v>0</v>
      </c>
      <c r="AJ104" s="23">
        <v>1321.4288048980798</v>
      </c>
      <c r="AK104" s="23">
        <v>0</v>
      </c>
      <c r="AL104" s="23">
        <v>0</v>
      </c>
      <c r="AM104" s="111">
        <v>0</v>
      </c>
      <c r="AN104" s="51">
        <f ca="1">IFERROR(SUM(DB_25[[#This Row],[DT-01-USD]:[DT-09-USD]])/SUM(DB_25[[#This Row],[SL-01]:[SL-09]]),0)</f>
        <v>1335.9094950294498</v>
      </c>
      <c r="AO104" s="51">
        <f ca="1">DB_25[[#This Row],[GB-10]]</f>
        <v>1335.9094950294498</v>
      </c>
      <c r="AP104" s="51">
        <f ca="1">DB_25[[#This Row],[GB-11]]</f>
        <v>1335.9094950294498</v>
      </c>
      <c r="AQ104" s="7"/>
      <c r="AR104" s="7"/>
      <c r="AS104" s="7"/>
      <c r="AT104" s="7"/>
      <c r="AU104" s="47">
        <v>0</v>
      </c>
      <c r="AV104" s="47">
        <v>0</v>
      </c>
      <c r="AW104" s="47">
        <v>17077500</v>
      </c>
      <c r="AX104" s="47">
        <v>0</v>
      </c>
      <c r="AY104" s="47">
        <v>0</v>
      </c>
      <c r="AZ104" s="47">
        <v>11985648.999999989</v>
      </c>
      <c r="BA104" s="47">
        <v>0</v>
      </c>
      <c r="BB104" s="47">
        <v>0</v>
      </c>
      <c r="BC104" s="47">
        <v>0</v>
      </c>
      <c r="BD104" s="19">
        <f ca="1">DB_25[[#This Row],[SL-10]]*DB_25[[#This Row],[GB-10]]*BD$2/10^3</f>
        <v>175004.1438488579</v>
      </c>
      <c r="BE104" s="19">
        <f ca="1">DB_25[[#This Row],[SL-11]]*DB_25[[#This Row],[GB-11]]*BE$2/10^3</f>
        <v>175004.1438488579</v>
      </c>
      <c r="BF104" s="19">
        <f ca="1">DB_25[[#This Row],[SL-12]]*DB_25[[#This Row],[GB-12]]*BF$2/10^3</f>
        <v>175004.1438488579</v>
      </c>
      <c r="BG104" s="47">
        <f ca="1">SUM(DB_25[[#This Row],[DT-01]:[DT-12]])</f>
        <v>29588161.431546565</v>
      </c>
      <c r="BH104" s="7"/>
      <c r="BI104" s="7"/>
      <c r="BJ104" s="7"/>
      <c r="BK104" s="50">
        <v>0</v>
      </c>
      <c r="BL104" s="109">
        <v>0</v>
      </c>
      <c r="BM104" s="109">
        <v>673.02298906070428</v>
      </c>
      <c r="BN104" s="109">
        <v>0</v>
      </c>
      <c r="BO104" s="109">
        <v>0</v>
      </c>
      <c r="BP104" s="109">
        <v>462.50008171432791</v>
      </c>
      <c r="BQ104" s="109">
        <v>0</v>
      </c>
      <c r="BR104" s="109">
        <v>0</v>
      </c>
      <c r="BS104" s="109">
        <v>0</v>
      </c>
      <c r="BT104" s="147">
        <f ca="1">DB_25[[#This Row],[SL-10]]*DB_25[[#This Row],[GB-10]]</f>
        <v>6679.5474751472484</v>
      </c>
      <c r="BU104" s="147">
        <f ca="1">DB_25[[#This Row],[SL-11]]*DB_25[[#This Row],[GB-11]]</f>
        <v>6679.5474751472484</v>
      </c>
      <c r="BV104" s="147">
        <f ca="1">DB_25[[#This Row],[SL-12]]*DB_25[[#This Row],[GB-12]]</f>
        <v>6679.5474751472484</v>
      </c>
      <c r="BW104" s="47">
        <f ca="1">SUM(DB_25[[#This Row],[DT-01-USD]:[DT-12-USD]])</f>
        <v>21174.165496216778</v>
      </c>
    </row>
    <row r="105" spans="1:75" x14ac:dyDescent="0.35">
      <c r="A105" s="18">
        <f>ROWS($A$6:A105)</f>
        <v>100</v>
      </c>
      <c r="B105" s="18" t="s">
        <v>101</v>
      </c>
      <c r="C105" s="18" t="str">
        <f>IFERROR(_xlfn.XLOOKUP(DB_25[[#This Row],[Salesman]],MD_Salesman[Salesman],MD_Salesman[SalesManager]),"")</f>
        <v>Cường</v>
      </c>
      <c r="D105" s="7" t="s">
        <v>653</v>
      </c>
      <c r="E105" s="7" t="s">
        <v>108</v>
      </c>
      <c r="F105" s="7"/>
      <c r="G105" s="7" t="str">
        <f>_xlfn.XLOOKUP(DB_25[[#This Row],[Mã khách]],MD_Customer[Mã khách],MD_Customer[Kênh bán hàng])</f>
        <v>Nội địa</v>
      </c>
      <c r="H105" s="7"/>
      <c r="I105" s="7"/>
      <c r="J105" s="7"/>
      <c r="K105" s="7" t="s">
        <v>175</v>
      </c>
      <c r="L105" s="7" t="str">
        <f>_xlfn.XLOOKUP(DB_25[[#This Row],[Mã sản phẩm]],MD_SKU[Mã SKU],MD_SKU[Tên SKU-rút gọn])</f>
        <v>iSS01G-S</v>
      </c>
      <c r="M105" s="7" t="str">
        <f>_xlfn.XLOOKUP(DB_25[[#This Row],[Mã sản phẩm]],MD_SKU[Mã SKU],MD_SKU[Nhóm ngành])</f>
        <v>Hạt PET</v>
      </c>
      <c r="N105" s="7"/>
      <c r="O105" s="47">
        <v>0</v>
      </c>
      <c r="P105" s="47">
        <v>0</v>
      </c>
      <c r="Q105" s="47">
        <v>0</v>
      </c>
      <c r="R105" s="47">
        <v>0</v>
      </c>
      <c r="S105" s="47">
        <v>0</v>
      </c>
      <c r="T105" s="47">
        <v>0.5</v>
      </c>
      <c r="U105" s="47">
        <v>0</v>
      </c>
      <c r="V105" s="47">
        <v>2.2000000000000002</v>
      </c>
      <c r="W105" s="110">
        <f ca="1">SUMIFS(Data_Actual_LG_EXW[SL],Data_Actual_LG_EXW[Year],2025,Data_Actual_LG_EXW[Month],'DB 2025'!W$1,Data_Actual_LG_EXW[Mã KH],DB_25[[#This Row],[Mã khách]],Data_Actual_LG_EXW[Mã SKU],DB_25[[#This Row],[Mã sản phẩm]])/10^3</f>
        <v>0</v>
      </c>
      <c r="X105" s="33">
        <v>5</v>
      </c>
      <c r="Y105" s="33">
        <v>5</v>
      </c>
      <c r="Z105" s="33">
        <v>5</v>
      </c>
      <c r="AA105" s="19">
        <f ca="1">SUM(DB_25[[#This Row],[SL-01]:[SL-12]])</f>
        <v>17.7</v>
      </c>
      <c r="AB105" s="7"/>
      <c r="AC105" s="20">
        <f ca="1">DB_25[[#This Row],[SL-DB25]]-DB_25[[#This Row],[SL-KH25]]</f>
        <v>17.7</v>
      </c>
      <c r="AD105" s="21">
        <f ca="1">IFERROR(DB_25[[#This Row],[SL-+/-]]/DB_25[[#This Row],[SL-KH25]],0)</f>
        <v>0</v>
      </c>
      <c r="AE105" s="23">
        <v>0</v>
      </c>
      <c r="AF105" s="23">
        <v>0</v>
      </c>
      <c r="AG105" s="23">
        <v>0</v>
      </c>
      <c r="AH105" s="23">
        <v>0</v>
      </c>
      <c r="AI105" s="23">
        <v>0</v>
      </c>
      <c r="AJ105" s="23">
        <v>1263.7511474050552</v>
      </c>
      <c r="AK105" s="23">
        <v>0</v>
      </c>
      <c r="AL105" s="23">
        <v>1276.1396013443768</v>
      </c>
      <c r="AM105" s="111">
        <v>0</v>
      </c>
      <c r="AN105" s="51">
        <f ca="1">IFERROR(SUM(DB_25[[#This Row],[DT-01-USD]:[DT-09-USD]])/SUM(DB_25[[#This Row],[SL-01]:[SL-09]]),0)</f>
        <v>1273.8454432074655</v>
      </c>
      <c r="AO105" s="51">
        <f ca="1">DB_25[[#This Row],[GB-10]]</f>
        <v>1273.8454432074655</v>
      </c>
      <c r="AP105" s="51">
        <f ca="1">DB_25[[#This Row],[GB-11]]</f>
        <v>1273.8454432074655</v>
      </c>
      <c r="AQ105" s="7"/>
      <c r="AR105" s="7"/>
      <c r="AS105" s="7"/>
      <c r="AT105" s="7"/>
      <c r="AU105" s="47">
        <v>0</v>
      </c>
      <c r="AV105" s="47">
        <v>0</v>
      </c>
      <c r="AW105" s="47">
        <v>0</v>
      </c>
      <c r="AX105" s="47">
        <v>0</v>
      </c>
      <c r="AY105" s="47">
        <v>0</v>
      </c>
      <c r="AZ105" s="47">
        <v>16375000</v>
      </c>
      <c r="BA105" s="47">
        <v>0</v>
      </c>
      <c r="BB105" s="47">
        <v>73368487.880968854</v>
      </c>
      <c r="BC105" s="47">
        <v>0</v>
      </c>
      <c r="BD105" s="19">
        <f ca="1">DB_25[[#This Row],[SL-10]]*DB_25[[#This Row],[GB-10]]*BD$2/10^3</f>
        <v>166873.75306017796</v>
      </c>
      <c r="BE105" s="19">
        <f ca="1">DB_25[[#This Row],[SL-11]]*DB_25[[#This Row],[GB-11]]*BE$2/10^3</f>
        <v>166873.75306017796</v>
      </c>
      <c r="BF105" s="19">
        <f ca="1">DB_25[[#This Row],[SL-12]]*DB_25[[#This Row],[GB-12]]*BF$2/10^3</f>
        <v>166873.75306017796</v>
      </c>
      <c r="BG105" s="47">
        <f ca="1">SUM(DB_25[[#This Row],[DT-01]:[DT-12]])</f>
        <v>90244109.140149385</v>
      </c>
      <c r="BH105" s="7"/>
      <c r="BI105" s="7"/>
      <c r="BJ105" s="7"/>
      <c r="BK105" s="50">
        <v>0</v>
      </c>
      <c r="BL105" s="109">
        <v>0</v>
      </c>
      <c r="BM105" s="109">
        <v>0</v>
      </c>
      <c r="BN105" s="109">
        <v>0</v>
      </c>
      <c r="BO105" s="109">
        <v>0</v>
      </c>
      <c r="BP105" s="109">
        <v>631.87557370252762</v>
      </c>
      <c r="BQ105" s="109">
        <v>0</v>
      </c>
      <c r="BR105" s="109">
        <v>2807.5071229576292</v>
      </c>
      <c r="BS105" s="109">
        <v>0</v>
      </c>
      <c r="BT105" s="147">
        <f ca="1">DB_25[[#This Row],[SL-10]]*DB_25[[#This Row],[GB-10]]</f>
        <v>6369.2272160373268</v>
      </c>
      <c r="BU105" s="147">
        <f ca="1">DB_25[[#This Row],[SL-11]]*DB_25[[#This Row],[GB-11]]</f>
        <v>6369.2272160373268</v>
      </c>
      <c r="BV105" s="147">
        <f ca="1">DB_25[[#This Row],[SL-12]]*DB_25[[#This Row],[GB-12]]</f>
        <v>6369.2272160373268</v>
      </c>
      <c r="BW105" s="47">
        <f ca="1">SUM(DB_25[[#This Row],[DT-01-USD]:[DT-12-USD]])</f>
        <v>22547.064344772138</v>
      </c>
    </row>
    <row r="106" spans="1:75" x14ac:dyDescent="0.35">
      <c r="A106" s="18">
        <f>ROWS($A$6:A106)</f>
        <v>101</v>
      </c>
      <c r="B106" s="18" t="s">
        <v>115</v>
      </c>
      <c r="C106" s="18" t="str">
        <f>IFERROR(_xlfn.XLOOKUP(DB_25[[#This Row],[Salesman]],MD_Salesman[Salesman],MD_Salesman[SalesManager]),"")</f>
        <v>Quốc Anh</v>
      </c>
      <c r="D106" s="7" t="s">
        <v>654</v>
      </c>
      <c r="E106" s="7" t="s">
        <v>118</v>
      </c>
      <c r="F106" s="7"/>
      <c r="G106" s="7" t="str">
        <f>_xlfn.XLOOKUP(DB_25[[#This Row],[Mã khách]],MD_Customer[Mã khách],MD_Customer[Kênh bán hàng])</f>
        <v>Nội địa</v>
      </c>
      <c r="H106" s="7"/>
      <c r="I106" s="7"/>
      <c r="J106" s="7"/>
      <c r="K106" s="7" t="s">
        <v>171</v>
      </c>
      <c r="L106" s="7" t="str">
        <f>_xlfn.XLOOKUP(DB_25[[#This Row],[Mã sản phẩm]],MD_SKU[Mã SKU],MD_SKU[Tên SKU-rút gọn])</f>
        <v>WSS01G 1</v>
      </c>
      <c r="M106" s="7" t="str">
        <f>_xlfn.XLOOKUP(DB_25[[#This Row],[Mã sản phẩm]],MD_SKU[Mã SKU],MD_SKU[Nhóm ngành])</f>
        <v>Hạt PET</v>
      </c>
      <c r="N106" s="7"/>
      <c r="O106" s="47">
        <v>5.5</v>
      </c>
      <c r="P106" s="47">
        <v>1.1000000000000001</v>
      </c>
      <c r="Q106" s="47">
        <v>0</v>
      </c>
      <c r="R106" s="47">
        <v>0</v>
      </c>
      <c r="S106" s="47">
        <v>0</v>
      </c>
      <c r="T106" s="47">
        <v>3.3</v>
      </c>
      <c r="U106" s="47">
        <v>0</v>
      </c>
      <c r="V106" s="47">
        <v>0</v>
      </c>
      <c r="W106" s="110">
        <f ca="1">SUMIFS(Data_Actual_LG_EXW[SL],Data_Actual_LG_EXW[Year],2025,Data_Actual_LG_EXW[Month],'DB 2025'!W$1,Data_Actual_LG_EXW[Mã KH],DB_25[[#This Row],[Mã khách]],Data_Actual_LG_EXW[Mã SKU],DB_25[[#This Row],[Mã sản phẩm]])/10^3</f>
        <v>0</v>
      </c>
      <c r="X106" s="33">
        <v>6.6</v>
      </c>
      <c r="Y106" s="33"/>
      <c r="Z106" s="33"/>
      <c r="AA106" s="19">
        <f ca="1">SUM(DB_25[[#This Row],[SL-01]:[SL-12]])</f>
        <v>16.5</v>
      </c>
      <c r="AB106" s="7"/>
      <c r="AC106" s="20">
        <f ca="1">DB_25[[#This Row],[SL-DB25]]-DB_25[[#This Row],[SL-KH25]]</f>
        <v>16.5</v>
      </c>
      <c r="AD106" s="21">
        <f ca="1">IFERROR(DB_25[[#This Row],[SL-+/-]]/DB_25[[#This Row],[SL-KH25]],0)</f>
        <v>0</v>
      </c>
      <c r="AE106" s="23">
        <v>1332.620276765756</v>
      </c>
      <c r="AF106" s="23">
        <v>1225.0709336378425</v>
      </c>
      <c r="AG106" s="23">
        <v>0</v>
      </c>
      <c r="AH106" s="23">
        <v>0</v>
      </c>
      <c r="AI106" s="23">
        <v>0</v>
      </c>
      <c r="AJ106" s="23">
        <v>1256.3932140259913</v>
      </c>
      <c r="AK106" s="23">
        <v>0</v>
      </c>
      <c r="AL106" s="23">
        <v>0</v>
      </c>
      <c r="AM106" s="111">
        <v>0</v>
      </c>
      <c r="AN106" s="51">
        <f ca="1">IFERROR(SUM(DB_25[[#This Row],[DT-01-USD]:[DT-09-USD]])/SUM(DB_25[[#This Row],[SL-01]:[SL-09]]),0)</f>
        <v>1295.2613288382886</v>
      </c>
      <c r="AO106" s="51">
        <f ca="1">DB_25[[#This Row],[GB-10]]</f>
        <v>1295.2613288382886</v>
      </c>
      <c r="AP106" s="51">
        <f ca="1">DB_25[[#This Row],[GB-11]]</f>
        <v>1295.2613288382886</v>
      </c>
      <c r="AQ106" s="7"/>
      <c r="AR106" s="7"/>
      <c r="AS106" s="7"/>
      <c r="AT106" s="7"/>
      <c r="AU106" s="47">
        <v>184728771.29716197</v>
      </c>
      <c r="AV106" s="47">
        <v>34056150.974885844</v>
      </c>
      <c r="AW106" s="47">
        <v>0</v>
      </c>
      <c r="AX106" s="47">
        <v>0</v>
      </c>
      <c r="AY106" s="47">
        <v>0</v>
      </c>
      <c r="AZ106" s="47">
        <v>107445755.34880804</v>
      </c>
      <c r="BA106" s="47">
        <v>0</v>
      </c>
      <c r="BB106" s="47">
        <v>0</v>
      </c>
      <c r="BC106" s="47">
        <v>0</v>
      </c>
      <c r="BD106" s="19">
        <f ca="1">DB_25[[#This Row],[SL-10]]*DB_25[[#This Row],[GB-10]]*BD$2/10^3</f>
        <v>223976.58898271687</v>
      </c>
      <c r="BE106" s="19">
        <f ca="1">DB_25[[#This Row],[SL-11]]*DB_25[[#This Row],[GB-11]]*BE$2/10^3</f>
        <v>0</v>
      </c>
      <c r="BF106" s="19">
        <f ca="1">DB_25[[#This Row],[SL-12]]*DB_25[[#This Row],[GB-12]]*BF$2/10^3</f>
        <v>0</v>
      </c>
      <c r="BG106" s="47">
        <f ca="1">SUM(DB_25[[#This Row],[DT-01]:[DT-12]])</f>
        <v>326454654.20983857</v>
      </c>
      <c r="BH106" s="7"/>
      <c r="BI106" s="7"/>
      <c r="BJ106" s="7"/>
      <c r="BK106" s="50">
        <v>7329.4115222116579</v>
      </c>
      <c r="BL106" s="109">
        <v>1347.5780270016269</v>
      </c>
      <c r="BM106" s="109">
        <v>0</v>
      </c>
      <c r="BN106" s="109">
        <v>0</v>
      </c>
      <c r="BO106" s="109">
        <v>0</v>
      </c>
      <c r="BP106" s="109">
        <v>4146.0976062857708</v>
      </c>
      <c r="BQ106" s="109">
        <v>0</v>
      </c>
      <c r="BR106" s="109">
        <v>0</v>
      </c>
      <c r="BS106" s="109">
        <v>0</v>
      </c>
      <c r="BT106" s="147">
        <f ca="1">DB_25[[#This Row],[SL-10]]*DB_25[[#This Row],[GB-10]]</f>
        <v>8548.7247703327048</v>
      </c>
      <c r="BU106" s="147">
        <f ca="1">DB_25[[#This Row],[SL-11]]*DB_25[[#This Row],[GB-11]]</f>
        <v>0</v>
      </c>
      <c r="BV106" s="147">
        <f ca="1">DB_25[[#This Row],[SL-12]]*DB_25[[#This Row],[GB-12]]</f>
        <v>0</v>
      </c>
      <c r="BW106" s="47">
        <f ca="1">SUM(DB_25[[#This Row],[DT-01-USD]:[DT-12-USD]])</f>
        <v>21371.81192583176</v>
      </c>
    </row>
    <row r="107" spans="1:75" x14ac:dyDescent="0.35">
      <c r="A107" s="18">
        <f>ROWS($A$6:A107)</f>
        <v>102</v>
      </c>
      <c r="B107" s="18" t="s">
        <v>115</v>
      </c>
      <c r="C107" s="18" t="str">
        <f>IFERROR(_xlfn.XLOOKUP(DB_25[[#This Row],[Salesman]],MD_Salesman[Salesman],MD_Salesman[SalesManager]),"")</f>
        <v>Quốc Anh</v>
      </c>
      <c r="D107" s="7" t="s">
        <v>655</v>
      </c>
      <c r="E107" s="7" t="s">
        <v>65</v>
      </c>
      <c r="F107" s="7"/>
      <c r="G107" s="7" t="str">
        <f>_xlfn.XLOOKUP(DB_25[[#This Row],[Mã khách]],MD_Customer[Mã khách],MD_Customer[Kênh bán hàng])</f>
        <v>Nội địa</v>
      </c>
      <c r="H107" s="7"/>
      <c r="I107" s="7"/>
      <c r="J107" s="7"/>
      <c r="K107" s="7" t="s">
        <v>212</v>
      </c>
      <c r="L107" s="7" t="str">
        <f>_xlfn.XLOOKUP(DB_25[[#This Row],[Mã sản phẩm]],MD_SKU[Mã SKU],MD_SKU[Tên SKU-rút gọn])</f>
        <v>Vảy PP Đỏ Nhạt</v>
      </c>
      <c r="M107" s="7" t="str">
        <f>_xlfn.XLOOKUP(DB_25[[#This Row],[Mã sản phẩm]],MD_SKU[Mã SKU],MD_SKU[Nhóm ngành])</f>
        <v>Vảy PP</v>
      </c>
      <c r="N107" s="7"/>
      <c r="O107" s="47">
        <v>0</v>
      </c>
      <c r="P107" s="47">
        <v>0</v>
      </c>
      <c r="Q107" s="47">
        <v>0</v>
      </c>
      <c r="R107" s="47">
        <v>0</v>
      </c>
      <c r="S107" s="47">
        <v>0</v>
      </c>
      <c r="T107" s="47">
        <v>0</v>
      </c>
      <c r="U107" s="47">
        <v>6</v>
      </c>
      <c r="V107" s="47">
        <v>0</v>
      </c>
      <c r="W107" s="110">
        <f ca="1">SUMIFS(Data_Actual_LG_EXW[SL],Data_Actual_LG_EXW[Year],2025,Data_Actual_LG_EXW[Month],'DB 2025'!W$1,Data_Actual_LG_EXW[Mã KH],DB_25[[#This Row],[Mã khách]],Data_Actual_LG_EXW[Mã SKU],DB_25[[#This Row],[Mã sản phẩm]])/10^3</f>
        <v>6</v>
      </c>
      <c r="X107" s="33"/>
      <c r="Y107" s="33"/>
      <c r="Z107" s="33"/>
      <c r="AA107" s="19">
        <f ca="1">SUM(DB_25[[#This Row],[SL-01]:[SL-12]])</f>
        <v>12</v>
      </c>
      <c r="AB107" s="7"/>
      <c r="AC107" s="20">
        <f ca="1">DB_25[[#This Row],[SL-DB25]]-DB_25[[#This Row],[SL-KH25]]</f>
        <v>12</v>
      </c>
      <c r="AD107" s="21">
        <f ca="1">IFERROR(DB_25[[#This Row],[SL-+/-]]/DB_25[[#This Row],[SL-KH25]],0)</f>
        <v>0</v>
      </c>
      <c r="AE107" s="23">
        <v>0</v>
      </c>
      <c r="AF107" s="23">
        <v>0</v>
      </c>
      <c r="AG107" s="23">
        <v>0</v>
      </c>
      <c r="AH107" s="23">
        <v>0</v>
      </c>
      <c r="AI107" s="23">
        <v>0</v>
      </c>
      <c r="AJ107" s="23">
        <v>0</v>
      </c>
      <c r="AK107" s="23">
        <v>614.86786915299103</v>
      </c>
      <c r="AL107" s="23">
        <v>0</v>
      </c>
      <c r="AM107" s="111">
        <v>609.83931082485299</v>
      </c>
      <c r="AN107" s="51">
        <f ca="1">IFERROR(SUM(DB_25[[#This Row],[DT-01-USD]:[DT-09-USD]])/SUM(DB_25[[#This Row],[SL-01]:[SL-09]]),0)</f>
        <v>612.35358998892207</v>
      </c>
      <c r="AO107" s="51">
        <f ca="1">DB_25[[#This Row],[GB-10]]</f>
        <v>612.35358998892207</v>
      </c>
      <c r="AP107" s="51">
        <f ca="1">DB_25[[#This Row],[GB-11]]</f>
        <v>612.35358998892207</v>
      </c>
      <c r="AQ107" s="7"/>
      <c r="AR107" s="7"/>
      <c r="AS107" s="7"/>
      <c r="AT107" s="7"/>
      <c r="AU107" s="47">
        <v>0</v>
      </c>
      <c r="AV107" s="47">
        <v>0</v>
      </c>
      <c r="AW107" s="47">
        <v>0</v>
      </c>
      <c r="AX107" s="47">
        <v>0</v>
      </c>
      <c r="AY107" s="47">
        <v>0</v>
      </c>
      <c r="AZ107" s="47">
        <v>0</v>
      </c>
      <c r="BA107" s="47">
        <v>95875329.338257015</v>
      </c>
      <c r="BB107" s="47">
        <v>0</v>
      </c>
      <c r="BC107" s="47">
        <v>95905125.085930124</v>
      </c>
      <c r="BD107" s="19">
        <f ca="1">DB_25[[#This Row],[SL-10]]*DB_25[[#This Row],[GB-10]]*BD$2/10^3</f>
        <v>0</v>
      </c>
      <c r="BE107" s="19">
        <f ca="1">DB_25[[#This Row],[SL-11]]*DB_25[[#This Row],[GB-11]]*BE$2/10^3</f>
        <v>0</v>
      </c>
      <c r="BF107" s="19">
        <f ca="1">DB_25[[#This Row],[SL-12]]*DB_25[[#This Row],[GB-12]]*BF$2/10^3</f>
        <v>0</v>
      </c>
      <c r="BG107" s="47">
        <f ca="1">SUM(DB_25[[#This Row],[DT-01]:[DT-12]])</f>
        <v>191780454.42418712</v>
      </c>
      <c r="BH107" s="7"/>
      <c r="BI107" s="7"/>
      <c r="BJ107" s="7"/>
      <c r="BK107" s="50">
        <v>0</v>
      </c>
      <c r="BL107" s="109">
        <v>0</v>
      </c>
      <c r="BM107" s="109">
        <v>0</v>
      </c>
      <c r="BN107" s="109">
        <v>0</v>
      </c>
      <c r="BO107" s="109">
        <v>0</v>
      </c>
      <c r="BP107" s="109">
        <v>0</v>
      </c>
      <c r="BQ107" s="109">
        <v>3689.2072149179462</v>
      </c>
      <c r="BR107" s="109">
        <v>0</v>
      </c>
      <c r="BS107" s="109">
        <v>3659.0358649491181</v>
      </c>
      <c r="BT107" s="147">
        <f ca="1">DB_25[[#This Row],[SL-10]]*DB_25[[#This Row],[GB-10]]</f>
        <v>0</v>
      </c>
      <c r="BU107" s="147">
        <f ca="1">DB_25[[#This Row],[SL-11]]*DB_25[[#This Row],[GB-11]]</f>
        <v>0</v>
      </c>
      <c r="BV107" s="147">
        <f ca="1">DB_25[[#This Row],[SL-12]]*DB_25[[#This Row],[GB-12]]</f>
        <v>0</v>
      </c>
      <c r="BW107" s="47">
        <f ca="1">SUM(DB_25[[#This Row],[DT-01-USD]:[DT-12-USD]])</f>
        <v>7348.2430798670648</v>
      </c>
    </row>
    <row r="108" spans="1:75" x14ac:dyDescent="0.35">
      <c r="A108" s="18">
        <f>ROWS($A$6:A108)</f>
        <v>103</v>
      </c>
      <c r="B108" s="18" t="s">
        <v>101</v>
      </c>
      <c r="C108" s="18" t="str">
        <f>IFERROR(_xlfn.XLOOKUP(DB_25[[#This Row],[Salesman]],MD_Salesman[Salesman],MD_Salesman[SalesManager]),"")</f>
        <v>Cường</v>
      </c>
      <c r="D108" s="7" t="s">
        <v>656</v>
      </c>
      <c r="E108" s="7" t="s">
        <v>141</v>
      </c>
      <c r="F108" s="7"/>
      <c r="G108" s="7" t="str">
        <f>_xlfn.XLOOKUP(DB_25[[#This Row],[Mã khách]],MD_Customer[Mã khách],MD_Customer[Kênh bán hàng])</f>
        <v>Xuất khẩu</v>
      </c>
      <c r="H108" s="7"/>
      <c r="I108" s="7"/>
      <c r="J108" s="7"/>
      <c r="K108" s="7" t="s">
        <v>171</v>
      </c>
      <c r="L108" s="7" t="str">
        <f>_xlfn.XLOOKUP(DB_25[[#This Row],[Mã sản phẩm]],MD_SKU[Mã SKU],MD_SKU[Tên SKU-rút gọn])</f>
        <v>WSS01G 1</v>
      </c>
      <c r="M108" s="7" t="str">
        <f>_xlfn.XLOOKUP(DB_25[[#This Row],[Mã sản phẩm]],MD_SKU[Mã SKU],MD_SKU[Nhóm ngành])</f>
        <v>Hạt PET</v>
      </c>
      <c r="N108" s="7"/>
      <c r="O108" s="47">
        <v>0</v>
      </c>
      <c r="P108" s="47">
        <v>0</v>
      </c>
      <c r="Q108" s="47">
        <v>11</v>
      </c>
      <c r="R108" s="47">
        <v>0</v>
      </c>
      <c r="S108" s="47">
        <v>0</v>
      </c>
      <c r="T108" s="47">
        <v>0</v>
      </c>
      <c r="U108" s="47">
        <v>0</v>
      </c>
      <c r="V108" s="47">
        <v>0</v>
      </c>
      <c r="W108" s="110">
        <f ca="1">SUMIFS(Data_Actual_LG_EXW[SL],Data_Actual_LG_EXW[Year],2025,Data_Actual_LG_EXW[Month],'DB 2025'!W$1,Data_Actual_LG_EXW[Mã KH],DB_25[[#This Row],[Mã khách]],Data_Actual_LG_EXW[Mã SKU],DB_25[[#This Row],[Mã sản phẩm]])/10^3</f>
        <v>0</v>
      </c>
      <c r="X108" s="33"/>
      <c r="Y108" s="33"/>
      <c r="Z108" s="33"/>
      <c r="AA108" s="19">
        <f ca="1">SUM(DB_25[[#This Row],[SL-01]:[SL-12]])</f>
        <v>11</v>
      </c>
      <c r="AB108" s="7"/>
      <c r="AC108" s="20">
        <f ca="1">DB_25[[#This Row],[SL-DB25]]-DB_25[[#This Row],[SL-KH25]]</f>
        <v>11</v>
      </c>
      <c r="AD108" s="21">
        <f ca="1">IFERROR(DB_25[[#This Row],[SL-+/-]]/DB_25[[#This Row],[SL-KH25]],0)</f>
        <v>0</v>
      </c>
      <c r="AE108" s="23">
        <v>0</v>
      </c>
      <c r="AF108" s="23">
        <v>0</v>
      </c>
      <c r="AG108" s="23">
        <v>1216.851081911019</v>
      </c>
      <c r="AH108" s="23">
        <v>0</v>
      </c>
      <c r="AI108" s="23">
        <v>0</v>
      </c>
      <c r="AJ108" s="23">
        <v>0</v>
      </c>
      <c r="AK108" s="23">
        <v>0</v>
      </c>
      <c r="AL108" s="23">
        <v>0</v>
      </c>
      <c r="AM108" s="111">
        <v>0</v>
      </c>
      <c r="AN108" s="51">
        <f ca="1">IFERROR(SUM(DB_25[[#This Row],[DT-01-USD]:[DT-09-USD]])/SUM(DB_25[[#This Row],[SL-01]:[SL-09]]),0)</f>
        <v>1216.851081911019</v>
      </c>
      <c r="AO108" s="51">
        <f ca="1">DB_25[[#This Row],[GB-10]]</f>
        <v>1216.851081911019</v>
      </c>
      <c r="AP108" s="51">
        <f ca="1">DB_25[[#This Row],[GB-11]]</f>
        <v>1216.851081911019</v>
      </c>
      <c r="AQ108" s="7"/>
      <c r="AR108" s="7"/>
      <c r="AS108" s="7"/>
      <c r="AT108" s="7"/>
      <c r="AU108" s="47">
        <v>0</v>
      </c>
      <c r="AV108" s="47">
        <v>0</v>
      </c>
      <c r="AW108" s="47">
        <v>340791314</v>
      </c>
      <c r="AX108" s="47">
        <v>0</v>
      </c>
      <c r="AY108" s="47">
        <v>0</v>
      </c>
      <c r="AZ108" s="47">
        <v>0</v>
      </c>
      <c r="BA108" s="47">
        <v>0</v>
      </c>
      <c r="BB108" s="47">
        <v>0</v>
      </c>
      <c r="BC108" s="47">
        <v>0</v>
      </c>
      <c r="BD108" s="19">
        <f ca="1">DB_25[[#This Row],[SL-10]]*DB_25[[#This Row],[GB-10]]*BD$2/10^3</f>
        <v>0</v>
      </c>
      <c r="BE108" s="19">
        <f ca="1">DB_25[[#This Row],[SL-11]]*DB_25[[#This Row],[GB-11]]*BE$2/10^3</f>
        <v>0</v>
      </c>
      <c r="BF108" s="19">
        <f ca="1">DB_25[[#This Row],[SL-12]]*DB_25[[#This Row],[GB-12]]*BF$2/10^3</f>
        <v>0</v>
      </c>
      <c r="BG108" s="47">
        <f ca="1">SUM(DB_25[[#This Row],[DT-01]:[DT-12]])</f>
        <v>340791314</v>
      </c>
      <c r="BH108" s="7"/>
      <c r="BI108" s="7"/>
      <c r="BJ108" s="7"/>
      <c r="BK108" s="50">
        <v>0</v>
      </c>
      <c r="BL108" s="109">
        <v>0</v>
      </c>
      <c r="BM108" s="109">
        <v>13385.36190102121</v>
      </c>
      <c r="BN108" s="109">
        <v>0</v>
      </c>
      <c r="BO108" s="109">
        <v>0</v>
      </c>
      <c r="BP108" s="109">
        <v>0</v>
      </c>
      <c r="BQ108" s="109">
        <v>0</v>
      </c>
      <c r="BR108" s="109">
        <v>0</v>
      </c>
      <c r="BS108" s="109">
        <v>0</v>
      </c>
      <c r="BT108" s="147">
        <f ca="1">DB_25[[#This Row],[SL-10]]*DB_25[[#This Row],[GB-10]]</f>
        <v>0</v>
      </c>
      <c r="BU108" s="147">
        <f ca="1">DB_25[[#This Row],[SL-11]]*DB_25[[#This Row],[GB-11]]</f>
        <v>0</v>
      </c>
      <c r="BV108" s="147">
        <f ca="1">DB_25[[#This Row],[SL-12]]*DB_25[[#This Row],[GB-12]]</f>
        <v>0</v>
      </c>
      <c r="BW108" s="47">
        <f ca="1">SUM(DB_25[[#This Row],[DT-01-USD]:[DT-12-USD]])</f>
        <v>13385.36190102121</v>
      </c>
    </row>
    <row r="109" spans="1:75" x14ac:dyDescent="0.35">
      <c r="A109" s="18">
        <f>ROWS($A$6:A109)</f>
        <v>104</v>
      </c>
      <c r="B109" s="18" t="s">
        <v>115</v>
      </c>
      <c r="C109" s="18" t="str">
        <f>IFERROR(_xlfn.XLOOKUP(DB_25[[#This Row],[Salesman]],MD_Salesman[Salesman],MD_Salesman[SalesManager]),"")</f>
        <v>Quốc Anh</v>
      </c>
      <c r="D109" s="7" t="s">
        <v>657</v>
      </c>
      <c r="E109" s="7" t="s">
        <v>26</v>
      </c>
      <c r="F109" s="7"/>
      <c r="G109" s="7" t="str">
        <f>_xlfn.XLOOKUP(DB_25[[#This Row],[Mã khách]],MD_Customer[Mã khách],MD_Customer[Kênh bán hàng])</f>
        <v>Nội địa</v>
      </c>
      <c r="H109" s="7"/>
      <c r="I109" s="7"/>
      <c r="J109" s="7"/>
      <c r="K109" s="7" t="s">
        <v>182</v>
      </c>
      <c r="L109" s="7" t="str">
        <f>_xlfn.XLOOKUP(DB_25[[#This Row],[Mã sản phẩm]],MD_SKU[Mã SKU],MD_SKU[Tên SKU-rút gọn])</f>
        <v>WSS05SB</v>
      </c>
      <c r="M109" s="7" t="str">
        <f>_xlfn.XLOOKUP(DB_25[[#This Row],[Mã sản phẩm]],MD_SKU[Mã SKU],MD_SKU[Nhóm ngành])</f>
        <v>Hạt Xơ sợi</v>
      </c>
      <c r="N109" s="7"/>
      <c r="O109" s="47">
        <v>0</v>
      </c>
      <c r="P109" s="47">
        <v>5.5</v>
      </c>
      <c r="Q109" s="47">
        <v>0</v>
      </c>
      <c r="R109" s="47">
        <v>0</v>
      </c>
      <c r="S109" s="47">
        <v>0</v>
      </c>
      <c r="T109" s="47">
        <v>5.5</v>
      </c>
      <c r="U109" s="47">
        <v>0</v>
      </c>
      <c r="V109" s="47">
        <v>0</v>
      </c>
      <c r="W109" s="110">
        <f ca="1">SUMIFS(Data_Actual_LG_EXW[SL],Data_Actual_LG_EXW[Year],2025,Data_Actual_LG_EXW[Month],'DB 2025'!W$1,Data_Actual_LG_EXW[Mã KH],DB_25[[#This Row],[Mã khách]],Data_Actual_LG_EXW[Mã SKU],DB_25[[#This Row],[Mã sản phẩm]])/10^3</f>
        <v>0</v>
      </c>
      <c r="X109" s="33"/>
      <c r="Y109" s="33"/>
      <c r="Z109" s="33"/>
      <c r="AA109" s="19">
        <f ca="1">SUM(DB_25[[#This Row],[SL-01]:[SL-12]])</f>
        <v>11</v>
      </c>
      <c r="AB109" s="7"/>
      <c r="AC109" s="20">
        <f ca="1">DB_25[[#This Row],[SL-DB25]]-DB_25[[#This Row],[SL-KH25]]</f>
        <v>11</v>
      </c>
      <c r="AD109" s="21">
        <f ca="1">IFERROR(DB_25[[#This Row],[SL-+/-]]/DB_25[[#This Row],[SL-KH25]],0)</f>
        <v>0</v>
      </c>
      <c r="AE109" s="23">
        <v>0</v>
      </c>
      <c r="AF109" s="23">
        <v>743.20143904982535</v>
      </c>
      <c r="AG109" s="23">
        <v>0</v>
      </c>
      <c r="AH109" s="23">
        <v>0</v>
      </c>
      <c r="AI109" s="23">
        <v>0</v>
      </c>
      <c r="AJ109" s="23">
        <v>630.78816128387029</v>
      </c>
      <c r="AK109" s="23">
        <v>0</v>
      </c>
      <c r="AL109" s="23">
        <v>0</v>
      </c>
      <c r="AM109" s="111">
        <v>0</v>
      </c>
      <c r="AN109" s="51">
        <f ca="1">IFERROR(SUM(DB_25[[#This Row],[DT-01-USD]:[DT-09-USD]])/SUM(DB_25[[#This Row],[SL-01]:[SL-09]]),0)</f>
        <v>686.99480016684788</v>
      </c>
      <c r="AO109" s="51">
        <f ca="1">DB_25[[#This Row],[GB-10]]</f>
        <v>686.99480016684788</v>
      </c>
      <c r="AP109" s="51">
        <f ca="1">DB_25[[#This Row],[GB-11]]</f>
        <v>686.99480016684788</v>
      </c>
      <c r="AQ109" s="7"/>
      <c r="AR109" s="7"/>
      <c r="AS109" s="7"/>
      <c r="AT109" s="7"/>
      <c r="AU109" s="47">
        <v>0</v>
      </c>
      <c r="AV109" s="47">
        <v>103302509.74885845</v>
      </c>
      <c r="AW109" s="47">
        <v>0</v>
      </c>
      <c r="AX109" s="47">
        <v>0</v>
      </c>
      <c r="AY109" s="47">
        <v>0</v>
      </c>
      <c r="AZ109" s="47">
        <v>89907508.914680049</v>
      </c>
      <c r="BA109" s="47">
        <v>0</v>
      </c>
      <c r="BB109" s="47">
        <v>0</v>
      </c>
      <c r="BC109" s="47">
        <v>0</v>
      </c>
      <c r="BD109" s="19">
        <f ca="1">DB_25[[#This Row],[SL-10]]*DB_25[[#This Row],[GB-10]]*BD$2/10^3</f>
        <v>0</v>
      </c>
      <c r="BE109" s="19">
        <f ca="1">DB_25[[#This Row],[SL-11]]*DB_25[[#This Row],[GB-11]]*BE$2/10^3</f>
        <v>0</v>
      </c>
      <c r="BF109" s="19">
        <f ca="1">DB_25[[#This Row],[SL-12]]*DB_25[[#This Row],[GB-12]]*BF$2/10^3</f>
        <v>0</v>
      </c>
      <c r="BG109" s="47">
        <f ca="1">SUM(DB_25[[#This Row],[DT-01]:[DT-12]])</f>
        <v>193210018.66353852</v>
      </c>
      <c r="BH109" s="7"/>
      <c r="BI109" s="7"/>
      <c r="BJ109" s="7"/>
      <c r="BK109" s="50">
        <v>0</v>
      </c>
      <c r="BL109" s="109">
        <v>4087.6079147740397</v>
      </c>
      <c r="BM109" s="109">
        <v>0</v>
      </c>
      <c r="BN109" s="109">
        <v>0</v>
      </c>
      <c r="BO109" s="109">
        <v>0</v>
      </c>
      <c r="BP109" s="109">
        <v>3469.3348870612867</v>
      </c>
      <c r="BQ109" s="109">
        <v>0</v>
      </c>
      <c r="BR109" s="109">
        <v>0</v>
      </c>
      <c r="BS109" s="109">
        <v>0</v>
      </c>
      <c r="BT109" s="147">
        <f ca="1">DB_25[[#This Row],[SL-10]]*DB_25[[#This Row],[GB-10]]</f>
        <v>0</v>
      </c>
      <c r="BU109" s="147">
        <f ca="1">DB_25[[#This Row],[SL-11]]*DB_25[[#This Row],[GB-11]]</f>
        <v>0</v>
      </c>
      <c r="BV109" s="147">
        <f ca="1">DB_25[[#This Row],[SL-12]]*DB_25[[#This Row],[GB-12]]</f>
        <v>0</v>
      </c>
      <c r="BW109" s="47">
        <f ca="1">SUM(DB_25[[#This Row],[DT-01-USD]:[DT-12-USD]])</f>
        <v>7556.9428018353265</v>
      </c>
    </row>
    <row r="110" spans="1:75" x14ac:dyDescent="0.35">
      <c r="A110" s="18">
        <f>ROWS($A$6:A110)</f>
        <v>105</v>
      </c>
      <c r="B110" s="18" t="s">
        <v>101</v>
      </c>
      <c r="C110" s="18" t="str">
        <f>IFERROR(_xlfn.XLOOKUP(DB_25[[#This Row],[Salesman]],MD_Salesman[Salesman],MD_Salesman[SalesManager]),"")</f>
        <v>Cường</v>
      </c>
      <c r="D110" s="7" t="s">
        <v>658</v>
      </c>
      <c r="E110" s="7" t="s">
        <v>147</v>
      </c>
      <c r="F110" s="7"/>
      <c r="G110" s="7" t="str">
        <f>_xlfn.XLOOKUP(DB_25[[#This Row],[Mã khách]],MD_Customer[Mã khách],MD_Customer[Kênh bán hàng])</f>
        <v>Xuất khẩu</v>
      </c>
      <c r="H110" s="7"/>
      <c r="I110" s="7"/>
      <c r="J110" s="7"/>
      <c r="K110" s="7" t="s">
        <v>171</v>
      </c>
      <c r="L110" s="7" t="str">
        <f>_xlfn.XLOOKUP(DB_25[[#This Row],[Mã sản phẩm]],MD_SKU[Mã SKU],MD_SKU[Tên SKU-rút gọn])</f>
        <v>WSS01G 1</v>
      </c>
      <c r="M110" s="7" t="str">
        <f>_xlfn.XLOOKUP(DB_25[[#This Row],[Mã sản phẩm]],MD_SKU[Mã SKU],MD_SKU[Nhóm ngành])</f>
        <v>Hạt PET</v>
      </c>
      <c r="N110" s="7"/>
      <c r="O110" s="47">
        <v>0</v>
      </c>
      <c r="P110" s="47">
        <v>0</v>
      </c>
      <c r="Q110" s="47">
        <v>11</v>
      </c>
      <c r="R110" s="47">
        <v>0</v>
      </c>
      <c r="S110" s="47">
        <v>0</v>
      </c>
      <c r="T110" s="47">
        <v>0</v>
      </c>
      <c r="U110" s="47">
        <v>0</v>
      </c>
      <c r="V110" s="47">
        <v>0</v>
      </c>
      <c r="W110" s="110">
        <f ca="1">SUMIFS(Data_Actual_LG_EXW[SL],Data_Actual_LG_EXW[Year],2025,Data_Actual_LG_EXW[Month],'DB 2025'!W$1,Data_Actual_LG_EXW[Mã KH],DB_25[[#This Row],[Mã khách]],Data_Actual_LG_EXW[Mã SKU],DB_25[[#This Row],[Mã sản phẩm]])/10^3</f>
        <v>0</v>
      </c>
      <c r="X110" s="33"/>
      <c r="Y110" s="33"/>
      <c r="Z110" s="33"/>
      <c r="AA110" s="19">
        <f ca="1">SUM(DB_25[[#This Row],[SL-01]:[SL-12]])</f>
        <v>11</v>
      </c>
      <c r="AB110" s="7"/>
      <c r="AC110" s="20">
        <f ca="1">DB_25[[#This Row],[SL-DB25]]-DB_25[[#This Row],[SL-KH25]]</f>
        <v>11</v>
      </c>
      <c r="AD110" s="21">
        <f ca="1">IFERROR(DB_25[[#This Row],[SL-+/-]]/DB_25[[#This Row],[SL-KH25]],0)</f>
        <v>0</v>
      </c>
      <c r="AE110" s="23">
        <v>0</v>
      </c>
      <c r="AF110" s="23">
        <v>0</v>
      </c>
      <c r="AG110" s="23">
        <v>1141.8663981588036</v>
      </c>
      <c r="AH110" s="23">
        <v>0</v>
      </c>
      <c r="AI110" s="23">
        <v>0</v>
      </c>
      <c r="AJ110" s="23">
        <v>0</v>
      </c>
      <c r="AK110" s="23">
        <v>0</v>
      </c>
      <c r="AL110" s="23">
        <v>0</v>
      </c>
      <c r="AM110" s="111">
        <v>0</v>
      </c>
      <c r="AN110" s="51">
        <f ca="1">IFERROR(SUM(DB_25[[#This Row],[DT-01-USD]:[DT-09-USD]])/SUM(DB_25[[#This Row],[SL-01]:[SL-09]]),0)</f>
        <v>1141.8663981588036</v>
      </c>
      <c r="AO110" s="51">
        <f ca="1">DB_25[[#This Row],[GB-10]]</f>
        <v>1141.8663981588036</v>
      </c>
      <c r="AP110" s="51">
        <f ca="1">DB_25[[#This Row],[GB-11]]</f>
        <v>1141.8663981588036</v>
      </c>
      <c r="AQ110" s="7"/>
      <c r="AR110" s="7"/>
      <c r="AS110" s="7"/>
      <c r="AT110" s="7"/>
      <c r="AU110" s="47">
        <v>0</v>
      </c>
      <c r="AV110" s="47">
        <v>0</v>
      </c>
      <c r="AW110" s="47">
        <v>317530208.00000006</v>
      </c>
      <c r="AX110" s="47">
        <v>0</v>
      </c>
      <c r="AY110" s="47">
        <v>0</v>
      </c>
      <c r="AZ110" s="47">
        <v>0</v>
      </c>
      <c r="BA110" s="47">
        <v>0</v>
      </c>
      <c r="BB110" s="47">
        <v>0</v>
      </c>
      <c r="BC110" s="47">
        <v>0</v>
      </c>
      <c r="BD110" s="19">
        <f ca="1">DB_25[[#This Row],[SL-10]]*DB_25[[#This Row],[GB-10]]*BD$2/10^3</f>
        <v>0</v>
      </c>
      <c r="BE110" s="19">
        <f ca="1">DB_25[[#This Row],[SL-11]]*DB_25[[#This Row],[GB-11]]*BE$2/10^3</f>
        <v>0</v>
      </c>
      <c r="BF110" s="19">
        <f ca="1">DB_25[[#This Row],[SL-12]]*DB_25[[#This Row],[GB-12]]*BF$2/10^3</f>
        <v>0</v>
      </c>
      <c r="BG110" s="47">
        <f ca="1">SUM(DB_25[[#This Row],[DT-01]:[DT-12]])</f>
        <v>317530208.00000006</v>
      </c>
      <c r="BH110" s="7"/>
      <c r="BI110" s="7"/>
      <c r="BJ110" s="7"/>
      <c r="BK110" s="50">
        <v>0</v>
      </c>
      <c r="BL110" s="109">
        <v>0</v>
      </c>
      <c r="BM110" s="109">
        <v>12560.530379746839</v>
      </c>
      <c r="BN110" s="109">
        <v>0</v>
      </c>
      <c r="BO110" s="109">
        <v>0</v>
      </c>
      <c r="BP110" s="109">
        <v>0</v>
      </c>
      <c r="BQ110" s="109">
        <v>0</v>
      </c>
      <c r="BR110" s="109">
        <v>0</v>
      </c>
      <c r="BS110" s="109">
        <v>0</v>
      </c>
      <c r="BT110" s="147">
        <f ca="1">DB_25[[#This Row],[SL-10]]*DB_25[[#This Row],[GB-10]]</f>
        <v>0</v>
      </c>
      <c r="BU110" s="147">
        <f ca="1">DB_25[[#This Row],[SL-11]]*DB_25[[#This Row],[GB-11]]</f>
        <v>0</v>
      </c>
      <c r="BV110" s="147">
        <f ca="1">DB_25[[#This Row],[SL-12]]*DB_25[[#This Row],[GB-12]]</f>
        <v>0</v>
      </c>
      <c r="BW110" s="47">
        <f ca="1">SUM(DB_25[[#This Row],[DT-01-USD]:[DT-12-USD]])</f>
        <v>12560.530379746839</v>
      </c>
    </row>
    <row r="111" spans="1:75" x14ac:dyDescent="0.35">
      <c r="A111" s="18">
        <f>ROWS($A$6:A111)</f>
        <v>106</v>
      </c>
      <c r="B111" s="18" t="s">
        <v>104</v>
      </c>
      <c r="C111" s="18" t="str">
        <f>IFERROR(_xlfn.XLOOKUP(DB_25[[#This Row],[Salesman]],MD_Salesman[Salesman],MD_Salesman[SalesManager]),"")</f>
        <v>Quốc Anh</v>
      </c>
      <c r="D111" s="7" t="s">
        <v>659</v>
      </c>
      <c r="E111" s="7" t="s">
        <v>487</v>
      </c>
      <c r="F111" s="7"/>
      <c r="G111" s="7" t="str">
        <f>_xlfn.XLOOKUP(DB_25[[#This Row],[Mã khách]],MD_Customer[Mã khách],MD_Customer[Kênh bán hàng])</f>
        <v>Nội địa</v>
      </c>
      <c r="H111" s="7"/>
      <c r="I111" s="7"/>
      <c r="J111" s="7"/>
      <c r="K111" s="7" t="s">
        <v>198</v>
      </c>
      <c r="L111" s="7" t="str">
        <f>_xlfn.XLOOKUP(DB_25[[#This Row],[Mã sản phẩm]],MD_SKU[Mã SKU],MD_SKU[Tên SKU-rút gọn])</f>
        <v>rHDI3W01</v>
      </c>
      <c r="M111" s="7" t="str">
        <f>_xlfn.XLOOKUP(DB_25[[#This Row],[Mã sản phẩm]],MD_SKU[Mã SKU],MD_SKU[Nhóm ngành])</f>
        <v>Hạt HD ép</v>
      </c>
      <c r="N111" s="7"/>
      <c r="O111" s="47">
        <v>3</v>
      </c>
      <c r="P111" s="47">
        <v>0</v>
      </c>
      <c r="Q111" s="47">
        <v>5</v>
      </c>
      <c r="R111" s="47">
        <v>0</v>
      </c>
      <c r="S111" s="47">
        <v>0</v>
      </c>
      <c r="T111" s="47">
        <v>0</v>
      </c>
      <c r="U111" s="47">
        <v>0</v>
      </c>
      <c r="V111" s="47">
        <v>3</v>
      </c>
      <c r="W111" s="110">
        <f ca="1">SUMIFS(Data_Actual_LG_EXW[SL],Data_Actual_LG_EXW[Year],2025,Data_Actual_LG_EXW[Month],'DB 2025'!W$1,Data_Actual_LG_EXW[Mã KH],DB_25[[#This Row],[Mã khách]],Data_Actual_LG_EXW[Mã SKU],DB_25[[#This Row],[Mã sản phẩm]])/10^3</f>
        <v>0</v>
      </c>
      <c r="X111" s="33"/>
      <c r="Y111" s="33"/>
      <c r="Z111" s="33"/>
      <c r="AA111" s="19">
        <f ca="1">SUM(DB_25[[#This Row],[SL-01]:[SL-12]])</f>
        <v>11</v>
      </c>
      <c r="AB111" s="7"/>
      <c r="AC111" s="20">
        <f ca="1">DB_25[[#This Row],[SL-DB25]]-DB_25[[#This Row],[SL-KH25]]</f>
        <v>11</v>
      </c>
      <c r="AD111" s="21">
        <f ca="1">IFERROR(DB_25[[#This Row],[SL-+/-]]/DB_25[[#This Row],[SL-KH25]],0)</f>
        <v>0</v>
      </c>
      <c r="AE111" s="23">
        <v>1063.9283127799652</v>
      </c>
      <c r="AF111" s="23">
        <v>0</v>
      </c>
      <c r="AG111" s="23">
        <v>1063.0827187768994</v>
      </c>
      <c r="AH111" s="23">
        <v>0</v>
      </c>
      <c r="AI111" s="23">
        <v>0</v>
      </c>
      <c r="AJ111" s="23">
        <v>0</v>
      </c>
      <c r="AK111" s="23">
        <v>0</v>
      </c>
      <c r="AL111" s="23">
        <v>1060.7291999072584</v>
      </c>
      <c r="AM111" s="111">
        <v>0</v>
      </c>
      <c r="AN111" s="51">
        <f ca="1">IFERROR(SUM(DB_25[[#This Row],[DT-01-USD]:[DT-09-USD]])/SUM(DB_25[[#This Row],[SL-01]:[SL-09]]),0)</f>
        <v>1062.6714665405607</v>
      </c>
      <c r="AO111" s="51">
        <f ca="1">DB_25[[#This Row],[GB-10]]</f>
        <v>1062.6714665405607</v>
      </c>
      <c r="AP111" s="51">
        <f ca="1">DB_25[[#This Row],[GB-11]]</f>
        <v>1062.6714665405607</v>
      </c>
      <c r="AQ111" s="7"/>
      <c r="AR111" s="7"/>
      <c r="AS111" s="7"/>
      <c r="AT111" s="7"/>
      <c r="AU111" s="47">
        <v>80445000</v>
      </c>
      <c r="AV111" s="47">
        <v>0</v>
      </c>
      <c r="AW111" s="47">
        <v>134875000</v>
      </c>
      <c r="AX111" s="47">
        <v>0</v>
      </c>
      <c r="AY111" s="47">
        <v>0</v>
      </c>
      <c r="AZ111" s="47">
        <v>0</v>
      </c>
      <c r="BA111" s="47">
        <v>0</v>
      </c>
      <c r="BB111" s="47">
        <v>83160000</v>
      </c>
      <c r="BC111" s="47">
        <v>0</v>
      </c>
      <c r="BD111" s="19">
        <f ca="1">DB_25[[#This Row],[SL-10]]*DB_25[[#This Row],[GB-10]]*BD$2/10^3</f>
        <v>0</v>
      </c>
      <c r="BE111" s="19">
        <f ca="1">DB_25[[#This Row],[SL-11]]*DB_25[[#This Row],[GB-11]]*BE$2/10^3</f>
        <v>0</v>
      </c>
      <c r="BF111" s="19">
        <f ca="1">DB_25[[#This Row],[SL-12]]*DB_25[[#This Row],[GB-12]]*BF$2/10^3</f>
        <v>0</v>
      </c>
      <c r="BG111" s="47">
        <f ca="1">SUM(DB_25[[#This Row],[DT-01]:[DT-12]])</f>
        <v>298480000</v>
      </c>
      <c r="BH111" s="7"/>
      <c r="BI111" s="7"/>
      <c r="BJ111" s="7"/>
      <c r="BK111" s="50">
        <v>3191.7849383398957</v>
      </c>
      <c r="BL111" s="109">
        <v>0</v>
      </c>
      <c r="BM111" s="109">
        <v>5315.4135938844965</v>
      </c>
      <c r="BN111" s="109">
        <v>0</v>
      </c>
      <c r="BO111" s="109">
        <v>0</v>
      </c>
      <c r="BP111" s="109">
        <v>0</v>
      </c>
      <c r="BQ111" s="109">
        <v>0</v>
      </c>
      <c r="BR111" s="109">
        <v>3182.1875997217753</v>
      </c>
      <c r="BS111" s="109">
        <v>0</v>
      </c>
      <c r="BT111" s="147">
        <f ca="1">DB_25[[#This Row],[SL-10]]*DB_25[[#This Row],[GB-10]]</f>
        <v>0</v>
      </c>
      <c r="BU111" s="147">
        <f ca="1">DB_25[[#This Row],[SL-11]]*DB_25[[#This Row],[GB-11]]</f>
        <v>0</v>
      </c>
      <c r="BV111" s="147">
        <f ca="1">DB_25[[#This Row],[SL-12]]*DB_25[[#This Row],[GB-12]]</f>
        <v>0</v>
      </c>
      <c r="BW111" s="47">
        <f ca="1">SUM(DB_25[[#This Row],[DT-01-USD]:[DT-12-USD]])</f>
        <v>11689.386131946168</v>
      </c>
    </row>
    <row r="112" spans="1:75" x14ac:dyDescent="0.35">
      <c r="A112" s="18">
        <f>ROWS($A$6:A112)</f>
        <v>107</v>
      </c>
      <c r="B112" s="18" t="s">
        <v>115</v>
      </c>
      <c r="C112" s="18" t="str">
        <f>IFERROR(_xlfn.XLOOKUP(DB_25[[#This Row],[Salesman]],MD_Salesman[Salesman],MD_Salesman[SalesManager]),"")</f>
        <v>Quốc Anh</v>
      </c>
      <c r="D112" s="7" t="s">
        <v>660</v>
      </c>
      <c r="E112" s="7" t="s">
        <v>158</v>
      </c>
      <c r="F112" s="7"/>
      <c r="G112" s="7" t="str">
        <f>_xlfn.XLOOKUP(DB_25[[#This Row],[Mã khách]],MD_Customer[Mã khách],MD_Customer[Kênh bán hàng])</f>
        <v>Nội địa</v>
      </c>
      <c r="H112" s="7"/>
      <c r="I112" s="7"/>
      <c r="J112" s="7"/>
      <c r="K112" s="7" t="s">
        <v>202</v>
      </c>
      <c r="L112" s="7" t="str">
        <f>_xlfn.XLOOKUP(DB_25[[#This Row],[Mã sản phẩm]],MD_SKU[Mã SKU],MD_SKU[Tên SKU-rút gọn])</f>
        <v>Vảy HD Ép Vàng</v>
      </c>
      <c r="M112" s="7" t="str">
        <f>_xlfn.XLOOKUP(DB_25[[#This Row],[Mã sản phẩm]],MD_SKU[Mã SKU],MD_SKU[Nhóm ngành])</f>
        <v>Vảy HD ép</v>
      </c>
      <c r="N112" s="7"/>
      <c r="O112" s="47">
        <v>0</v>
      </c>
      <c r="P112" s="47">
        <v>0</v>
      </c>
      <c r="Q112" s="47">
        <v>10</v>
      </c>
      <c r="R112" s="47">
        <v>0</v>
      </c>
      <c r="S112" s="47">
        <v>0</v>
      </c>
      <c r="T112" s="47">
        <v>0</v>
      </c>
      <c r="U112" s="47">
        <v>0</v>
      </c>
      <c r="V112" s="47">
        <v>0</v>
      </c>
      <c r="W112" s="110">
        <f ca="1">SUMIFS(Data_Actual_LG_EXW[SL],Data_Actual_LG_EXW[Year],2025,Data_Actual_LG_EXW[Month],'DB 2025'!W$1,Data_Actual_LG_EXW[Mã KH],DB_25[[#This Row],[Mã khách]],Data_Actual_LG_EXW[Mã SKU],DB_25[[#This Row],[Mã sản phẩm]])/10^3</f>
        <v>0</v>
      </c>
      <c r="X112" s="33"/>
      <c r="Y112" s="33"/>
      <c r="Z112" s="33"/>
      <c r="AA112" s="19">
        <f ca="1">SUM(DB_25[[#This Row],[SL-01]:[SL-12]])</f>
        <v>10</v>
      </c>
      <c r="AB112" s="7"/>
      <c r="AC112" s="20">
        <f ca="1">DB_25[[#This Row],[SL-DB25]]-DB_25[[#This Row],[SL-KH25]]</f>
        <v>10</v>
      </c>
      <c r="AD112" s="21">
        <f ca="1">IFERROR(DB_25[[#This Row],[SL-+/-]]/DB_25[[#This Row],[SL-KH25]],0)</f>
        <v>0</v>
      </c>
      <c r="AE112" s="23">
        <v>0</v>
      </c>
      <c r="AF112" s="23">
        <v>0</v>
      </c>
      <c r="AG112" s="23">
        <v>565.95391352375236</v>
      </c>
      <c r="AH112" s="23">
        <v>0</v>
      </c>
      <c r="AI112" s="23">
        <v>0</v>
      </c>
      <c r="AJ112" s="23">
        <v>0</v>
      </c>
      <c r="AK112" s="23">
        <v>0</v>
      </c>
      <c r="AL112" s="23">
        <v>0</v>
      </c>
      <c r="AM112" s="111">
        <v>0</v>
      </c>
      <c r="AN112" s="51">
        <f ca="1">IFERROR(SUM(DB_25[[#This Row],[DT-01-USD]:[DT-09-USD]])/SUM(DB_25[[#This Row],[SL-01]:[SL-09]]),0)</f>
        <v>565.95391352375236</v>
      </c>
      <c r="AO112" s="51">
        <f ca="1">DB_25[[#This Row],[GB-10]]</f>
        <v>565.95391352375236</v>
      </c>
      <c r="AP112" s="51">
        <f ca="1">DB_25[[#This Row],[GB-11]]</f>
        <v>565.95391352375236</v>
      </c>
      <c r="AQ112" s="7"/>
      <c r="AR112" s="7"/>
      <c r="AS112" s="7"/>
      <c r="AT112" s="7"/>
      <c r="AU112" s="47">
        <v>0</v>
      </c>
      <c r="AV112" s="47">
        <v>0</v>
      </c>
      <c r="AW112" s="47">
        <v>143606951.25274724</v>
      </c>
      <c r="AX112" s="47">
        <v>0</v>
      </c>
      <c r="AY112" s="47">
        <v>0</v>
      </c>
      <c r="AZ112" s="47">
        <v>0</v>
      </c>
      <c r="BA112" s="47">
        <v>0</v>
      </c>
      <c r="BB112" s="47">
        <v>0</v>
      </c>
      <c r="BC112" s="47">
        <v>0</v>
      </c>
      <c r="BD112" s="19">
        <f ca="1">DB_25[[#This Row],[SL-10]]*DB_25[[#This Row],[GB-10]]*BD$2/10^3</f>
        <v>0</v>
      </c>
      <c r="BE112" s="19">
        <f ca="1">DB_25[[#This Row],[SL-11]]*DB_25[[#This Row],[GB-11]]*BE$2/10^3</f>
        <v>0</v>
      </c>
      <c r="BF112" s="19">
        <f ca="1">DB_25[[#This Row],[SL-12]]*DB_25[[#This Row],[GB-12]]*BF$2/10^3</f>
        <v>0</v>
      </c>
      <c r="BG112" s="47">
        <f ca="1">SUM(DB_25[[#This Row],[DT-01]:[DT-12]])</f>
        <v>143606951.25274724</v>
      </c>
      <c r="BH112" s="7"/>
      <c r="BI112" s="7"/>
      <c r="BJ112" s="7"/>
      <c r="BK112" s="50">
        <v>0</v>
      </c>
      <c r="BL112" s="109">
        <v>0</v>
      </c>
      <c r="BM112" s="109">
        <v>5659.5391352375236</v>
      </c>
      <c r="BN112" s="109">
        <v>0</v>
      </c>
      <c r="BO112" s="109">
        <v>0</v>
      </c>
      <c r="BP112" s="109">
        <v>0</v>
      </c>
      <c r="BQ112" s="109">
        <v>0</v>
      </c>
      <c r="BR112" s="109">
        <v>0</v>
      </c>
      <c r="BS112" s="109">
        <v>0</v>
      </c>
      <c r="BT112" s="147">
        <f ca="1">DB_25[[#This Row],[SL-10]]*DB_25[[#This Row],[GB-10]]</f>
        <v>0</v>
      </c>
      <c r="BU112" s="147">
        <f ca="1">DB_25[[#This Row],[SL-11]]*DB_25[[#This Row],[GB-11]]</f>
        <v>0</v>
      </c>
      <c r="BV112" s="147">
        <f ca="1">DB_25[[#This Row],[SL-12]]*DB_25[[#This Row],[GB-12]]</f>
        <v>0</v>
      </c>
      <c r="BW112" s="47">
        <f ca="1">SUM(DB_25[[#This Row],[DT-01-USD]:[DT-12-USD]])</f>
        <v>5659.5391352375236</v>
      </c>
    </row>
    <row r="113" spans="1:75" x14ac:dyDescent="0.35">
      <c r="A113" s="18">
        <f>ROWS($A$6:A113)</f>
        <v>108</v>
      </c>
      <c r="B113" s="18" t="s">
        <v>115</v>
      </c>
      <c r="C113" s="18" t="str">
        <f>IFERROR(_xlfn.XLOOKUP(DB_25[[#This Row],[Salesman]],MD_Salesman[Salesman],MD_Salesman[SalesManager]),"")</f>
        <v>Quốc Anh</v>
      </c>
      <c r="D113" s="7" t="s">
        <v>660</v>
      </c>
      <c r="E113" s="7" t="s">
        <v>158</v>
      </c>
      <c r="F113" s="7"/>
      <c r="G113" s="7" t="str">
        <f>_xlfn.XLOOKUP(DB_25[[#This Row],[Mã khách]],MD_Customer[Mã khách],MD_Customer[Kênh bán hàng])</f>
        <v>Nội địa</v>
      </c>
      <c r="H113" s="7"/>
      <c r="I113" s="7"/>
      <c r="J113" s="7"/>
      <c r="K113" s="7" t="s">
        <v>204</v>
      </c>
      <c r="L113" s="7" t="str">
        <f>_xlfn.XLOOKUP(DB_25[[#This Row],[Mã sản phẩm]],MD_SKU[Mã SKU],MD_SKU[Tên SKU-rút gọn])</f>
        <v>Vảy HD Ép Dương</v>
      </c>
      <c r="M113" s="7" t="str">
        <f>_xlfn.XLOOKUP(DB_25[[#This Row],[Mã sản phẩm]],MD_SKU[Mã SKU],MD_SKU[Nhóm ngành])</f>
        <v>Vảy HD ép</v>
      </c>
      <c r="N113" s="7"/>
      <c r="O113" s="47">
        <v>0</v>
      </c>
      <c r="P113" s="47">
        <v>0</v>
      </c>
      <c r="Q113" s="47">
        <v>10</v>
      </c>
      <c r="R113" s="47">
        <v>0</v>
      </c>
      <c r="S113" s="47">
        <v>0</v>
      </c>
      <c r="T113" s="47">
        <v>0</v>
      </c>
      <c r="U113" s="47">
        <v>0</v>
      </c>
      <c r="V113" s="47">
        <v>0</v>
      </c>
      <c r="W113" s="110">
        <f ca="1">SUMIFS(Data_Actual_LG_EXW[SL],Data_Actual_LG_EXW[Year],2025,Data_Actual_LG_EXW[Month],'DB 2025'!W$1,Data_Actual_LG_EXW[Mã KH],DB_25[[#This Row],[Mã khách]],Data_Actual_LG_EXW[Mã SKU],DB_25[[#This Row],[Mã sản phẩm]])/10^3</f>
        <v>0</v>
      </c>
      <c r="X113" s="33"/>
      <c r="Y113" s="33"/>
      <c r="Z113" s="33"/>
      <c r="AA113" s="19">
        <f ca="1">SUM(DB_25[[#This Row],[SL-01]:[SL-12]])</f>
        <v>10</v>
      </c>
      <c r="AB113" s="7"/>
      <c r="AC113" s="20">
        <f ca="1">DB_25[[#This Row],[SL-DB25]]-DB_25[[#This Row],[SL-KH25]]</f>
        <v>10</v>
      </c>
      <c r="AD113" s="21">
        <f ca="1">IFERROR(DB_25[[#This Row],[SL-+/-]]/DB_25[[#This Row],[SL-KH25]],0)</f>
        <v>0</v>
      </c>
      <c r="AE113" s="23">
        <v>0</v>
      </c>
      <c r="AF113" s="23">
        <v>0</v>
      </c>
      <c r="AG113" s="23">
        <v>565.95391352375236</v>
      </c>
      <c r="AH113" s="23">
        <v>0</v>
      </c>
      <c r="AI113" s="23">
        <v>0</v>
      </c>
      <c r="AJ113" s="23">
        <v>0</v>
      </c>
      <c r="AK113" s="23">
        <v>0</v>
      </c>
      <c r="AL113" s="23">
        <v>0</v>
      </c>
      <c r="AM113" s="111">
        <v>0</v>
      </c>
      <c r="AN113" s="51">
        <f ca="1">IFERROR(SUM(DB_25[[#This Row],[DT-01-USD]:[DT-09-USD]])/SUM(DB_25[[#This Row],[SL-01]:[SL-09]]),0)</f>
        <v>565.95391352375236</v>
      </c>
      <c r="AO113" s="51">
        <f ca="1">DB_25[[#This Row],[GB-10]]</f>
        <v>565.95391352375236</v>
      </c>
      <c r="AP113" s="51">
        <f ca="1">DB_25[[#This Row],[GB-11]]</f>
        <v>565.95391352375236</v>
      </c>
      <c r="AQ113" s="7"/>
      <c r="AR113" s="7"/>
      <c r="AS113" s="7"/>
      <c r="AT113" s="7"/>
      <c r="AU113" s="47">
        <v>0</v>
      </c>
      <c r="AV113" s="47">
        <v>0</v>
      </c>
      <c r="AW113" s="47">
        <v>143606951.25274724</v>
      </c>
      <c r="AX113" s="47">
        <v>0</v>
      </c>
      <c r="AY113" s="47">
        <v>0</v>
      </c>
      <c r="AZ113" s="47">
        <v>0</v>
      </c>
      <c r="BA113" s="47">
        <v>0</v>
      </c>
      <c r="BB113" s="47">
        <v>0</v>
      </c>
      <c r="BC113" s="47">
        <v>0</v>
      </c>
      <c r="BD113" s="19">
        <f ca="1">DB_25[[#This Row],[SL-10]]*DB_25[[#This Row],[GB-10]]*BD$2/10^3</f>
        <v>0</v>
      </c>
      <c r="BE113" s="19">
        <f ca="1">DB_25[[#This Row],[SL-11]]*DB_25[[#This Row],[GB-11]]*BE$2/10^3</f>
        <v>0</v>
      </c>
      <c r="BF113" s="19">
        <f ca="1">DB_25[[#This Row],[SL-12]]*DB_25[[#This Row],[GB-12]]*BF$2/10^3</f>
        <v>0</v>
      </c>
      <c r="BG113" s="47">
        <f ca="1">SUM(DB_25[[#This Row],[DT-01]:[DT-12]])</f>
        <v>143606951.25274724</v>
      </c>
      <c r="BH113" s="7"/>
      <c r="BI113" s="7"/>
      <c r="BJ113" s="7"/>
      <c r="BK113" s="50">
        <v>0</v>
      </c>
      <c r="BL113" s="109">
        <v>0</v>
      </c>
      <c r="BM113" s="109">
        <v>5659.5391352375236</v>
      </c>
      <c r="BN113" s="109">
        <v>0</v>
      </c>
      <c r="BO113" s="109">
        <v>0</v>
      </c>
      <c r="BP113" s="109">
        <v>0</v>
      </c>
      <c r="BQ113" s="109">
        <v>0</v>
      </c>
      <c r="BR113" s="109">
        <v>0</v>
      </c>
      <c r="BS113" s="109">
        <v>0</v>
      </c>
      <c r="BT113" s="147">
        <f ca="1">DB_25[[#This Row],[SL-10]]*DB_25[[#This Row],[GB-10]]</f>
        <v>0</v>
      </c>
      <c r="BU113" s="147">
        <f ca="1">DB_25[[#This Row],[SL-11]]*DB_25[[#This Row],[GB-11]]</f>
        <v>0</v>
      </c>
      <c r="BV113" s="147">
        <f ca="1">DB_25[[#This Row],[SL-12]]*DB_25[[#This Row],[GB-12]]</f>
        <v>0</v>
      </c>
      <c r="BW113" s="47">
        <f ca="1">SUM(DB_25[[#This Row],[DT-01-USD]:[DT-12-USD]])</f>
        <v>5659.5391352375236</v>
      </c>
    </row>
    <row r="114" spans="1:75" x14ac:dyDescent="0.35">
      <c r="A114" s="18">
        <f>ROWS($A$6:A114)</f>
        <v>109</v>
      </c>
      <c r="B114" s="18" t="s">
        <v>101</v>
      </c>
      <c r="C114" s="18" t="str">
        <f>IFERROR(_xlfn.XLOOKUP(DB_25[[#This Row],[Salesman]],MD_Salesman[Salesman],MD_Salesman[SalesManager]),"")</f>
        <v>Cường</v>
      </c>
      <c r="D114" s="7" t="s">
        <v>656</v>
      </c>
      <c r="E114" s="7" t="s">
        <v>141</v>
      </c>
      <c r="F114" s="7"/>
      <c r="G114" s="7" t="str">
        <f>_xlfn.XLOOKUP(DB_25[[#This Row],[Mã khách]],MD_Customer[Mã khách],MD_Customer[Kênh bán hàng])</f>
        <v>Xuất khẩu</v>
      </c>
      <c r="H114" s="7"/>
      <c r="I114" s="7"/>
      <c r="J114" s="7"/>
      <c r="K114" s="7" t="s">
        <v>172</v>
      </c>
      <c r="L114" s="7" t="str">
        <f>_xlfn.XLOOKUP(DB_25[[#This Row],[Mã sản phẩm]],MD_SKU[Mã SKU],MD_SKU[Tên SKU-rút gọn])</f>
        <v>iSS01G 1</v>
      </c>
      <c r="M114" s="7" t="str">
        <f>_xlfn.XLOOKUP(DB_25[[#This Row],[Mã sản phẩm]],MD_SKU[Mã SKU],MD_SKU[Nhóm ngành])</f>
        <v>Hạt PET</v>
      </c>
      <c r="N114" s="7"/>
      <c r="O114" s="47">
        <v>0</v>
      </c>
      <c r="P114" s="47">
        <v>0</v>
      </c>
      <c r="Q114" s="47">
        <v>9.9</v>
      </c>
      <c r="R114" s="47">
        <v>0</v>
      </c>
      <c r="S114" s="47">
        <v>0</v>
      </c>
      <c r="T114" s="47">
        <v>0</v>
      </c>
      <c r="U114" s="47">
        <v>0</v>
      </c>
      <c r="V114" s="47">
        <v>0</v>
      </c>
      <c r="W114" s="110">
        <f ca="1">SUMIFS(Data_Actual_LG_EXW[SL],Data_Actual_LG_EXW[Year],2025,Data_Actual_LG_EXW[Month],'DB 2025'!W$1,Data_Actual_LG_EXW[Mã KH],DB_25[[#This Row],[Mã khách]],Data_Actual_LG_EXW[Mã SKU],DB_25[[#This Row],[Mã sản phẩm]])/10^3</f>
        <v>0</v>
      </c>
      <c r="X114" s="33"/>
      <c r="Y114" s="33"/>
      <c r="Z114" s="33"/>
      <c r="AA114" s="19">
        <f ca="1">SUM(DB_25[[#This Row],[SL-01]:[SL-12]])</f>
        <v>9.9</v>
      </c>
      <c r="AB114" s="7"/>
      <c r="AC114" s="20">
        <f ca="1">DB_25[[#This Row],[SL-DB25]]-DB_25[[#This Row],[SL-KH25]]</f>
        <v>9.9</v>
      </c>
      <c r="AD114" s="21">
        <f ca="1">IFERROR(DB_25[[#This Row],[SL-+/-]]/DB_25[[#This Row],[SL-KH25]],0)</f>
        <v>0</v>
      </c>
      <c r="AE114" s="23">
        <v>0</v>
      </c>
      <c r="AF114" s="23">
        <v>0</v>
      </c>
      <c r="AG114" s="23">
        <v>1256.851081911019</v>
      </c>
      <c r="AH114" s="23">
        <v>0</v>
      </c>
      <c r="AI114" s="23">
        <v>0</v>
      </c>
      <c r="AJ114" s="23">
        <v>0</v>
      </c>
      <c r="AK114" s="23">
        <v>0</v>
      </c>
      <c r="AL114" s="23">
        <v>0</v>
      </c>
      <c r="AM114" s="111">
        <v>0</v>
      </c>
      <c r="AN114" s="51">
        <f ca="1">IFERROR(SUM(DB_25[[#This Row],[DT-01-USD]:[DT-09-USD]])/SUM(DB_25[[#This Row],[SL-01]:[SL-09]]),0)</f>
        <v>1256.851081911019</v>
      </c>
      <c r="AO114" s="51">
        <f ca="1">DB_25[[#This Row],[GB-10]]</f>
        <v>1256.851081911019</v>
      </c>
      <c r="AP114" s="51">
        <f ca="1">DB_25[[#This Row],[GB-11]]</f>
        <v>1256.851081911019</v>
      </c>
      <c r="AQ114" s="7"/>
      <c r="AR114" s="7"/>
      <c r="AS114" s="7"/>
      <c r="AT114" s="7"/>
      <c r="AU114" s="47">
        <v>0</v>
      </c>
      <c r="AV114" s="47">
        <v>0</v>
      </c>
      <c r="AW114" s="47">
        <v>316794342.60000002</v>
      </c>
      <c r="AX114" s="47">
        <v>0</v>
      </c>
      <c r="AY114" s="47">
        <v>0</v>
      </c>
      <c r="AZ114" s="47">
        <v>0</v>
      </c>
      <c r="BA114" s="47">
        <v>0</v>
      </c>
      <c r="BB114" s="47">
        <v>0</v>
      </c>
      <c r="BC114" s="47">
        <v>0</v>
      </c>
      <c r="BD114" s="19">
        <f ca="1">DB_25[[#This Row],[SL-10]]*DB_25[[#This Row],[GB-10]]*BD$2/10^3</f>
        <v>0</v>
      </c>
      <c r="BE114" s="19">
        <f ca="1">DB_25[[#This Row],[SL-11]]*DB_25[[#This Row],[GB-11]]*BE$2/10^3</f>
        <v>0</v>
      </c>
      <c r="BF114" s="19">
        <f ca="1">DB_25[[#This Row],[SL-12]]*DB_25[[#This Row],[GB-12]]*BF$2/10^3</f>
        <v>0</v>
      </c>
      <c r="BG114" s="47">
        <f ca="1">SUM(DB_25[[#This Row],[DT-01]:[DT-12]])</f>
        <v>316794342.60000002</v>
      </c>
      <c r="BH114" s="7"/>
      <c r="BI114" s="7"/>
      <c r="BJ114" s="7"/>
      <c r="BK114" s="50">
        <v>0</v>
      </c>
      <c r="BL114" s="109">
        <v>0</v>
      </c>
      <c r="BM114" s="109">
        <v>12442.825710919089</v>
      </c>
      <c r="BN114" s="109">
        <v>0</v>
      </c>
      <c r="BO114" s="109">
        <v>0</v>
      </c>
      <c r="BP114" s="109">
        <v>0</v>
      </c>
      <c r="BQ114" s="109">
        <v>0</v>
      </c>
      <c r="BR114" s="109">
        <v>0</v>
      </c>
      <c r="BS114" s="109">
        <v>0</v>
      </c>
      <c r="BT114" s="147">
        <f ca="1">DB_25[[#This Row],[SL-10]]*DB_25[[#This Row],[GB-10]]</f>
        <v>0</v>
      </c>
      <c r="BU114" s="147">
        <f ca="1">DB_25[[#This Row],[SL-11]]*DB_25[[#This Row],[GB-11]]</f>
        <v>0</v>
      </c>
      <c r="BV114" s="147">
        <f ca="1">DB_25[[#This Row],[SL-12]]*DB_25[[#This Row],[GB-12]]</f>
        <v>0</v>
      </c>
      <c r="BW114" s="47">
        <f ca="1">SUM(DB_25[[#This Row],[DT-01-USD]:[DT-12-USD]])</f>
        <v>12442.825710919089</v>
      </c>
    </row>
    <row r="115" spans="1:75" x14ac:dyDescent="0.35">
      <c r="A115" s="18">
        <f>ROWS($A$6:A115)</f>
        <v>110</v>
      </c>
      <c r="B115" s="18" t="s">
        <v>115</v>
      </c>
      <c r="C115" s="18" t="str">
        <f>IFERROR(_xlfn.XLOOKUP(DB_25[[#This Row],[Salesman]],MD_Salesman[Salesman],MD_Salesman[SalesManager]),"")</f>
        <v>Quốc Anh</v>
      </c>
      <c r="D115" s="7" t="s">
        <v>655</v>
      </c>
      <c r="E115" s="7" t="s">
        <v>65</v>
      </c>
      <c r="F115" s="7"/>
      <c r="G115" s="7" t="str">
        <f>_xlfn.XLOOKUP(DB_25[[#This Row],[Mã khách]],MD_Customer[Mã khách],MD_Customer[Kênh bán hàng])</f>
        <v>Nội địa</v>
      </c>
      <c r="H115" s="7"/>
      <c r="I115" s="7"/>
      <c r="J115" s="7"/>
      <c r="K115" s="7" t="s">
        <v>201</v>
      </c>
      <c r="L115" s="7" t="str">
        <f>_xlfn.XLOOKUP(DB_25[[#This Row],[Mã sản phẩm]],MD_SKU[Mã SKU],MD_SKU[Tên SKU-rút gọn])</f>
        <v>Vảy HD Ép Trắng</v>
      </c>
      <c r="M115" s="7" t="str">
        <f>_xlfn.XLOOKUP(DB_25[[#This Row],[Mã sản phẩm]],MD_SKU[Mã SKU],MD_SKU[Nhóm ngành])</f>
        <v>Vảy HD ép</v>
      </c>
      <c r="N115" s="7"/>
      <c r="O115" s="47">
        <v>0</v>
      </c>
      <c r="P115" s="47">
        <v>0</v>
      </c>
      <c r="Q115" s="47">
        <v>0</v>
      </c>
      <c r="R115" s="47">
        <v>0</v>
      </c>
      <c r="S115" s="47">
        <v>0</v>
      </c>
      <c r="T115" s="47">
        <v>0</v>
      </c>
      <c r="U115" s="47">
        <v>0</v>
      </c>
      <c r="V115" s="47">
        <v>3</v>
      </c>
      <c r="W115" s="110">
        <f ca="1">SUMIFS(Data_Actual_LG_EXW[SL],Data_Actual_LG_EXW[Year],2025,Data_Actual_LG_EXW[Month],'DB 2025'!W$1,Data_Actual_LG_EXW[Mã KH],DB_25[[#This Row],[Mã khách]],Data_Actual_LG_EXW[Mã SKU],DB_25[[#This Row],[Mã sản phẩm]])/10^3</f>
        <v>6</v>
      </c>
      <c r="X115" s="33"/>
      <c r="Y115" s="33"/>
      <c r="Z115" s="33"/>
      <c r="AA115" s="19">
        <f ca="1">SUM(DB_25[[#This Row],[SL-01]:[SL-12]])</f>
        <v>9</v>
      </c>
      <c r="AB115" s="7"/>
      <c r="AC115" s="20">
        <f ca="1">DB_25[[#This Row],[SL-DB25]]-DB_25[[#This Row],[SL-KH25]]</f>
        <v>9</v>
      </c>
      <c r="AD115" s="21">
        <f ca="1">IFERROR(DB_25[[#This Row],[SL-+/-]]/DB_25[[#This Row],[SL-KH25]],0)</f>
        <v>0</v>
      </c>
      <c r="AE115" s="23">
        <v>0</v>
      </c>
      <c r="AF115" s="23">
        <v>0</v>
      </c>
      <c r="AG115" s="23">
        <v>0</v>
      </c>
      <c r="AH115" s="23">
        <v>0</v>
      </c>
      <c r="AI115" s="23">
        <v>0</v>
      </c>
      <c r="AJ115" s="23">
        <v>0</v>
      </c>
      <c r="AK115" s="23">
        <v>0</v>
      </c>
      <c r="AL115" s="23">
        <v>565.53060156647075</v>
      </c>
      <c r="AM115" s="111">
        <v>563.9148111366685</v>
      </c>
      <c r="AN115" s="51">
        <f ca="1">IFERROR(SUM(DB_25[[#This Row],[DT-01-USD]:[DT-09-USD]])/SUM(DB_25[[#This Row],[SL-01]:[SL-09]]),0)</f>
        <v>564.45340794660251</v>
      </c>
      <c r="AO115" s="51">
        <f ca="1">DB_25[[#This Row],[GB-10]]</f>
        <v>564.45340794660251</v>
      </c>
      <c r="AP115" s="51">
        <f ca="1">DB_25[[#This Row],[GB-11]]</f>
        <v>564.45340794660251</v>
      </c>
      <c r="AQ115" s="7"/>
      <c r="AR115" s="7"/>
      <c r="AS115" s="7"/>
      <c r="AT115" s="7"/>
      <c r="AU115" s="47">
        <v>0</v>
      </c>
      <c r="AV115" s="47">
        <v>0</v>
      </c>
      <c r="AW115" s="47">
        <v>0</v>
      </c>
      <c r="AX115" s="47">
        <v>0</v>
      </c>
      <c r="AY115" s="47">
        <v>0</v>
      </c>
      <c r="AZ115" s="47">
        <v>0</v>
      </c>
      <c r="BA115" s="47">
        <v>0</v>
      </c>
      <c r="BB115" s="47">
        <v>44336975.761937715</v>
      </c>
      <c r="BC115" s="47">
        <v>88682903.085930124</v>
      </c>
      <c r="BD115" s="19">
        <f ca="1">DB_25[[#This Row],[SL-10]]*DB_25[[#This Row],[GB-10]]*BD$2/10^3</f>
        <v>0</v>
      </c>
      <c r="BE115" s="19">
        <f ca="1">DB_25[[#This Row],[SL-11]]*DB_25[[#This Row],[GB-11]]*BE$2/10^3</f>
        <v>0</v>
      </c>
      <c r="BF115" s="19">
        <f ca="1">DB_25[[#This Row],[SL-12]]*DB_25[[#This Row],[GB-12]]*BF$2/10^3</f>
        <v>0</v>
      </c>
      <c r="BG115" s="47">
        <f ca="1">SUM(DB_25[[#This Row],[DT-01]:[DT-12]])</f>
        <v>133019878.84786785</v>
      </c>
      <c r="BH115" s="7"/>
      <c r="BI115" s="7"/>
      <c r="BJ115" s="7"/>
      <c r="BK115" s="50">
        <v>0</v>
      </c>
      <c r="BL115" s="109">
        <v>0</v>
      </c>
      <c r="BM115" s="109">
        <v>0</v>
      </c>
      <c r="BN115" s="109">
        <v>0</v>
      </c>
      <c r="BO115" s="109">
        <v>0</v>
      </c>
      <c r="BP115" s="109">
        <v>0</v>
      </c>
      <c r="BQ115" s="109">
        <v>0</v>
      </c>
      <c r="BR115" s="109">
        <v>1696.5918046994123</v>
      </c>
      <c r="BS115" s="109">
        <v>3383.488866820011</v>
      </c>
      <c r="BT115" s="147">
        <f ca="1">DB_25[[#This Row],[SL-10]]*DB_25[[#This Row],[GB-10]]</f>
        <v>0</v>
      </c>
      <c r="BU115" s="147">
        <f ca="1">DB_25[[#This Row],[SL-11]]*DB_25[[#This Row],[GB-11]]</f>
        <v>0</v>
      </c>
      <c r="BV115" s="147">
        <f ca="1">DB_25[[#This Row],[SL-12]]*DB_25[[#This Row],[GB-12]]</f>
        <v>0</v>
      </c>
      <c r="BW115" s="47">
        <f ca="1">SUM(DB_25[[#This Row],[DT-01-USD]:[DT-12-USD]])</f>
        <v>5080.080671519423</v>
      </c>
    </row>
    <row r="116" spans="1:75" x14ac:dyDescent="0.35">
      <c r="A116" s="18">
        <f>ROWS($A$6:A116)</f>
        <v>111</v>
      </c>
      <c r="B116" s="18" t="s">
        <v>115</v>
      </c>
      <c r="C116" s="18" t="str">
        <f>IFERROR(_xlfn.XLOOKUP(DB_25[[#This Row],[Salesman]],MD_Salesman[Salesman],MD_Salesman[SalesManager]),"")</f>
        <v>Quốc Anh</v>
      </c>
      <c r="D116" s="7" t="s">
        <v>635</v>
      </c>
      <c r="E116" s="7" t="s">
        <v>62</v>
      </c>
      <c r="F116" s="7"/>
      <c r="G116" s="7" t="str">
        <f>_xlfn.XLOOKUP(DB_25[[#This Row],[Mã khách]],MD_Customer[Mã khách],MD_Customer[Kênh bán hàng])</f>
        <v>Nội địa</v>
      </c>
      <c r="H116" s="7"/>
      <c r="I116" s="7"/>
      <c r="J116" s="7"/>
      <c r="K116" s="7" t="s">
        <v>202</v>
      </c>
      <c r="L116" s="7" t="s">
        <v>473</v>
      </c>
      <c r="M116" s="7" t="str">
        <f>_xlfn.XLOOKUP(DB_25[[#This Row],[Mã sản phẩm]],MD_SKU[Mã SKU],MD_SKU[Nhóm ngành])</f>
        <v>Vảy HD ép</v>
      </c>
      <c r="N116" s="7"/>
      <c r="O116" s="47"/>
      <c r="P116" s="47"/>
      <c r="Q116" s="47"/>
      <c r="R116" s="47"/>
      <c r="S116" s="47"/>
      <c r="T116" s="47"/>
      <c r="U116" s="47"/>
      <c r="V116" s="47"/>
      <c r="W116" s="110">
        <f ca="1">SUMIFS(Data_Actual_LG_EXW[SL],Data_Actual_LG_EXW[Year],2025,Data_Actual_LG_EXW[Month],'DB 2025'!W$1,Data_Actual_LG_EXW[Mã KH],DB_25[[#This Row],[Mã khách]],Data_Actual_LG_EXW[Mã SKU],DB_25[[#This Row],[Mã sản phẩm]])/10^3</f>
        <v>0</v>
      </c>
      <c r="X116" s="33"/>
      <c r="Y116" s="33"/>
      <c r="Z116" s="33"/>
      <c r="AA116" s="19">
        <f ca="1">SUM(DB_25[[#This Row],[SL-01]:[SL-12]])</f>
        <v>0</v>
      </c>
      <c r="AB116" s="7"/>
      <c r="AC116" s="20">
        <f ca="1">DB_25[[#This Row],[SL-DB25]]-DB_25[[#This Row],[SL-KH25]]</f>
        <v>0</v>
      </c>
      <c r="AD116" s="21">
        <f ca="1">IFERROR(DB_25[[#This Row],[SL-+/-]]/DB_25[[#This Row],[SL-KH25]],0)</f>
        <v>0</v>
      </c>
      <c r="AE116" s="23">
        <v>0</v>
      </c>
      <c r="AF116" s="23">
        <v>0</v>
      </c>
      <c r="AG116" s="23">
        <v>0</v>
      </c>
      <c r="AH116" s="23">
        <v>0</v>
      </c>
      <c r="AI116" s="23">
        <v>0</v>
      </c>
      <c r="AJ116" s="23">
        <v>0</v>
      </c>
      <c r="AK116" s="23">
        <v>0</v>
      </c>
      <c r="AL116" s="23">
        <v>0</v>
      </c>
      <c r="AM116" s="111">
        <v>0</v>
      </c>
      <c r="AN116" s="51">
        <f ca="1">IFERROR(SUM(DB_25[[#This Row],[DT-01-USD]:[DT-09-USD]])/SUM(DB_25[[#This Row],[SL-01]:[SL-09]]),0)</f>
        <v>0</v>
      </c>
      <c r="AO116" s="51">
        <f ca="1">DB_25[[#This Row],[GB-10]]</f>
        <v>0</v>
      </c>
      <c r="AP116" s="51">
        <f ca="1">DB_25[[#This Row],[GB-11]]</f>
        <v>0</v>
      </c>
      <c r="AQ116" s="7"/>
      <c r="AR116" s="7"/>
      <c r="AS116" s="7"/>
      <c r="AT116" s="7"/>
      <c r="AU116" s="47">
        <v>0</v>
      </c>
      <c r="AV116" s="47">
        <v>0</v>
      </c>
      <c r="AW116" s="47">
        <v>0</v>
      </c>
      <c r="AX116" s="47">
        <v>0</v>
      </c>
      <c r="AY116" s="47">
        <v>0</v>
      </c>
      <c r="AZ116" s="47">
        <v>0</v>
      </c>
      <c r="BA116" s="47">
        <v>0</v>
      </c>
      <c r="BB116" s="47">
        <v>0</v>
      </c>
      <c r="BC116" s="47">
        <v>0</v>
      </c>
      <c r="BD116" s="19">
        <f ca="1">DB_25[[#This Row],[SL-10]]*DB_25[[#This Row],[GB-10]]*BD$2/10^3</f>
        <v>0</v>
      </c>
      <c r="BE116" s="19">
        <f ca="1">DB_25[[#This Row],[SL-11]]*DB_25[[#This Row],[GB-11]]*BE$2/10^3</f>
        <v>0</v>
      </c>
      <c r="BF116" s="19">
        <f ca="1">DB_25[[#This Row],[SL-12]]*DB_25[[#This Row],[GB-12]]*BF$2/10^3</f>
        <v>0</v>
      </c>
      <c r="BG116" s="19">
        <f ca="1">SUM(DB_25[[#This Row],[DT-01]:[DT-12]])</f>
        <v>0</v>
      </c>
      <c r="BH116" s="7"/>
      <c r="BI116" s="7"/>
      <c r="BJ116" s="7"/>
      <c r="BK116" s="50">
        <v>0</v>
      </c>
      <c r="BL116" s="109">
        <v>0</v>
      </c>
      <c r="BM116" s="109">
        <v>0</v>
      </c>
      <c r="BN116" s="109">
        <v>0</v>
      </c>
      <c r="BO116" s="109">
        <v>0</v>
      </c>
      <c r="BP116" s="109">
        <v>0</v>
      </c>
      <c r="BQ116" s="109">
        <v>0</v>
      </c>
      <c r="BR116" s="109">
        <v>0</v>
      </c>
      <c r="BS116" s="109">
        <v>0</v>
      </c>
      <c r="BT116" s="147">
        <f ca="1">DB_25[[#This Row],[SL-10]]*DB_25[[#This Row],[GB-10]]</f>
        <v>0</v>
      </c>
      <c r="BU116" s="147">
        <f ca="1">DB_25[[#This Row],[SL-11]]*DB_25[[#This Row],[GB-11]]</f>
        <v>0</v>
      </c>
      <c r="BV116" s="147">
        <f ca="1">DB_25[[#This Row],[SL-12]]*DB_25[[#This Row],[GB-12]]</f>
        <v>0</v>
      </c>
      <c r="BW116" s="47">
        <f ca="1">SUM(DB_25[[#This Row],[DT-01-USD]:[DT-12-USD]])</f>
        <v>0</v>
      </c>
    </row>
    <row r="117" spans="1:75" x14ac:dyDescent="0.35">
      <c r="A117" s="18">
        <f>ROWS($A$6:A117)</f>
        <v>112</v>
      </c>
      <c r="B117" s="18" t="s">
        <v>101</v>
      </c>
      <c r="C117" s="18" t="str">
        <f>IFERROR(_xlfn.XLOOKUP(DB_25[[#This Row],[Salesman]],MD_Salesman[Salesman],MD_Salesman[SalesManager]),"")</f>
        <v>Cường</v>
      </c>
      <c r="D117" s="7" t="s">
        <v>621</v>
      </c>
      <c r="E117" s="7" t="s">
        <v>257</v>
      </c>
      <c r="F117" s="7"/>
      <c r="G117" s="7" t="str">
        <f>_xlfn.XLOOKUP(DB_25[[#This Row],[Mã khách]],MD_Customer[Mã khách],MD_Customer[Kênh bán hàng])</f>
        <v>Nội địa</v>
      </c>
      <c r="H117" s="7"/>
      <c r="I117" s="7"/>
      <c r="J117" s="7"/>
      <c r="K117" s="7" t="s">
        <v>176</v>
      </c>
      <c r="L117" s="7" t="str">
        <f>_xlfn.XLOOKUP(DB_25[[#This Row],[Mã sản phẩm]],MD_SKU[Mã SKU],MD_SKU[Tên SKU-rút gọn])</f>
        <v>WSS01G-L</v>
      </c>
      <c r="M117" s="7" t="str">
        <f>_xlfn.XLOOKUP(DB_25[[#This Row],[Mã sản phẩm]],MD_SKU[Mã SKU],MD_SKU[Nhóm ngành])</f>
        <v>Hạt PET</v>
      </c>
      <c r="N117" s="7"/>
      <c r="O117" s="47">
        <v>2.2000000000000002</v>
      </c>
      <c r="P117" s="47">
        <v>0</v>
      </c>
      <c r="Q117" s="47">
        <v>0</v>
      </c>
      <c r="R117" s="47">
        <v>0</v>
      </c>
      <c r="S117" s="47">
        <v>3.85</v>
      </c>
      <c r="T117" s="47">
        <v>0</v>
      </c>
      <c r="U117" s="47">
        <v>0</v>
      </c>
      <c r="V117" s="47">
        <v>0</v>
      </c>
      <c r="W117" s="110">
        <f ca="1">SUMIFS(Data_Actual_LG_EXW[SL],Data_Actual_LG_EXW[Year],2025,Data_Actual_LG_EXW[Month],'DB 2025'!W$1,Data_Actual_LG_EXW[Mã KH],DB_25[[#This Row],[Mã khách]],Data_Actual_LG_EXW[Mã SKU],DB_25[[#This Row],[Mã sản phẩm]])/10^3</f>
        <v>0</v>
      </c>
      <c r="X117" s="33"/>
      <c r="Y117" s="33"/>
      <c r="Z117" s="33"/>
      <c r="AA117" s="19">
        <f ca="1">SUM(DB_25[[#This Row],[SL-01]:[SL-12]])</f>
        <v>6.0500000000000007</v>
      </c>
      <c r="AB117" s="7"/>
      <c r="AC117" s="20">
        <f ca="1">DB_25[[#This Row],[SL-DB25]]-DB_25[[#This Row],[SL-KH25]]</f>
        <v>6.0500000000000007</v>
      </c>
      <c r="AD117" s="21">
        <f ca="1">IFERROR(DB_25[[#This Row],[SL-+/-]]/DB_25[[#This Row],[SL-KH25]],0)</f>
        <v>0</v>
      </c>
      <c r="AE117" s="23">
        <v>1385.0043101961048</v>
      </c>
      <c r="AF117" s="23">
        <v>0</v>
      </c>
      <c r="AG117" s="23">
        <v>0</v>
      </c>
      <c r="AH117" s="23">
        <v>0</v>
      </c>
      <c r="AI117" s="23">
        <v>1358.7975393750214</v>
      </c>
      <c r="AJ117" s="23">
        <v>0</v>
      </c>
      <c r="AK117" s="23">
        <v>0</v>
      </c>
      <c r="AL117" s="23">
        <v>0</v>
      </c>
      <c r="AM117" s="111">
        <v>0</v>
      </c>
      <c r="AN117" s="51">
        <f ca="1">IFERROR(SUM(DB_25[[#This Row],[DT-01-USD]:[DT-09-USD]])/SUM(DB_25[[#This Row],[SL-01]:[SL-09]]),0)</f>
        <v>1368.3272742190516</v>
      </c>
      <c r="AO117" s="51">
        <f ca="1">DB_25[[#This Row],[GB-10]]</f>
        <v>1368.3272742190516</v>
      </c>
      <c r="AP117" s="51">
        <f ca="1">DB_25[[#This Row],[GB-11]]</f>
        <v>1368.3272742190516</v>
      </c>
      <c r="AQ117" s="7"/>
      <c r="AR117" s="7"/>
      <c r="AS117" s="7"/>
      <c r="AT117" s="7"/>
      <c r="AU117" s="47">
        <v>76796113.318864778</v>
      </c>
      <c r="AV117" s="47">
        <v>0</v>
      </c>
      <c r="AW117" s="47">
        <v>0</v>
      </c>
      <c r="AX117" s="47">
        <v>0</v>
      </c>
      <c r="AY117" s="47">
        <v>134858701.78293136</v>
      </c>
      <c r="AZ117" s="47">
        <v>0</v>
      </c>
      <c r="BA117" s="47">
        <v>0</v>
      </c>
      <c r="BB117" s="47">
        <v>0</v>
      </c>
      <c r="BC117" s="47">
        <v>0</v>
      </c>
      <c r="BD117" s="19">
        <f ca="1">DB_25[[#This Row],[SL-10]]*DB_25[[#This Row],[GB-10]]*BD$2/10^3</f>
        <v>0</v>
      </c>
      <c r="BE117" s="19">
        <f ca="1">DB_25[[#This Row],[SL-11]]*DB_25[[#This Row],[GB-11]]*BE$2/10^3</f>
        <v>0</v>
      </c>
      <c r="BF117" s="19">
        <f ca="1">DB_25[[#This Row],[SL-12]]*DB_25[[#This Row],[GB-12]]*BF$2/10^3</f>
        <v>0</v>
      </c>
      <c r="BG117" s="47">
        <f ca="1">SUM(DB_25[[#This Row],[DT-01]:[DT-12]])</f>
        <v>211654815.10179615</v>
      </c>
      <c r="BH117" s="7"/>
      <c r="BI117" s="7"/>
      <c r="BJ117" s="7"/>
      <c r="BK117" s="50">
        <v>3047.009482431431</v>
      </c>
      <c r="BL117" s="109">
        <v>0</v>
      </c>
      <c r="BM117" s="109">
        <v>0</v>
      </c>
      <c r="BN117" s="109">
        <v>0</v>
      </c>
      <c r="BO117" s="109">
        <v>5231.3705265938324</v>
      </c>
      <c r="BP117" s="109">
        <v>0</v>
      </c>
      <c r="BQ117" s="109">
        <v>0</v>
      </c>
      <c r="BR117" s="109">
        <v>0</v>
      </c>
      <c r="BS117" s="109">
        <v>0</v>
      </c>
      <c r="BT117" s="147">
        <f ca="1">DB_25[[#This Row],[SL-10]]*DB_25[[#This Row],[GB-10]]</f>
        <v>0</v>
      </c>
      <c r="BU117" s="147">
        <f ca="1">DB_25[[#This Row],[SL-11]]*DB_25[[#This Row],[GB-11]]</f>
        <v>0</v>
      </c>
      <c r="BV117" s="147">
        <f ca="1">DB_25[[#This Row],[SL-12]]*DB_25[[#This Row],[GB-12]]</f>
        <v>0</v>
      </c>
      <c r="BW117" s="47">
        <f ca="1">SUM(DB_25[[#This Row],[DT-01-USD]:[DT-12-USD]])</f>
        <v>8278.3800090252626</v>
      </c>
    </row>
    <row r="118" spans="1:75" x14ac:dyDescent="0.35">
      <c r="A118" s="18">
        <f>ROWS($A$6:A118)</f>
        <v>113</v>
      </c>
      <c r="B118" s="18" t="s">
        <v>115</v>
      </c>
      <c r="C118" s="18" t="str">
        <f>IFERROR(_xlfn.XLOOKUP(DB_25[[#This Row],[Salesman]],MD_Salesman[Salesman],MD_Salesman[SalesManager]),"")</f>
        <v>Quốc Anh</v>
      </c>
      <c r="D118" s="7" t="s">
        <v>627</v>
      </c>
      <c r="E118" s="7" t="s">
        <v>58</v>
      </c>
      <c r="F118" s="7"/>
      <c r="G118" s="7" t="str">
        <f>_xlfn.XLOOKUP(DB_25[[#This Row],[Mã khách]],MD_Customer[Mã khách],MD_Customer[Kênh bán hàng])</f>
        <v>Nội địa</v>
      </c>
      <c r="H118" s="7"/>
      <c r="I118" s="7"/>
      <c r="J118" s="7"/>
      <c r="K118" s="7" t="s">
        <v>205</v>
      </c>
      <c r="L118" s="7" t="str">
        <f>_xlfn.XLOOKUP(DB_25[[#This Row],[Mã sản phẩm]],MD_SKU[Mã SKU],MD_SKU[Tên SKU-rút gọn])</f>
        <v>Vảy HD Ép Đen</v>
      </c>
      <c r="M118" s="7" t="str">
        <f>_xlfn.XLOOKUP(DB_25[[#This Row],[Mã sản phẩm]],MD_SKU[Mã SKU],MD_SKU[Nhóm ngành])</f>
        <v>Vảy HD ép</v>
      </c>
      <c r="N118" s="7"/>
      <c r="O118" s="47">
        <v>0</v>
      </c>
      <c r="P118" s="47">
        <v>0</v>
      </c>
      <c r="Q118" s="47">
        <v>6</v>
      </c>
      <c r="R118" s="47">
        <v>0</v>
      </c>
      <c r="S118" s="47">
        <v>0</v>
      </c>
      <c r="T118" s="47">
        <v>0</v>
      </c>
      <c r="U118" s="47">
        <v>0</v>
      </c>
      <c r="V118" s="47">
        <v>0</v>
      </c>
      <c r="W118" s="110">
        <f ca="1">SUMIFS(Data_Actual_LG_EXW[SL],Data_Actual_LG_EXW[Year],2025,Data_Actual_LG_EXW[Month],'DB 2025'!W$1,Data_Actual_LG_EXW[Mã KH],DB_25[[#This Row],[Mã khách]],Data_Actual_LG_EXW[Mã SKU],DB_25[[#This Row],[Mã sản phẩm]])/10^3</f>
        <v>0</v>
      </c>
      <c r="X118" s="33"/>
      <c r="Y118" s="33"/>
      <c r="Z118" s="33"/>
      <c r="AA118" s="19">
        <f ca="1">SUM(DB_25[[#This Row],[SL-01]:[SL-12]])</f>
        <v>6</v>
      </c>
      <c r="AB118" s="7"/>
      <c r="AC118" s="20">
        <f ca="1">DB_25[[#This Row],[SL-DB25]]-DB_25[[#This Row],[SL-KH25]]</f>
        <v>6</v>
      </c>
      <c r="AD118" s="21">
        <f ca="1">IFERROR(DB_25[[#This Row],[SL-+/-]]/DB_25[[#This Row],[SL-KH25]],0)</f>
        <v>0</v>
      </c>
      <c r="AE118" s="23">
        <v>0</v>
      </c>
      <c r="AF118" s="23">
        <v>0</v>
      </c>
      <c r="AG118" s="23">
        <v>465.39682930888489</v>
      </c>
      <c r="AH118" s="23">
        <v>0</v>
      </c>
      <c r="AI118" s="23">
        <v>0</v>
      </c>
      <c r="AJ118" s="23">
        <v>0</v>
      </c>
      <c r="AK118" s="23">
        <v>0</v>
      </c>
      <c r="AL118" s="23">
        <v>0</v>
      </c>
      <c r="AM118" s="111">
        <v>0</v>
      </c>
      <c r="AN118" s="51">
        <f ca="1">IFERROR(SUM(DB_25[[#This Row],[DT-01-USD]:[DT-09-USD]])/SUM(DB_25[[#This Row],[SL-01]:[SL-09]]),0)</f>
        <v>465.39682930888489</v>
      </c>
      <c r="AO118" s="51">
        <f ca="1">DB_25[[#This Row],[GB-10]]</f>
        <v>465.39682930888489</v>
      </c>
      <c r="AP118" s="51">
        <f ca="1">DB_25[[#This Row],[GB-11]]</f>
        <v>465.39682930888489</v>
      </c>
      <c r="AQ118" s="7"/>
      <c r="AR118" s="7"/>
      <c r="AS118" s="7"/>
      <c r="AT118" s="7"/>
      <c r="AU118" s="47">
        <v>0</v>
      </c>
      <c r="AV118" s="47">
        <v>0</v>
      </c>
      <c r="AW118" s="47">
        <v>70854765.572998434</v>
      </c>
      <c r="AX118" s="47">
        <v>0</v>
      </c>
      <c r="AY118" s="47">
        <v>0</v>
      </c>
      <c r="AZ118" s="47">
        <v>0</v>
      </c>
      <c r="BA118" s="47">
        <v>0</v>
      </c>
      <c r="BB118" s="47">
        <v>0</v>
      </c>
      <c r="BC118" s="47">
        <v>0</v>
      </c>
      <c r="BD118" s="19">
        <f ca="1">DB_25[[#This Row],[SL-10]]*DB_25[[#This Row],[GB-10]]*BD$2/10^3</f>
        <v>0</v>
      </c>
      <c r="BE118" s="19">
        <f ca="1">DB_25[[#This Row],[SL-11]]*DB_25[[#This Row],[GB-11]]*BE$2/10^3</f>
        <v>0</v>
      </c>
      <c r="BF118" s="19">
        <f ca="1">DB_25[[#This Row],[SL-12]]*DB_25[[#This Row],[GB-12]]*BF$2/10^3</f>
        <v>0</v>
      </c>
      <c r="BG118" s="47">
        <f ca="1">SUM(DB_25[[#This Row],[DT-01]:[DT-12]])</f>
        <v>70854765.572998434</v>
      </c>
      <c r="BH118" s="7"/>
      <c r="BI118" s="7"/>
      <c r="BJ118" s="7"/>
      <c r="BK118" s="50">
        <v>0</v>
      </c>
      <c r="BL118" s="109">
        <v>0</v>
      </c>
      <c r="BM118" s="109">
        <v>2792.3809758533093</v>
      </c>
      <c r="BN118" s="109">
        <v>0</v>
      </c>
      <c r="BO118" s="109">
        <v>0</v>
      </c>
      <c r="BP118" s="109">
        <v>0</v>
      </c>
      <c r="BQ118" s="109">
        <v>0</v>
      </c>
      <c r="BR118" s="109">
        <v>0</v>
      </c>
      <c r="BS118" s="109">
        <v>0</v>
      </c>
      <c r="BT118" s="147">
        <f ca="1">DB_25[[#This Row],[SL-10]]*DB_25[[#This Row],[GB-10]]</f>
        <v>0</v>
      </c>
      <c r="BU118" s="147">
        <f ca="1">DB_25[[#This Row],[SL-11]]*DB_25[[#This Row],[GB-11]]</f>
        <v>0</v>
      </c>
      <c r="BV118" s="147">
        <f ca="1">DB_25[[#This Row],[SL-12]]*DB_25[[#This Row],[GB-12]]</f>
        <v>0</v>
      </c>
      <c r="BW118" s="47">
        <f ca="1">SUM(DB_25[[#This Row],[DT-01-USD]:[DT-12-USD]])</f>
        <v>2792.3809758533093</v>
      </c>
    </row>
    <row r="119" spans="1:75" x14ac:dyDescent="0.35">
      <c r="A119" s="18">
        <f>ROWS($A$6:A119)</f>
        <v>114</v>
      </c>
      <c r="B119" s="18" t="s">
        <v>115</v>
      </c>
      <c r="C119" s="18" t="str">
        <f>IFERROR(_xlfn.XLOOKUP(DB_25[[#This Row],[Salesman]],MD_Salesman[Salesman],MD_Salesman[SalesManager]),"")</f>
        <v>Quốc Anh</v>
      </c>
      <c r="D119" s="7" t="s">
        <v>635</v>
      </c>
      <c r="E119" s="7" t="s">
        <v>62</v>
      </c>
      <c r="F119" s="7"/>
      <c r="G119" s="7" t="str">
        <f>_xlfn.XLOOKUP(DB_25[[#This Row],[Mã khách]],MD_Customer[Mã khách],MD_Customer[Kênh bán hàng])</f>
        <v>Nội địa</v>
      </c>
      <c r="H119" s="7"/>
      <c r="I119" s="7"/>
      <c r="J119" s="7"/>
      <c r="K119" s="7" t="s">
        <v>197</v>
      </c>
      <c r="L119" s="7" t="str">
        <f>_xlfn.XLOOKUP(DB_25[[#This Row],[Mã sản phẩm]],MD_SKU[Mã SKU],MD_SKU[Tên SKU-rút gọn])</f>
        <v>rHDI3Y01</v>
      </c>
      <c r="M119" s="7" t="str">
        <f>_xlfn.XLOOKUP(DB_25[[#This Row],[Mã sản phẩm]],MD_SKU[Mã SKU],MD_SKU[Nhóm ngành])</f>
        <v>Hạt HD ép</v>
      </c>
      <c r="N119" s="7"/>
      <c r="O119" s="47">
        <v>0</v>
      </c>
      <c r="P119" s="47">
        <v>0</v>
      </c>
      <c r="Q119" s="47">
        <v>0</v>
      </c>
      <c r="R119" s="47">
        <v>0</v>
      </c>
      <c r="S119" s="47">
        <v>0</v>
      </c>
      <c r="T119" s="47">
        <v>5.5</v>
      </c>
      <c r="U119" s="47">
        <v>0</v>
      </c>
      <c r="V119" s="47">
        <v>0</v>
      </c>
      <c r="W119" s="110">
        <f ca="1">SUMIFS(Data_Actual_LG_EXW[SL],Data_Actual_LG_EXW[Year],2025,Data_Actual_LG_EXW[Month],'DB 2025'!W$1,Data_Actual_LG_EXW[Mã KH],DB_25[[#This Row],[Mã khách]],Data_Actual_LG_EXW[Mã SKU],DB_25[[#This Row],[Mã sản phẩm]])/10^3</f>
        <v>0</v>
      </c>
      <c r="X119" s="33"/>
      <c r="Y119" s="33"/>
      <c r="Z119" s="33"/>
      <c r="AA119" s="19">
        <f ca="1">SUM(DB_25[[#This Row],[SL-01]:[SL-12]])</f>
        <v>5.5</v>
      </c>
      <c r="AB119" s="7"/>
      <c r="AC119" s="20">
        <f ca="1">DB_25[[#This Row],[SL-DB25]]-DB_25[[#This Row],[SL-KH25]]</f>
        <v>5.5</v>
      </c>
      <c r="AD119" s="21">
        <f ca="1">IFERROR(DB_25[[#This Row],[SL-+/-]]/DB_25[[#This Row],[SL-KH25]],0)</f>
        <v>0</v>
      </c>
      <c r="AE119" s="23">
        <v>0</v>
      </c>
      <c r="AF119" s="23">
        <v>0</v>
      </c>
      <c r="AG119" s="23">
        <v>0</v>
      </c>
      <c r="AH119" s="23">
        <v>0</v>
      </c>
      <c r="AI119" s="23">
        <v>0</v>
      </c>
      <c r="AJ119" s="23">
        <v>692.82336682137907</v>
      </c>
      <c r="AK119" s="23">
        <v>0</v>
      </c>
      <c r="AL119" s="23">
        <v>0</v>
      </c>
      <c r="AM119" s="111">
        <v>0</v>
      </c>
      <c r="AN119" s="51">
        <f ca="1">IFERROR(SUM(DB_25[[#This Row],[DT-01-USD]:[DT-09-USD]])/SUM(DB_25[[#This Row],[SL-01]:[SL-09]]),0)</f>
        <v>692.82336682137907</v>
      </c>
      <c r="AO119" s="51">
        <f ca="1">DB_25[[#This Row],[GB-10]]</f>
        <v>692.82336682137907</v>
      </c>
      <c r="AP119" s="51">
        <f ca="1">DB_25[[#This Row],[GB-11]]</f>
        <v>692.82336682137907</v>
      </c>
      <c r="AQ119" s="7"/>
      <c r="AR119" s="7"/>
      <c r="AS119" s="7"/>
      <c r="AT119" s="7"/>
      <c r="AU119" s="47">
        <v>0</v>
      </c>
      <c r="AV119" s="47">
        <v>0</v>
      </c>
      <c r="AW119" s="47">
        <v>0</v>
      </c>
      <c r="AX119" s="47">
        <v>0</v>
      </c>
      <c r="AY119" s="47">
        <v>0</v>
      </c>
      <c r="AZ119" s="47">
        <v>98749511.883688837</v>
      </c>
      <c r="BA119" s="47">
        <v>0</v>
      </c>
      <c r="BB119" s="47">
        <v>0</v>
      </c>
      <c r="BC119" s="47">
        <v>0</v>
      </c>
      <c r="BD119" s="19">
        <f ca="1">DB_25[[#This Row],[SL-10]]*DB_25[[#This Row],[GB-10]]*BD$2/10^3</f>
        <v>0</v>
      </c>
      <c r="BE119" s="19">
        <f ca="1">DB_25[[#This Row],[SL-11]]*DB_25[[#This Row],[GB-11]]*BE$2/10^3</f>
        <v>0</v>
      </c>
      <c r="BF119" s="19">
        <f ca="1">DB_25[[#This Row],[SL-12]]*DB_25[[#This Row],[GB-12]]*BF$2/10^3</f>
        <v>0</v>
      </c>
      <c r="BG119" s="47">
        <f ca="1">SUM(DB_25[[#This Row],[DT-01]:[DT-12]])</f>
        <v>98749511.883688837</v>
      </c>
      <c r="BH119" s="7"/>
      <c r="BI119" s="7"/>
      <c r="BJ119" s="7"/>
      <c r="BK119" s="50">
        <v>0</v>
      </c>
      <c r="BL119" s="109">
        <v>0</v>
      </c>
      <c r="BM119" s="109">
        <v>0</v>
      </c>
      <c r="BN119" s="109">
        <v>0</v>
      </c>
      <c r="BO119" s="109">
        <v>0</v>
      </c>
      <c r="BP119" s="109">
        <v>3810.528517517585</v>
      </c>
      <c r="BQ119" s="109">
        <v>0</v>
      </c>
      <c r="BR119" s="109">
        <v>0</v>
      </c>
      <c r="BS119" s="109">
        <v>0</v>
      </c>
      <c r="BT119" s="147">
        <f ca="1">DB_25[[#This Row],[SL-10]]*DB_25[[#This Row],[GB-10]]</f>
        <v>0</v>
      </c>
      <c r="BU119" s="147">
        <f ca="1">DB_25[[#This Row],[SL-11]]*DB_25[[#This Row],[GB-11]]</f>
        <v>0</v>
      </c>
      <c r="BV119" s="147">
        <f ca="1">DB_25[[#This Row],[SL-12]]*DB_25[[#This Row],[GB-12]]</f>
        <v>0</v>
      </c>
      <c r="BW119" s="47">
        <f ca="1">SUM(DB_25[[#This Row],[DT-01-USD]:[DT-12-USD]])</f>
        <v>3810.528517517585</v>
      </c>
    </row>
    <row r="120" spans="1:75" x14ac:dyDescent="0.35">
      <c r="A120" s="18">
        <f>ROWS($A$6:A120)</f>
        <v>115</v>
      </c>
      <c r="B120" s="18" t="s">
        <v>95</v>
      </c>
      <c r="C120" s="18" t="str">
        <f>IFERROR(_xlfn.XLOOKUP(DB_25[[#This Row],[Salesman]],MD_Salesman[Salesman],MD_Salesman[SalesManager]),"")</f>
        <v>Cường</v>
      </c>
      <c r="D120" s="7" t="s">
        <v>595</v>
      </c>
      <c r="E120" s="7" t="s">
        <v>478</v>
      </c>
      <c r="F120" s="7"/>
      <c r="G120" s="7" t="str">
        <f>_xlfn.XLOOKUP(DB_25[[#This Row],[Mã khách]],MD_Customer[Mã khách],MD_Customer[Kênh bán hàng])</f>
        <v>Nội địa</v>
      </c>
      <c r="H120" s="7"/>
      <c r="I120" s="7"/>
      <c r="J120" s="7"/>
      <c r="K120" s="7" t="s">
        <v>194</v>
      </c>
      <c r="L120" s="7" t="str">
        <f>_xlfn.XLOOKUP(DB_25[[#This Row],[Mã sản phẩm]],MD_SKU[Mã SKU],MD_SKU[Tên SKU-rút gọn])</f>
        <v>rHDI4L01</v>
      </c>
      <c r="M120" s="7" t="str">
        <f>_xlfn.XLOOKUP(DB_25[[#This Row],[Mã sản phẩm]],MD_SKU[Mã SKU],MD_SKU[Nhóm ngành])</f>
        <v>Hạt HD ép</v>
      </c>
      <c r="N120" s="7"/>
      <c r="O120" s="47">
        <v>5.5</v>
      </c>
      <c r="P120" s="47">
        <v>0</v>
      </c>
      <c r="Q120" s="47">
        <v>0</v>
      </c>
      <c r="R120" s="47">
        <v>0</v>
      </c>
      <c r="S120" s="47">
        <v>0</v>
      </c>
      <c r="T120" s="47">
        <v>0</v>
      </c>
      <c r="U120" s="47">
        <v>0</v>
      </c>
      <c r="V120" s="47">
        <v>0</v>
      </c>
      <c r="W120" s="110">
        <f ca="1">SUMIFS(Data_Actual_LG_EXW[SL],Data_Actual_LG_EXW[Year],2025,Data_Actual_LG_EXW[Month],'DB 2025'!W$1,Data_Actual_LG_EXW[Mã KH],DB_25[[#This Row],[Mã khách]],Data_Actual_LG_EXW[Mã SKU],DB_25[[#This Row],[Mã sản phẩm]])/10^3</f>
        <v>0</v>
      </c>
      <c r="X120" s="33"/>
      <c r="Y120" s="33"/>
      <c r="Z120" s="33"/>
      <c r="AA120" s="19">
        <f ca="1">SUM(DB_25[[#This Row],[SL-01]:[SL-12]])</f>
        <v>5.5</v>
      </c>
      <c r="AB120" s="7"/>
      <c r="AC120" s="20">
        <f ca="1">DB_25[[#This Row],[SL-DB25]]-DB_25[[#This Row],[SL-KH25]]</f>
        <v>5.5</v>
      </c>
      <c r="AD120" s="21">
        <f ca="1">IFERROR(DB_25[[#This Row],[SL-+/-]]/DB_25[[#This Row],[SL-KH25]],0)</f>
        <v>0</v>
      </c>
      <c r="AE120" s="23">
        <v>883.53848734202768</v>
      </c>
      <c r="AF120" s="23">
        <v>0</v>
      </c>
      <c r="AG120" s="23">
        <v>0</v>
      </c>
      <c r="AH120" s="23">
        <v>0</v>
      </c>
      <c r="AI120" s="23">
        <v>0</v>
      </c>
      <c r="AJ120" s="23">
        <v>0</v>
      </c>
      <c r="AK120" s="23">
        <v>0</v>
      </c>
      <c r="AL120" s="23">
        <v>0</v>
      </c>
      <c r="AM120" s="111">
        <v>0</v>
      </c>
      <c r="AN120" s="51">
        <f ca="1">IFERROR(SUM(DB_25[[#This Row],[DT-01-USD]:[DT-09-USD]])/SUM(DB_25[[#This Row],[SL-01]:[SL-09]]),0)</f>
        <v>883.53848734202768</v>
      </c>
      <c r="AO120" s="51">
        <f ca="1">DB_25[[#This Row],[GB-10]]</f>
        <v>883.53848734202768</v>
      </c>
      <c r="AP120" s="51">
        <f ca="1">DB_25[[#This Row],[GB-11]]</f>
        <v>883.53848734202768</v>
      </c>
      <c r="AQ120" s="7"/>
      <c r="AR120" s="7"/>
      <c r="AS120" s="7"/>
      <c r="AT120" s="7"/>
      <c r="AU120" s="47">
        <v>122476734</v>
      </c>
      <c r="AV120" s="47">
        <v>0</v>
      </c>
      <c r="AW120" s="47">
        <v>0</v>
      </c>
      <c r="AX120" s="47">
        <v>0</v>
      </c>
      <c r="AY120" s="47">
        <v>0</v>
      </c>
      <c r="AZ120" s="47">
        <v>0</v>
      </c>
      <c r="BA120" s="47">
        <v>0</v>
      </c>
      <c r="BB120" s="47">
        <v>0</v>
      </c>
      <c r="BC120" s="47">
        <v>0</v>
      </c>
      <c r="BD120" s="19">
        <f ca="1">DB_25[[#This Row],[SL-10]]*DB_25[[#This Row],[GB-10]]*BD$2/10^3</f>
        <v>0</v>
      </c>
      <c r="BE120" s="19">
        <f ca="1">DB_25[[#This Row],[SL-11]]*DB_25[[#This Row],[GB-11]]*BE$2/10^3</f>
        <v>0</v>
      </c>
      <c r="BF120" s="19">
        <f ca="1">DB_25[[#This Row],[SL-12]]*DB_25[[#This Row],[GB-12]]*BF$2/10^3</f>
        <v>0</v>
      </c>
      <c r="BG120" s="47">
        <f ca="1">SUM(DB_25[[#This Row],[DT-01]:[DT-12]])</f>
        <v>122476734</v>
      </c>
      <c r="BH120" s="7"/>
      <c r="BI120" s="7"/>
      <c r="BJ120" s="7"/>
      <c r="BK120" s="50">
        <v>4859.4616803811523</v>
      </c>
      <c r="BL120" s="109">
        <v>0</v>
      </c>
      <c r="BM120" s="109">
        <v>0</v>
      </c>
      <c r="BN120" s="109">
        <v>0</v>
      </c>
      <c r="BO120" s="109">
        <v>0</v>
      </c>
      <c r="BP120" s="109">
        <v>0</v>
      </c>
      <c r="BQ120" s="109">
        <v>0</v>
      </c>
      <c r="BR120" s="109">
        <v>0</v>
      </c>
      <c r="BS120" s="109">
        <v>0</v>
      </c>
      <c r="BT120" s="147">
        <f ca="1">DB_25[[#This Row],[SL-10]]*DB_25[[#This Row],[GB-10]]</f>
        <v>0</v>
      </c>
      <c r="BU120" s="147">
        <f ca="1">DB_25[[#This Row],[SL-11]]*DB_25[[#This Row],[GB-11]]</f>
        <v>0</v>
      </c>
      <c r="BV120" s="147">
        <f ca="1">DB_25[[#This Row],[SL-12]]*DB_25[[#This Row],[GB-12]]</f>
        <v>0</v>
      </c>
      <c r="BW120" s="47">
        <f ca="1">SUM(DB_25[[#This Row],[DT-01-USD]:[DT-12-USD]])</f>
        <v>4859.4616803811523</v>
      </c>
    </row>
    <row r="121" spans="1:75" x14ac:dyDescent="0.35">
      <c r="A121" s="18">
        <f>ROWS($A$6:A121)</f>
        <v>116</v>
      </c>
      <c r="B121" s="18" t="s">
        <v>115</v>
      </c>
      <c r="C121" s="18" t="str">
        <f>IFERROR(_xlfn.XLOOKUP(DB_25[[#This Row],[Salesman]],MD_Salesman[Salesman],MD_Salesman[SalesManager]),"")</f>
        <v>Quốc Anh</v>
      </c>
      <c r="D121" s="7" t="s">
        <v>661</v>
      </c>
      <c r="E121" s="7" t="s">
        <v>106</v>
      </c>
      <c r="F121" s="7"/>
      <c r="G121" s="7" t="str">
        <f>_xlfn.XLOOKUP(DB_25[[#This Row],[Mã khách]],MD_Customer[Mã khách],MD_Customer[Kênh bán hàng])</f>
        <v>Nội địa</v>
      </c>
      <c r="H121" s="7"/>
      <c r="I121" s="7"/>
      <c r="J121" s="7"/>
      <c r="K121" s="7" t="s">
        <v>172</v>
      </c>
      <c r="L121" s="7" t="str">
        <f>_xlfn.XLOOKUP(DB_25[[#This Row],[Mã sản phẩm]],MD_SKU[Mã SKU],MD_SKU[Tên SKU-rút gọn])</f>
        <v>iSS01G 1</v>
      </c>
      <c r="M121" s="7" t="str">
        <f>_xlfn.XLOOKUP(DB_25[[#This Row],[Mã sản phẩm]],MD_SKU[Mã SKU],MD_SKU[Nhóm ngành])</f>
        <v>Hạt PET</v>
      </c>
      <c r="N121" s="7"/>
      <c r="O121" s="47">
        <v>0</v>
      </c>
      <c r="P121" s="47">
        <v>0</v>
      </c>
      <c r="Q121" s="47">
        <v>5.5</v>
      </c>
      <c r="R121" s="47">
        <v>0</v>
      </c>
      <c r="S121" s="47">
        <v>0</v>
      </c>
      <c r="T121" s="47">
        <v>0</v>
      </c>
      <c r="U121" s="47">
        <v>0</v>
      </c>
      <c r="V121" s="47">
        <v>0</v>
      </c>
      <c r="W121" s="110">
        <f ca="1">SUMIFS(Data_Actual_LG_EXW[SL],Data_Actual_LG_EXW[Year],2025,Data_Actual_LG_EXW[Month],'DB 2025'!W$1,Data_Actual_LG_EXW[Mã KH],DB_25[[#This Row],[Mã khách]],Data_Actual_LG_EXW[Mã SKU],DB_25[[#This Row],[Mã sản phẩm]])/10^3</f>
        <v>0</v>
      </c>
      <c r="X121" s="33"/>
      <c r="Y121" s="33"/>
      <c r="Z121" s="33"/>
      <c r="AA121" s="19">
        <f ca="1">SUM(DB_25[[#This Row],[SL-01]:[SL-12]])</f>
        <v>5.5</v>
      </c>
      <c r="AB121" s="7"/>
      <c r="AC121" s="20">
        <f ca="1">DB_25[[#This Row],[SL-DB25]]-DB_25[[#This Row],[SL-KH25]]</f>
        <v>5.5</v>
      </c>
      <c r="AD121" s="21">
        <f ca="1">IFERROR(DB_25[[#This Row],[SL-+/-]]/DB_25[[#This Row],[SL-KH25]],0)</f>
        <v>0</v>
      </c>
      <c r="AE121" s="23">
        <v>0</v>
      </c>
      <c r="AF121" s="23">
        <v>0</v>
      </c>
      <c r="AG121" s="23">
        <v>1293.2653388748208</v>
      </c>
      <c r="AH121" s="23">
        <v>0</v>
      </c>
      <c r="AI121" s="23">
        <v>0</v>
      </c>
      <c r="AJ121" s="23">
        <v>0</v>
      </c>
      <c r="AK121" s="23">
        <v>0</v>
      </c>
      <c r="AL121" s="23">
        <v>0</v>
      </c>
      <c r="AM121" s="111">
        <v>0</v>
      </c>
      <c r="AN121" s="51">
        <f ca="1">IFERROR(SUM(DB_25[[#This Row],[DT-01-USD]:[DT-09-USD]])/SUM(DB_25[[#This Row],[SL-01]:[SL-09]]),0)</f>
        <v>1293.2653388748208</v>
      </c>
      <c r="AO121" s="51">
        <f ca="1">DB_25[[#This Row],[GB-10]]</f>
        <v>1293.2653388748208</v>
      </c>
      <c r="AP121" s="51">
        <f ca="1">DB_25[[#This Row],[GB-11]]</f>
        <v>1293.2653388748208</v>
      </c>
      <c r="AQ121" s="7"/>
      <c r="AR121" s="7"/>
      <c r="AS121" s="7"/>
      <c r="AT121" s="7"/>
      <c r="AU121" s="47">
        <v>0</v>
      </c>
      <c r="AV121" s="47">
        <v>0</v>
      </c>
      <c r="AW121" s="47">
        <v>180486499.73312402</v>
      </c>
      <c r="AX121" s="47">
        <v>0</v>
      </c>
      <c r="AY121" s="47">
        <v>0</v>
      </c>
      <c r="AZ121" s="47">
        <v>0</v>
      </c>
      <c r="BA121" s="47">
        <v>0</v>
      </c>
      <c r="BB121" s="47">
        <v>0</v>
      </c>
      <c r="BC121" s="47">
        <v>0</v>
      </c>
      <c r="BD121" s="19">
        <f ca="1">DB_25[[#This Row],[SL-10]]*DB_25[[#This Row],[GB-10]]*BD$2/10^3</f>
        <v>0</v>
      </c>
      <c r="BE121" s="19">
        <f ca="1">DB_25[[#This Row],[SL-11]]*DB_25[[#This Row],[GB-11]]*BE$2/10^3</f>
        <v>0</v>
      </c>
      <c r="BF121" s="19">
        <f ca="1">DB_25[[#This Row],[SL-12]]*DB_25[[#This Row],[GB-12]]*BF$2/10^3</f>
        <v>0</v>
      </c>
      <c r="BG121" s="47">
        <f ca="1">SUM(DB_25[[#This Row],[DT-01]:[DT-12]])</f>
        <v>180486499.73312402</v>
      </c>
      <c r="BH121" s="7"/>
      <c r="BI121" s="7"/>
      <c r="BJ121" s="7"/>
      <c r="BK121" s="50">
        <v>0</v>
      </c>
      <c r="BL121" s="109">
        <v>0</v>
      </c>
      <c r="BM121" s="109">
        <v>7112.9593638115148</v>
      </c>
      <c r="BN121" s="109">
        <v>0</v>
      </c>
      <c r="BO121" s="109">
        <v>0</v>
      </c>
      <c r="BP121" s="109">
        <v>0</v>
      </c>
      <c r="BQ121" s="109">
        <v>0</v>
      </c>
      <c r="BR121" s="109">
        <v>0</v>
      </c>
      <c r="BS121" s="109">
        <v>0</v>
      </c>
      <c r="BT121" s="147">
        <f ca="1">DB_25[[#This Row],[SL-10]]*DB_25[[#This Row],[GB-10]]</f>
        <v>0</v>
      </c>
      <c r="BU121" s="147">
        <f ca="1">DB_25[[#This Row],[SL-11]]*DB_25[[#This Row],[GB-11]]</f>
        <v>0</v>
      </c>
      <c r="BV121" s="147">
        <f ca="1">DB_25[[#This Row],[SL-12]]*DB_25[[#This Row],[GB-12]]</f>
        <v>0</v>
      </c>
      <c r="BW121" s="47">
        <f ca="1">SUM(DB_25[[#This Row],[DT-01-USD]:[DT-12-USD]])</f>
        <v>7112.9593638115148</v>
      </c>
    </row>
    <row r="122" spans="1:75" x14ac:dyDescent="0.35">
      <c r="A122" s="18">
        <f>ROWS($A$6:A122)</f>
        <v>117</v>
      </c>
      <c r="B122" s="18" t="s">
        <v>115</v>
      </c>
      <c r="C122" s="18" t="str">
        <f>IFERROR(_xlfn.XLOOKUP(DB_25[[#This Row],[Salesman]],MD_Salesman[Salesman],MD_Salesman[SalesManager]),"")</f>
        <v>Quốc Anh</v>
      </c>
      <c r="D122" s="7" t="s">
        <v>635</v>
      </c>
      <c r="E122" s="7" t="s">
        <v>62</v>
      </c>
      <c r="F122" s="7"/>
      <c r="G122" s="7" t="str">
        <f>_xlfn.XLOOKUP(DB_25[[#This Row],[Mã khách]],MD_Customer[Mã khách],MD_Customer[Kênh bán hàng])</f>
        <v>Nội địa</v>
      </c>
      <c r="H122" s="7"/>
      <c r="I122" s="7"/>
      <c r="J122" s="7"/>
      <c r="K122" s="7" t="s">
        <v>203</v>
      </c>
      <c r="L122" s="7" t="s">
        <v>472</v>
      </c>
      <c r="M122" s="7" t="str">
        <f>_xlfn.XLOOKUP(DB_25[[#This Row],[Mã sản phẩm]],MD_SKU[Mã SKU],MD_SKU[Nhóm ngành])</f>
        <v>Vảy HD ép</v>
      </c>
      <c r="N122" s="7"/>
      <c r="O122" s="47"/>
      <c r="P122" s="47"/>
      <c r="Q122" s="47"/>
      <c r="R122" s="47"/>
      <c r="S122" s="47"/>
      <c r="T122" s="47"/>
      <c r="U122" s="47"/>
      <c r="V122" s="47"/>
      <c r="W122" s="110">
        <f ca="1">SUMIFS(Data_Actual_LG_EXW[SL],Data_Actual_LG_EXW[Year],2025,Data_Actual_LG_EXW[Month],'DB 2025'!W$1,Data_Actual_LG_EXW[Mã KH],DB_25[[#This Row],[Mã khách]],Data_Actual_LG_EXW[Mã SKU],DB_25[[#This Row],[Mã sản phẩm]])/10^3</f>
        <v>5.25</v>
      </c>
      <c r="X122" s="33"/>
      <c r="Y122" s="33"/>
      <c r="Z122" s="33"/>
      <c r="AA122" s="19">
        <f ca="1">SUM(DB_25[[#This Row],[SL-01]:[SL-12]])</f>
        <v>5.25</v>
      </c>
      <c r="AB122" s="7"/>
      <c r="AC122" s="20">
        <f ca="1">DB_25[[#This Row],[SL-DB25]]-DB_25[[#This Row],[SL-KH25]]</f>
        <v>5.25</v>
      </c>
      <c r="AD122" s="21">
        <f ca="1">IFERROR(DB_25[[#This Row],[SL-+/-]]/DB_25[[#This Row],[SL-KH25]],0)</f>
        <v>0</v>
      </c>
      <c r="AE122" s="23">
        <v>0</v>
      </c>
      <c r="AF122" s="23">
        <v>0</v>
      </c>
      <c r="AG122" s="23">
        <v>0</v>
      </c>
      <c r="AH122" s="23">
        <v>0</v>
      </c>
      <c r="AI122" s="23">
        <v>0</v>
      </c>
      <c r="AJ122" s="23">
        <v>0</v>
      </c>
      <c r="AK122" s="23">
        <v>0</v>
      </c>
      <c r="AL122" s="23">
        <v>0</v>
      </c>
      <c r="AM122" s="111">
        <v>609.83931627523339</v>
      </c>
      <c r="AN122" s="51">
        <f ca="1">IFERROR(SUM(DB_25[[#This Row],[DT-01-USD]:[DT-09-USD]])/SUM(DB_25[[#This Row],[SL-01]:[SL-09]]),0)</f>
        <v>609.83931627523339</v>
      </c>
      <c r="AO122" s="51">
        <f ca="1">DB_25[[#This Row],[GB-10]]</f>
        <v>609.83931627523339</v>
      </c>
      <c r="AP122" s="51">
        <f ca="1">DB_25[[#This Row],[GB-11]]</f>
        <v>609.83931627523339</v>
      </c>
      <c r="AQ122" s="7"/>
      <c r="AR122" s="7"/>
      <c r="AS122" s="7"/>
      <c r="AT122" s="7"/>
      <c r="AU122" s="47">
        <v>0</v>
      </c>
      <c r="AV122" s="47">
        <v>0</v>
      </c>
      <c r="AW122" s="47">
        <v>0</v>
      </c>
      <c r="AX122" s="47">
        <v>0</v>
      </c>
      <c r="AY122" s="47">
        <v>0</v>
      </c>
      <c r="AZ122" s="47">
        <v>0</v>
      </c>
      <c r="BA122" s="47">
        <v>0</v>
      </c>
      <c r="BB122" s="47">
        <v>0</v>
      </c>
      <c r="BC122" s="47">
        <v>83916985.20018886</v>
      </c>
      <c r="BD122" s="19">
        <f ca="1">DB_25[[#This Row],[SL-10]]*DB_25[[#This Row],[GB-10]]*BD$2/10^3</f>
        <v>0</v>
      </c>
      <c r="BE122" s="19">
        <f ca="1">DB_25[[#This Row],[SL-11]]*DB_25[[#This Row],[GB-11]]*BE$2/10^3</f>
        <v>0</v>
      </c>
      <c r="BF122" s="19">
        <f ca="1">DB_25[[#This Row],[SL-12]]*DB_25[[#This Row],[GB-12]]*BF$2/10^3</f>
        <v>0</v>
      </c>
      <c r="BG122" s="19">
        <f ca="1">SUM(DB_25[[#This Row],[DT-01]:[DT-12]])</f>
        <v>83916985.20018886</v>
      </c>
      <c r="BH122" s="7"/>
      <c r="BI122" s="7"/>
      <c r="BJ122" s="7"/>
      <c r="BK122" s="50">
        <v>0</v>
      </c>
      <c r="BL122" s="109">
        <v>0</v>
      </c>
      <c r="BM122" s="109">
        <v>0</v>
      </c>
      <c r="BN122" s="109">
        <v>0</v>
      </c>
      <c r="BO122" s="109">
        <v>0</v>
      </c>
      <c r="BP122" s="109">
        <v>0</v>
      </c>
      <c r="BQ122" s="109">
        <v>0</v>
      </c>
      <c r="BR122" s="109">
        <v>0</v>
      </c>
      <c r="BS122" s="109">
        <v>3201.6564104449753</v>
      </c>
      <c r="BT122" s="147">
        <f ca="1">DB_25[[#This Row],[SL-10]]*DB_25[[#This Row],[GB-10]]</f>
        <v>0</v>
      </c>
      <c r="BU122" s="147">
        <f ca="1">DB_25[[#This Row],[SL-11]]*DB_25[[#This Row],[GB-11]]</f>
        <v>0</v>
      </c>
      <c r="BV122" s="147">
        <f ca="1">DB_25[[#This Row],[SL-12]]*DB_25[[#This Row],[GB-12]]</f>
        <v>0</v>
      </c>
      <c r="BW122" s="47">
        <f ca="1">SUM(DB_25[[#This Row],[DT-01-USD]:[DT-12-USD]])</f>
        <v>3201.6564104449753</v>
      </c>
    </row>
    <row r="123" spans="1:75" x14ac:dyDescent="0.35">
      <c r="A123" s="18">
        <f>ROWS($A$6:A123)</f>
        <v>118</v>
      </c>
      <c r="B123" s="18" t="s">
        <v>115</v>
      </c>
      <c r="C123" s="18" t="str">
        <f>IFERROR(_xlfn.XLOOKUP(DB_25[[#This Row],[Salesman]],MD_Salesman[Salesman],MD_Salesman[SalesManager]),"")</f>
        <v>Quốc Anh</v>
      </c>
      <c r="D123" s="7" t="s">
        <v>635</v>
      </c>
      <c r="E123" s="7" t="s">
        <v>62</v>
      </c>
      <c r="F123" s="7"/>
      <c r="G123" s="7" t="str">
        <f>_xlfn.XLOOKUP(DB_25[[#This Row],[Mã khách]],MD_Customer[Mã khách],MD_Customer[Kênh bán hàng])</f>
        <v>Nội địa</v>
      </c>
      <c r="H123" s="7"/>
      <c r="I123" s="7"/>
      <c r="J123" s="7"/>
      <c r="K123" s="7" t="s">
        <v>204</v>
      </c>
      <c r="L123" s="7" t="s">
        <v>474</v>
      </c>
      <c r="M123" s="7" t="str">
        <f>_xlfn.XLOOKUP(DB_25[[#This Row],[Mã sản phẩm]],MD_SKU[Mã SKU],MD_SKU[Nhóm ngành])</f>
        <v>Vảy HD ép</v>
      </c>
      <c r="N123" s="7"/>
      <c r="O123" s="47"/>
      <c r="P123" s="47"/>
      <c r="Q123" s="47"/>
      <c r="R123" s="47"/>
      <c r="S123" s="47"/>
      <c r="T123" s="47"/>
      <c r="U123" s="47"/>
      <c r="V123" s="47"/>
      <c r="W123" s="110">
        <f ca="1">SUMIFS(Data_Actual_LG_EXW[SL],Data_Actual_LG_EXW[Year],2025,Data_Actual_LG_EXW[Month],'DB 2025'!W$1,Data_Actual_LG_EXW[Mã KH],DB_25[[#This Row],[Mã khách]],Data_Actual_LG_EXW[Mã SKU],DB_25[[#This Row],[Mã sản phẩm]])/10^3</f>
        <v>0</v>
      </c>
      <c r="X123" s="33"/>
      <c r="Y123" s="33"/>
      <c r="Z123" s="33"/>
      <c r="AA123" s="19">
        <f ca="1">SUM(DB_25[[#This Row],[SL-01]:[SL-12]])</f>
        <v>0</v>
      </c>
      <c r="AB123" s="7"/>
      <c r="AC123" s="20">
        <f ca="1">DB_25[[#This Row],[SL-DB25]]-DB_25[[#This Row],[SL-KH25]]</f>
        <v>0</v>
      </c>
      <c r="AD123" s="21">
        <f ca="1">IFERROR(DB_25[[#This Row],[SL-+/-]]/DB_25[[#This Row],[SL-KH25]],0)</f>
        <v>0</v>
      </c>
      <c r="AE123" s="23">
        <v>0</v>
      </c>
      <c r="AF123" s="23">
        <v>0</v>
      </c>
      <c r="AG123" s="23">
        <v>0</v>
      </c>
      <c r="AH123" s="23">
        <v>0</v>
      </c>
      <c r="AI123" s="23">
        <v>0</v>
      </c>
      <c r="AJ123" s="23">
        <v>0</v>
      </c>
      <c r="AK123" s="23">
        <v>0</v>
      </c>
      <c r="AL123" s="23">
        <v>0</v>
      </c>
      <c r="AM123" s="111">
        <v>0</v>
      </c>
      <c r="AN123" s="51">
        <f ca="1">IFERROR(SUM(DB_25[[#This Row],[DT-01-USD]:[DT-09-USD]])/SUM(DB_25[[#This Row],[SL-01]:[SL-09]]),0)</f>
        <v>0</v>
      </c>
      <c r="AO123" s="51">
        <f ca="1">DB_25[[#This Row],[GB-10]]</f>
        <v>0</v>
      </c>
      <c r="AP123" s="51">
        <f ca="1">DB_25[[#This Row],[GB-11]]</f>
        <v>0</v>
      </c>
      <c r="AQ123" s="7"/>
      <c r="AR123" s="7"/>
      <c r="AS123" s="7"/>
      <c r="AT123" s="7"/>
      <c r="AU123" s="47">
        <v>0</v>
      </c>
      <c r="AV123" s="47">
        <v>0</v>
      </c>
      <c r="AW123" s="47">
        <v>0</v>
      </c>
      <c r="AX123" s="47">
        <v>0</v>
      </c>
      <c r="AY123" s="47">
        <v>0</v>
      </c>
      <c r="AZ123" s="47">
        <v>0</v>
      </c>
      <c r="BA123" s="47">
        <v>0</v>
      </c>
      <c r="BB123" s="47">
        <v>0</v>
      </c>
      <c r="BC123" s="47">
        <v>0</v>
      </c>
      <c r="BD123" s="19">
        <f ca="1">DB_25[[#This Row],[SL-10]]*DB_25[[#This Row],[GB-10]]*BD$2/10^3</f>
        <v>0</v>
      </c>
      <c r="BE123" s="19">
        <f ca="1">DB_25[[#This Row],[SL-11]]*DB_25[[#This Row],[GB-11]]*BE$2/10^3</f>
        <v>0</v>
      </c>
      <c r="BF123" s="19">
        <f ca="1">DB_25[[#This Row],[SL-12]]*DB_25[[#This Row],[GB-12]]*BF$2/10^3</f>
        <v>0</v>
      </c>
      <c r="BG123" s="19">
        <f ca="1">SUM(DB_25[[#This Row],[DT-01]:[DT-12]])</f>
        <v>0</v>
      </c>
      <c r="BH123" s="7"/>
      <c r="BI123" s="7"/>
      <c r="BJ123" s="7"/>
      <c r="BK123" s="50">
        <v>0</v>
      </c>
      <c r="BL123" s="109">
        <v>0</v>
      </c>
      <c r="BM123" s="109">
        <v>0</v>
      </c>
      <c r="BN123" s="109">
        <v>0</v>
      </c>
      <c r="BO123" s="109">
        <v>0</v>
      </c>
      <c r="BP123" s="109">
        <v>0</v>
      </c>
      <c r="BQ123" s="109">
        <v>0</v>
      </c>
      <c r="BR123" s="109">
        <v>0</v>
      </c>
      <c r="BS123" s="109">
        <v>0</v>
      </c>
      <c r="BT123" s="147">
        <f ca="1">DB_25[[#This Row],[SL-10]]*DB_25[[#This Row],[GB-10]]</f>
        <v>0</v>
      </c>
      <c r="BU123" s="147">
        <f ca="1">DB_25[[#This Row],[SL-11]]*DB_25[[#This Row],[GB-11]]</f>
        <v>0</v>
      </c>
      <c r="BV123" s="147">
        <f ca="1">DB_25[[#This Row],[SL-12]]*DB_25[[#This Row],[GB-12]]</f>
        <v>0</v>
      </c>
      <c r="BW123" s="47">
        <f ca="1">SUM(DB_25[[#This Row],[DT-01-USD]:[DT-12-USD]])</f>
        <v>0</v>
      </c>
    </row>
    <row r="124" spans="1:75" x14ac:dyDescent="0.35">
      <c r="A124" s="18">
        <f>ROWS($A$6:A124)</f>
        <v>119</v>
      </c>
      <c r="B124" s="18" t="s">
        <v>95</v>
      </c>
      <c r="C124" s="18" t="str">
        <f>IFERROR(_xlfn.XLOOKUP(DB_25[[#This Row],[Salesman]],MD_Salesman[Salesman],MD_Salesman[SalesManager]),"")</f>
        <v>Cường</v>
      </c>
      <c r="D124" s="7" t="s">
        <v>662</v>
      </c>
      <c r="E124" s="7" t="s">
        <v>42</v>
      </c>
      <c r="F124" s="7"/>
      <c r="G124" s="7" t="str">
        <f>_xlfn.XLOOKUP(DB_25[[#This Row],[Mã khách]],MD_Customer[Mã khách],MD_Customer[Kênh bán hàng])</f>
        <v>Xuất khẩu</v>
      </c>
      <c r="H124" s="7"/>
      <c r="I124" s="7"/>
      <c r="J124" s="7"/>
      <c r="K124" s="7" t="s">
        <v>190</v>
      </c>
      <c r="L124" s="7" t="str">
        <f>_xlfn.XLOOKUP(DB_25[[#This Row],[Mã sản phẩm]],MD_SKU[Mã SKU],MD_SKU[Tên SKU-rút gọn])</f>
        <v>rHDA03N01</v>
      </c>
      <c r="M124" s="7" t="str">
        <f>_xlfn.XLOOKUP(DB_25[[#This Row],[Mã sản phẩm]],MD_SKU[Mã SKU],MD_SKU[Nhóm ngành])</f>
        <v>Hạt HD thổi</v>
      </c>
      <c r="N124" s="7"/>
      <c r="O124" s="47">
        <v>0</v>
      </c>
      <c r="P124" s="47">
        <v>0</v>
      </c>
      <c r="Q124" s="47">
        <v>0</v>
      </c>
      <c r="R124" s="47">
        <v>0</v>
      </c>
      <c r="S124" s="47">
        <v>0</v>
      </c>
      <c r="T124" s="47">
        <v>4.125</v>
      </c>
      <c r="U124" s="47">
        <v>0</v>
      </c>
      <c r="V124" s="47">
        <v>0</v>
      </c>
      <c r="W124" s="110">
        <f ca="1">SUMIFS(Data_Actual_LG_EXW[SL],Data_Actual_LG_EXW[Year],2025,Data_Actual_LG_EXW[Month],'DB 2025'!W$1,Data_Actual_LG_EXW[Mã KH],DB_25[[#This Row],[Mã khách]],Data_Actual_LG_EXW[Mã SKU],DB_25[[#This Row],[Mã sản phẩm]])/10^3</f>
        <v>0</v>
      </c>
      <c r="X124" s="33"/>
      <c r="Y124" s="33"/>
      <c r="Z124" s="33"/>
      <c r="AA124" s="19">
        <f ca="1">SUM(DB_25[[#This Row],[SL-01]:[SL-12]])</f>
        <v>4.125</v>
      </c>
      <c r="AB124" s="7"/>
      <c r="AC124" s="20">
        <f ca="1">DB_25[[#This Row],[SL-DB25]]-DB_25[[#This Row],[SL-KH25]]</f>
        <v>4.125</v>
      </c>
      <c r="AD124" s="21">
        <f ca="1">IFERROR(DB_25[[#This Row],[SL-+/-]]/DB_25[[#This Row],[SL-KH25]],0)</f>
        <v>0</v>
      </c>
      <c r="AE124" s="23">
        <v>0</v>
      </c>
      <c r="AF124" s="23">
        <v>0</v>
      </c>
      <c r="AG124" s="23">
        <v>0</v>
      </c>
      <c r="AH124" s="23">
        <v>0</v>
      </c>
      <c r="AI124" s="23">
        <v>0</v>
      </c>
      <c r="AJ124" s="23">
        <v>1401.5155969755583</v>
      </c>
      <c r="AK124" s="23">
        <v>0</v>
      </c>
      <c r="AL124" s="23">
        <v>0</v>
      </c>
      <c r="AM124" s="111">
        <v>0</v>
      </c>
      <c r="AN124" s="51">
        <f ca="1">IFERROR(SUM(DB_25[[#This Row],[DT-01-USD]:[DT-09-USD]])/SUM(DB_25[[#This Row],[SL-01]:[SL-09]]),0)</f>
        <v>1401.5155969755583</v>
      </c>
      <c r="AO124" s="51">
        <f ca="1">DB_25[[#This Row],[GB-10]]</f>
        <v>1401.5155969755583</v>
      </c>
      <c r="AP124" s="51">
        <f ca="1">DB_25[[#This Row],[GB-11]]</f>
        <v>1401.5155969755583</v>
      </c>
      <c r="AQ124" s="7"/>
      <c r="AR124" s="7"/>
      <c r="AS124" s="7"/>
      <c r="AT124" s="7"/>
      <c r="AU124" s="47">
        <v>0</v>
      </c>
      <c r="AV124" s="47">
        <v>0</v>
      </c>
      <c r="AW124" s="47">
        <v>0</v>
      </c>
      <c r="AX124" s="47">
        <v>0</v>
      </c>
      <c r="AY124" s="47">
        <v>0</v>
      </c>
      <c r="AZ124" s="47">
        <v>149445360</v>
      </c>
      <c r="BA124" s="47">
        <v>0</v>
      </c>
      <c r="BB124" s="47">
        <v>0</v>
      </c>
      <c r="BC124" s="47">
        <v>0</v>
      </c>
      <c r="BD124" s="19">
        <f ca="1">DB_25[[#This Row],[SL-10]]*DB_25[[#This Row],[GB-10]]*BD$2/10^3</f>
        <v>0</v>
      </c>
      <c r="BE124" s="19">
        <f ca="1">DB_25[[#This Row],[SL-11]]*DB_25[[#This Row],[GB-11]]*BE$2/10^3</f>
        <v>0</v>
      </c>
      <c r="BF124" s="19">
        <f ca="1">DB_25[[#This Row],[SL-12]]*DB_25[[#This Row],[GB-12]]*BF$2/10^3</f>
        <v>0</v>
      </c>
      <c r="BG124" s="47">
        <f ca="1">SUM(DB_25[[#This Row],[DT-01]:[DT-12]])</f>
        <v>149445360</v>
      </c>
      <c r="BH124" s="7"/>
      <c r="BI124" s="7"/>
      <c r="BJ124" s="7"/>
      <c r="BK124" s="50">
        <v>0</v>
      </c>
      <c r="BL124" s="109">
        <v>0</v>
      </c>
      <c r="BM124" s="109">
        <v>0</v>
      </c>
      <c r="BN124" s="109">
        <v>0</v>
      </c>
      <c r="BO124" s="109">
        <v>0</v>
      </c>
      <c r="BP124" s="109">
        <v>5781.251837524178</v>
      </c>
      <c r="BQ124" s="109">
        <v>0</v>
      </c>
      <c r="BR124" s="109">
        <v>0</v>
      </c>
      <c r="BS124" s="109">
        <v>0</v>
      </c>
      <c r="BT124" s="147">
        <f ca="1">DB_25[[#This Row],[SL-10]]*DB_25[[#This Row],[GB-10]]</f>
        <v>0</v>
      </c>
      <c r="BU124" s="147">
        <f ca="1">DB_25[[#This Row],[SL-11]]*DB_25[[#This Row],[GB-11]]</f>
        <v>0</v>
      </c>
      <c r="BV124" s="147">
        <f ca="1">DB_25[[#This Row],[SL-12]]*DB_25[[#This Row],[GB-12]]</f>
        <v>0</v>
      </c>
      <c r="BW124" s="47">
        <f ca="1">SUM(DB_25[[#This Row],[DT-01-USD]:[DT-12-USD]])</f>
        <v>5781.251837524178</v>
      </c>
    </row>
    <row r="125" spans="1:75" x14ac:dyDescent="0.35">
      <c r="A125" s="18">
        <f>ROWS($A$6:A125)</f>
        <v>120</v>
      </c>
      <c r="B125" s="18" t="s">
        <v>97</v>
      </c>
      <c r="C125" s="18" t="str">
        <f>IFERROR(_xlfn.XLOOKUP(DB_25[[#This Row],[Salesman]],MD_Salesman[Salesman],MD_Salesman[SalesManager]),"")</f>
        <v>Cường</v>
      </c>
      <c r="D125" s="7" t="s">
        <v>625</v>
      </c>
      <c r="E125" s="7" t="s">
        <v>271</v>
      </c>
      <c r="F125" s="7"/>
      <c r="G125" s="7" t="str">
        <f>_xlfn.XLOOKUP(DB_25[[#This Row],[Mã khách]],MD_Customer[Mã khách],MD_Customer[Kênh bán hàng])</f>
        <v>Nội địa</v>
      </c>
      <c r="H125" s="7"/>
      <c r="I125" s="7"/>
      <c r="J125" s="7"/>
      <c r="K125" s="7" t="s">
        <v>196</v>
      </c>
      <c r="L125" s="7" t="str">
        <f>_xlfn.XLOOKUP(DB_25[[#This Row],[Mã sản phẩm]],MD_SKU[Mã SKU],MD_SKU[Tên SKU-rút gọn])</f>
        <v>rHDI3Gy01</v>
      </c>
      <c r="M125" s="7" t="str">
        <f>_xlfn.XLOOKUP(DB_25[[#This Row],[Mã sản phẩm]],MD_SKU[Mã SKU],MD_SKU[Nhóm ngành])</f>
        <v>Hạt HD ép</v>
      </c>
      <c r="N125" s="7"/>
      <c r="O125" s="47">
        <v>0</v>
      </c>
      <c r="P125" s="47">
        <v>1</v>
      </c>
      <c r="Q125" s="47">
        <v>0</v>
      </c>
      <c r="R125" s="47">
        <v>0</v>
      </c>
      <c r="S125" s="47">
        <v>0</v>
      </c>
      <c r="T125" s="47">
        <v>1.375</v>
      </c>
      <c r="U125" s="47">
        <v>1.375</v>
      </c>
      <c r="V125" s="47">
        <v>0</v>
      </c>
      <c r="W125" s="110">
        <f ca="1">SUMIFS(Data_Actual_LG_EXW[SL],Data_Actual_LG_EXW[Year],2025,Data_Actual_LG_EXW[Month],'DB 2025'!W$1,Data_Actual_LG_EXW[Mã KH],DB_25[[#This Row],[Mã khách]],Data_Actual_LG_EXW[Mã SKU],DB_25[[#This Row],[Mã sản phẩm]])/10^3</f>
        <v>0</v>
      </c>
      <c r="X125" s="33"/>
      <c r="Y125" s="33"/>
      <c r="Z125" s="33"/>
      <c r="AA125" s="19">
        <f ca="1">SUM(DB_25[[#This Row],[SL-01]:[SL-12]])</f>
        <v>3.75</v>
      </c>
      <c r="AB125" s="7"/>
      <c r="AC125" s="20">
        <f ca="1">DB_25[[#This Row],[SL-DB25]]-DB_25[[#This Row],[SL-KH25]]</f>
        <v>3.75</v>
      </c>
      <c r="AD125" s="21">
        <f ca="1">IFERROR(DB_25[[#This Row],[SL-+/-]]/DB_25[[#This Row],[SL-KH25]],0)</f>
        <v>0</v>
      </c>
      <c r="AE125" s="23">
        <v>0</v>
      </c>
      <c r="AF125" s="23">
        <v>799.88151222720785</v>
      </c>
      <c r="AG125" s="23">
        <v>0</v>
      </c>
      <c r="AH125" s="23">
        <v>0</v>
      </c>
      <c r="AI125" s="23">
        <v>0</v>
      </c>
      <c r="AJ125" s="23">
        <v>771.75642589621702</v>
      </c>
      <c r="AK125" s="23">
        <v>769.58425913763119</v>
      </c>
      <c r="AL125" s="23">
        <v>0</v>
      </c>
      <c r="AM125" s="111">
        <v>0</v>
      </c>
      <c r="AN125" s="51">
        <f ca="1">IFERROR(SUM(DB_25[[#This Row],[DT-01-USD]:[DT-09-USD]])/SUM(DB_25[[#This Row],[SL-01]:[SL-09]]),0)</f>
        <v>778.45998777299974</v>
      </c>
      <c r="AO125" s="51">
        <f ca="1">DB_25[[#This Row],[GB-10]]</f>
        <v>778.45998777299974</v>
      </c>
      <c r="AP125" s="51">
        <f ca="1">DB_25[[#This Row],[GB-11]]</f>
        <v>778.45998777299974</v>
      </c>
      <c r="AQ125" s="7"/>
      <c r="AR125" s="7"/>
      <c r="AS125" s="7"/>
      <c r="AT125" s="7"/>
      <c r="AU125" s="47">
        <v>0</v>
      </c>
      <c r="AV125" s="47">
        <v>20214700</v>
      </c>
      <c r="AW125" s="47">
        <v>0</v>
      </c>
      <c r="AX125" s="47">
        <v>0</v>
      </c>
      <c r="AY125" s="47">
        <v>0</v>
      </c>
      <c r="AZ125" s="47">
        <v>27500000</v>
      </c>
      <c r="BA125" s="47">
        <v>27500000</v>
      </c>
      <c r="BB125" s="47">
        <v>0</v>
      </c>
      <c r="BC125" s="47">
        <v>0</v>
      </c>
      <c r="BD125" s="19">
        <f ca="1">DB_25[[#This Row],[SL-10]]*DB_25[[#This Row],[GB-10]]*BD$2/10^3</f>
        <v>0</v>
      </c>
      <c r="BE125" s="19">
        <f ca="1">DB_25[[#This Row],[SL-11]]*DB_25[[#This Row],[GB-11]]*BE$2/10^3</f>
        <v>0</v>
      </c>
      <c r="BF125" s="19">
        <f ca="1">DB_25[[#This Row],[SL-12]]*DB_25[[#This Row],[GB-12]]*BF$2/10^3</f>
        <v>0</v>
      </c>
      <c r="BG125" s="47">
        <f ca="1">SUM(DB_25[[#This Row],[DT-01]:[DT-12]])</f>
        <v>75214700</v>
      </c>
      <c r="BH125" s="7"/>
      <c r="BI125" s="7"/>
      <c r="BJ125" s="7"/>
      <c r="BK125" s="50">
        <v>0</v>
      </c>
      <c r="BL125" s="109">
        <v>799.88151222720785</v>
      </c>
      <c r="BM125" s="109">
        <v>0</v>
      </c>
      <c r="BN125" s="109">
        <v>0</v>
      </c>
      <c r="BO125" s="109">
        <v>0</v>
      </c>
      <c r="BP125" s="109">
        <v>1061.1650856072984</v>
      </c>
      <c r="BQ125" s="109">
        <v>1058.1783563142428</v>
      </c>
      <c r="BR125" s="109">
        <v>0</v>
      </c>
      <c r="BS125" s="109">
        <v>0</v>
      </c>
      <c r="BT125" s="147">
        <f ca="1">DB_25[[#This Row],[SL-10]]*DB_25[[#This Row],[GB-10]]</f>
        <v>0</v>
      </c>
      <c r="BU125" s="147">
        <f ca="1">DB_25[[#This Row],[SL-11]]*DB_25[[#This Row],[GB-11]]</f>
        <v>0</v>
      </c>
      <c r="BV125" s="147">
        <f ca="1">DB_25[[#This Row],[SL-12]]*DB_25[[#This Row],[GB-12]]</f>
        <v>0</v>
      </c>
      <c r="BW125" s="47">
        <f ca="1">SUM(DB_25[[#This Row],[DT-01-USD]:[DT-12-USD]])</f>
        <v>2919.224954148749</v>
      </c>
    </row>
    <row r="126" spans="1:75" x14ac:dyDescent="0.35">
      <c r="A126" s="18">
        <f>ROWS($A$6:A126)</f>
        <v>121</v>
      </c>
      <c r="B126" s="18" t="s">
        <v>115</v>
      </c>
      <c r="C126" s="18" t="str">
        <f>IFERROR(_xlfn.XLOOKUP(DB_25[[#This Row],[Salesman]],MD_Salesman[Salesman],MD_Salesman[SalesManager]),"")</f>
        <v>Quốc Anh</v>
      </c>
      <c r="D126" s="7" t="s">
        <v>663</v>
      </c>
      <c r="E126" s="7" t="s">
        <v>105</v>
      </c>
      <c r="F126" s="7"/>
      <c r="G126" s="7" t="str">
        <f>_xlfn.XLOOKUP(DB_25[[#This Row],[Mã khách]],MD_Customer[Mã khách],MD_Customer[Kênh bán hàng])</f>
        <v>Nội địa</v>
      </c>
      <c r="H126" s="7"/>
      <c r="I126" s="7"/>
      <c r="J126" s="7"/>
      <c r="K126" s="7" t="s">
        <v>171</v>
      </c>
      <c r="L126" s="7" t="str">
        <f>_xlfn.XLOOKUP(DB_25[[#This Row],[Mã sản phẩm]],MD_SKU[Mã SKU],MD_SKU[Tên SKU-rút gọn])</f>
        <v>WSS01G 1</v>
      </c>
      <c r="M126" s="7" t="str">
        <f>_xlfn.XLOOKUP(DB_25[[#This Row],[Mã sản phẩm]],MD_SKU[Mã SKU],MD_SKU[Nhóm ngành])</f>
        <v>Hạt PET</v>
      </c>
      <c r="N126" s="7"/>
      <c r="O126" s="47">
        <v>0</v>
      </c>
      <c r="P126" s="47">
        <v>0</v>
      </c>
      <c r="Q126" s="47">
        <v>0</v>
      </c>
      <c r="R126" s="47">
        <v>0</v>
      </c>
      <c r="S126" s="47">
        <v>3.3</v>
      </c>
      <c r="T126" s="47">
        <v>0</v>
      </c>
      <c r="U126" s="47">
        <v>0</v>
      </c>
      <c r="V126" s="47">
        <v>0</v>
      </c>
      <c r="W126" s="110">
        <f ca="1">SUMIFS(Data_Actual_LG_EXW[SL],Data_Actual_LG_EXW[Year],2025,Data_Actual_LG_EXW[Month],'DB 2025'!W$1,Data_Actual_LG_EXW[Mã KH],DB_25[[#This Row],[Mã khách]],Data_Actual_LG_EXW[Mã SKU],DB_25[[#This Row],[Mã sản phẩm]])/10^3</f>
        <v>0</v>
      </c>
      <c r="X126" s="33"/>
      <c r="Y126" s="33"/>
      <c r="Z126" s="33"/>
      <c r="AA126" s="19">
        <f ca="1">SUM(DB_25[[#This Row],[SL-01]:[SL-12]])</f>
        <v>3.3</v>
      </c>
      <c r="AB126" s="7"/>
      <c r="AC126" s="20">
        <f ca="1">DB_25[[#This Row],[SL-DB25]]-DB_25[[#This Row],[SL-KH25]]</f>
        <v>3.3</v>
      </c>
      <c r="AD126" s="21">
        <f ca="1">IFERROR(DB_25[[#This Row],[SL-+/-]]/DB_25[[#This Row],[SL-KH25]],0)</f>
        <v>0</v>
      </c>
      <c r="AE126" s="23">
        <v>0</v>
      </c>
      <c r="AF126" s="23">
        <v>0</v>
      </c>
      <c r="AG126" s="23">
        <v>0</v>
      </c>
      <c r="AH126" s="23">
        <v>0</v>
      </c>
      <c r="AI126" s="23">
        <v>1301.4749300585636</v>
      </c>
      <c r="AJ126" s="23">
        <v>0</v>
      </c>
      <c r="AK126" s="23">
        <v>0</v>
      </c>
      <c r="AL126" s="23">
        <v>0</v>
      </c>
      <c r="AM126" s="111">
        <v>0</v>
      </c>
      <c r="AN126" s="51">
        <f ca="1">IFERROR(SUM(DB_25[[#This Row],[DT-01-USD]:[DT-09-USD]])/SUM(DB_25[[#This Row],[SL-01]:[SL-09]]),0)</f>
        <v>1301.4749300585636</v>
      </c>
      <c r="AO126" s="51">
        <f ca="1">DB_25[[#This Row],[GB-10]]</f>
        <v>1301.4749300585636</v>
      </c>
      <c r="AP126" s="51">
        <f ca="1">DB_25[[#This Row],[GB-11]]</f>
        <v>1301.4749300585636</v>
      </c>
      <c r="AQ126" s="7"/>
      <c r="AR126" s="7"/>
      <c r="AS126" s="7"/>
      <c r="AT126" s="7"/>
      <c r="AU126" s="47">
        <v>0</v>
      </c>
      <c r="AV126" s="47">
        <v>0</v>
      </c>
      <c r="AW126" s="47">
        <v>0</v>
      </c>
      <c r="AX126" s="47">
        <v>0</v>
      </c>
      <c r="AY126" s="47">
        <v>110716727.34879406</v>
      </c>
      <c r="AZ126" s="47">
        <v>0</v>
      </c>
      <c r="BA126" s="47">
        <v>0</v>
      </c>
      <c r="BB126" s="47">
        <v>0</v>
      </c>
      <c r="BC126" s="47">
        <v>0</v>
      </c>
      <c r="BD126" s="19">
        <f ca="1">DB_25[[#This Row],[SL-10]]*DB_25[[#This Row],[GB-10]]*BD$2/10^3</f>
        <v>0</v>
      </c>
      <c r="BE126" s="19">
        <f ca="1">DB_25[[#This Row],[SL-11]]*DB_25[[#This Row],[GB-11]]*BE$2/10^3</f>
        <v>0</v>
      </c>
      <c r="BF126" s="19">
        <f ca="1">DB_25[[#This Row],[SL-12]]*DB_25[[#This Row],[GB-12]]*BF$2/10^3</f>
        <v>0</v>
      </c>
      <c r="BG126" s="47">
        <f ca="1">SUM(DB_25[[#This Row],[DT-01]:[DT-12]])</f>
        <v>110716727.34879406</v>
      </c>
      <c r="BH126" s="7"/>
      <c r="BI126" s="7"/>
      <c r="BJ126" s="7"/>
      <c r="BK126" s="50">
        <v>0</v>
      </c>
      <c r="BL126" s="109">
        <v>0</v>
      </c>
      <c r="BM126" s="109">
        <v>0</v>
      </c>
      <c r="BN126" s="109">
        <v>0</v>
      </c>
      <c r="BO126" s="109">
        <v>4294.8672691932597</v>
      </c>
      <c r="BP126" s="109">
        <v>0</v>
      </c>
      <c r="BQ126" s="109">
        <v>0</v>
      </c>
      <c r="BR126" s="109">
        <v>0</v>
      </c>
      <c r="BS126" s="109">
        <v>0</v>
      </c>
      <c r="BT126" s="147">
        <f ca="1">DB_25[[#This Row],[SL-10]]*DB_25[[#This Row],[GB-10]]</f>
        <v>0</v>
      </c>
      <c r="BU126" s="147">
        <f ca="1">DB_25[[#This Row],[SL-11]]*DB_25[[#This Row],[GB-11]]</f>
        <v>0</v>
      </c>
      <c r="BV126" s="147">
        <f ca="1">DB_25[[#This Row],[SL-12]]*DB_25[[#This Row],[GB-12]]</f>
        <v>0</v>
      </c>
      <c r="BW126" s="47">
        <f ca="1">SUM(DB_25[[#This Row],[DT-01-USD]:[DT-12-USD]])</f>
        <v>4294.8672691932597</v>
      </c>
    </row>
    <row r="127" spans="1:75" x14ac:dyDescent="0.35">
      <c r="A127" s="18">
        <f>ROWS($A$6:A127)</f>
        <v>122</v>
      </c>
      <c r="B127" s="18" t="s">
        <v>115</v>
      </c>
      <c r="C127" s="18" t="str">
        <f>IFERROR(_xlfn.XLOOKUP(DB_25[[#This Row],[Salesman]],MD_Salesman[Salesman],MD_Salesman[SalesManager]),"")</f>
        <v>Quốc Anh</v>
      </c>
      <c r="D127" s="7" t="s">
        <v>664</v>
      </c>
      <c r="E127" s="7" t="s">
        <v>326</v>
      </c>
      <c r="F127" s="7"/>
      <c r="G127" s="7" t="str">
        <f>_xlfn.XLOOKUP(DB_25[[#This Row],[Mã khách]],MD_Customer[Mã khách],MD_Customer[Kênh bán hàng])</f>
        <v>Nội địa</v>
      </c>
      <c r="H127" s="7"/>
      <c r="I127" s="7"/>
      <c r="J127" s="7"/>
      <c r="K127" s="7" t="s">
        <v>168</v>
      </c>
      <c r="L127" s="7" t="str">
        <f>_xlfn.XLOOKUP(DB_25[[#This Row],[Mã sản phẩm]],MD_SKU[Mã SKU],MD_SKU[Tên SKU-rút gọn])</f>
        <v>iSS1084G</v>
      </c>
      <c r="M127" s="7" t="str">
        <f>_xlfn.XLOOKUP(DB_25[[#This Row],[Mã sản phẩm]],MD_SKU[Mã SKU],MD_SKU[Nhóm ngành])</f>
        <v>Hạt PET</v>
      </c>
      <c r="N127" s="7"/>
      <c r="O127" s="47">
        <v>0</v>
      </c>
      <c r="P127" s="47">
        <v>0</v>
      </c>
      <c r="Q127" s="47">
        <v>0</v>
      </c>
      <c r="R127" s="47">
        <v>3.3</v>
      </c>
      <c r="S127" s="47">
        <v>0</v>
      </c>
      <c r="T127" s="47">
        <v>0</v>
      </c>
      <c r="U127" s="47">
        <v>0</v>
      </c>
      <c r="V127" s="47">
        <v>0</v>
      </c>
      <c r="W127" s="110">
        <f ca="1">SUMIFS(Data_Actual_LG_EXW[SL],Data_Actual_LG_EXW[Year],2025,Data_Actual_LG_EXW[Month],'DB 2025'!W$1,Data_Actual_LG_EXW[Mã KH],DB_25[[#This Row],[Mã khách]],Data_Actual_LG_EXW[Mã SKU],DB_25[[#This Row],[Mã sản phẩm]])/10^3</f>
        <v>0</v>
      </c>
      <c r="X127" s="33"/>
      <c r="Y127" s="33"/>
      <c r="Z127" s="33"/>
      <c r="AA127" s="19">
        <f ca="1">SUM(DB_25[[#This Row],[SL-01]:[SL-12]])</f>
        <v>3.3</v>
      </c>
      <c r="AB127" s="7"/>
      <c r="AC127" s="20">
        <f ca="1">DB_25[[#This Row],[SL-DB25]]-DB_25[[#This Row],[SL-KH25]]</f>
        <v>3.3</v>
      </c>
      <c r="AD127" s="21">
        <f ca="1">IFERROR(DB_25[[#This Row],[SL-+/-]]/DB_25[[#This Row],[SL-KH25]],0)</f>
        <v>0</v>
      </c>
      <c r="AE127" s="23">
        <v>0</v>
      </c>
      <c r="AF127" s="23">
        <v>0</v>
      </c>
      <c r="AG127" s="23">
        <v>0</v>
      </c>
      <c r="AH127" s="23">
        <v>1581.2955455708886</v>
      </c>
      <c r="AI127" s="23">
        <v>0</v>
      </c>
      <c r="AJ127" s="23">
        <v>0</v>
      </c>
      <c r="AK127" s="23">
        <v>0</v>
      </c>
      <c r="AL127" s="23">
        <v>0</v>
      </c>
      <c r="AM127" s="111">
        <v>0</v>
      </c>
      <c r="AN127" s="51">
        <f ca="1">IFERROR(SUM(DB_25[[#This Row],[DT-01-USD]:[DT-09-USD]])/SUM(DB_25[[#This Row],[SL-01]:[SL-09]]),0)</f>
        <v>1581.2955455708886</v>
      </c>
      <c r="AO127" s="51">
        <f ca="1">DB_25[[#This Row],[GB-10]]</f>
        <v>1581.2955455708886</v>
      </c>
      <c r="AP127" s="51">
        <f ca="1">DB_25[[#This Row],[GB-11]]</f>
        <v>1581.2955455708886</v>
      </c>
      <c r="AQ127" s="7"/>
      <c r="AR127" s="7"/>
      <c r="AS127" s="7"/>
      <c r="AT127" s="7"/>
      <c r="AU127" s="47">
        <v>0</v>
      </c>
      <c r="AV127" s="47">
        <v>0</v>
      </c>
      <c r="AW127" s="47">
        <v>0</v>
      </c>
      <c r="AX127" s="47">
        <v>133958947.25040984</v>
      </c>
      <c r="AY127" s="47">
        <v>0</v>
      </c>
      <c r="AZ127" s="47">
        <v>0</v>
      </c>
      <c r="BA127" s="47">
        <v>0</v>
      </c>
      <c r="BB127" s="47">
        <v>0</v>
      </c>
      <c r="BC127" s="47">
        <v>0</v>
      </c>
      <c r="BD127" s="19">
        <f ca="1">DB_25[[#This Row],[SL-10]]*DB_25[[#This Row],[GB-10]]*BD$2/10^3</f>
        <v>0</v>
      </c>
      <c r="BE127" s="19">
        <f ca="1">DB_25[[#This Row],[SL-11]]*DB_25[[#This Row],[GB-11]]*BE$2/10^3</f>
        <v>0</v>
      </c>
      <c r="BF127" s="19">
        <f ca="1">DB_25[[#This Row],[SL-12]]*DB_25[[#This Row],[GB-12]]*BF$2/10^3</f>
        <v>0</v>
      </c>
      <c r="BG127" s="47">
        <f ca="1">SUM(DB_25[[#This Row],[DT-01]:[DT-12]])</f>
        <v>133958947.25040984</v>
      </c>
      <c r="BH127" s="7"/>
      <c r="BI127" s="7"/>
      <c r="BJ127" s="7"/>
      <c r="BK127" s="50">
        <v>0</v>
      </c>
      <c r="BL127" s="109">
        <v>0</v>
      </c>
      <c r="BM127" s="109">
        <v>0</v>
      </c>
      <c r="BN127" s="109">
        <v>5218.2753003839325</v>
      </c>
      <c r="BO127" s="109">
        <v>0</v>
      </c>
      <c r="BP127" s="109">
        <v>0</v>
      </c>
      <c r="BQ127" s="109">
        <v>0</v>
      </c>
      <c r="BR127" s="109">
        <v>0</v>
      </c>
      <c r="BS127" s="109">
        <v>0</v>
      </c>
      <c r="BT127" s="147">
        <f ca="1">DB_25[[#This Row],[SL-10]]*DB_25[[#This Row],[GB-10]]</f>
        <v>0</v>
      </c>
      <c r="BU127" s="147">
        <f ca="1">DB_25[[#This Row],[SL-11]]*DB_25[[#This Row],[GB-11]]</f>
        <v>0</v>
      </c>
      <c r="BV127" s="147">
        <f ca="1">DB_25[[#This Row],[SL-12]]*DB_25[[#This Row],[GB-12]]</f>
        <v>0</v>
      </c>
      <c r="BW127" s="47">
        <f ca="1">SUM(DB_25[[#This Row],[DT-01-USD]:[DT-12-USD]])</f>
        <v>5218.2753003839325</v>
      </c>
    </row>
    <row r="128" spans="1:75" x14ac:dyDescent="0.35">
      <c r="A128" s="18">
        <f>ROWS($A$6:A128)</f>
        <v>123</v>
      </c>
      <c r="B128" s="18" t="s">
        <v>97</v>
      </c>
      <c r="C128" s="18" t="str">
        <f>IFERROR(_xlfn.XLOOKUP(DB_25[[#This Row],[Salesman]],MD_Salesman[Salesman],MD_Salesman[SalesManager]),"")</f>
        <v>Cường</v>
      </c>
      <c r="D128" s="7" t="s">
        <v>606</v>
      </c>
      <c r="E128" s="7" t="s">
        <v>325</v>
      </c>
      <c r="F128" s="7"/>
      <c r="G128" s="7" t="str">
        <f>_xlfn.XLOOKUP(DB_25[[#This Row],[Mã khách]],MD_Customer[Mã khách],MD_Customer[Kênh bán hàng])</f>
        <v>Nội địa</v>
      </c>
      <c r="H128" s="7"/>
      <c r="I128" s="7"/>
      <c r="J128" s="7"/>
      <c r="K128" s="7" t="s">
        <v>172</v>
      </c>
      <c r="L128" s="7" t="str">
        <f>_xlfn.XLOOKUP(DB_25[[#This Row],[Mã sản phẩm]],MD_SKU[Mã SKU],MD_SKU[Tên SKU-rút gọn])</f>
        <v>iSS01G 1</v>
      </c>
      <c r="M128" s="7" t="str">
        <f>_xlfn.XLOOKUP(DB_25[[#This Row],[Mã sản phẩm]],MD_SKU[Mã SKU],MD_SKU[Nhóm ngành])</f>
        <v>Hạt PET</v>
      </c>
      <c r="N128" s="7"/>
      <c r="O128" s="47">
        <v>3.3</v>
      </c>
      <c r="P128" s="47">
        <v>0</v>
      </c>
      <c r="Q128" s="47">
        <v>0</v>
      </c>
      <c r="R128" s="47">
        <v>0</v>
      </c>
      <c r="S128" s="47">
        <v>0</v>
      </c>
      <c r="T128" s="47">
        <v>0</v>
      </c>
      <c r="U128" s="47">
        <v>0</v>
      </c>
      <c r="V128" s="47">
        <v>0</v>
      </c>
      <c r="W128" s="110">
        <f ca="1">SUMIFS(Data_Actual_LG_EXW[SL],Data_Actual_LG_EXW[Year],2025,Data_Actual_LG_EXW[Month],'DB 2025'!W$1,Data_Actual_LG_EXW[Mã KH],DB_25[[#This Row],[Mã khách]],Data_Actual_LG_EXW[Mã SKU],DB_25[[#This Row],[Mã sản phẩm]])/10^3</f>
        <v>0</v>
      </c>
      <c r="X128" s="33"/>
      <c r="Y128" s="33"/>
      <c r="Z128" s="33"/>
      <c r="AA128" s="19">
        <f ca="1">SUM(DB_25[[#This Row],[SL-01]:[SL-12]])</f>
        <v>3.3</v>
      </c>
      <c r="AB128" s="7"/>
      <c r="AC128" s="20">
        <f ca="1">DB_25[[#This Row],[SL-DB25]]-DB_25[[#This Row],[SL-KH25]]</f>
        <v>3.3</v>
      </c>
      <c r="AD128" s="21">
        <f ca="1">IFERROR(DB_25[[#This Row],[SL-+/-]]/DB_25[[#This Row],[SL-KH25]],0)</f>
        <v>0</v>
      </c>
      <c r="AE128" s="23">
        <v>1402.3529081734698</v>
      </c>
      <c r="AF128" s="23">
        <v>0</v>
      </c>
      <c r="AG128" s="23">
        <v>0</v>
      </c>
      <c r="AH128" s="23">
        <v>0</v>
      </c>
      <c r="AI128" s="23">
        <v>0</v>
      </c>
      <c r="AJ128" s="23">
        <v>0</v>
      </c>
      <c r="AK128" s="23">
        <v>0</v>
      </c>
      <c r="AL128" s="23">
        <v>0</v>
      </c>
      <c r="AM128" s="111">
        <v>0</v>
      </c>
      <c r="AN128" s="51">
        <f ca="1">IFERROR(SUM(DB_25[[#This Row],[DT-01-USD]:[DT-09-USD]])/SUM(DB_25[[#This Row],[SL-01]:[SL-09]]),0)</f>
        <v>1402.3529081734698</v>
      </c>
      <c r="AO128" s="51">
        <f ca="1">DB_25[[#This Row],[GB-10]]</f>
        <v>1402.3529081734698</v>
      </c>
      <c r="AP128" s="51">
        <f ca="1">DB_25[[#This Row],[GB-11]]</f>
        <v>1402.3529081734698</v>
      </c>
      <c r="AQ128" s="7"/>
      <c r="AR128" s="7"/>
      <c r="AS128" s="7"/>
      <c r="AT128" s="7"/>
      <c r="AU128" s="47">
        <v>116637094.97829716</v>
      </c>
      <c r="AV128" s="47">
        <v>0</v>
      </c>
      <c r="AW128" s="47">
        <v>0</v>
      </c>
      <c r="AX128" s="47">
        <v>0</v>
      </c>
      <c r="AY128" s="47">
        <v>0</v>
      </c>
      <c r="AZ128" s="47">
        <v>0</v>
      </c>
      <c r="BA128" s="47">
        <v>0</v>
      </c>
      <c r="BB128" s="47">
        <v>0</v>
      </c>
      <c r="BC128" s="47">
        <v>0</v>
      </c>
      <c r="BD128" s="19">
        <f ca="1">DB_25[[#This Row],[SL-10]]*DB_25[[#This Row],[GB-10]]*BD$2/10^3</f>
        <v>0</v>
      </c>
      <c r="BE128" s="19">
        <f ca="1">DB_25[[#This Row],[SL-11]]*DB_25[[#This Row],[GB-11]]*BE$2/10^3</f>
        <v>0</v>
      </c>
      <c r="BF128" s="19">
        <f ca="1">DB_25[[#This Row],[SL-12]]*DB_25[[#This Row],[GB-12]]*BF$2/10^3</f>
        <v>0</v>
      </c>
      <c r="BG128" s="47">
        <f ca="1">SUM(DB_25[[#This Row],[DT-01]:[DT-12]])</f>
        <v>116637094.97829716</v>
      </c>
      <c r="BH128" s="7"/>
      <c r="BI128" s="7"/>
      <c r="BJ128" s="7"/>
      <c r="BK128" s="50">
        <v>4627.7645969724499</v>
      </c>
      <c r="BL128" s="109">
        <v>0</v>
      </c>
      <c r="BM128" s="109">
        <v>0</v>
      </c>
      <c r="BN128" s="109">
        <v>0</v>
      </c>
      <c r="BO128" s="109">
        <v>0</v>
      </c>
      <c r="BP128" s="109">
        <v>0</v>
      </c>
      <c r="BQ128" s="109">
        <v>0</v>
      </c>
      <c r="BR128" s="109">
        <v>0</v>
      </c>
      <c r="BS128" s="109">
        <v>0</v>
      </c>
      <c r="BT128" s="147">
        <f ca="1">DB_25[[#This Row],[SL-10]]*DB_25[[#This Row],[GB-10]]</f>
        <v>0</v>
      </c>
      <c r="BU128" s="147">
        <f ca="1">DB_25[[#This Row],[SL-11]]*DB_25[[#This Row],[GB-11]]</f>
        <v>0</v>
      </c>
      <c r="BV128" s="147">
        <f ca="1">DB_25[[#This Row],[SL-12]]*DB_25[[#This Row],[GB-12]]</f>
        <v>0</v>
      </c>
      <c r="BW128" s="47">
        <f ca="1">SUM(DB_25[[#This Row],[DT-01-USD]:[DT-12-USD]])</f>
        <v>4627.7645969724499</v>
      </c>
    </row>
    <row r="129" spans="1:75" x14ac:dyDescent="0.35">
      <c r="A129" s="18">
        <f>ROWS($A$6:A129)</f>
        <v>124</v>
      </c>
      <c r="B129" s="18" t="s">
        <v>97</v>
      </c>
      <c r="C129" s="18" t="str">
        <f>IFERROR(_xlfn.XLOOKUP(DB_25[[#This Row],[Salesman]],MD_Salesman[Salesman],MD_Salesman[SalesManager]),"")</f>
        <v>Cường</v>
      </c>
      <c r="D129" s="7" t="s">
        <v>665</v>
      </c>
      <c r="E129" s="7" t="s">
        <v>498</v>
      </c>
      <c r="F129" s="7"/>
      <c r="G129" s="7" t="str">
        <f>_xlfn.XLOOKUP(DB_25[[#This Row],[Mã khách]],MD_Customer[Mã khách],MD_Customer[Kênh bán hàng])</f>
        <v>Nội địa</v>
      </c>
      <c r="H129" s="7"/>
      <c r="I129" s="7"/>
      <c r="J129" s="7"/>
      <c r="K129" s="7" t="s">
        <v>168</v>
      </c>
      <c r="L129" s="7" t="str">
        <f>_xlfn.XLOOKUP(DB_25[[#This Row],[Mã sản phẩm]],MD_SKU[Mã SKU],MD_SKU[Tên SKU-rút gọn])</f>
        <v>iSS1084G</v>
      </c>
      <c r="M129" s="7" t="str">
        <f>_xlfn.XLOOKUP(DB_25[[#This Row],[Mã sản phẩm]],MD_SKU[Mã SKU],MD_SKU[Nhóm ngành])</f>
        <v>Hạt PET</v>
      </c>
      <c r="N129" s="7"/>
      <c r="O129" s="47">
        <v>0</v>
      </c>
      <c r="P129" s="47">
        <v>0</v>
      </c>
      <c r="Q129" s="47">
        <v>0</v>
      </c>
      <c r="R129" s="47">
        <v>0</v>
      </c>
      <c r="S129" s="47">
        <v>0</v>
      </c>
      <c r="T129" s="47">
        <v>2.7891999999999997</v>
      </c>
      <c r="U129" s="47">
        <v>0</v>
      </c>
      <c r="V129" s="47">
        <v>0</v>
      </c>
      <c r="W129" s="110">
        <f ca="1">SUMIFS(Data_Actual_LG_EXW[SL],Data_Actual_LG_EXW[Year],2025,Data_Actual_LG_EXW[Month],'DB 2025'!W$1,Data_Actual_LG_EXW[Mã KH],DB_25[[#This Row],[Mã khách]],Data_Actual_LG_EXW[Mã SKU],DB_25[[#This Row],[Mã sản phẩm]])/10^3</f>
        <v>0</v>
      </c>
      <c r="X129" s="33"/>
      <c r="Y129" s="33"/>
      <c r="Z129" s="33"/>
      <c r="AA129" s="19">
        <f ca="1">SUM(DB_25[[#This Row],[SL-01]:[SL-12]])</f>
        <v>2.7891999999999997</v>
      </c>
      <c r="AB129" s="7"/>
      <c r="AC129" s="20">
        <f ca="1">DB_25[[#This Row],[SL-DB25]]-DB_25[[#This Row],[SL-KH25]]</f>
        <v>2.7891999999999997</v>
      </c>
      <c r="AD129" s="21">
        <f ca="1">IFERROR(DB_25[[#This Row],[SL-+/-]]/DB_25[[#This Row],[SL-KH25]],0)</f>
        <v>0</v>
      </c>
      <c r="AE129" s="23">
        <v>0</v>
      </c>
      <c r="AF129" s="23">
        <v>0</v>
      </c>
      <c r="AG129" s="23">
        <v>0</v>
      </c>
      <c r="AH129" s="23">
        <v>0</v>
      </c>
      <c r="AI129" s="23">
        <v>0</v>
      </c>
      <c r="AJ129" s="23">
        <v>1386.6107412630015</v>
      </c>
      <c r="AK129" s="23">
        <v>0</v>
      </c>
      <c r="AL129" s="23">
        <v>0</v>
      </c>
      <c r="AM129" s="111">
        <v>0</v>
      </c>
      <c r="AN129" s="51">
        <f ca="1">IFERROR(SUM(DB_25[[#This Row],[DT-01-USD]:[DT-09-USD]])/SUM(DB_25[[#This Row],[SL-01]:[SL-09]]),0)</f>
        <v>1386.6107412630015</v>
      </c>
      <c r="AO129" s="51">
        <f ca="1">DB_25[[#This Row],[GB-10]]</f>
        <v>1386.6107412630015</v>
      </c>
      <c r="AP129" s="51">
        <f ca="1">DB_25[[#This Row],[GB-11]]</f>
        <v>1386.6107412630015</v>
      </c>
      <c r="AQ129" s="7"/>
      <c r="AR129" s="7"/>
      <c r="AS129" s="7"/>
      <c r="AT129" s="7"/>
      <c r="AU129" s="47">
        <v>0</v>
      </c>
      <c r="AV129" s="47">
        <v>0</v>
      </c>
      <c r="AW129" s="47">
        <v>0</v>
      </c>
      <c r="AX129" s="47">
        <v>0</v>
      </c>
      <c r="AY129" s="47">
        <v>0</v>
      </c>
      <c r="AZ129" s="47">
        <v>100226821.56587201</v>
      </c>
      <c r="BA129" s="47">
        <v>0</v>
      </c>
      <c r="BB129" s="47">
        <v>0</v>
      </c>
      <c r="BC129" s="47">
        <v>0</v>
      </c>
      <c r="BD129" s="19">
        <f ca="1">DB_25[[#This Row],[SL-10]]*DB_25[[#This Row],[GB-10]]*BD$2/10^3</f>
        <v>0</v>
      </c>
      <c r="BE129" s="19">
        <f ca="1">DB_25[[#This Row],[SL-11]]*DB_25[[#This Row],[GB-11]]*BE$2/10^3</f>
        <v>0</v>
      </c>
      <c r="BF129" s="19">
        <f ca="1">DB_25[[#This Row],[SL-12]]*DB_25[[#This Row],[GB-12]]*BF$2/10^3</f>
        <v>0</v>
      </c>
      <c r="BG129" s="47">
        <f ca="1">SUM(DB_25[[#This Row],[DT-01]:[DT-12]])</f>
        <v>100226821.56587201</v>
      </c>
      <c r="BH129" s="7"/>
      <c r="BI129" s="7"/>
      <c r="BJ129" s="7"/>
      <c r="BK129" s="50">
        <v>0</v>
      </c>
      <c r="BL129" s="109">
        <v>0</v>
      </c>
      <c r="BM129" s="109">
        <v>0</v>
      </c>
      <c r="BN129" s="109">
        <v>0</v>
      </c>
      <c r="BO129" s="109">
        <v>0</v>
      </c>
      <c r="BP129" s="109">
        <v>3867.5346795307632</v>
      </c>
      <c r="BQ129" s="109">
        <v>0</v>
      </c>
      <c r="BR129" s="109">
        <v>0</v>
      </c>
      <c r="BS129" s="109">
        <v>0</v>
      </c>
      <c r="BT129" s="147">
        <f ca="1">DB_25[[#This Row],[SL-10]]*DB_25[[#This Row],[GB-10]]</f>
        <v>0</v>
      </c>
      <c r="BU129" s="147">
        <f ca="1">DB_25[[#This Row],[SL-11]]*DB_25[[#This Row],[GB-11]]</f>
        <v>0</v>
      </c>
      <c r="BV129" s="147">
        <f ca="1">DB_25[[#This Row],[SL-12]]*DB_25[[#This Row],[GB-12]]</f>
        <v>0</v>
      </c>
      <c r="BW129" s="47">
        <f ca="1">SUM(DB_25[[#This Row],[DT-01-USD]:[DT-12-USD]])</f>
        <v>3867.5346795307632</v>
      </c>
    </row>
    <row r="130" spans="1:75" x14ac:dyDescent="0.35">
      <c r="A130" s="18">
        <f>ROWS($A$6:A130)</f>
        <v>125</v>
      </c>
      <c r="B130" s="18" t="s">
        <v>97</v>
      </c>
      <c r="C130" s="18" t="str">
        <f>IFERROR(_xlfn.XLOOKUP(DB_25[[#This Row],[Salesman]],MD_Salesman[Salesman],MD_Salesman[SalesManager]),"")</f>
        <v>Cường</v>
      </c>
      <c r="D130" s="7" t="s">
        <v>625</v>
      </c>
      <c r="E130" s="7" t="s">
        <v>271</v>
      </c>
      <c r="F130" s="7"/>
      <c r="G130" s="7" t="str">
        <f>_xlfn.XLOOKUP(DB_25[[#This Row],[Mã khách]],MD_Customer[Mã khách],MD_Customer[Kênh bán hàng])</f>
        <v>Nội địa</v>
      </c>
      <c r="H130" s="7"/>
      <c r="I130" s="7"/>
      <c r="J130" s="7"/>
      <c r="K130" s="7" t="s">
        <v>199</v>
      </c>
      <c r="L130" s="7" t="str">
        <f>_xlfn.XLOOKUP(DB_25[[#This Row],[Mã sản phẩm]],MD_SKU[Mã SKU],MD_SKU[Tên SKU-rút gọn])</f>
        <v>rHDI3G01</v>
      </c>
      <c r="M130" s="7" t="str">
        <f>_xlfn.XLOOKUP(DB_25[[#This Row],[Mã sản phẩm]],MD_SKU[Mã SKU],MD_SKU[Nhóm ngành])</f>
        <v>Hạt HD ép</v>
      </c>
      <c r="N130" s="7"/>
      <c r="O130" s="47">
        <v>0</v>
      </c>
      <c r="P130" s="47">
        <v>0</v>
      </c>
      <c r="Q130" s="47">
        <v>0</v>
      </c>
      <c r="R130" s="47">
        <v>0</v>
      </c>
      <c r="S130" s="47">
        <v>0</v>
      </c>
      <c r="T130" s="47">
        <v>0</v>
      </c>
      <c r="U130" s="47">
        <v>2.75</v>
      </c>
      <c r="V130" s="47">
        <v>0</v>
      </c>
      <c r="W130" s="110">
        <f ca="1">SUMIFS(Data_Actual_LG_EXW[SL],Data_Actual_LG_EXW[Year],2025,Data_Actual_LG_EXW[Month],'DB 2025'!W$1,Data_Actual_LG_EXW[Mã KH],DB_25[[#This Row],[Mã khách]],Data_Actual_LG_EXW[Mã SKU],DB_25[[#This Row],[Mã sản phẩm]])/10^3</f>
        <v>0</v>
      </c>
      <c r="X130" s="33"/>
      <c r="Y130" s="33"/>
      <c r="Z130" s="33"/>
      <c r="AA130" s="19">
        <f ca="1">SUM(DB_25[[#This Row],[SL-01]:[SL-12]])</f>
        <v>2.75</v>
      </c>
      <c r="AB130" s="7"/>
      <c r="AC130" s="20">
        <f ca="1">DB_25[[#This Row],[SL-DB25]]-DB_25[[#This Row],[SL-KH25]]</f>
        <v>2.75</v>
      </c>
      <c r="AD130" s="21">
        <f ca="1">IFERROR(DB_25[[#This Row],[SL-+/-]]/DB_25[[#This Row],[SL-KH25]],0)</f>
        <v>0</v>
      </c>
      <c r="AE130" s="23">
        <v>0</v>
      </c>
      <c r="AF130" s="23">
        <v>0</v>
      </c>
      <c r="AG130" s="23">
        <v>0</v>
      </c>
      <c r="AH130" s="23">
        <v>0</v>
      </c>
      <c r="AI130" s="23">
        <v>0</v>
      </c>
      <c r="AJ130" s="23">
        <v>0</v>
      </c>
      <c r="AK130" s="23">
        <v>769.58425913763119</v>
      </c>
      <c r="AL130" s="23">
        <v>0</v>
      </c>
      <c r="AM130" s="111">
        <v>0</v>
      </c>
      <c r="AN130" s="51">
        <f ca="1">IFERROR(SUM(DB_25[[#This Row],[DT-01-USD]:[DT-09-USD]])/SUM(DB_25[[#This Row],[SL-01]:[SL-09]]),0)</f>
        <v>769.58425913763119</v>
      </c>
      <c r="AO130" s="51">
        <f ca="1">DB_25[[#This Row],[GB-10]]</f>
        <v>769.58425913763119</v>
      </c>
      <c r="AP130" s="51">
        <f ca="1">DB_25[[#This Row],[GB-11]]</f>
        <v>769.58425913763119</v>
      </c>
      <c r="AQ130" s="7"/>
      <c r="AR130" s="7"/>
      <c r="AS130" s="7"/>
      <c r="AT130" s="7"/>
      <c r="AU130" s="47">
        <v>0</v>
      </c>
      <c r="AV130" s="47">
        <v>0</v>
      </c>
      <c r="AW130" s="47">
        <v>0</v>
      </c>
      <c r="AX130" s="47">
        <v>0</v>
      </c>
      <c r="AY130" s="47">
        <v>0</v>
      </c>
      <c r="AZ130" s="47">
        <v>0</v>
      </c>
      <c r="BA130" s="47">
        <v>55000000</v>
      </c>
      <c r="BB130" s="47">
        <v>0</v>
      </c>
      <c r="BC130" s="47">
        <v>0</v>
      </c>
      <c r="BD130" s="19">
        <f ca="1">DB_25[[#This Row],[SL-10]]*DB_25[[#This Row],[GB-10]]*BD$2/10^3</f>
        <v>0</v>
      </c>
      <c r="BE130" s="19">
        <f ca="1">DB_25[[#This Row],[SL-11]]*DB_25[[#This Row],[GB-11]]*BE$2/10^3</f>
        <v>0</v>
      </c>
      <c r="BF130" s="19">
        <f ca="1">DB_25[[#This Row],[SL-12]]*DB_25[[#This Row],[GB-12]]*BF$2/10^3</f>
        <v>0</v>
      </c>
      <c r="BG130" s="47">
        <f ca="1">SUM(DB_25[[#This Row],[DT-01]:[DT-12]])</f>
        <v>55000000</v>
      </c>
      <c r="BH130" s="7"/>
      <c r="BI130" s="7"/>
      <c r="BJ130" s="7"/>
      <c r="BK130" s="50">
        <v>0</v>
      </c>
      <c r="BL130" s="109">
        <v>0</v>
      </c>
      <c r="BM130" s="109">
        <v>0</v>
      </c>
      <c r="BN130" s="109">
        <v>0</v>
      </c>
      <c r="BO130" s="109">
        <v>0</v>
      </c>
      <c r="BP130" s="109">
        <v>0</v>
      </c>
      <c r="BQ130" s="109">
        <v>2116.3567126284856</v>
      </c>
      <c r="BR130" s="109">
        <v>0</v>
      </c>
      <c r="BS130" s="109">
        <v>0</v>
      </c>
      <c r="BT130" s="147">
        <f ca="1">DB_25[[#This Row],[SL-10]]*DB_25[[#This Row],[GB-10]]</f>
        <v>0</v>
      </c>
      <c r="BU130" s="147">
        <f ca="1">DB_25[[#This Row],[SL-11]]*DB_25[[#This Row],[GB-11]]</f>
        <v>0</v>
      </c>
      <c r="BV130" s="147">
        <f ca="1">DB_25[[#This Row],[SL-12]]*DB_25[[#This Row],[GB-12]]</f>
        <v>0</v>
      </c>
      <c r="BW130" s="47">
        <f ca="1">SUM(DB_25[[#This Row],[DT-01-USD]:[DT-12-USD]])</f>
        <v>2116.3567126284856</v>
      </c>
    </row>
    <row r="131" spans="1:75" x14ac:dyDescent="0.35">
      <c r="A131" s="18">
        <f>ROWS($A$6:A131)</f>
        <v>126</v>
      </c>
      <c r="B131" s="18" t="s">
        <v>97</v>
      </c>
      <c r="C131" s="18" t="str">
        <f>IFERROR(_xlfn.XLOOKUP(DB_25[[#This Row],[Salesman]],MD_Salesman[Salesman],MD_Salesman[SalesManager]),"")</f>
        <v>Cường</v>
      </c>
      <c r="D131" s="7" t="s">
        <v>665</v>
      </c>
      <c r="E131" s="7" t="s">
        <v>498</v>
      </c>
      <c r="F131" s="7"/>
      <c r="G131" s="7" t="str">
        <f>_xlfn.XLOOKUP(DB_25[[#This Row],[Mã khách]],MD_Customer[Mã khách],MD_Customer[Kênh bán hàng])</f>
        <v>Nội địa</v>
      </c>
      <c r="H131" s="7"/>
      <c r="I131" s="7"/>
      <c r="J131" s="7"/>
      <c r="K131" s="7" t="s">
        <v>172</v>
      </c>
      <c r="L131" s="7" t="str">
        <f>_xlfn.XLOOKUP(DB_25[[#This Row],[Mã sản phẩm]],MD_SKU[Mã SKU],MD_SKU[Tên SKU-rút gọn])</f>
        <v>iSS01G 1</v>
      </c>
      <c r="M131" s="7" t="str">
        <f>_xlfn.XLOOKUP(DB_25[[#This Row],[Mã sản phẩm]],MD_SKU[Mã SKU],MD_SKU[Nhóm ngành])</f>
        <v>Hạt PET</v>
      </c>
      <c r="N131" s="7"/>
      <c r="O131" s="47">
        <v>3.3</v>
      </c>
      <c r="P131" s="47">
        <v>0</v>
      </c>
      <c r="Q131" s="47">
        <v>0</v>
      </c>
      <c r="R131" s="47">
        <v>0</v>
      </c>
      <c r="S131" s="47">
        <v>0</v>
      </c>
      <c r="T131" s="47">
        <v>-0.58920000000000006</v>
      </c>
      <c r="U131" s="47">
        <v>0</v>
      </c>
      <c r="V131" s="47">
        <v>0</v>
      </c>
      <c r="W131" s="110">
        <f ca="1">SUMIFS(Data_Actual_LG_EXW[SL],Data_Actual_LG_EXW[Year],2025,Data_Actual_LG_EXW[Month],'DB 2025'!W$1,Data_Actual_LG_EXW[Mã KH],DB_25[[#This Row],[Mã khách]],Data_Actual_LG_EXW[Mã SKU],DB_25[[#This Row],[Mã sản phẩm]])/10^3</f>
        <v>0</v>
      </c>
      <c r="X131" s="33"/>
      <c r="Y131" s="33"/>
      <c r="Z131" s="33"/>
      <c r="AA131" s="19">
        <f ca="1">SUM(DB_25[[#This Row],[SL-01]:[SL-12]])</f>
        <v>2.7107999999999999</v>
      </c>
      <c r="AB131" s="7"/>
      <c r="AC131" s="20">
        <f ca="1">DB_25[[#This Row],[SL-DB25]]-DB_25[[#This Row],[SL-KH25]]</f>
        <v>2.7107999999999999</v>
      </c>
      <c r="AD131" s="21">
        <f ca="1">IFERROR(DB_25[[#This Row],[SL-+/-]]/DB_25[[#This Row],[SL-KH25]],0)</f>
        <v>0</v>
      </c>
      <c r="AE131" s="23">
        <v>1388.694234980313</v>
      </c>
      <c r="AF131" s="23">
        <v>0</v>
      </c>
      <c r="AG131" s="23">
        <v>0</v>
      </c>
      <c r="AH131" s="23">
        <v>0</v>
      </c>
      <c r="AI131" s="23">
        <v>0</v>
      </c>
      <c r="AJ131" s="23">
        <v>1356.9407358320232</v>
      </c>
      <c r="AK131" s="23">
        <v>0</v>
      </c>
      <c r="AL131" s="23">
        <v>0</v>
      </c>
      <c r="AM131" s="111">
        <v>0</v>
      </c>
      <c r="AN131" s="51">
        <f ca="1">IFERROR(SUM(DB_25[[#This Row],[DT-01-USD]:[DT-09-USD]])/SUM(DB_25[[#This Row],[SL-01]:[SL-09]]),0)</f>
        <v>1395.5959472785912</v>
      </c>
      <c r="AO131" s="51">
        <f ca="1">DB_25[[#This Row],[GB-10]]</f>
        <v>1395.5959472785912</v>
      </c>
      <c r="AP131" s="51">
        <f ca="1">DB_25[[#This Row],[GB-11]]</f>
        <v>1395.5959472785912</v>
      </c>
      <c r="AQ131" s="7"/>
      <c r="AR131" s="7"/>
      <c r="AS131" s="7"/>
      <c r="AT131" s="7"/>
      <c r="AU131" s="47">
        <v>115501069.97829716</v>
      </c>
      <c r="AV131" s="47">
        <v>0</v>
      </c>
      <c r="AW131" s="47">
        <v>0</v>
      </c>
      <c r="AX131" s="47">
        <v>0</v>
      </c>
      <c r="AY131" s="47">
        <v>0</v>
      </c>
      <c r="AZ131" s="47">
        <v>-20719218</v>
      </c>
      <c r="BA131" s="47">
        <v>0</v>
      </c>
      <c r="BB131" s="47">
        <v>0</v>
      </c>
      <c r="BC131" s="47">
        <v>0</v>
      </c>
      <c r="BD131" s="19">
        <f ca="1">DB_25[[#This Row],[SL-10]]*DB_25[[#This Row],[GB-10]]*BD$2/10^3</f>
        <v>0</v>
      </c>
      <c r="BE131" s="19">
        <f ca="1">DB_25[[#This Row],[SL-11]]*DB_25[[#This Row],[GB-11]]*BE$2/10^3</f>
        <v>0</v>
      </c>
      <c r="BF131" s="19">
        <f ca="1">DB_25[[#This Row],[SL-12]]*DB_25[[#This Row],[GB-12]]*BF$2/10^3</f>
        <v>0</v>
      </c>
      <c r="BG131" s="47">
        <f ca="1">SUM(DB_25[[#This Row],[DT-01]:[DT-12]])</f>
        <v>94781851.978297159</v>
      </c>
      <c r="BH131" s="7"/>
      <c r="BI131" s="7"/>
      <c r="BJ131" s="7"/>
      <c r="BK131" s="50">
        <v>4582.6909754350327</v>
      </c>
      <c r="BL131" s="109">
        <v>0</v>
      </c>
      <c r="BM131" s="109">
        <v>0</v>
      </c>
      <c r="BN131" s="109">
        <v>0</v>
      </c>
      <c r="BO131" s="109">
        <v>0</v>
      </c>
      <c r="BP131" s="109">
        <v>-799.50948155222818</v>
      </c>
      <c r="BQ131" s="109">
        <v>0</v>
      </c>
      <c r="BR131" s="109">
        <v>0</v>
      </c>
      <c r="BS131" s="109">
        <v>0</v>
      </c>
      <c r="BT131" s="147">
        <f ca="1">DB_25[[#This Row],[SL-10]]*DB_25[[#This Row],[GB-10]]</f>
        <v>0</v>
      </c>
      <c r="BU131" s="147">
        <f ca="1">DB_25[[#This Row],[SL-11]]*DB_25[[#This Row],[GB-11]]</f>
        <v>0</v>
      </c>
      <c r="BV131" s="147">
        <f ca="1">DB_25[[#This Row],[SL-12]]*DB_25[[#This Row],[GB-12]]</f>
        <v>0</v>
      </c>
      <c r="BW131" s="47">
        <f ca="1">SUM(DB_25[[#This Row],[DT-01-USD]:[DT-12-USD]])</f>
        <v>3783.1814938828047</v>
      </c>
    </row>
    <row r="132" spans="1:75" x14ac:dyDescent="0.35">
      <c r="A132" s="18">
        <f>ROWS($A$6:A132)</f>
        <v>127</v>
      </c>
      <c r="B132" s="18" t="s">
        <v>97</v>
      </c>
      <c r="C132" s="18" t="str">
        <f>IFERROR(_xlfn.XLOOKUP(DB_25[[#This Row],[Salesman]],MD_Salesman[Salesman],MD_Salesman[SalesManager]),"")</f>
        <v>Cường</v>
      </c>
      <c r="D132" s="7" t="s">
        <v>601</v>
      </c>
      <c r="E132" s="7" t="s">
        <v>501</v>
      </c>
      <c r="F132" s="7"/>
      <c r="G132" s="7" t="str">
        <f>_xlfn.XLOOKUP(DB_25[[#This Row],[Mã khách]],MD_Customer[Mã khách],MD_Customer[Kênh bán hàng])</f>
        <v>Nội địa</v>
      </c>
      <c r="H132" s="7"/>
      <c r="I132" s="7"/>
      <c r="J132" s="7"/>
      <c r="K132" s="7" t="s">
        <v>168</v>
      </c>
      <c r="L132" s="7" t="str">
        <f>_xlfn.XLOOKUP(DB_25[[#This Row],[Mã sản phẩm]],MD_SKU[Mã SKU],MD_SKU[Tên SKU-rút gọn])</f>
        <v>iSS1084G</v>
      </c>
      <c r="M132" s="7" t="str">
        <f>_xlfn.XLOOKUP(DB_25[[#This Row],[Mã sản phẩm]],MD_SKU[Mã SKU],MD_SKU[Nhóm ngành])</f>
        <v>Hạt PET</v>
      </c>
      <c r="N132" s="7"/>
      <c r="O132" s="47">
        <v>0</v>
      </c>
      <c r="P132" s="47">
        <v>0</v>
      </c>
      <c r="Q132" s="47">
        <v>0</v>
      </c>
      <c r="R132" s="47">
        <v>0</v>
      </c>
      <c r="S132" s="47">
        <v>2.2000000000000002</v>
      </c>
      <c r="T132" s="47">
        <v>0</v>
      </c>
      <c r="U132" s="47">
        <v>0</v>
      </c>
      <c r="V132" s="47">
        <v>0</v>
      </c>
      <c r="W132" s="110">
        <f ca="1">SUMIFS(Data_Actual_LG_EXW[SL],Data_Actual_LG_EXW[Year],2025,Data_Actual_LG_EXW[Month],'DB 2025'!W$1,Data_Actual_LG_EXW[Mã KH],DB_25[[#This Row],[Mã khách]],Data_Actual_LG_EXW[Mã SKU],DB_25[[#This Row],[Mã sản phẩm]])/10^3</f>
        <v>0</v>
      </c>
      <c r="X132" s="33"/>
      <c r="Y132" s="33"/>
      <c r="Z132" s="33"/>
      <c r="AA132" s="19">
        <f ca="1">SUM(DB_25[[#This Row],[SL-01]:[SL-12]])</f>
        <v>2.2000000000000002</v>
      </c>
      <c r="AB132" s="7"/>
      <c r="AC132" s="20">
        <f ca="1">DB_25[[#This Row],[SL-DB25]]-DB_25[[#This Row],[SL-KH25]]</f>
        <v>2.2000000000000002</v>
      </c>
      <c r="AD132" s="21">
        <f ca="1">IFERROR(DB_25[[#This Row],[SL-+/-]]/DB_25[[#This Row],[SL-KH25]],0)</f>
        <v>0</v>
      </c>
      <c r="AE132" s="23">
        <v>0</v>
      </c>
      <c r="AF132" s="23">
        <v>0</v>
      </c>
      <c r="AG132" s="23">
        <v>0</v>
      </c>
      <c r="AH132" s="23">
        <v>0</v>
      </c>
      <c r="AI132" s="23">
        <v>1345.1656487369992</v>
      </c>
      <c r="AJ132" s="23">
        <v>0</v>
      </c>
      <c r="AK132" s="23">
        <v>0</v>
      </c>
      <c r="AL132" s="23">
        <v>0</v>
      </c>
      <c r="AM132" s="111">
        <v>0</v>
      </c>
      <c r="AN132" s="51">
        <f ca="1">IFERROR(SUM(DB_25[[#This Row],[DT-01-USD]:[DT-09-USD]])/SUM(DB_25[[#This Row],[SL-01]:[SL-09]]),0)</f>
        <v>1345.1656487369992</v>
      </c>
      <c r="AO132" s="51">
        <f ca="1">DB_25[[#This Row],[GB-10]]</f>
        <v>1345.1656487369992</v>
      </c>
      <c r="AP132" s="51">
        <f ca="1">DB_25[[#This Row],[GB-11]]</f>
        <v>1345.1656487369992</v>
      </c>
      <c r="AQ132" s="7"/>
      <c r="AR132" s="7"/>
      <c r="AS132" s="7"/>
      <c r="AT132" s="7"/>
      <c r="AU132" s="47">
        <v>0</v>
      </c>
      <c r="AV132" s="47">
        <v>0</v>
      </c>
      <c r="AW132" s="47">
        <v>0</v>
      </c>
      <c r="AX132" s="47">
        <v>0</v>
      </c>
      <c r="AY132" s="47">
        <v>76289003.565862715</v>
      </c>
      <c r="AZ132" s="47">
        <v>0</v>
      </c>
      <c r="BA132" s="47">
        <v>0</v>
      </c>
      <c r="BB132" s="47">
        <v>0</v>
      </c>
      <c r="BC132" s="47">
        <v>0</v>
      </c>
      <c r="BD132" s="19">
        <f ca="1">DB_25[[#This Row],[SL-10]]*DB_25[[#This Row],[GB-10]]*BD$2/10^3</f>
        <v>0</v>
      </c>
      <c r="BE132" s="19">
        <f ca="1">DB_25[[#This Row],[SL-11]]*DB_25[[#This Row],[GB-11]]*BE$2/10^3</f>
        <v>0</v>
      </c>
      <c r="BF132" s="19">
        <f ca="1">DB_25[[#This Row],[SL-12]]*DB_25[[#This Row],[GB-12]]*BF$2/10^3</f>
        <v>0</v>
      </c>
      <c r="BG132" s="47">
        <f ca="1">SUM(DB_25[[#This Row],[DT-01]:[DT-12]])</f>
        <v>76289003.565862715</v>
      </c>
      <c r="BH132" s="7"/>
      <c r="BI132" s="7"/>
      <c r="BJ132" s="7"/>
      <c r="BK132" s="50">
        <v>0</v>
      </c>
      <c r="BL132" s="109">
        <v>0</v>
      </c>
      <c r="BM132" s="109">
        <v>0</v>
      </c>
      <c r="BN132" s="109">
        <v>0</v>
      </c>
      <c r="BO132" s="109">
        <v>2959.3644272213983</v>
      </c>
      <c r="BP132" s="109">
        <v>0</v>
      </c>
      <c r="BQ132" s="109">
        <v>0</v>
      </c>
      <c r="BR132" s="109">
        <v>0</v>
      </c>
      <c r="BS132" s="109">
        <v>0</v>
      </c>
      <c r="BT132" s="147">
        <f ca="1">DB_25[[#This Row],[SL-10]]*DB_25[[#This Row],[GB-10]]</f>
        <v>0</v>
      </c>
      <c r="BU132" s="147">
        <f ca="1">DB_25[[#This Row],[SL-11]]*DB_25[[#This Row],[GB-11]]</f>
        <v>0</v>
      </c>
      <c r="BV132" s="147">
        <f ca="1">DB_25[[#This Row],[SL-12]]*DB_25[[#This Row],[GB-12]]</f>
        <v>0</v>
      </c>
      <c r="BW132" s="47">
        <f ca="1">SUM(DB_25[[#This Row],[DT-01-USD]:[DT-12-USD]])</f>
        <v>2959.3644272213983</v>
      </c>
    </row>
    <row r="133" spans="1:75" x14ac:dyDescent="0.35">
      <c r="A133" s="18">
        <f>ROWS($A$6:A133)</f>
        <v>128</v>
      </c>
      <c r="B133" s="18" t="s">
        <v>115</v>
      </c>
      <c r="C133" s="18" t="str">
        <f>IFERROR(_xlfn.XLOOKUP(DB_25[[#This Row],[Salesman]],MD_Salesman[Salesman],MD_Salesman[SalesManager]),"")</f>
        <v>Quốc Anh</v>
      </c>
      <c r="D133" s="7" t="s">
        <v>666</v>
      </c>
      <c r="E133" s="7" t="s">
        <v>54</v>
      </c>
      <c r="F133" s="7"/>
      <c r="G133" s="7" t="str">
        <f>_xlfn.XLOOKUP(DB_25[[#This Row],[Mã khách]],MD_Customer[Mã khách],MD_Customer[Kênh bán hàng])</f>
        <v>Nội địa</v>
      </c>
      <c r="H133" s="7"/>
      <c r="I133" s="7"/>
      <c r="J133" s="7"/>
      <c r="K133" s="7" t="s">
        <v>185</v>
      </c>
      <c r="L133" s="7" t="str">
        <f>_xlfn.XLOOKUP(DB_25[[#This Row],[Mã sản phẩm]],MD_SKU[Mã SKU],MD_SKU[Tên SKU-rút gọn])</f>
        <v>rHDB04B01</v>
      </c>
      <c r="M133" s="7" t="str">
        <f>_xlfn.XLOOKUP(DB_25[[#This Row],[Mã sản phẩm]],MD_SKU[Mã SKU],MD_SKU[Nhóm ngành])</f>
        <v>Hạt HD thổi</v>
      </c>
      <c r="N133" s="7"/>
      <c r="O133" s="47">
        <v>0</v>
      </c>
      <c r="P133" s="47">
        <v>0</v>
      </c>
      <c r="Q133" s="47">
        <v>0</v>
      </c>
      <c r="R133" s="47">
        <v>0</v>
      </c>
      <c r="S133" s="47">
        <v>0</v>
      </c>
      <c r="T133" s="47">
        <v>0</v>
      </c>
      <c r="U133" s="47">
        <v>1.375</v>
      </c>
      <c r="V133" s="47">
        <v>0</v>
      </c>
      <c r="W133" s="110">
        <f ca="1">SUMIFS(Data_Actual_LG_EXW[SL],Data_Actual_LG_EXW[Year],2025,Data_Actual_LG_EXW[Month],'DB 2025'!W$1,Data_Actual_LG_EXW[Mã KH],DB_25[[#This Row],[Mã khách]],Data_Actual_LG_EXW[Mã SKU],DB_25[[#This Row],[Mã sản phẩm]])/10^3</f>
        <v>0</v>
      </c>
      <c r="X133" s="33"/>
      <c r="Y133" s="33"/>
      <c r="Z133" s="33"/>
      <c r="AA133" s="19">
        <f ca="1">SUM(DB_25[[#This Row],[SL-01]:[SL-12]])</f>
        <v>1.375</v>
      </c>
      <c r="AB133" s="7"/>
      <c r="AC133" s="20">
        <f ca="1">DB_25[[#This Row],[SL-DB25]]-DB_25[[#This Row],[SL-KH25]]</f>
        <v>1.375</v>
      </c>
      <c r="AD133" s="21">
        <f ca="1">IFERROR(DB_25[[#This Row],[SL-+/-]]/DB_25[[#This Row],[SL-KH25]],0)</f>
        <v>0</v>
      </c>
      <c r="AE133" s="23">
        <v>0</v>
      </c>
      <c r="AF133" s="23">
        <v>0</v>
      </c>
      <c r="AG133" s="23">
        <v>0</v>
      </c>
      <c r="AH133" s="23">
        <v>0</v>
      </c>
      <c r="AI133" s="23">
        <v>0</v>
      </c>
      <c r="AJ133" s="23">
        <v>0</v>
      </c>
      <c r="AK133" s="23">
        <v>692.62583322386809</v>
      </c>
      <c r="AL133" s="23">
        <v>0</v>
      </c>
      <c r="AM133" s="111">
        <v>0</v>
      </c>
      <c r="AN133" s="51">
        <f ca="1">IFERROR(SUM(DB_25[[#This Row],[DT-01-USD]:[DT-09-USD]])/SUM(DB_25[[#This Row],[SL-01]:[SL-09]]),0)</f>
        <v>692.62583322386809</v>
      </c>
      <c r="AO133" s="51">
        <f ca="1">DB_25[[#This Row],[GB-10]]</f>
        <v>692.62583322386809</v>
      </c>
      <c r="AP133" s="51">
        <f ca="1">DB_25[[#This Row],[GB-11]]</f>
        <v>692.62583322386809</v>
      </c>
      <c r="AQ133" s="7"/>
      <c r="AR133" s="7"/>
      <c r="AS133" s="7"/>
      <c r="AT133" s="7"/>
      <c r="AU133" s="47">
        <v>0</v>
      </c>
      <c r="AV133" s="47">
        <v>0</v>
      </c>
      <c r="AW133" s="47">
        <v>0</v>
      </c>
      <c r="AX133" s="47">
        <v>0</v>
      </c>
      <c r="AY133" s="47">
        <v>0</v>
      </c>
      <c r="AZ133" s="47">
        <v>0</v>
      </c>
      <c r="BA133" s="47">
        <v>24750000</v>
      </c>
      <c r="BB133" s="47">
        <v>0</v>
      </c>
      <c r="BC133" s="47">
        <v>0</v>
      </c>
      <c r="BD133" s="19">
        <f ca="1">DB_25[[#This Row],[SL-10]]*DB_25[[#This Row],[GB-10]]*BD$2/10^3</f>
        <v>0</v>
      </c>
      <c r="BE133" s="19">
        <f ca="1">DB_25[[#This Row],[SL-11]]*DB_25[[#This Row],[GB-11]]*BE$2/10^3</f>
        <v>0</v>
      </c>
      <c r="BF133" s="19">
        <f ca="1">DB_25[[#This Row],[SL-12]]*DB_25[[#This Row],[GB-12]]*BF$2/10^3</f>
        <v>0</v>
      </c>
      <c r="BG133" s="47">
        <f ca="1">SUM(DB_25[[#This Row],[DT-01]:[DT-12]])</f>
        <v>24750000</v>
      </c>
      <c r="BH133" s="7"/>
      <c r="BI133" s="7"/>
      <c r="BJ133" s="7"/>
      <c r="BK133" s="50">
        <v>0</v>
      </c>
      <c r="BL133" s="109">
        <v>0</v>
      </c>
      <c r="BM133" s="109">
        <v>0</v>
      </c>
      <c r="BN133" s="109">
        <v>0</v>
      </c>
      <c r="BO133" s="109">
        <v>0</v>
      </c>
      <c r="BP133" s="109">
        <v>0</v>
      </c>
      <c r="BQ133" s="109">
        <v>952.36052068281867</v>
      </c>
      <c r="BR133" s="109">
        <v>0</v>
      </c>
      <c r="BS133" s="109">
        <v>0</v>
      </c>
      <c r="BT133" s="147">
        <f ca="1">DB_25[[#This Row],[SL-10]]*DB_25[[#This Row],[GB-10]]</f>
        <v>0</v>
      </c>
      <c r="BU133" s="147">
        <f ca="1">DB_25[[#This Row],[SL-11]]*DB_25[[#This Row],[GB-11]]</f>
        <v>0</v>
      </c>
      <c r="BV133" s="147">
        <f ca="1">DB_25[[#This Row],[SL-12]]*DB_25[[#This Row],[GB-12]]</f>
        <v>0</v>
      </c>
      <c r="BW133" s="47">
        <f ca="1">SUM(DB_25[[#This Row],[DT-01-USD]:[DT-12-USD]])</f>
        <v>952.36052068281867</v>
      </c>
    </row>
    <row r="134" spans="1:75" x14ac:dyDescent="0.35">
      <c r="A134" s="18">
        <f>ROWS($A$6:A134)</f>
        <v>129</v>
      </c>
      <c r="B134" s="18" t="s">
        <v>101</v>
      </c>
      <c r="C134" s="18" t="str">
        <f>IFERROR(_xlfn.XLOOKUP(DB_25[[#This Row],[Salesman]],MD_Salesman[Salesman],MD_Salesman[SalesManager]),"")</f>
        <v>Cường</v>
      </c>
      <c r="D134" s="7" t="s">
        <v>667</v>
      </c>
      <c r="E134" s="7" t="s">
        <v>114</v>
      </c>
      <c r="F134" s="7"/>
      <c r="G134" s="7" t="str">
        <f>_xlfn.XLOOKUP(DB_25[[#This Row],[Mã khách]],MD_Customer[Mã khách],MD_Customer[Kênh bán hàng])</f>
        <v>Nội địa</v>
      </c>
      <c r="H134" s="7"/>
      <c r="I134" s="7"/>
      <c r="J134" s="7"/>
      <c r="K134" s="7" t="s">
        <v>171</v>
      </c>
      <c r="L134" s="7" t="str">
        <f>_xlfn.XLOOKUP(DB_25[[#This Row],[Mã sản phẩm]],MD_SKU[Mã SKU],MD_SKU[Tên SKU-rút gọn])</f>
        <v>WSS01G 1</v>
      </c>
      <c r="M134" s="7" t="str">
        <f>_xlfn.XLOOKUP(DB_25[[#This Row],[Mã sản phẩm]],MD_SKU[Mã SKU],MD_SKU[Nhóm ngành])</f>
        <v>Hạt PET</v>
      </c>
      <c r="N134" s="7"/>
      <c r="O134" s="47">
        <v>0</v>
      </c>
      <c r="P134" s="47">
        <v>0</v>
      </c>
      <c r="Q134" s="47">
        <v>0</v>
      </c>
      <c r="R134" s="47">
        <v>0</v>
      </c>
      <c r="S134" s="47">
        <v>0</v>
      </c>
      <c r="T134" s="47">
        <v>2.5000000000000001E-2</v>
      </c>
      <c r="U134" s="47">
        <v>1.1000000000000001</v>
      </c>
      <c r="V134" s="47">
        <v>0</v>
      </c>
      <c r="W134" s="110">
        <f ca="1">SUMIFS(Data_Actual_LG_EXW[SL],Data_Actual_LG_EXW[Year],2025,Data_Actual_LG_EXW[Month],'DB 2025'!W$1,Data_Actual_LG_EXW[Mã KH],DB_25[[#This Row],[Mã khách]],Data_Actual_LG_EXW[Mã SKU],DB_25[[#This Row],[Mã sản phẩm]])/10^3</f>
        <v>0</v>
      </c>
      <c r="X134" s="33"/>
      <c r="Y134" s="33"/>
      <c r="Z134" s="33"/>
      <c r="AA134" s="19">
        <f ca="1">SUM(DB_25[[#This Row],[SL-01]:[SL-12]])</f>
        <v>1.125</v>
      </c>
      <c r="AB134" s="7"/>
      <c r="AC134" s="20">
        <f ca="1">DB_25[[#This Row],[SL-DB25]]-DB_25[[#This Row],[SL-KH25]]</f>
        <v>1.125</v>
      </c>
      <c r="AD134" s="21">
        <f ca="1">IFERROR(DB_25[[#This Row],[SL-+/-]]/DB_25[[#This Row],[SL-KH25]],0)</f>
        <v>0</v>
      </c>
      <c r="AE134" s="23">
        <v>0</v>
      </c>
      <c r="AF134" s="23">
        <v>0</v>
      </c>
      <c r="AG134" s="23">
        <v>0</v>
      </c>
      <c r="AH134" s="23">
        <v>0</v>
      </c>
      <c r="AI134" s="23">
        <v>0</v>
      </c>
      <c r="AJ134" s="23">
        <v>1289.6049876725785</v>
      </c>
      <c r="AK134" s="23">
        <v>1280.085823205201</v>
      </c>
      <c r="AL134" s="23">
        <v>0</v>
      </c>
      <c r="AM134" s="111">
        <v>0</v>
      </c>
      <c r="AN134" s="51">
        <f ca="1">IFERROR(SUM(DB_25[[#This Row],[DT-01-USD]:[DT-09-USD]])/SUM(DB_25[[#This Row],[SL-01]:[SL-09]]),0)</f>
        <v>1280.2973601933652</v>
      </c>
      <c r="AO134" s="51">
        <f ca="1">DB_25[[#This Row],[GB-10]]</f>
        <v>1280.2973601933652</v>
      </c>
      <c r="AP134" s="51">
        <f ca="1">DB_25[[#This Row],[GB-11]]</f>
        <v>1280.2973601933652</v>
      </c>
      <c r="AQ134" s="7"/>
      <c r="AR134" s="7"/>
      <c r="AS134" s="7"/>
      <c r="AT134" s="7"/>
      <c r="AU134" s="47">
        <v>0</v>
      </c>
      <c r="AV134" s="47">
        <v>0</v>
      </c>
      <c r="AW134" s="47">
        <v>0</v>
      </c>
      <c r="AX134" s="47">
        <v>0</v>
      </c>
      <c r="AY134" s="47">
        <v>0</v>
      </c>
      <c r="AZ134" s="47">
        <v>835500</v>
      </c>
      <c r="BA134" s="47">
        <v>36593638.417282127</v>
      </c>
      <c r="BB134" s="47">
        <v>0</v>
      </c>
      <c r="BC134" s="47">
        <v>0</v>
      </c>
      <c r="BD134" s="19">
        <f ca="1">DB_25[[#This Row],[SL-10]]*DB_25[[#This Row],[GB-10]]*BD$2/10^3</f>
        <v>0</v>
      </c>
      <c r="BE134" s="19">
        <f ca="1">DB_25[[#This Row],[SL-11]]*DB_25[[#This Row],[GB-11]]*BE$2/10^3</f>
        <v>0</v>
      </c>
      <c r="BF134" s="19">
        <f ca="1">DB_25[[#This Row],[SL-12]]*DB_25[[#This Row],[GB-12]]*BF$2/10^3</f>
        <v>0</v>
      </c>
      <c r="BG134" s="47">
        <f ca="1">SUM(DB_25[[#This Row],[DT-01]:[DT-12]])</f>
        <v>37429138.417282127</v>
      </c>
      <c r="BH134" s="7"/>
      <c r="BI134" s="7"/>
      <c r="BJ134" s="7"/>
      <c r="BK134" s="50">
        <v>0</v>
      </c>
      <c r="BL134" s="109">
        <v>0</v>
      </c>
      <c r="BM134" s="109">
        <v>0</v>
      </c>
      <c r="BN134" s="109">
        <v>0</v>
      </c>
      <c r="BO134" s="109">
        <v>0</v>
      </c>
      <c r="BP134" s="109">
        <v>32.240124691814465</v>
      </c>
      <c r="BQ134" s="109">
        <v>1408.0944055257212</v>
      </c>
      <c r="BR134" s="109">
        <v>0</v>
      </c>
      <c r="BS134" s="109">
        <v>0</v>
      </c>
      <c r="BT134" s="147">
        <f ca="1">DB_25[[#This Row],[SL-10]]*DB_25[[#This Row],[GB-10]]</f>
        <v>0</v>
      </c>
      <c r="BU134" s="147">
        <f ca="1">DB_25[[#This Row],[SL-11]]*DB_25[[#This Row],[GB-11]]</f>
        <v>0</v>
      </c>
      <c r="BV134" s="147">
        <f ca="1">DB_25[[#This Row],[SL-12]]*DB_25[[#This Row],[GB-12]]</f>
        <v>0</v>
      </c>
      <c r="BW134" s="47">
        <f ca="1">SUM(DB_25[[#This Row],[DT-01-USD]:[DT-12-USD]])</f>
        <v>1440.3345302175358</v>
      </c>
    </row>
    <row r="135" spans="1:75" x14ac:dyDescent="0.35">
      <c r="A135" s="18">
        <f>ROWS($A$6:A135)</f>
        <v>130</v>
      </c>
      <c r="B135" s="18" t="s">
        <v>120</v>
      </c>
      <c r="C135" s="18" t="str">
        <f>IFERROR(_xlfn.XLOOKUP(DB_25[[#This Row],[Salesman]],MD_Salesman[Salesman],MD_Salesman[SalesManager]),"")</f>
        <v>Cường</v>
      </c>
      <c r="D135" s="7" t="s">
        <v>619</v>
      </c>
      <c r="E135" s="7" t="s">
        <v>146</v>
      </c>
      <c r="F135" s="7"/>
      <c r="G135" s="7" t="str">
        <f>_xlfn.XLOOKUP(DB_25[[#This Row],[Mã khách]],MD_Customer[Mã khách],MD_Customer[Kênh bán hàng])</f>
        <v>Xuất khẩu</v>
      </c>
      <c r="H135" s="7"/>
      <c r="I135" s="7"/>
      <c r="J135" s="7"/>
      <c r="K135" s="7" t="s">
        <v>177</v>
      </c>
      <c r="L135" s="7" t="str">
        <f>_xlfn.XLOOKUP(DB_25[[#This Row],[Mã sản phẩm]],MD_SKU[Mã SKU],MD_SKU[Tên SKU-rút gọn])</f>
        <v>WSS01L</v>
      </c>
      <c r="M135" s="7" t="str">
        <f>_xlfn.XLOOKUP(DB_25[[#This Row],[Mã sản phẩm]],MD_SKU[Mã SKU],MD_SKU[Nhóm ngành])</f>
        <v>Hạt PET</v>
      </c>
      <c r="N135" s="7"/>
      <c r="O135" s="47">
        <v>0</v>
      </c>
      <c r="P135" s="47">
        <v>0</v>
      </c>
      <c r="Q135" s="47">
        <v>1.1000000000000001</v>
      </c>
      <c r="R135" s="47">
        <v>0</v>
      </c>
      <c r="S135" s="47">
        <v>0</v>
      </c>
      <c r="T135" s="47">
        <v>0</v>
      </c>
      <c r="U135" s="47">
        <v>0</v>
      </c>
      <c r="V135" s="47">
        <v>0</v>
      </c>
      <c r="W135" s="110">
        <f ca="1">SUMIFS(Data_Actual_LG_EXW[SL],Data_Actual_LG_EXW[Year],2025,Data_Actual_LG_EXW[Month],'DB 2025'!W$1,Data_Actual_LG_EXW[Mã KH],DB_25[[#This Row],[Mã khách]],Data_Actual_LG_EXW[Mã SKU],DB_25[[#This Row],[Mã sản phẩm]])/10^3</f>
        <v>0</v>
      </c>
      <c r="X135" s="33"/>
      <c r="Y135" s="33"/>
      <c r="Z135" s="33"/>
      <c r="AA135" s="19">
        <f ca="1">SUM(DB_25[[#This Row],[SL-01]:[SL-12]])</f>
        <v>1.1000000000000001</v>
      </c>
      <c r="AB135" s="7"/>
      <c r="AC135" s="20">
        <f ca="1">DB_25[[#This Row],[SL-DB25]]-DB_25[[#This Row],[SL-KH25]]</f>
        <v>1.1000000000000001</v>
      </c>
      <c r="AD135" s="21">
        <f ca="1">IFERROR(DB_25[[#This Row],[SL-+/-]]/DB_25[[#This Row],[SL-KH25]],0)</f>
        <v>0</v>
      </c>
      <c r="AE135" s="23">
        <v>0</v>
      </c>
      <c r="AF135" s="23">
        <v>0</v>
      </c>
      <c r="AG135" s="23">
        <v>952.10604870384918</v>
      </c>
      <c r="AH135" s="23">
        <v>0</v>
      </c>
      <c r="AI135" s="23">
        <v>0</v>
      </c>
      <c r="AJ135" s="23">
        <v>0</v>
      </c>
      <c r="AK135" s="23">
        <v>0</v>
      </c>
      <c r="AL135" s="23">
        <v>0</v>
      </c>
      <c r="AM135" s="111">
        <v>0</v>
      </c>
      <c r="AN135" s="51">
        <f ca="1">IFERROR(SUM(DB_25[[#This Row],[DT-01-USD]:[DT-09-USD]])/SUM(DB_25[[#This Row],[SL-01]:[SL-09]]),0)</f>
        <v>952.10604870384918</v>
      </c>
      <c r="AO135" s="51">
        <f ca="1">DB_25[[#This Row],[GB-10]]</f>
        <v>952.10604870384918</v>
      </c>
      <c r="AP135" s="51">
        <f ca="1">DB_25[[#This Row],[GB-11]]</f>
        <v>952.10604870384918</v>
      </c>
      <c r="AQ135" s="7"/>
      <c r="AR135" s="7"/>
      <c r="AS135" s="7"/>
      <c r="AT135" s="7"/>
      <c r="AU135" s="47">
        <v>0</v>
      </c>
      <c r="AV135" s="47">
        <v>0</v>
      </c>
      <c r="AW135" s="47">
        <v>26664682</v>
      </c>
      <c r="AX135" s="47">
        <v>0</v>
      </c>
      <c r="AY135" s="47">
        <v>0</v>
      </c>
      <c r="AZ135" s="47">
        <v>0</v>
      </c>
      <c r="BA135" s="47">
        <v>0</v>
      </c>
      <c r="BB135" s="47">
        <v>0</v>
      </c>
      <c r="BC135" s="47">
        <v>0</v>
      </c>
      <c r="BD135" s="19">
        <f ca="1">DB_25[[#This Row],[SL-10]]*DB_25[[#This Row],[GB-10]]*BD$2/10^3</f>
        <v>0</v>
      </c>
      <c r="BE135" s="19">
        <f ca="1">DB_25[[#This Row],[SL-11]]*DB_25[[#This Row],[GB-11]]*BE$2/10^3</f>
        <v>0</v>
      </c>
      <c r="BF135" s="19">
        <f ca="1">DB_25[[#This Row],[SL-12]]*DB_25[[#This Row],[GB-12]]*BF$2/10^3</f>
        <v>0</v>
      </c>
      <c r="BG135" s="47">
        <f ca="1">SUM(DB_25[[#This Row],[DT-01]:[DT-12]])</f>
        <v>26664682</v>
      </c>
      <c r="BH135" s="7"/>
      <c r="BI135" s="7"/>
      <c r="BJ135" s="7"/>
      <c r="BK135" s="50">
        <v>0</v>
      </c>
      <c r="BL135" s="109">
        <v>0</v>
      </c>
      <c r="BM135" s="109">
        <v>1047.3166535742341</v>
      </c>
      <c r="BN135" s="109">
        <v>0</v>
      </c>
      <c r="BO135" s="109">
        <v>0</v>
      </c>
      <c r="BP135" s="109">
        <v>0</v>
      </c>
      <c r="BQ135" s="109">
        <v>0</v>
      </c>
      <c r="BR135" s="109">
        <v>0</v>
      </c>
      <c r="BS135" s="109">
        <v>0</v>
      </c>
      <c r="BT135" s="147">
        <f ca="1">DB_25[[#This Row],[SL-10]]*DB_25[[#This Row],[GB-10]]</f>
        <v>0</v>
      </c>
      <c r="BU135" s="147">
        <f ca="1">DB_25[[#This Row],[SL-11]]*DB_25[[#This Row],[GB-11]]</f>
        <v>0</v>
      </c>
      <c r="BV135" s="147">
        <f ca="1">DB_25[[#This Row],[SL-12]]*DB_25[[#This Row],[GB-12]]</f>
        <v>0</v>
      </c>
      <c r="BW135" s="47">
        <f ca="1">SUM(DB_25[[#This Row],[DT-01-USD]:[DT-12-USD]])</f>
        <v>1047.3166535742341</v>
      </c>
    </row>
    <row r="136" spans="1:75" x14ac:dyDescent="0.35">
      <c r="A136" s="18">
        <f>ROWS($A$6:A136)</f>
        <v>131</v>
      </c>
      <c r="B136" s="18" t="s">
        <v>101</v>
      </c>
      <c r="C136" s="18" t="str">
        <f>IFERROR(_xlfn.XLOOKUP(DB_25[[#This Row],[Salesman]],MD_Salesman[Salesman],MD_Salesman[SalesManager]),"")</f>
        <v>Cường</v>
      </c>
      <c r="D136" s="7" t="s">
        <v>656</v>
      </c>
      <c r="E136" s="7" t="s">
        <v>141</v>
      </c>
      <c r="F136" s="7"/>
      <c r="G136" s="7" t="str">
        <f>_xlfn.XLOOKUP(DB_25[[#This Row],[Mã khách]],MD_Customer[Mã khách],MD_Customer[Kênh bán hàng])</f>
        <v>Xuất khẩu</v>
      </c>
      <c r="H136" s="7"/>
      <c r="I136" s="7"/>
      <c r="J136" s="7"/>
      <c r="K136" s="7" t="s">
        <v>168</v>
      </c>
      <c r="L136" s="7" t="str">
        <f>_xlfn.XLOOKUP(DB_25[[#This Row],[Mã sản phẩm]],MD_SKU[Mã SKU],MD_SKU[Tên SKU-rút gọn])</f>
        <v>iSS1084G</v>
      </c>
      <c r="M136" s="7" t="str">
        <f>_xlfn.XLOOKUP(DB_25[[#This Row],[Mã sản phẩm]],MD_SKU[Mã SKU],MD_SKU[Nhóm ngành])</f>
        <v>Hạt PET</v>
      </c>
      <c r="N136" s="7"/>
      <c r="O136" s="47">
        <v>0</v>
      </c>
      <c r="P136" s="47">
        <v>0</v>
      </c>
      <c r="Q136" s="47">
        <v>1.1000000000000001</v>
      </c>
      <c r="R136" s="47">
        <v>0</v>
      </c>
      <c r="S136" s="47">
        <v>0</v>
      </c>
      <c r="T136" s="47">
        <v>0</v>
      </c>
      <c r="U136" s="47">
        <v>0</v>
      </c>
      <c r="V136" s="47">
        <v>0</v>
      </c>
      <c r="W136" s="110">
        <f ca="1">SUMIFS(Data_Actual_LG_EXW[SL],Data_Actual_LG_EXW[Year],2025,Data_Actual_LG_EXW[Month],'DB 2025'!W$1,Data_Actual_LG_EXW[Mã KH],DB_25[[#This Row],[Mã khách]],Data_Actual_LG_EXW[Mã SKU],DB_25[[#This Row],[Mã sản phẩm]])/10^3</f>
        <v>0</v>
      </c>
      <c r="X136" s="33"/>
      <c r="Y136" s="33"/>
      <c r="Z136" s="33"/>
      <c r="AA136" s="19">
        <f ca="1">SUM(DB_25[[#This Row],[SL-01]:[SL-12]])</f>
        <v>1.1000000000000001</v>
      </c>
      <c r="AB136" s="7"/>
      <c r="AC136" s="20">
        <f ca="1">DB_25[[#This Row],[SL-DB25]]-DB_25[[#This Row],[SL-KH25]]</f>
        <v>1.1000000000000001</v>
      </c>
      <c r="AD136" s="21">
        <f ca="1">IFERROR(DB_25[[#This Row],[SL-+/-]]/DB_25[[#This Row],[SL-KH25]],0)</f>
        <v>0</v>
      </c>
      <c r="AE136" s="23">
        <v>0</v>
      </c>
      <c r="AF136" s="23">
        <v>0</v>
      </c>
      <c r="AG136" s="23">
        <v>1306.8510819110188</v>
      </c>
      <c r="AH136" s="23">
        <v>0</v>
      </c>
      <c r="AI136" s="23">
        <v>0</v>
      </c>
      <c r="AJ136" s="23">
        <v>0</v>
      </c>
      <c r="AK136" s="23">
        <v>0</v>
      </c>
      <c r="AL136" s="23">
        <v>0</v>
      </c>
      <c r="AM136" s="111">
        <v>0</v>
      </c>
      <c r="AN136" s="51">
        <f ca="1">IFERROR(SUM(DB_25[[#This Row],[DT-01-USD]:[DT-09-USD]])/SUM(DB_25[[#This Row],[SL-01]:[SL-09]]),0)</f>
        <v>1306.8510819110188</v>
      </c>
      <c r="AO136" s="51">
        <f ca="1">DB_25[[#This Row],[GB-10]]</f>
        <v>1306.8510819110188</v>
      </c>
      <c r="AP136" s="51">
        <f ca="1">DB_25[[#This Row],[GB-11]]</f>
        <v>1306.8510819110188</v>
      </c>
      <c r="AQ136" s="7"/>
      <c r="AR136" s="7"/>
      <c r="AS136" s="7"/>
      <c r="AT136" s="7"/>
      <c r="AU136" s="47">
        <v>0</v>
      </c>
      <c r="AV136" s="47">
        <v>0</v>
      </c>
      <c r="AW136" s="47">
        <v>36599671.399999999</v>
      </c>
      <c r="AX136" s="47">
        <v>0</v>
      </c>
      <c r="AY136" s="47">
        <v>0</v>
      </c>
      <c r="AZ136" s="47">
        <v>0</v>
      </c>
      <c r="BA136" s="47">
        <v>0</v>
      </c>
      <c r="BB136" s="47">
        <v>0</v>
      </c>
      <c r="BC136" s="47">
        <v>0</v>
      </c>
      <c r="BD136" s="19">
        <f ca="1">DB_25[[#This Row],[SL-10]]*DB_25[[#This Row],[GB-10]]*BD$2/10^3</f>
        <v>0</v>
      </c>
      <c r="BE136" s="19">
        <f ca="1">DB_25[[#This Row],[SL-11]]*DB_25[[#This Row],[GB-11]]*BE$2/10^3</f>
        <v>0</v>
      </c>
      <c r="BF136" s="19">
        <f ca="1">DB_25[[#This Row],[SL-12]]*DB_25[[#This Row],[GB-12]]*BF$2/10^3</f>
        <v>0</v>
      </c>
      <c r="BG136" s="47">
        <f ca="1">SUM(DB_25[[#This Row],[DT-01]:[DT-12]])</f>
        <v>36599671.399999999</v>
      </c>
      <c r="BH136" s="7"/>
      <c r="BI136" s="7"/>
      <c r="BJ136" s="7"/>
      <c r="BK136" s="50">
        <v>0</v>
      </c>
      <c r="BL136" s="109">
        <v>0</v>
      </c>
      <c r="BM136" s="109">
        <v>1437.5361901021208</v>
      </c>
      <c r="BN136" s="109">
        <v>0</v>
      </c>
      <c r="BO136" s="109">
        <v>0</v>
      </c>
      <c r="BP136" s="109">
        <v>0</v>
      </c>
      <c r="BQ136" s="109">
        <v>0</v>
      </c>
      <c r="BR136" s="109">
        <v>0</v>
      </c>
      <c r="BS136" s="109">
        <v>0</v>
      </c>
      <c r="BT136" s="147">
        <f ca="1">DB_25[[#This Row],[SL-10]]*DB_25[[#This Row],[GB-10]]</f>
        <v>0</v>
      </c>
      <c r="BU136" s="147">
        <f ca="1">DB_25[[#This Row],[SL-11]]*DB_25[[#This Row],[GB-11]]</f>
        <v>0</v>
      </c>
      <c r="BV136" s="147">
        <f ca="1">DB_25[[#This Row],[SL-12]]*DB_25[[#This Row],[GB-12]]</f>
        <v>0</v>
      </c>
      <c r="BW136" s="47">
        <f ca="1">SUM(DB_25[[#This Row],[DT-01-USD]:[DT-12-USD]])</f>
        <v>1437.5361901021208</v>
      </c>
    </row>
    <row r="137" spans="1:75" x14ac:dyDescent="0.35">
      <c r="A137" s="18">
        <f>ROWS($A$6:A137)</f>
        <v>132</v>
      </c>
      <c r="B137" s="18" t="s">
        <v>95</v>
      </c>
      <c r="C137" s="18" t="str">
        <f>IFERROR(_xlfn.XLOOKUP(DB_25[[#This Row],[Salesman]],MD_Salesman[Salesman],MD_Salesman[SalesManager]),"")</f>
        <v>Cường</v>
      </c>
      <c r="D137" s="7" t="s">
        <v>668</v>
      </c>
      <c r="E137" s="7" t="s">
        <v>142</v>
      </c>
      <c r="F137" s="7"/>
      <c r="G137" s="7" t="str">
        <f>_xlfn.XLOOKUP(DB_25[[#This Row],[Mã khách]],MD_Customer[Mã khách],MD_Customer[Kênh bán hàng])</f>
        <v>Xuất khẩu</v>
      </c>
      <c r="H137" s="7"/>
      <c r="I137" s="7"/>
      <c r="J137" s="7"/>
      <c r="K137" s="7" t="s">
        <v>171</v>
      </c>
      <c r="L137" s="7" t="str">
        <f>_xlfn.XLOOKUP(DB_25[[#This Row],[Mã sản phẩm]],MD_SKU[Mã SKU],MD_SKU[Tên SKU-rút gọn])</f>
        <v>WSS01G 1</v>
      </c>
      <c r="M137" s="7" t="str">
        <f>_xlfn.XLOOKUP(DB_25[[#This Row],[Mã sản phẩm]],MD_SKU[Mã SKU],MD_SKU[Nhóm ngành])</f>
        <v>Hạt PET</v>
      </c>
      <c r="N137" s="7"/>
      <c r="O137" s="47">
        <v>1.1000000000000001</v>
      </c>
      <c r="P137" s="47">
        <v>0</v>
      </c>
      <c r="Q137" s="47">
        <v>0</v>
      </c>
      <c r="R137" s="47">
        <v>0</v>
      </c>
      <c r="S137" s="47">
        <v>0</v>
      </c>
      <c r="T137" s="47">
        <v>0</v>
      </c>
      <c r="U137" s="47">
        <v>0</v>
      </c>
      <c r="V137" s="47">
        <v>0</v>
      </c>
      <c r="W137" s="110">
        <f ca="1">SUMIFS(Data_Actual_LG_EXW[SL],Data_Actual_LG_EXW[Year],2025,Data_Actual_LG_EXW[Month],'DB 2025'!W$1,Data_Actual_LG_EXW[Mã KH],DB_25[[#This Row],[Mã khách]],Data_Actual_LG_EXW[Mã SKU],DB_25[[#This Row],[Mã sản phẩm]])/10^3</f>
        <v>0</v>
      </c>
      <c r="X137" s="33"/>
      <c r="Y137" s="33"/>
      <c r="Z137" s="33"/>
      <c r="AA137" s="19">
        <f ca="1">SUM(DB_25[[#This Row],[SL-01]:[SL-12]])</f>
        <v>1.1000000000000001</v>
      </c>
      <c r="AB137" s="7"/>
      <c r="AC137" s="20">
        <f ca="1">DB_25[[#This Row],[SL-DB25]]-DB_25[[#This Row],[SL-KH25]]</f>
        <v>1.1000000000000001</v>
      </c>
      <c r="AD137" s="21">
        <f ca="1">IFERROR(DB_25[[#This Row],[SL-+/-]]/DB_25[[#This Row],[SL-KH25]],0)</f>
        <v>0</v>
      </c>
      <c r="AE137" s="23">
        <v>1372.4458937377678</v>
      </c>
      <c r="AF137" s="23">
        <v>0</v>
      </c>
      <c r="AG137" s="23">
        <v>0</v>
      </c>
      <c r="AH137" s="23">
        <v>0</v>
      </c>
      <c r="AI137" s="23">
        <v>0</v>
      </c>
      <c r="AJ137" s="23">
        <v>0</v>
      </c>
      <c r="AK137" s="23">
        <v>0</v>
      </c>
      <c r="AL137" s="23">
        <v>0</v>
      </c>
      <c r="AM137" s="111">
        <v>0</v>
      </c>
      <c r="AN137" s="51">
        <f ca="1">IFERROR(SUM(DB_25[[#This Row],[DT-01-USD]:[DT-09-USD]])/SUM(DB_25[[#This Row],[SL-01]:[SL-09]]),0)</f>
        <v>1372.4458937377678</v>
      </c>
      <c r="AO137" s="51">
        <f ca="1">DB_25[[#This Row],[GB-10]]</f>
        <v>1372.4458937377678</v>
      </c>
      <c r="AP137" s="51">
        <f ca="1">DB_25[[#This Row],[GB-11]]</f>
        <v>1372.4458937377678</v>
      </c>
      <c r="AQ137" s="7"/>
      <c r="AR137" s="7"/>
      <c r="AS137" s="7"/>
      <c r="AT137" s="7"/>
      <c r="AU137" s="47">
        <v>38059297.079242043</v>
      </c>
      <c r="AV137" s="47">
        <v>0</v>
      </c>
      <c r="AW137" s="47">
        <v>0</v>
      </c>
      <c r="AX137" s="47">
        <v>0</v>
      </c>
      <c r="AY137" s="47">
        <v>0</v>
      </c>
      <c r="AZ137" s="47">
        <v>0</v>
      </c>
      <c r="BA137" s="47">
        <v>0</v>
      </c>
      <c r="BB137" s="47">
        <v>0</v>
      </c>
      <c r="BC137" s="47">
        <v>0</v>
      </c>
      <c r="BD137" s="19">
        <f ca="1">DB_25[[#This Row],[SL-10]]*DB_25[[#This Row],[GB-10]]*BD$2/10^3</f>
        <v>0</v>
      </c>
      <c r="BE137" s="19">
        <f ca="1">DB_25[[#This Row],[SL-11]]*DB_25[[#This Row],[GB-11]]*BE$2/10^3</f>
        <v>0</v>
      </c>
      <c r="BF137" s="19">
        <f ca="1">DB_25[[#This Row],[SL-12]]*DB_25[[#This Row],[GB-12]]*BF$2/10^3</f>
        <v>0</v>
      </c>
      <c r="BG137" s="47">
        <f ca="1">SUM(DB_25[[#This Row],[DT-01]:[DT-12]])</f>
        <v>38059297.079242043</v>
      </c>
      <c r="BH137" s="7"/>
      <c r="BI137" s="7"/>
      <c r="BJ137" s="7"/>
      <c r="BK137" s="50">
        <v>1509.6904831115448</v>
      </c>
      <c r="BL137" s="109">
        <v>0</v>
      </c>
      <c r="BM137" s="109">
        <v>0</v>
      </c>
      <c r="BN137" s="109">
        <v>0</v>
      </c>
      <c r="BO137" s="109">
        <v>0</v>
      </c>
      <c r="BP137" s="109">
        <v>0</v>
      </c>
      <c r="BQ137" s="109">
        <v>0</v>
      </c>
      <c r="BR137" s="109">
        <v>0</v>
      </c>
      <c r="BS137" s="109">
        <v>0</v>
      </c>
      <c r="BT137" s="147">
        <f ca="1">DB_25[[#This Row],[SL-10]]*DB_25[[#This Row],[GB-10]]</f>
        <v>0</v>
      </c>
      <c r="BU137" s="147">
        <f ca="1">DB_25[[#This Row],[SL-11]]*DB_25[[#This Row],[GB-11]]</f>
        <v>0</v>
      </c>
      <c r="BV137" s="147">
        <f ca="1">DB_25[[#This Row],[SL-12]]*DB_25[[#This Row],[GB-12]]</f>
        <v>0</v>
      </c>
      <c r="BW137" s="47">
        <f ca="1">SUM(DB_25[[#This Row],[DT-01-USD]:[DT-12-USD]])</f>
        <v>1509.6904831115448</v>
      </c>
    </row>
    <row r="138" spans="1:75" x14ac:dyDescent="0.35">
      <c r="A138" s="18">
        <f>ROWS($A$6:A138)</f>
        <v>133</v>
      </c>
      <c r="B138" s="18" t="s">
        <v>115</v>
      </c>
      <c r="C138" s="18" t="str">
        <f>IFERROR(_xlfn.XLOOKUP(DB_25[[#This Row],[Salesman]],MD_Salesman[Salesman],MD_Salesman[SalesManager]),"")</f>
        <v>Quốc Anh</v>
      </c>
      <c r="D138" s="7" t="s">
        <v>661</v>
      </c>
      <c r="E138" s="7" t="s">
        <v>106</v>
      </c>
      <c r="F138" s="7"/>
      <c r="G138" s="7" t="str">
        <f>_xlfn.XLOOKUP(DB_25[[#This Row],[Mã khách]],MD_Customer[Mã khách],MD_Customer[Kênh bán hàng])</f>
        <v>Nội địa</v>
      </c>
      <c r="H138" s="7"/>
      <c r="I138" s="7"/>
      <c r="J138" s="7"/>
      <c r="K138" s="7" t="s">
        <v>174</v>
      </c>
      <c r="L138" s="7" t="str">
        <f>_xlfn.XLOOKUP(DB_25[[#This Row],[Mã sản phẩm]],MD_SKU[Mã SKU],MD_SKU[Tên SKU-rút gọn])</f>
        <v>WSS03G</v>
      </c>
      <c r="M138" s="7" t="str">
        <f>_xlfn.XLOOKUP(DB_25[[#This Row],[Mã sản phẩm]],MD_SKU[Mã SKU],MD_SKU[Nhóm ngành])</f>
        <v>Hạt PET</v>
      </c>
      <c r="N138" s="7"/>
      <c r="O138" s="47">
        <v>0</v>
      </c>
      <c r="P138" s="47">
        <v>1.1000000000000001</v>
      </c>
      <c r="Q138" s="47">
        <v>0</v>
      </c>
      <c r="R138" s="47">
        <v>0</v>
      </c>
      <c r="S138" s="47">
        <v>0</v>
      </c>
      <c r="T138" s="47">
        <v>0</v>
      </c>
      <c r="U138" s="47">
        <v>0</v>
      </c>
      <c r="V138" s="47">
        <v>0</v>
      </c>
      <c r="W138" s="110">
        <f ca="1">SUMIFS(Data_Actual_LG_EXW[SL],Data_Actual_LG_EXW[Year],2025,Data_Actual_LG_EXW[Month],'DB 2025'!W$1,Data_Actual_LG_EXW[Mã KH],DB_25[[#This Row],[Mã khách]],Data_Actual_LG_EXW[Mã SKU],DB_25[[#This Row],[Mã sản phẩm]])/10^3</f>
        <v>0</v>
      </c>
      <c r="X138" s="33"/>
      <c r="Y138" s="33"/>
      <c r="Z138" s="33"/>
      <c r="AA138" s="19">
        <f ca="1">SUM(DB_25[[#This Row],[SL-01]:[SL-12]])</f>
        <v>1.1000000000000001</v>
      </c>
      <c r="AB138" s="7"/>
      <c r="AC138" s="20">
        <f ca="1">DB_25[[#This Row],[SL-DB25]]-DB_25[[#This Row],[SL-KH25]]</f>
        <v>1.1000000000000001</v>
      </c>
      <c r="AD138" s="21">
        <f ca="1">IFERROR(DB_25[[#This Row],[SL-+/-]]/DB_25[[#This Row],[SL-KH25]],0)</f>
        <v>0</v>
      </c>
      <c r="AE138" s="23">
        <v>0</v>
      </c>
      <c r="AF138" s="23">
        <v>1133.3097288287238</v>
      </c>
      <c r="AG138" s="23">
        <v>0</v>
      </c>
      <c r="AH138" s="23">
        <v>0</v>
      </c>
      <c r="AI138" s="23">
        <v>0</v>
      </c>
      <c r="AJ138" s="23">
        <v>0</v>
      </c>
      <c r="AK138" s="23">
        <v>0</v>
      </c>
      <c r="AL138" s="23">
        <v>0</v>
      </c>
      <c r="AM138" s="111">
        <v>0</v>
      </c>
      <c r="AN138" s="51">
        <f ca="1">IFERROR(SUM(DB_25[[#This Row],[DT-01-USD]:[DT-09-USD]])/SUM(DB_25[[#This Row],[SL-01]:[SL-09]]),0)</f>
        <v>1133.3097288287238</v>
      </c>
      <c r="AO138" s="51">
        <f ca="1">DB_25[[#This Row],[GB-10]]</f>
        <v>1133.3097288287238</v>
      </c>
      <c r="AP138" s="51">
        <f ca="1">DB_25[[#This Row],[GB-11]]</f>
        <v>1133.3097288287238</v>
      </c>
      <c r="AQ138" s="7"/>
      <c r="AR138" s="7"/>
      <c r="AS138" s="7"/>
      <c r="AT138" s="7"/>
      <c r="AU138" s="47">
        <v>0</v>
      </c>
      <c r="AV138" s="47">
        <v>31505250.974885844</v>
      </c>
      <c r="AW138" s="47">
        <v>0</v>
      </c>
      <c r="AX138" s="47">
        <v>0</v>
      </c>
      <c r="AY138" s="47">
        <v>0</v>
      </c>
      <c r="AZ138" s="47">
        <v>0</v>
      </c>
      <c r="BA138" s="47">
        <v>0</v>
      </c>
      <c r="BB138" s="47">
        <v>0</v>
      </c>
      <c r="BC138" s="47">
        <v>0</v>
      </c>
      <c r="BD138" s="19">
        <f ca="1">DB_25[[#This Row],[SL-10]]*DB_25[[#This Row],[GB-10]]*BD$2/10^3</f>
        <v>0</v>
      </c>
      <c r="BE138" s="19">
        <f ca="1">DB_25[[#This Row],[SL-11]]*DB_25[[#This Row],[GB-11]]*BE$2/10^3</f>
        <v>0</v>
      </c>
      <c r="BF138" s="19">
        <f ca="1">DB_25[[#This Row],[SL-12]]*DB_25[[#This Row],[GB-12]]*BF$2/10^3</f>
        <v>0</v>
      </c>
      <c r="BG138" s="47">
        <f ca="1">SUM(DB_25[[#This Row],[DT-01]:[DT-12]])</f>
        <v>31505250.974885844</v>
      </c>
      <c r="BH138" s="7"/>
      <c r="BI138" s="7"/>
      <c r="BJ138" s="7"/>
      <c r="BK138" s="50">
        <v>0</v>
      </c>
      <c r="BL138" s="109">
        <v>1246.6407017115962</v>
      </c>
      <c r="BM138" s="109">
        <v>0</v>
      </c>
      <c r="BN138" s="109">
        <v>0</v>
      </c>
      <c r="BO138" s="109">
        <v>0</v>
      </c>
      <c r="BP138" s="109">
        <v>0</v>
      </c>
      <c r="BQ138" s="109">
        <v>0</v>
      </c>
      <c r="BR138" s="109">
        <v>0</v>
      </c>
      <c r="BS138" s="109">
        <v>0</v>
      </c>
      <c r="BT138" s="147">
        <f ca="1">DB_25[[#This Row],[SL-10]]*DB_25[[#This Row],[GB-10]]</f>
        <v>0</v>
      </c>
      <c r="BU138" s="147">
        <f ca="1">DB_25[[#This Row],[SL-11]]*DB_25[[#This Row],[GB-11]]</f>
        <v>0</v>
      </c>
      <c r="BV138" s="147">
        <f ca="1">DB_25[[#This Row],[SL-12]]*DB_25[[#This Row],[GB-12]]</f>
        <v>0</v>
      </c>
      <c r="BW138" s="47">
        <f ca="1">SUM(DB_25[[#This Row],[DT-01-USD]:[DT-12-USD]])</f>
        <v>1246.6407017115962</v>
      </c>
    </row>
    <row r="139" spans="1:75" x14ac:dyDescent="0.35">
      <c r="A139" s="18">
        <f>ROWS($A$6:A139)</f>
        <v>134</v>
      </c>
      <c r="B139" s="18" t="s">
        <v>115</v>
      </c>
      <c r="C139" s="18" t="str">
        <f>IFERROR(_xlfn.XLOOKUP(DB_25[[#This Row],[Salesman]],MD_Salesman[Salesman],MD_Salesman[SalesManager]),"")</f>
        <v>Quốc Anh</v>
      </c>
      <c r="D139" s="7" t="s">
        <v>669</v>
      </c>
      <c r="E139" s="7" t="s">
        <v>149</v>
      </c>
      <c r="F139" s="7"/>
      <c r="G139" s="7" t="str">
        <f>_xlfn.XLOOKUP(DB_25[[#This Row],[Mã khách]],MD_Customer[Mã khách],MD_Customer[Kênh bán hàng])</f>
        <v>Nội địa</v>
      </c>
      <c r="H139" s="7"/>
      <c r="I139" s="7"/>
      <c r="J139" s="7"/>
      <c r="K139" s="7" t="s">
        <v>181</v>
      </c>
      <c r="L139" s="7" t="str">
        <f>_xlfn.XLOOKUP(DB_25[[#This Row],[Mã sản phẩm]],MD_SKU[Mã SKU],MD_SKU[Tên SKU-rút gọn])</f>
        <v>WSS04SB</v>
      </c>
      <c r="M139" s="7" t="str">
        <f>_xlfn.XLOOKUP(DB_25[[#This Row],[Mã sản phẩm]],MD_SKU[Mã SKU],MD_SKU[Nhóm ngành])</f>
        <v>Hạt Xơ sợi</v>
      </c>
      <c r="N139" s="7"/>
      <c r="O139" s="47">
        <v>0</v>
      </c>
      <c r="P139" s="47">
        <v>0</v>
      </c>
      <c r="Q139" s="47">
        <v>0</v>
      </c>
      <c r="R139" s="47">
        <v>1</v>
      </c>
      <c r="S139" s="47">
        <v>0</v>
      </c>
      <c r="T139" s="47">
        <v>0</v>
      </c>
      <c r="U139" s="47">
        <v>0</v>
      </c>
      <c r="V139" s="47">
        <v>0</v>
      </c>
      <c r="W139" s="110">
        <f ca="1">SUMIFS(Data_Actual_LG_EXW[SL],Data_Actual_LG_EXW[Year],2025,Data_Actual_LG_EXW[Month],'DB 2025'!W$1,Data_Actual_LG_EXW[Mã KH],DB_25[[#This Row],[Mã khách]],Data_Actual_LG_EXW[Mã SKU],DB_25[[#This Row],[Mã sản phẩm]])/10^3</f>
        <v>0</v>
      </c>
      <c r="X139" s="33"/>
      <c r="Y139" s="33"/>
      <c r="Z139" s="33"/>
      <c r="AA139" s="19">
        <f ca="1">SUM(DB_25[[#This Row],[SL-01]:[SL-12]])</f>
        <v>1</v>
      </c>
      <c r="AB139" s="7"/>
      <c r="AC139" s="20">
        <f ca="1">DB_25[[#This Row],[SL-DB25]]-DB_25[[#This Row],[SL-KH25]]</f>
        <v>1</v>
      </c>
      <c r="AD139" s="21">
        <f ca="1">IFERROR(DB_25[[#This Row],[SL-+/-]]/DB_25[[#This Row],[SL-KH25]],0)</f>
        <v>0</v>
      </c>
      <c r="AE139" s="23">
        <v>0</v>
      </c>
      <c r="AF139" s="23">
        <v>0</v>
      </c>
      <c r="AG139" s="23">
        <v>0</v>
      </c>
      <c r="AH139" s="23">
        <v>1038.3043662919542</v>
      </c>
      <c r="AI139" s="23">
        <v>0</v>
      </c>
      <c r="AJ139" s="23">
        <v>0</v>
      </c>
      <c r="AK139" s="23">
        <v>0</v>
      </c>
      <c r="AL139" s="23">
        <v>0</v>
      </c>
      <c r="AM139" s="111">
        <v>0</v>
      </c>
      <c r="AN139" s="51">
        <f ca="1">IFERROR(SUM(DB_25[[#This Row],[DT-01-USD]:[DT-09-USD]])/SUM(DB_25[[#This Row],[SL-01]:[SL-09]]),0)</f>
        <v>1038.3043662919542</v>
      </c>
      <c r="AO139" s="51">
        <f ca="1">DB_25[[#This Row],[GB-10]]</f>
        <v>1038.3043662919542</v>
      </c>
      <c r="AP139" s="51">
        <f ca="1">DB_25[[#This Row],[GB-11]]</f>
        <v>1038.3043662919542</v>
      </c>
      <c r="AQ139" s="7"/>
      <c r="AR139" s="7"/>
      <c r="AS139" s="7"/>
      <c r="AT139" s="7"/>
      <c r="AU139" s="47">
        <v>0</v>
      </c>
      <c r="AV139" s="47">
        <v>0</v>
      </c>
      <c r="AW139" s="47">
        <v>0</v>
      </c>
      <c r="AX139" s="47">
        <v>26819401.781321179</v>
      </c>
      <c r="AY139" s="47">
        <v>0</v>
      </c>
      <c r="AZ139" s="47">
        <v>0</v>
      </c>
      <c r="BA139" s="47">
        <v>0</v>
      </c>
      <c r="BB139" s="47">
        <v>0</v>
      </c>
      <c r="BC139" s="47">
        <v>0</v>
      </c>
      <c r="BD139" s="19">
        <f ca="1">DB_25[[#This Row],[SL-10]]*DB_25[[#This Row],[GB-10]]*BD$2/10^3</f>
        <v>0</v>
      </c>
      <c r="BE139" s="19">
        <f ca="1">DB_25[[#This Row],[SL-11]]*DB_25[[#This Row],[GB-11]]*BE$2/10^3</f>
        <v>0</v>
      </c>
      <c r="BF139" s="19">
        <f ca="1">DB_25[[#This Row],[SL-12]]*DB_25[[#This Row],[GB-12]]*BF$2/10^3</f>
        <v>0</v>
      </c>
      <c r="BG139" s="47">
        <f ca="1">SUM(DB_25[[#This Row],[DT-01]:[DT-12]])</f>
        <v>26819401.781321179</v>
      </c>
      <c r="BH139" s="7"/>
      <c r="BI139" s="7"/>
      <c r="BJ139" s="7"/>
      <c r="BK139" s="50">
        <v>0</v>
      </c>
      <c r="BL139" s="109">
        <v>0</v>
      </c>
      <c r="BM139" s="109">
        <v>0</v>
      </c>
      <c r="BN139" s="109">
        <v>1038.3043662919542</v>
      </c>
      <c r="BO139" s="109">
        <v>0</v>
      </c>
      <c r="BP139" s="109">
        <v>0</v>
      </c>
      <c r="BQ139" s="109">
        <v>0</v>
      </c>
      <c r="BR139" s="109">
        <v>0</v>
      </c>
      <c r="BS139" s="109">
        <v>0</v>
      </c>
      <c r="BT139" s="147">
        <f ca="1">DB_25[[#This Row],[SL-10]]*DB_25[[#This Row],[GB-10]]</f>
        <v>0</v>
      </c>
      <c r="BU139" s="147">
        <f ca="1">DB_25[[#This Row],[SL-11]]*DB_25[[#This Row],[GB-11]]</f>
        <v>0</v>
      </c>
      <c r="BV139" s="147">
        <f ca="1">DB_25[[#This Row],[SL-12]]*DB_25[[#This Row],[GB-12]]</f>
        <v>0</v>
      </c>
      <c r="BW139" s="47">
        <f ca="1">SUM(DB_25[[#This Row],[DT-01-USD]:[DT-12-USD]])</f>
        <v>1038.3043662919542</v>
      </c>
    </row>
    <row r="140" spans="1:75" x14ac:dyDescent="0.35">
      <c r="A140" s="18">
        <f>ROWS($A$6:A140)</f>
        <v>135</v>
      </c>
      <c r="B140" s="18" t="s">
        <v>104</v>
      </c>
      <c r="C140" s="18" t="str">
        <f>IFERROR(_xlfn.XLOOKUP(DB_25[[#This Row],[Salesman]],MD_Salesman[Salesman],MD_Salesman[SalesManager]),"")</f>
        <v>Quốc Anh</v>
      </c>
      <c r="D140" s="7" t="s">
        <v>670</v>
      </c>
      <c r="E140" s="7" t="s">
        <v>66</v>
      </c>
      <c r="F140" s="7"/>
      <c r="G140" s="7" t="str">
        <f>_xlfn.XLOOKUP(DB_25[[#This Row],[Mã khách]],MD_Customer[Mã khách],MD_Customer[Kênh bán hàng])</f>
        <v>Nội địa</v>
      </c>
      <c r="H140" s="7"/>
      <c r="I140" s="7"/>
      <c r="J140" s="7"/>
      <c r="K140" s="7" t="s">
        <v>218</v>
      </c>
      <c r="L140" s="7" t="str">
        <f>_xlfn.XLOOKUP(DB_25[[#This Row],[Mã sản phẩm]],MD_SKU[Mã SKU],MD_SKU[Tên SKU-rút gọn])</f>
        <v>rPP20W01</v>
      </c>
      <c r="M140" s="7" t="str">
        <f>_xlfn.XLOOKUP(DB_25[[#This Row],[Mã sản phẩm]],MD_SKU[Mã SKU],MD_SKU[Nhóm ngành])</f>
        <v>Hạt PP</v>
      </c>
      <c r="N140" s="7"/>
      <c r="O140" s="47">
        <v>0</v>
      </c>
      <c r="P140" s="47">
        <v>0</v>
      </c>
      <c r="Q140" s="47">
        <v>0</v>
      </c>
      <c r="R140" s="47">
        <v>0</v>
      </c>
      <c r="S140" s="47">
        <v>0</v>
      </c>
      <c r="T140" s="47">
        <v>0</v>
      </c>
      <c r="U140" s="47">
        <v>0.1</v>
      </c>
      <c r="V140" s="47">
        <v>0</v>
      </c>
      <c r="W140" s="110">
        <f ca="1">SUMIFS(Data_Actual_LG_EXW[SL],Data_Actual_LG_EXW[Year],2025,Data_Actual_LG_EXW[Month],'DB 2025'!W$1,Data_Actual_LG_EXW[Mã KH],DB_25[[#This Row],[Mã khách]],Data_Actual_LG_EXW[Mã SKU],DB_25[[#This Row],[Mã sản phẩm]])/10^3</f>
        <v>0</v>
      </c>
      <c r="X140" s="33"/>
      <c r="Y140" s="33"/>
      <c r="Z140" s="33"/>
      <c r="AA140" s="19">
        <f ca="1">SUM(DB_25[[#This Row],[SL-01]:[SL-12]])</f>
        <v>0.1</v>
      </c>
      <c r="AB140" s="7"/>
      <c r="AC140" s="20">
        <f ca="1">DB_25[[#This Row],[SL-DB25]]-DB_25[[#This Row],[SL-KH25]]</f>
        <v>0.1</v>
      </c>
      <c r="AD140" s="21">
        <f ca="1">IFERROR(DB_25[[#This Row],[SL-+/-]]/DB_25[[#This Row],[SL-KH25]],0)</f>
        <v>0</v>
      </c>
      <c r="AE140" s="23">
        <v>0</v>
      </c>
      <c r="AF140" s="23">
        <v>0</v>
      </c>
      <c r="AG140" s="23">
        <v>0</v>
      </c>
      <c r="AH140" s="23">
        <v>0</v>
      </c>
      <c r="AI140" s="23">
        <v>0</v>
      </c>
      <c r="AJ140" s="23">
        <v>0</v>
      </c>
      <c r="AK140" s="23">
        <v>808.06347209451269</v>
      </c>
      <c r="AL140" s="23">
        <v>0</v>
      </c>
      <c r="AM140" s="111">
        <v>0</v>
      </c>
      <c r="AN140" s="51">
        <f ca="1">IFERROR(SUM(DB_25[[#This Row],[DT-01-USD]:[DT-09-USD]])/SUM(DB_25[[#This Row],[SL-01]:[SL-09]]),0)</f>
        <v>808.06347209451269</v>
      </c>
      <c r="AO140" s="51">
        <f ca="1">DB_25[[#This Row],[GB-10]]</f>
        <v>808.06347209451269</v>
      </c>
      <c r="AP140" s="51">
        <f ca="1">DB_25[[#This Row],[GB-11]]</f>
        <v>808.06347209451269</v>
      </c>
      <c r="AQ140" s="7"/>
      <c r="AR140" s="7"/>
      <c r="AS140" s="7"/>
      <c r="AT140" s="7"/>
      <c r="AU140" s="47">
        <v>0</v>
      </c>
      <c r="AV140" s="47">
        <v>0</v>
      </c>
      <c r="AW140" s="47">
        <v>0</v>
      </c>
      <c r="AX140" s="47">
        <v>0</v>
      </c>
      <c r="AY140" s="47">
        <v>0</v>
      </c>
      <c r="AZ140" s="47">
        <v>0</v>
      </c>
      <c r="BA140" s="47">
        <v>2100000</v>
      </c>
      <c r="BB140" s="47">
        <v>0</v>
      </c>
      <c r="BC140" s="47">
        <v>0</v>
      </c>
      <c r="BD140" s="19">
        <f ca="1">DB_25[[#This Row],[SL-10]]*DB_25[[#This Row],[GB-10]]*BD$2/10^3</f>
        <v>0</v>
      </c>
      <c r="BE140" s="19">
        <f ca="1">DB_25[[#This Row],[SL-11]]*DB_25[[#This Row],[GB-11]]*BE$2/10^3</f>
        <v>0</v>
      </c>
      <c r="BF140" s="19">
        <f ca="1">DB_25[[#This Row],[SL-12]]*DB_25[[#This Row],[GB-12]]*BF$2/10^3</f>
        <v>0</v>
      </c>
      <c r="BG140" s="47">
        <f ca="1">SUM(DB_25[[#This Row],[DT-01]:[DT-12]])</f>
        <v>2100000</v>
      </c>
      <c r="BH140" s="7"/>
      <c r="BI140" s="7"/>
      <c r="BJ140" s="7"/>
      <c r="BK140" s="50">
        <v>0</v>
      </c>
      <c r="BL140" s="109">
        <v>0</v>
      </c>
      <c r="BM140" s="109">
        <v>0</v>
      </c>
      <c r="BN140" s="109">
        <v>0</v>
      </c>
      <c r="BO140" s="109">
        <v>0</v>
      </c>
      <c r="BP140" s="109">
        <v>0</v>
      </c>
      <c r="BQ140" s="109">
        <v>80.806347209451275</v>
      </c>
      <c r="BR140" s="109">
        <v>0</v>
      </c>
      <c r="BS140" s="109">
        <v>0</v>
      </c>
      <c r="BT140" s="147">
        <f ca="1">DB_25[[#This Row],[SL-10]]*DB_25[[#This Row],[GB-10]]</f>
        <v>0</v>
      </c>
      <c r="BU140" s="147">
        <f ca="1">DB_25[[#This Row],[SL-11]]*DB_25[[#This Row],[GB-11]]</f>
        <v>0</v>
      </c>
      <c r="BV140" s="147">
        <f ca="1">DB_25[[#This Row],[SL-12]]*DB_25[[#This Row],[GB-12]]</f>
        <v>0</v>
      </c>
      <c r="BW140" s="47">
        <f ca="1">SUM(DB_25[[#This Row],[DT-01-USD]:[DT-12-USD]])</f>
        <v>80.806347209451275</v>
      </c>
    </row>
    <row r="141" spans="1:75" x14ac:dyDescent="0.35">
      <c r="A141" s="18">
        <f>ROWS($A$6:A141)</f>
        <v>136</v>
      </c>
      <c r="B141" s="18" t="s">
        <v>115</v>
      </c>
      <c r="C141" s="18" t="str">
        <f>IFERROR(_xlfn.XLOOKUP(DB_25[[#This Row],[Salesman]],MD_Salesman[Salesman],MD_Salesman[SalesManager]),"")</f>
        <v>Quốc Anh</v>
      </c>
      <c r="D141" s="7" t="s">
        <v>671</v>
      </c>
      <c r="E141" s="7" t="s">
        <v>273</v>
      </c>
      <c r="F141" s="7"/>
      <c r="G141" s="7" t="str">
        <f>_xlfn.XLOOKUP(DB_25[[#This Row],[Mã khách]],MD_Customer[Mã khách],MD_Customer[Kênh bán hàng])</f>
        <v>Nội địa</v>
      </c>
      <c r="H141" s="7"/>
      <c r="I141" s="7"/>
      <c r="J141" s="7"/>
      <c r="K141" s="7" t="s">
        <v>200</v>
      </c>
      <c r="L141" s="7" t="str">
        <f>_xlfn.XLOOKUP(DB_25[[#This Row],[Mã sản phẩm]],MD_SKU[Mã SKU],MD_SKU[Tên SKU-rút gọn])</f>
        <v>Vảy HD Ép Đỏ</v>
      </c>
      <c r="M141" s="7" t="str">
        <f>_xlfn.XLOOKUP(DB_25[[#This Row],[Mã sản phẩm]],MD_SKU[Mã SKU],MD_SKU[Nhóm ngành])</f>
        <v>Vảy HD ép</v>
      </c>
      <c r="N141" s="7"/>
      <c r="O141" s="47">
        <v>0</v>
      </c>
      <c r="P141" s="47">
        <v>0.75</v>
      </c>
      <c r="Q141" s="47">
        <v>0</v>
      </c>
      <c r="R141" s="47">
        <v>0</v>
      </c>
      <c r="S141" s="47">
        <v>0</v>
      </c>
      <c r="T141" s="47">
        <v>0</v>
      </c>
      <c r="U141" s="47">
        <v>0</v>
      </c>
      <c r="V141" s="47">
        <v>0</v>
      </c>
      <c r="W141" s="110">
        <f ca="1">SUMIFS(Data_Actual_LG_EXW[SL],Data_Actual_LG_EXW[Year],2025,Data_Actual_LG_EXW[Month],'DB 2025'!W$1,Data_Actual_LG_EXW[Mã KH],DB_25[[#This Row],[Mã khách]],Data_Actual_LG_EXW[Mã SKU],DB_25[[#This Row],[Mã sản phẩm]])/10^3</f>
        <v>0</v>
      </c>
      <c r="X141" s="33"/>
      <c r="Y141" s="33"/>
      <c r="Z141" s="33"/>
      <c r="AA141" s="19">
        <f ca="1">SUM(DB_25[[#This Row],[SL-01]:[SL-12]])</f>
        <v>0.75</v>
      </c>
      <c r="AB141" s="7"/>
      <c r="AC141" s="20">
        <f ca="1">DB_25[[#This Row],[SL-DB25]]-DB_25[[#This Row],[SL-KH25]]</f>
        <v>0.75</v>
      </c>
      <c r="AD141" s="21">
        <f ca="1">IFERROR(DB_25[[#This Row],[SL-+/-]]/DB_25[[#This Row],[SL-KH25]],0)</f>
        <v>0</v>
      </c>
      <c r="AE141" s="23">
        <v>0</v>
      </c>
      <c r="AF141" s="23">
        <v>685.88109373376301</v>
      </c>
      <c r="AG141" s="23">
        <v>0</v>
      </c>
      <c r="AH141" s="23">
        <v>0</v>
      </c>
      <c r="AI141" s="23">
        <v>0</v>
      </c>
      <c r="AJ141" s="23">
        <v>0</v>
      </c>
      <c r="AK141" s="23">
        <v>0</v>
      </c>
      <c r="AL141" s="23">
        <v>0</v>
      </c>
      <c r="AM141" s="111">
        <v>0</v>
      </c>
      <c r="AN141" s="51">
        <f ca="1">IFERROR(SUM(DB_25[[#This Row],[DT-01-USD]:[DT-09-USD]])/SUM(DB_25[[#This Row],[SL-01]:[SL-09]]),0)</f>
        <v>685.88109373376301</v>
      </c>
      <c r="AO141" s="51">
        <f ca="1">DB_25[[#This Row],[GB-10]]</f>
        <v>685.88109373376301</v>
      </c>
      <c r="AP141" s="51">
        <f ca="1">DB_25[[#This Row],[GB-11]]</f>
        <v>685.88109373376301</v>
      </c>
      <c r="AQ141" s="7"/>
      <c r="AR141" s="7"/>
      <c r="AS141" s="7"/>
      <c r="AT141" s="7"/>
      <c r="AU141" s="47">
        <v>0</v>
      </c>
      <c r="AV141" s="47">
        <v>13000250.974885846</v>
      </c>
      <c r="AW141" s="47">
        <v>0</v>
      </c>
      <c r="AX141" s="47">
        <v>0</v>
      </c>
      <c r="AY141" s="47">
        <v>0</v>
      </c>
      <c r="AZ141" s="47">
        <v>0</v>
      </c>
      <c r="BA141" s="47">
        <v>0</v>
      </c>
      <c r="BB141" s="47">
        <v>0</v>
      </c>
      <c r="BC141" s="47">
        <v>0</v>
      </c>
      <c r="BD141" s="19">
        <f ca="1">DB_25[[#This Row],[SL-10]]*DB_25[[#This Row],[GB-10]]*BD$2/10^3</f>
        <v>0</v>
      </c>
      <c r="BE141" s="19">
        <f ca="1">DB_25[[#This Row],[SL-11]]*DB_25[[#This Row],[GB-11]]*BE$2/10^3</f>
        <v>0</v>
      </c>
      <c r="BF141" s="19">
        <f ca="1">DB_25[[#This Row],[SL-12]]*DB_25[[#This Row],[GB-12]]*BF$2/10^3</f>
        <v>0</v>
      </c>
      <c r="BG141" s="47">
        <f ca="1">SUM(DB_25[[#This Row],[DT-01]:[DT-12]])</f>
        <v>13000250.974885846</v>
      </c>
      <c r="BH141" s="7"/>
      <c r="BI141" s="7"/>
      <c r="BJ141" s="7"/>
      <c r="BK141" s="50">
        <v>0</v>
      </c>
      <c r="BL141" s="109">
        <v>514.41082030032226</v>
      </c>
      <c r="BM141" s="109">
        <v>0</v>
      </c>
      <c r="BN141" s="109">
        <v>0</v>
      </c>
      <c r="BO141" s="109">
        <v>0</v>
      </c>
      <c r="BP141" s="109">
        <v>0</v>
      </c>
      <c r="BQ141" s="109">
        <v>0</v>
      </c>
      <c r="BR141" s="109">
        <v>0</v>
      </c>
      <c r="BS141" s="109">
        <v>0</v>
      </c>
      <c r="BT141" s="147">
        <f ca="1">DB_25[[#This Row],[SL-10]]*DB_25[[#This Row],[GB-10]]</f>
        <v>0</v>
      </c>
      <c r="BU141" s="147">
        <f ca="1">DB_25[[#This Row],[SL-11]]*DB_25[[#This Row],[GB-11]]</f>
        <v>0</v>
      </c>
      <c r="BV141" s="147">
        <f ca="1">DB_25[[#This Row],[SL-12]]*DB_25[[#This Row],[GB-12]]</f>
        <v>0</v>
      </c>
      <c r="BW141" s="47">
        <f ca="1">SUM(DB_25[[#This Row],[DT-01-USD]:[DT-12-USD]])</f>
        <v>514.41082030032226</v>
      </c>
    </row>
    <row r="142" spans="1:75" x14ac:dyDescent="0.35">
      <c r="A142" s="18">
        <f>ROWS($A$6:A142)</f>
        <v>137</v>
      </c>
      <c r="B142" s="18" t="s">
        <v>115</v>
      </c>
      <c r="C142" s="18" t="str">
        <f>IFERROR(_xlfn.XLOOKUP(DB_25[[#This Row],[Salesman]],MD_Salesman[Salesman],MD_Salesman[SalesManager]),"")</f>
        <v>Quốc Anh</v>
      </c>
      <c r="D142" s="7" t="s">
        <v>671</v>
      </c>
      <c r="E142" s="7" t="s">
        <v>273</v>
      </c>
      <c r="F142" s="7"/>
      <c r="G142" s="7" t="str">
        <f>_xlfn.XLOOKUP(DB_25[[#This Row],[Mã khách]],MD_Customer[Mã khách],MD_Customer[Kênh bán hàng])</f>
        <v>Nội địa</v>
      </c>
      <c r="H142" s="7"/>
      <c r="I142" s="7"/>
      <c r="J142" s="7"/>
      <c r="K142" s="7" t="s">
        <v>201</v>
      </c>
      <c r="L142" s="7" t="str">
        <f>_xlfn.XLOOKUP(DB_25[[#This Row],[Mã sản phẩm]],MD_SKU[Mã SKU],MD_SKU[Tên SKU-rút gọn])</f>
        <v>Vảy HD Ép Trắng</v>
      </c>
      <c r="M142" s="7" t="str">
        <f>_xlfn.XLOOKUP(DB_25[[#This Row],[Mã sản phẩm]],MD_SKU[Mã SKU],MD_SKU[Nhóm ngành])</f>
        <v>Vảy HD ép</v>
      </c>
      <c r="N142" s="7"/>
      <c r="O142" s="47">
        <v>0</v>
      </c>
      <c r="P142" s="47">
        <v>0.75</v>
      </c>
      <c r="Q142" s="47">
        <v>0</v>
      </c>
      <c r="R142" s="47">
        <v>0</v>
      </c>
      <c r="S142" s="47">
        <v>0</v>
      </c>
      <c r="T142" s="47">
        <v>0</v>
      </c>
      <c r="U142" s="47">
        <v>0</v>
      </c>
      <c r="V142" s="47">
        <v>0</v>
      </c>
      <c r="W142" s="110">
        <f ca="1">SUMIFS(Data_Actual_LG_EXW[SL],Data_Actual_LG_EXW[Year],2025,Data_Actual_LG_EXW[Month],'DB 2025'!W$1,Data_Actual_LG_EXW[Mã KH],DB_25[[#This Row],[Mã khách]],Data_Actual_LG_EXW[Mã SKU],DB_25[[#This Row],[Mã sản phẩm]])/10^3</f>
        <v>0</v>
      </c>
      <c r="X142" s="33"/>
      <c r="Y142" s="33"/>
      <c r="Z142" s="33"/>
      <c r="AA142" s="19">
        <f ca="1">SUM(DB_25[[#This Row],[SL-01]:[SL-12]])</f>
        <v>0.75</v>
      </c>
      <c r="AB142" s="7"/>
      <c r="AC142" s="20">
        <f ca="1">DB_25[[#This Row],[SL-DB25]]-DB_25[[#This Row],[SL-KH25]]</f>
        <v>0.75</v>
      </c>
      <c r="AD142" s="21">
        <f ca="1">IFERROR(DB_25[[#This Row],[SL-+/-]]/DB_25[[#This Row],[SL-KH25]],0)</f>
        <v>0</v>
      </c>
      <c r="AE142" s="23">
        <v>0</v>
      </c>
      <c r="AF142" s="23">
        <v>685.88109373376301</v>
      </c>
      <c r="AG142" s="23">
        <v>0</v>
      </c>
      <c r="AH142" s="23">
        <v>0</v>
      </c>
      <c r="AI142" s="23">
        <v>0</v>
      </c>
      <c r="AJ142" s="23">
        <v>0</v>
      </c>
      <c r="AK142" s="23">
        <v>0</v>
      </c>
      <c r="AL142" s="23">
        <v>0</v>
      </c>
      <c r="AM142" s="111">
        <v>0</v>
      </c>
      <c r="AN142" s="51">
        <f ca="1">IFERROR(SUM(DB_25[[#This Row],[DT-01-USD]:[DT-09-USD]])/SUM(DB_25[[#This Row],[SL-01]:[SL-09]]),0)</f>
        <v>685.88109373376301</v>
      </c>
      <c r="AO142" s="51">
        <f ca="1">DB_25[[#This Row],[GB-10]]</f>
        <v>685.88109373376301</v>
      </c>
      <c r="AP142" s="51">
        <f ca="1">DB_25[[#This Row],[GB-11]]</f>
        <v>685.88109373376301</v>
      </c>
      <c r="AQ142" s="7"/>
      <c r="AR142" s="7"/>
      <c r="AS142" s="7"/>
      <c r="AT142" s="7"/>
      <c r="AU142" s="47">
        <v>0</v>
      </c>
      <c r="AV142" s="47">
        <v>13000250.974885846</v>
      </c>
      <c r="AW142" s="47">
        <v>0</v>
      </c>
      <c r="AX142" s="47">
        <v>0</v>
      </c>
      <c r="AY142" s="47">
        <v>0</v>
      </c>
      <c r="AZ142" s="47">
        <v>0</v>
      </c>
      <c r="BA142" s="47">
        <v>0</v>
      </c>
      <c r="BB142" s="47">
        <v>0</v>
      </c>
      <c r="BC142" s="47">
        <v>0</v>
      </c>
      <c r="BD142" s="19">
        <f ca="1">DB_25[[#This Row],[SL-10]]*DB_25[[#This Row],[GB-10]]*BD$2/10^3</f>
        <v>0</v>
      </c>
      <c r="BE142" s="19">
        <f ca="1">DB_25[[#This Row],[SL-11]]*DB_25[[#This Row],[GB-11]]*BE$2/10^3</f>
        <v>0</v>
      </c>
      <c r="BF142" s="19">
        <f ca="1">DB_25[[#This Row],[SL-12]]*DB_25[[#This Row],[GB-12]]*BF$2/10^3</f>
        <v>0</v>
      </c>
      <c r="BG142" s="47">
        <f ca="1">SUM(DB_25[[#This Row],[DT-01]:[DT-12]])</f>
        <v>13000250.974885846</v>
      </c>
      <c r="BH142" s="7"/>
      <c r="BI142" s="7"/>
      <c r="BJ142" s="7"/>
      <c r="BK142" s="50">
        <v>0</v>
      </c>
      <c r="BL142" s="109">
        <v>514.41082030032226</v>
      </c>
      <c r="BM142" s="109">
        <v>0</v>
      </c>
      <c r="BN142" s="109">
        <v>0</v>
      </c>
      <c r="BO142" s="109">
        <v>0</v>
      </c>
      <c r="BP142" s="109">
        <v>0</v>
      </c>
      <c r="BQ142" s="109">
        <v>0</v>
      </c>
      <c r="BR142" s="109">
        <v>0</v>
      </c>
      <c r="BS142" s="109">
        <v>0</v>
      </c>
      <c r="BT142" s="147">
        <f ca="1">DB_25[[#This Row],[SL-10]]*DB_25[[#This Row],[GB-10]]</f>
        <v>0</v>
      </c>
      <c r="BU142" s="147">
        <f ca="1">DB_25[[#This Row],[SL-11]]*DB_25[[#This Row],[GB-11]]</f>
        <v>0</v>
      </c>
      <c r="BV142" s="147">
        <f ca="1">DB_25[[#This Row],[SL-12]]*DB_25[[#This Row],[GB-12]]</f>
        <v>0</v>
      </c>
      <c r="BW142" s="47">
        <f ca="1">SUM(DB_25[[#This Row],[DT-01-USD]:[DT-12-USD]])</f>
        <v>514.41082030032226</v>
      </c>
    </row>
    <row r="143" spans="1:75" x14ac:dyDescent="0.35">
      <c r="A143" s="18">
        <f>ROWS($A$6:A143)</f>
        <v>138</v>
      </c>
      <c r="B143" s="18" t="s">
        <v>115</v>
      </c>
      <c r="C143" s="18" t="str">
        <f>IFERROR(_xlfn.XLOOKUP(DB_25[[#This Row],[Salesman]],MD_Salesman[Salesman],MD_Salesman[SalesManager]),"")</f>
        <v>Quốc Anh</v>
      </c>
      <c r="D143" s="7" t="s">
        <v>671</v>
      </c>
      <c r="E143" s="7" t="s">
        <v>273</v>
      </c>
      <c r="F143" s="7"/>
      <c r="G143" s="7" t="str">
        <f>_xlfn.XLOOKUP(DB_25[[#This Row],[Mã khách]],MD_Customer[Mã khách],MD_Customer[Kênh bán hàng])</f>
        <v>Nội địa</v>
      </c>
      <c r="H143" s="7"/>
      <c r="I143" s="7"/>
      <c r="J143" s="7"/>
      <c r="K143" s="7" t="s">
        <v>203</v>
      </c>
      <c r="L143" s="7" t="str">
        <f>_xlfn.XLOOKUP(DB_25[[#This Row],[Mã sản phẩm]],MD_SKU[Mã SKU],MD_SKU[Tên SKU-rút gọn])</f>
        <v>Vảy HD Ép Lá</v>
      </c>
      <c r="M143" s="7" t="str">
        <f>_xlfn.XLOOKUP(DB_25[[#This Row],[Mã sản phẩm]],MD_SKU[Mã SKU],MD_SKU[Nhóm ngành])</f>
        <v>Vảy HD ép</v>
      </c>
      <c r="N143" s="7"/>
      <c r="O143" s="47">
        <v>0</v>
      </c>
      <c r="P143" s="47">
        <v>0.75</v>
      </c>
      <c r="Q143" s="47">
        <v>0</v>
      </c>
      <c r="R143" s="47">
        <v>0</v>
      </c>
      <c r="S143" s="47">
        <v>0</v>
      </c>
      <c r="T143" s="47">
        <v>0</v>
      </c>
      <c r="U143" s="47">
        <v>0</v>
      </c>
      <c r="V143" s="47">
        <v>0</v>
      </c>
      <c r="W143" s="110">
        <f ca="1">SUMIFS(Data_Actual_LG_EXW[SL],Data_Actual_LG_EXW[Year],2025,Data_Actual_LG_EXW[Month],'DB 2025'!W$1,Data_Actual_LG_EXW[Mã KH],DB_25[[#This Row],[Mã khách]],Data_Actual_LG_EXW[Mã SKU],DB_25[[#This Row],[Mã sản phẩm]])/10^3</f>
        <v>0</v>
      </c>
      <c r="X143" s="33"/>
      <c r="Y143" s="33"/>
      <c r="Z143" s="33"/>
      <c r="AA143" s="19">
        <f ca="1">SUM(DB_25[[#This Row],[SL-01]:[SL-12]])</f>
        <v>0.75</v>
      </c>
      <c r="AB143" s="7"/>
      <c r="AC143" s="20">
        <f ca="1">DB_25[[#This Row],[SL-DB25]]-DB_25[[#This Row],[SL-KH25]]</f>
        <v>0.75</v>
      </c>
      <c r="AD143" s="21">
        <f ca="1">IFERROR(DB_25[[#This Row],[SL-+/-]]/DB_25[[#This Row],[SL-KH25]],0)</f>
        <v>0</v>
      </c>
      <c r="AE143" s="23">
        <v>0</v>
      </c>
      <c r="AF143" s="23">
        <v>685.88109373376301</v>
      </c>
      <c r="AG143" s="23">
        <v>0</v>
      </c>
      <c r="AH143" s="23">
        <v>0</v>
      </c>
      <c r="AI143" s="23">
        <v>0</v>
      </c>
      <c r="AJ143" s="23">
        <v>0</v>
      </c>
      <c r="AK143" s="23">
        <v>0</v>
      </c>
      <c r="AL143" s="23">
        <v>0</v>
      </c>
      <c r="AM143" s="111">
        <v>0</v>
      </c>
      <c r="AN143" s="51">
        <f ca="1">IFERROR(SUM(DB_25[[#This Row],[DT-01-USD]:[DT-09-USD]])/SUM(DB_25[[#This Row],[SL-01]:[SL-09]]),0)</f>
        <v>685.88109373376301</v>
      </c>
      <c r="AO143" s="51">
        <f ca="1">DB_25[[#This Row],[GB-10]]</f>
        <v>685.88109373376301</v>
      </c>
      <c r="AP143" s="51">
        <f ca="1">DB_25[[#This Row],[GB-11]]</f>
        <v>685.88109373376301</v>
      </c>
      <c r="AQ143" s="7"/>
      <c r="AR143" s="7"/>
      <c r="AS143" s="7"/>
      <c r="AT143" s="7"/>
      <c r="AU143" s="47">
        <v>0</v>
      </c>
      <c r="AV143" s="47">
        <v>13000250.974885846</v>
      </c>
      <c r="AW143" s="47">
        <v>0</v>
      </c>
      <c r="AX143" s="47">
        <v>0</v>
      </c>
      <c r="AY143" s="47">
        <v>0</v>
      </c>
      <c r="AZ143" s="47">
        <v>0</v>
      </c>
      <c r="BA143" s="47">
        <v>0</v>
      </c>
      <c r="BB143" s="47">
        <v>0</v>
      </c>
      <c r="BC143" s="47">
        <v>0</v>
      </c>
      <c r="BD143" s="19">
        <f ca="1">DB_25[[#This Row],[SL-10]]*DB_25[[#This Row],[GB-10]]*BD$2/10^3</f>
        <v>0</v>
      </c>
      <c r="BE143" s="19">
        <f ca="1">DB_25[[#This Row],[SL-11]]*DB_25[[#This Row],[GB-11]]*BE$2/10^3</f>
        <v>0</v>
      </c>
      <c r="BF143" s="19">
        <f ca="1">DB_25[[#This Row],[SL-12]]*DB_25[[#This Row],[GB-12]]*BF$2/10^3</f>
        <v>0</v>
      </c>
      <c r="BG143" s="47">
        <f ca="1">SUM(DB_25[[#This Row],[DT-01]:[DT-12]])</f>
        <v>13000250.974885846</v>
      </c>
      <c r="BH143" s="7"/>
      <c r="BI143" s="7"/>
      <c r="BJ143" s="7"/>
      <c r="BK143" s="50">
        <v>0</v>
      </c>
      <c r="BL143" s="109">
        <v>514.41082030032226</v>
      </c>
      <c r="BM143" s="109">
        <v>0</v>
      </c>
      <c r="BN143" s="109">
        <v>0</v>
      </c>
      <c r="BO143" s="109">
        <v>0</v>
      </c>
      <c r="BP143" s="109">
        <v>0</v>
      </c>
      <c r="BQ143" s="109">
        <v>0</v>
      </c>
      <c r="BR143" s="109">
        <v>0</v>
      </c>
      <c r="BS143" s="109">
        <v>0</v>
      </c>
      <c r="BT143" s="147">
        <f ca="1">DB_25[[#This Row],[SL-10]]*DB_25[[#This Row],[GB-10]]</f>
        <v>0</v>
      </c>
      <c r="BU143" s="147">
        <f ca="1">DB_25[[#This Row],[SL-11]]*DB_25[[#This Row],[GB-11]]</f>
        <v>0</v>
      </c>
      <c r="BV143" s="147">
        <f ca="1">DB_25[[#This Row],[SL-12]]*DB_25[[#This Row],[GB-12]]</f>
        <v>0</v>
      </c>
      <c r="BW143" s="47">
        <f ca="1">SUM(DB_25[[#This Row],[DT-01-USD]:[DT-12-USD]])</f>
        <v>514.41082030032226</v>
      </c>
    </row>
    <row r="144" spans="1:75" x14ac:dyDescent="0.35">
      <c r="A144" s="18">
        <f>ROWS($A$6:A144)</f>
        <v>139</v>
      </c>
      <c r="B144" s="18" t="s">
        <v>115</v>
      </c>
      <c r="C144" s="18" t="str">
        <f>IFERROR(_xlfn.XLOOKUP(DB_25[[#This Row],[Salesman]],MD_Salesman[Salesman],MD_Salesman[SalesManager]),"")</f>
        <v>Quốc Anh</v>
      </c>
      <c r="D144" s="7" t="s">
        <v>627</v>
      </c>
      <c r="E144" s="7" t="s">
        <v>58</v>
      </c>
      <c r="F144" s="7"/>
      <c r="G144" s="7" t="str">
        <f>_xlfn.XLOOKUP(DB_25[[#This Row],[Mã khách]],MD_Customer[Mã khách],MD_Customer[Kênh bán hàng])</f>
        <v>Nội địa</v>
      </c>
      <c r="H144" s="7"/>
      <c r="I144" s="7"/>
      <c r="J144" s="7"/>
      <c r="K144" s="7" t="s">
        <v>204</v>
      </c>
      <c r="L144" s="7" t="str">
        <f>_xlfn.XLOOKUP(DB_25[[#This Row],[Mã sản phẩm]],MD_SKU[Mã SKU],MD_SKU[Tên SKU-rút gọn])</f>
        <v>Vảy HD Ép Dương</v>
      </c>
      <c r="M144" s="7" t="str">
        <f>_xlfn.XLOOKUP(DB_25[[#This Row],[Mã sản phẩm]],MD_SKU[Mã SKU],MD_SKU[Nhóm ngành])</f>
        <v>Vảy HD ép</v>
      </c>
      <c r="N144" s="7"/>
      <c r="O144" s="47">
        <v>0</v>
      </c>
      <c r="P144" s="47">
        <v>0.75</v>
      </c>
      <c r="Q144" s="47">
        <v>0</v>
      </c>
      <c r="R144" s="47">
        <v>0</v>
      </c>
      <c r="S144" s="47">
        <v>0</v>
      </c>
      <c r="T144" s="47">
        <v>0</v>
      </c>
      <c r="U144" s="47">
        <v>0</v>
      </c>
      <c r="V144" s="47">
        <v>0</v>
      </c>
      <c r="W144" s="110">
        <f ca="1">SUMIFS(Data_Actual_LG_EXW[SL],Data_Actual_LG_EXW[Year],2025,Data_Actual_LG_EXW[Month],'DB 2025'!W$1,Data_Actual_LG_EXW[Mã KH],DB_25[[#This Row],[Mã khách]],Data_Actual_LG_EXW[Mã SKU],DB_25[[#This Row],[Mã sản phẩm]])/10^3</f>
        <v>0</v>
      </c>
      <c r="X144" s="33"/>
      <c r="Y144" s="33"/>
      <c r="Z144" s="33"/>
      <c r="AA144" s="19">
        <f ca="1">SUM(DB_25[[#This Row],[SL-01]:[SL-12]])</f>
        <v>0.75</v>
      </c>
      <c r="AB144" s="7"/>
      <c r="AC144" s="20">
        <f ca="1">DB_25[[#This Row],[SL-DB25]]-DB_25[[#This Row],[SL-KH25]]</f>
        <v>0.75</v>
      </c>
      <c r="AD144" s="21">
        <f ca="1">IFERROR(DB_25[[#This Row],[SL-+/-]]/DB_25[[#This Row],[SL-KH25]],0)</f>
        <v>0</v>
      </c>
      <c r="AE144" s="23">
        <v>0</v>
      </c>
      <c r="AF144" s="23">
        <v>622.85010320627975</v>
      </c>
      <c r="AG144" s="23">
        <v>0</v>
      </c>
      <c r="AH144" s="23">
        <v>0</v>
      </c>
      <c r="AI144" s="23">
        <v>0</v>
      </c>
      <c r="AJ144" s="23">
        <v>0</v>
      </c>
      <c r="AK144" s="23">
        <v>0</v>
      </c>
      <c r="AL144" s="23">
        <v>0</v>
      </c>
      <c r="AM144" s="111">
        <v>0</v>
      </c>
      <c r="AN144" s="51">
        <f ca="1">IFERROR(SUM(DB_25[[#This Row],[DT-01-USD]:[DT-09-USD]])/SUM(DB_25[[#This Row],[SL-01]:[SL-09]]),0)</f>
        <v>622.85010320627975</v>
      </c>
      <c r="AO144" s="51">
        <f ca="1">DB_25[[#This Row],[GB-10]]</f>
        <v>622.85010320627975</v>
      </c>
      <c r="AP144" s="51">
        <f ca="1">DB_25[[#This Row],[GB-11]]</f>
        <v>622.85010320627975</v>
      </c>
      <c r="AQ144" s="7"/>
      <c r="AR144" s="7"/>
      <c r="AS144" s="7"/>
      <c r="AT144" s="7"/>
      <c r="AU144" s="47">
        <v>0</v>
      </c>
      <c r="AV144" s="47">
        <v>11805556</v>
      </c>
      <c r="AW144" s="47">
        <v>0</v>
      </c>
      <c r="AX144" s="47">
        <v>0</v>
      </c>
      <c r="AY144" s="47">
        <v>0</v>
      </c>
      <c r="AZ144" s="47">
        <v>0</v>
      </c>
      <c r="BA144" s="47">
        <v>0</v>
      </c>
      <c r="BB144" s="47">
        <v>0</v>
      </c>
      <c r="BC144" s="47">
        <v>0</v>
      </c>
      <c r="BD144" s="19">
        <f ca="1">DB_25[[#This Row],[SL-10]]*DB_25[[#This Row],[GB-10]]*BD$2/10^3</f>
        <v>0</v>
      </c>
      <c r="BE144" s="19">
        <f ca="1">DB_25[[#This Row],[SL-11]]*DB_25[[#This Row],[GB-11]]*BE$2/10^3</f>
        <v>0</v>
      </c>
      <c r="BF144" s="19">
        <f ca="1">DB_25[[#This Row],[SL-12]]*DB_25[[#This Row],[GB-12]]*BF$2/10^3</f>
        <v>0</v>
      </c>
      <c r="BG144" s="47">
        <f ca="1">SUM(DB_25[[#This Row],[DT-01]:[DT-12]])</f>
        <v>11805556</v>
      </c>
      <c r="BH144" s="7"/>
      <c r="BI144" s="7"/>
      <c r="BJ144" s="7"/>
      <c r="BK144" s="50">
        <v>0</v>
      </c>
      <c r="BL144" s="109">
        <v>467.13757740470982</v>
      </c>
      <c r="BM144" s="109">
        <v>0</v>
      </c>
      <c r="BN144" s="109">
        <v>0</v>
      </c>
      <c r="BO144" s="109">
        <v>0</v>
      </c>
      <c r="BP144" s="109">
        <v>0</v>
      </c>
      <c r="BQ144" s="109">
        <v>0</v>
      </c>
      <c r="BR144" s="109">
        <v>0</v>
      </c>
      <c r="BS144" s="109">
        <v>0</v>
      </c>
      <c r="BT144" s="147">
        <f ca="1">DB_25[[#This Row],[SL-10]]*DB_25[[#This Row],[GB-10]]</f>
        <v>0</v>
      </c>
      <c r="BU144" s="147">
        <f ca="1">DB_25[[#This Row],[SL-11]]*DB_25[[#This Row],[GB-11]]</f>
        <v>0</v>
      </c>
      <c r="BV144" s="147">
        <f ca="1">DB_25[[#This Row],[SL-12]]*DB_25[[#This Row],[GB-12]]</f>
        <v>0</v>
      </c>
      <c r="BW144" s="47">
        <f ca="1">SUM(DB_25[[#This Row],[DT-01-USD]:[DT-12-USD]])</f>
        <v>467.13757740470982</v>
      </c>
    </row>
    <row r="145" spans="1:75" x14ac:dyDescent="0.35">
      <c r="A145" s="18">
        <f>ROWS($A$6:A145)</f>
        <v>140</v>
      </c>
      <c r="B145" s="18" t="s">
        <v>115</v>
      </c>
      <c r="C145" s="18" t="str">
        <f>IFERROR(_xlfn.XLOOKUP(DB_25[[#This Row],[Salesman]],MD_Salesman[Salesman],MD_Salesman[SalesManager]),"")</f>
        <v>Quốc Anh</v>
      </c>
      <c r="D145" s="7" t="s">
        <v>672</v>
      </c>
      <c r="E145" s="7" t="s">
        <v>155</v>
      </c>
      <c r="F145" s="7"/>
      <c r="G145" s="7" t="str">
        <f>_xlfn.XLOOKUP(DB_25[[#This Row],[Mã khách]],MD_Customer[Mã khách],MD_Customer[Kênh bán hàng])</f>
        <v>Nội địa</v>
      </c>
      <c r="H145" s="7"/>
      <c r="I145" s="7"/>
      <c r="J145" s="7"/>
      <c r="K145" s="7" t="s">
        <v>202</v>
      </c>
      <c r="L145" s="7" t="str">
        <f>_xlfn.XLOOKUP(DB_25[[#This Row],[Mã sản phẩm]],MD_SKU[Mã SKU],MD_SKU[Tên SKU-rút gọn])</f>
        <v>Vảy HD Ép Vàng</v>
      </c>
      <c r="M145" s="7" t="str">
        <f>_xlfn.XLOOKUP(DB_25[[#This Row],[Mã sản phẩm]],MD_SKU[Mã SKU],MD_SKU[Nhóm ngành])</f>
        <v>Vảy HD ép</v>
      </c>
      <c r="N145" s="7"/>
      <c r="O145" s="47">
        <v>0</v>
      </c>
      <c r="P145" s="47">
        <v>0</v>
      </c>
      <c r="Q145" s="47">
        <v>0</v>
      </c>
      <c r="R145" s="47">
        <v>0.75</v>
      </c>
      <c r="S145" s="47">
        <v>0</v>
      </c>
      <c r="T145" s="47">
        <v>0</v>
      </c>
      <c r="U145" s="47">
        <v>0</v>
      </c>
      <c r="V145" s="47">
        <v>0</v>
      </c>
      <c r="W145" s="110">
        <f ca="1">SUMIFS(Data_Actual_LG_EXW[SL],Data_Actual_LG_EXW[Year],2025,Data_Actual_LG_EXW[Month],'DB 2025'!W$1,Data_Actual_LG_EXW[Mã KH],DB_25[[#This Row],[Mã khách]],Data_Actual_LG_EXW[Mã SKU],DB_25[[#This Row],[Mã sản phẩm]])/10^3</f>
        <v>0</v>
      </c>
      <c r="X145" s="33"/>
      <c r="Y145" s="33"/>
      <c r="Z145" s="33"/>
      <c r="AA145" s="19">
        <f ca="1">SUM(DB_25[[#This Row],[SL-01]:[SL-12]])</f>
        <v>0.75</v>
      </c>
      <c r="AB145" s="7"/>
      <c r="AC145" s="20">
        <f ca="1">DB_25[[#This Row],[SL-DB25]]-DB_25[[#This Row],[SL-KH25]]</f>
        <v>0.75</v>
      </c>
      <c r="AD145" s="21">
        <f ca="1">IFERROR(DB_25[[#This Row],[SL-+/-]]/DB_25[[#This Row],[SL-KH25]],0)</f>
        <v>0</v>
      </c>
      <c r="AE145" s="23">
        <v>0</v>
      </c>
      <c r="AF145" s="23">
        <v>0</v>
      </c>
      <c r="AG145" s="23">
        <v>0</v>
      </c>
      <c r="AH145" s="23">
        <v>604.41772085985792</v>
      </c>
      <c r="AI145" s="23">
        <v>0</v>
      </c>
      <c r="AJ145" s="23">
        <v>0</v>
      </c>
      <c r="AK145" s="23">
        <v>0</v>
      </c>
      <c r="AL145" s="23">
        <v>0</v>
      </c>
      <c r="AM145" s="111">
        <v>0</v>
      </c>
      <c r="AN145" s="51">
        <f ca="1">IFERROR(SUM(DB_25[[#This Row],[DT-01-USD]:[DT-09-USD]])/SUM(DB_25[[#This Row],[SL-01]:[SL-09]]),0)</f>
        <v>604.41772085985792</v>
      </c>
      <c r="AO145" s="51">
        <f ca="1">DB_25[[#This Row],[GB-10]]</f>
        <v>604.41772085985792</v>
      </c>
      <c r="AP145" s="51">
        <f ca="1">DB_25[[#This Row],[GB-11]]</f>
        <v>604.41772085985792</v>
      </c>
      <c r="AQ145" s="7"/>
      <c r="AR145" s="7"/>
      <c r="AS145" s="7"/>
      <c r="AT145" s="7"/>
      <c r="AU145" s="47">
        <v>0</v>
      </c>
      <c r="AV145" s="47">
        <v>0</v>
      </c>
      <c r="AW145" s="47">
        <v>0</v>
      </c>
      <c r="AX145" s="47">
        <v>11637057.781321185</v>
      </c>
      <c r="AY145" s="47">
        <v>0</v>
      </c>
      <c r="AZ145" s="47">
        <v>0</v>
      </c>
      <c r="BA145" s="47">
        <v>0</v>
      </c>
      <c r="BB145" s="47">
        <v>0</v>
      </c>
      <c r="BC145" s="47">
        <v>0</v>
      </c>
      <c r="BD145" s="19">
        <f ca="1">DB_25[[#This Row],[SL-10]]*DB_25[[#This Row],[GB-10]]*BD$2/10^3</f>
        <v>0</v>
      </c>
      <c r="BE145" s="19">
        <f ca="1">DB_25[[#This Row],[SL-11]]*DB_25[[#This Row],[GB-11]]*BE$2/10^3</f>
        <v>0</v>
      </c>
      <c r="BF145" s="19">
        <f ca="1">DB_25[[#This Row],[SL-12]]*DB_25[[#This Row],[GB-12]]*BF$2/10^3</f>
        <v>0</v>
      </c>
      <c r="BG145" s="47">
        <f ca="1">SUM(DB_25[[#This Row],[DT-01]:[DT-12]])</f>
        <v>11637057.781321185</v>
      </c>
      <c r="BH145" s="7"/>
      <c r="BI145" s="7"/>
      <c r="BJ145" s="7"/>
      <c r="BK145" s="50">
        <v>0</v>
      </c>
      <c r="BL145" s="109">
        <v>0</v>
      </c>
      <c r="BM145" s="109">
        <v>0</v>
      </c>
      <c r="BN145" s="109">
        <v>453.31329064489341</v>
      </c>
      <c r="BO145" s="109">
        <v>0</v>
      </c>
      <c r="BP145" s="109">
        <v>0</v>
      </c>
      <c r="BQ145" s="109">
        <v>0</v>
      </c>
      <c r="BR145" s="109">
        <v>0</v>
      </c>
      <c r="BS145" s="109">
        <v>0</v>
      </c>
      <c r="BT145" s="147">
        <f ca="1">DB_25[[#This Row],[SL-10]]*DB_25[[#This Row],[GB-10]]</f>
        <v>0</v>
      </c>
      <c r="BU145" s="147">
        <f ca="1">DB_25[[#This Row],[SL-11]]*DB_25[[#This Row],[GB-11]]</f>
        <v>0</v>
      </c>
      <c r="BV145" s="147">
        <f ca="1">DB_25[[#This Row],[SL-12]]*DB_25[[#This Row],[GB-12]]</f>
        <v>0</v>
      </c>
      <c r="BW145" s="47">
        <f ca="1">SUM(DB_25[[#This Row],[DT-01-USD]:[DT-12-USD]])</f>
        <v>453.31329064489341</v>
      </c>
    </row>
    <row r="146" spans="1:75" x14ac:dyDescent="0.35">
      <c r="A146" s="18">
        <f>ROWS($A$6:A146)</f>
        <v>141</v>
      </c>
      <c r="B146" s="18" t="s">
        <v>115</v>
      </c>
      <c r="C146" s="18" t="str">
        <f>IFERROR(_xlfn.XLOOKUP(DB_25[[#This Row],[Salesman]],MD_Salesman[Salesman],MD_Salesman[SalesManager]),"")</f>
        <v>Quốc Anh</v>
      </c>
      <c r="D146" s="7" t="s">
        <v>672</v>
      </c>
      <c r="E146" s="7" t="s">
        <v>155</v>
      </c>
      <c r="F146" s="7"/>
      <c r="G146" s="7" t="str">
        <f>_xlfn.XLOOKUP(DB_25[[#This Row],[Mã khách]],MD_Customer[Mã khách],MD_Customer[Kênh bán hàng])</f>
        <v>Nội địa</v>
      </c>
      <c r="H146" s="7"/>
      <c r="I146" s="7"/>
      <c r="J146" s="7"/>
      <c r="K146" s="7" t="s">
        <v>203</v>
      </c>
      <c r="L146" s="7" t="str">
        <f>_xlfn.XLOOKUP(DB_25[[#This Row],[Mã sản phẩm]],MD_SKU[Mã SKU],MD_SKU[Tên SKU-rút gọn])</f>
        <v>Vảy HD Ép Lá</v>
      </c>
      <c r="M146" s="7" t="str">
        <f>_xlfn.XLOOKUP(DB_25[[#This Row],[Mã sản phẩm]],MD_SKU[Mã SKU],MD_SKU[Nhóm ngành])</f>
        <v>Vảy HD ép</v>
      </c>
      <c r="N146" s="7"/>
      <c r="O146" s="47">
        <v>0</v>
      </c>
      <c r="P146" s="47">
        <v>0</v>
      </c>
      <c r="Q146" s="47">
        <v>0</v>
      </c>
      <c r="R146" s="47">
        <v>0.75</v>
      </c>
      <c r="S146" s="47">
        <v>0</v>
      </c>
      <c r="T146" s="47">
        <v>0</v>
      </c>
      <c r="U146" s="47">
        <v>0</v>
      </c>
      <c r="V146" s="47">
        <v>0</v>
      </c>
      <c r="W146" s="110">
        <f ca="1">SUMIFS(Data_Actual_LG_EXW[SL],Data_Actual_LG_EXW[Year],2025,Data_Actual_LG_EXW[Month],'DB 2025'!W$1,Data_Actual_LG_EXW[Mã KH],DB_25[[#This Row],[Mã khách]],Data_Actual_LG_EXW[Mã SKU],DB_25[[#This Row],[Mã sản phẩm]])/10^3</f>
        <v>0</v>
      </c>
      <c r="X146" s="33"/>
      <c r="Y146" s="33"/>
      <c r="Z146" s="33"/>
      <c r="AA146" s="19">
        <f ca="1">SUM(DB_25[[#This Row],[SL-01]:[SL-12]])</f>
        <v>0.75</v>
      </c>
      <c r="AB146" s="7"/>
      <c r="AC146" s="20">
        <f ca="1">DB_25[[#This Row],[SL-DB25]]-DB_25[[#This Row],[SL-KH25]]</f>
        <v>0.75</v>
      </c>
      <c r="AD146" s="21">
        <f ca="1">IFERROR(DB_25[[#This Row],[SL-+/-]]/DB_25[[#This Row],[SL-KH25]],0)</f>
        <v>0</v>
      </c>
      <c r="AE146" s="23">
        <v>0</v>
      </c>
      <c r="AF146" s="23">
        <v>0</v>
      </c>
      <c r="AG146" s="23">
        <v>0</v>
      </c>
      <c r="AH146" s="23">
        <v>604.41772085985792</v>
      </c>
      <c r="AI146" s="23">
        <v>0</v>
      </c>
      <c r="AJ146" s="23">
        <v>0</v>
      </c>
      <c r="AK146" s="23">
        <v>0</v>
      </c>
      <c r="AL146" s="23">
        <v>0</v>
      </c>
      <c r="AM146" s="111">
        <v>0</v>
      </c>
      <c r="AN146" s="51">
        <f ca="1">IFERROR(SUM(DB_25[[#This Row],[DT-01-USD]:[DT-09-USD]])/SUM(DB_25[[#This Row],[SL-01]:[SL-09]]),0)</f>
        <v>604.41772085985792</v>
      </c>
      <c r="AO146" s="51">
        <f ca="1">DB_25[[#This Row],[GB-10]]</f>
        <v>604.41772085985792</v>
      </c>
      <c r="AP146" s="51">
        <f ca="1">DB_25[[#This Row],[GB-11]]</f>
        <v>604.41772085985792</v>
      </c>
      <c r="AQ146" s="7"/>
      <c r="AR146" s="7"/>
      <c r="AS146" s="7"/>
      <c r="AT146" s="7"/>
      <c r="AU146" s="47">
        <v>0</v>
      </c>
      <c r="AV146" s="47">
        <v>0</v>
      </c>
      <c r="AW146" s="47">
        <v>0</v>
      </c>
      <c r="AX146" s="47">
        <v>11637057.781321185</v>
      </c>
      <c r="AY146" s="47">
        <v>0</v>
      </c>
      <c r="AZ146" s="47">
        <v>0</v>
      </c>
      <c r="BA146" s="47">
        <v>0</v>
      </c>
      <c r="BB146" s="47">
        <v>0</v>
      </c>
      <c r="BC146" s="47">
        <v>0</v>
      </c>
      <c r="BD146" s="19">
        <f ca="1">DB_25[[#This Row],[SL-10]]*DB_25[[#This Row],[GB-10]]*BD$2/10^3</f>
        <v>0</v>
      </c>
      <c r="BE146" s="19">
        <f ca="1">DB_25[[#This Row],[SL-11]]*DB_25[[#This Row],[GB-11]]*BE$2/10^3</f>
        <v>0</v>
      </c>
      <c r="BF146" s="19">
        <f ca="1">DB_25[[#This Row],[SL-12]]*DB_25[[#This Row],[GB-12]]*BF$2/10^3</f>
        <v>0</v>
      </c>
      <c r="BG146" s="47">
        <f ca="1">SUM(DB_25[[#This Row],[DT-01]:[DT-12]])</f>
        <v>11637057.781321185</v>
      </c>
      <c r="BH146" s="7"/>
      <c r="BI146" s="7"/>
      <c r="BJ146" s="7"/>
      <c r="BK146" s="50">
        <v>0</v>
      </c>
      <c r="BL146" s="109">
        <v>0</v>
      </c>
      <c r="BM146" s="109">
        <v>0</v>
      </c>
      <c r="BN146" s="109">
        <v>453.31329064489341</v>
      </c>
      <c r="BO146" s="109">
        <v>0</v>
      </c>
      <c r="BP146" s="109">
        <v>0</v>
      </c>
      <c r="BQ146" s="109">
        <v>0</v>
      </c>
      <c r="BR146" s="109">
        <v>0</v>
      </c>
      <c r="BS146" s="109">
        <v>0</v>
      </c>
      <c r="BT146" s="147">
        <f ca="1">DB_25[[#This Row],[SL-10]]*DB_25[[#This Row],[GB-10]]</f>
        <v>0</v>
      </c>
      <c r="BU146" s="147">
        <f ca="1">DB_25[[#This Row],[SL-11]]*DB_25[[#This Row],[GB-11]]</f>
        <v>0</v>
      </c>
      <c r="BV146" s="147">
        <f ca="1">DB_25[[#This Row],[SL-12]]*DB_25[[#This Row],[GB-12]]</f>
        <v>0</v>
      </c>
      <c r="BW146" s="47">
        <f ca="1">SUM(DB_25[[#This Row],[DT-01-USD]:[DT-12-USD]])</f>
        <v>453.31329064489341</v>
      </c>
    </row>
    <row r="147" spans="1:75" x14ac:dyDescent="0.35">
      <c r="A147" s="18">
        <f>ROWS($A$6:A147)</f>
        <v>142</v>
      </c>
      <c r="B147" s="18" t="s">
        <v>115</v>
      </c>
      <c r="C147" s="18" t="str">
        <f>IFERROR(_xlfn.XLOOKUP(DB_25[[#This Row],[Salesman]],MD_Salesman[Salesman],MD_Salesman[SalesManager]),"")</f>
        <v>Quốc Anh</v>
      </c>
      <c r="D147" s="7" t="s">
        <v>652</v>
      </c>
      <c r="E147" s="7" t="s">
        <v>71</v>
      </c>
      <c r="F147" s="7"/>
      <c r="G147" s="7" t="str">
        <f>_xlfn.XLOOKUP(DB_25[[#This Row],[Mã khách]],MD_Customer[Mã khách],MD_Customer[Kênh bán hàng])</f>
        <v>Nội địa</v>
      </c>
      <c r="H147" s="7"/>
      <c r="I147" s="7"/>
      <c r="J147" s="7"/>
      <c r="K147" s="7" t="s">
        <v>210</v>
      </c>
      <c r="L147" s="7" t="str">
        <f>_xlfn.XLOOKUP(DB_25[[#This Row],[Mã sản phẩm]],MD_SKU[Mã SKU],MD_SKU[Tên SKU-rút gọn])</f>
        <v>rPP20B01</v>
      </c>
      <c r="M147" s="7" t="str">
        <f>_xlfn.XLOOKUP(DB_25[[#This Row],[Mã sản phẩm]],MD_SKU[Mã SKU],MD_SKU[Nhóm ngành])</f>
        <v>Hạt PP</v>
      </c>
      <c r="N147" s="7"/>
      <c r="O147" s="47">
        <v>0</v>
      </c>
      <c r="P147" s="47">
        <v>0.5</v>
      </c>
      <c r="Q147" s="47">
        <v>0</v>
      </c>
      <c r="R147" s="47">
        <v>0</v>
      </c>
      <c r="S147" s="47">
        <v>0</v>
      </c>
      <c r="T147" s="47">
        <v>0</v>
      </c>
      <c r="U147" s="47">
        <v>0</v>
      </c>
      <c r="V147" s="47">
        <v>0</v>
      </c>
      <c r="W147" s="110">
        <f ca="1">SUMIFS(Data_Actual_LG_EXW[SL],Data_Actual_LG_EXW[Year],2025,Data_Actual_LG_EXW[Month],'DB 2025'!W$1,Data_Actual_LG_EXW[Mã KH],DB_25[[#This Row],[Mã khách]],Data_Actual_LG_EXW[Mã SKU],DB_25[[#This Row],[Mã sản phẩm]])/10^3</f>
        <v>0</v>
      </c>
      <c r="X147" s="33"/>
      <c r="Y147" s="33"/>
      <c r="Z147" s="33"/>
      <c r="AA147" s="19">
        <f ca="1">SUM(DB_25[[#This Row],[SL-01]:[SL-12]])</f>
        <v>0.5</v>
      </c>
      <c r="AB147" s="7"/>
      <c r="AC147" s="20">
        <f ca="1">DB_25[[#This Row],[SL-DB25]]-DB_25[[#This Row],[SL-KH25]]</f>
        <v>0.5</v>
      </c>
      <c r="AD147" s="21">
        <f ca="1">IFERROR(DB_25[[#This Row],[SL-+/-]]/DB_25[[#This Row],[SL-KH25]],0)</f>
        <v>0</v>
      </c>
      <c r="AE147" s="23">
        <v>0</v>
      </c>
      <c r="AF147" s="23">
        <v>1150.0975181489016</v>
      </c>
      <c r="AG147" s="23">
        <v>0</v>
      </c>
      <c r="AH147" s="23">
        <v>0</v>
      </c>
      <c r="AI147" s="23">
        <v>0</v>
      </c>
      <c r="AJ147" s="23">
        <v>0</v>
      </c>
      <c r="AK147" s="23">
        <v>0</v>
      </c>
      <c r="AL147" s="23">
        <v>0</v>
      </c>
      <c r="AM147" s="111">
        <v>0</v>
      </c>
      <c r="AN147" s="51">
        <f ca="1">IFERROR(SUM(DB_25[[#This Row],[DT-01-USD]:[DT-09-USD]])/SUM(DB_25[[#This Row],[SL-01]:[SL-09]]),0)</f>
        <v>1150.0975181489016</v>
      </c>
      <c r="AO147" s="51">
        <f ca="1">DB_25[[#This Row],[GB-10]]</f>
        <v>1150.0975181489016</v>
      </c>
      <c r="AP147" s="51">
        <f ca="1">DB_25[[#This Row],[GB-11]]</f>
        <v>1150.0975181489016</v>
      </c>
      <c r="AQ147" s="7"/>
      <c r="AR147" s="7"/>
      <c r="AS147" s="7"/>
      <c r="AT147" s="7"/>
      <c r="AU147" s="47">
        <v>0</v>
      </c>
      <c r="AV147" s="47">
        <v>14532700.121665465</v>
      </c>
      <c r="AW147" s="47">
        <v>0</v>
      </c>
      <c r="AX147" s="47">
        <v>0</v>
      </c>
      <c r="AY147" s="47">
        <v>0</v>
      </c>
      <c r="AZ147" s="47">
        <v>0</v>
      </c>
      <c r="BA147" s="47">
        <v>0</v>
      </c>
      <c r="BB147" s="47">
        <v>0</v>
      </c>
      <c r="BC147" s="47">
        <v>0</v>
      </c>
      <c r="BD147" s="19">
        <f ca="1">DB_25[[#This Row],[SL-10]]*DB_25[[#This Row],[GB-10]]*BD$2/10^3</f>
        <v>0</v>
      </c>
      <c r="BE147" s="19">
        <f ca="1">DB_25[[#This Row],[SL-11]]*DB_25[[#This Row],[GB-11]]*BE$2/10^3</f>
        <v>0</v>
      </c>
      <c r="BF147" s="19">
        <f ca="1">DB_25[[#This Row],[SL-12]]*DB_25[[#This Row],[GB-12]]*BF$2/10^3</f>
        <v>0</v>
      </c>
      <c r="BG147" s="47">
        <f ca="1">SUM(DB_25[[#This Row],[DT-01]:[DT-12]])</f>
        <v>14532700.121665465</v>
      </c>
      <c r="BH147" s="7"/>
      <c r="BI147" s="7"/>
      <c r="BJ147" s="7"/>
      <c r="BK147" s="50">
        <v>0</v>
      </c>
      <c r="BL147" s="109">
        <v>575.0487590744508</v>
      </c>
      <c r="BM147" s="109">
        <v>0</v>
      </c>
      <c r="BN147" s="109">
        <v>0</v>
      </c>
      <c r="BO147" s="109">
        <v>0</v>
      </c>
      <c r="BP147" s="109">
        <v>0</v>
      </c>
      <c r="BQ147" s="109">
        <v>0</v>
      </c>
      <c r="BR147" s="109">
        <v>0</v>
      </c>
      <c r="BS147" s="109">
        <v>0</v>
      </c>
      <c r="BT147" s="147">
        <f ca="1">DB_25[[#This Row],[SL-10]]*DB_25[[#This Row],[GB-10]]</f>
        <v>0</v>
      </c>
      <c r="BU147" s="147">
        <f ca="1">DB_25[[#This Row],[SL-11]]*DB_25[[#This Row],[GB-11]]</f>
        <v>0</v>
      </c>
      <c r="BV147" s="147">
        <f ca="1">DB_25[[#This Row],[SL-12]]*DB_25[[#This Row],[GB-12]]</f>
        <v>0</v>
      </c>
      <c r="BW147" s="47">
        <f ca="1">SUM(DB_25[[#This Row],[DT-01-USD]:[DT-12-USD]])</f>
        <v>575.0487590744508</v>
      </c>
    </row>
    <row r="148" spans="1:75" x14ac:dyDescent="0.35">
      <c r="A148" s="18">
        <f>ROWS($A$6:A148)</f>
        <v>143</v>
      </c>
      <c r="B148" s="18" t="s">
        <v>115</v>
      </c>
      <c r="C148" s="18" t="str">
        <f>IFERROR(_xlfn.XLOOKUP(DB_25[[#This Row],[Salesman]],MD_Salesman[Salesman],MD_Salesman[SalesManager]),"")</f>
        <v>Quốc Anh</v>
      </c>
      <c r="D148" s="7" t="s">
        <v>673</v>
      </c>
      <c r="E148" s="7" t="s">
        <v>151</v>
      </c>
      <c r="F148" s="7"/>
      <c r="G148" s="7" t="str">
        <f>_xlfn.XLOOKUP(DB_25[[#This Row],[Mã khách]],MD_Customer[Mã khách],MD_Customer[Kênh bán hàng])</f>
        <v>Nội địa</v>
      </c>
      <c r="H148" s="7"/>
      <c r="I148" s="7"/>
      <c r="J148" s="7"/>
      <c r="K148" s="7" t="s">
        <v>190</v>
      </c>
      <c r="L148" s="7" t="str">
        <f>_xlfn.XLOOKUP(DB_25[[#This Row],[Mã sản phẩm]],MD_SKU[Mã SKU],MD_SKU[Tên SKU-rút gọn])</f>
        <v>rHDA03N01</v>
      </c>
      <c r="M148" s="7" t="str">
        <f>_xlfn.XLOOKUP(DB_25[[#This Row],[Mã sản phẩm]],MD_SKU[Mã SKU],MD_SKU[Nhóm ngành])</f>
        <v>Hạt HD thổi</v>
      </c>
      <c r="N148" s="7"/>
      <c r="O148" s="47">
        <v>0</v>
      </c>
      <c r="P148" s="47">
        <v>0</v>
      </c>
      <c r="Q148" s="47">
        <v>0</v>
      </c>
      <c r="R148" s="47">
        <v>0.5</v>
      </c>
      <c r="S148" s="47">
        <v>0</v>
      </c>
      <c r="T148" s="47">
        <v>0</v>
      </c>
      <c r="U148" s="47">
        <v>0</v>
      </c>
      <c r="V148" s="47">
        <v>0</v>
      </c>
      <c r="W148" s="110">
        <f ca="1">SUMIFS(Data_Actual_LG_EXW[SL],Data_Actual_LG_EXW[Year],2025,Data_Actual_LG_EXW[Month],'DB 2025'!W$1,Data_Actual_LG_EXW[Mã KH],DB_25[[#This Row],[Mã khách]],Data_Actual_LG_EXW[Mã SKU],DB_25[[#This Row],[Mã sản phẩm]])/10^3</f>
        <v>0</v>
      </c>
      <c r="X148" s="33"/>
      <c r="Y148" s="33"/>
      <c r="Z148" s="33"/>
      <c r="AA148" s="19">
        <f ca="1">SUM(DB_25[[#This Row],[SL-01]:[SL-12]])</f>
        <v>0.5</v>
      </c>
      <c r="AB148" s="7"/>
      <c r="AC148" s="20">
        <f ca="1">DB_25[[#This Row],[SL-DB25]]-DB_25[[#This Row],[SL-KH25]]</f>
        <v>0.5</v>
      </c>
      <c r="AD148" s="21">
        <f ca="1">IFERROR(DB_25[[#This Row],[SL-+/-]]/DB_25[[#This Row],[SL-KH25]],0)</f>
        <v>0</v>
      </c>
      <c r="AE148" s="23">
        <v>0</v>
      </c>
      <c r="AF148" s="23">
        <v>0</v>
      </c>
      <c r="AG148" s="23">
        <v>0</v>
      </c>
      <c r="AH148" s="23">
        <v>1348.0754344291408</v>
      </c>
      <c r="AI148" s="23">
        <v>0</v>
      </c>
      <c r="AJ148" s="23">
        <v>0</v>
      </c>
      <c r="AK148" s="23">
        <v>0</v>
      </c>
      <c r="AL148" s="23">
        <v>0</v>
      </c>
      <c r="AM148" s="111">
        <v>0</v>
      </c>
      <c r="AN148" s="51">
        <f ca="1">IFERROR(SUM(DB_25[[#This Row],[DT-01-USD]:[DT-09-USD]])/SUM(DB_25[[#This Row],[SL-01]:[SL-09]]),0)</f>
        <v>1348.0754344291408</v>
      </c>
      <c r="AO148" s="51">
        <f ca="1">DB_25[[#This Row],[GB-10]]</f>
        <v>1348.0754344291408</v>
      </c>
      <c r="AP148" s="51">
        <f ca="1">DB_25[[#This Row],[GB-11]]</f>
        <v>1348.0754344291408</v>
      </c>
      <c r="AQ148" s="7"/>
      <c r="AR148" s="7"/>
      <c r="AS148" s="7"/>
      <c r="AT148" s="7"/>
      <c r="AU148" s="47">
        <v>0</v>
      </c>
      <c r="AV148" s="47">
        <v>0</v>
      </c>
      <c r="AW148" s="47">
        <v>0</v>
      </c>
      <c r="AX148" s="47">
        <v>17303300</v>
      </c>
      <c r="AY148" s="47">
        <v>0</v>
      </c>
      <c r="AZ148" s="47">
        <v>0</v>
      </c>
      <c r="BA148" s="47">
        <v>0</v>
      </c>
      <c r="BB148" s="47">
        <v>0</v>
      </c>
      <c r="BC148" s="47">
        <v>0</v>
      </c>
      <c r="BD148" s="19">
        <f ca="1">DB_25[[#This Row],[SL-10]]*DB_25[[#This Row],[GB-10]]*BD$2/10^3</f>
        <v>0</v>
      </c>
      <c r="BE148" s="19">
        <f ca="1">DB_25[[#This Row],[SL-11]]*DB_25[[#This Row],[GB-11]]*BE$2/10^3</f>
        <v>0</v>
      </c>
      <c r="BF148" s="19">
        <f ca="1">DB_25[[#This Row],[SL-12]]*DB_25[[#This Row],[GB-12]]*BF$2/10^3</f>
        <v>0</v>
      </c>
      <c r="BG148" s="47">
        <f ca="1">SUM(DB_25[[#This Row],[DT-01]:[DT-12]])</f>
        <v>17303300</v>
      </c>
      <c r="BH148" s="7"/>
      <c r="BI148" s="7"/>
      <c r="BJ148" s="7"/>
      <c r="BK148" s="50">
        <v>0</v>
      </c>
      <c r="BL148" s="109">
        <v>0</v>
      </c>
      <c r="BM148" s="109">
        <v>0</v>
      </c>
      <c r="BN148" s="109">
        <v>674.03771721457042</v>
      </c>
      <c r="BO148" s="109">
        <v>0</v>
      </c>
      <c r="BP148" s="109">
        <v>0</v>
      </c>
      <c r="BQ148" s="109">
        <v>0</v>
      </c>
      <c r="BR148" s="109">
        <v>0</v>
      </c>
      <c r="BS148" s="109">
        <v>0</v>
      </c>
      <c r="BT148" s="147">
        <f ca="1">DB_25[[#This Row],[SL-10]]*DB_25[[#This Row],[GB-10]]</f>
        <v>0</v>
      </c>
      <c r="BU148" s="147">
        <f ca="1">DB_25[[#This Row],[SL-11]]*DB_25[[#This Row],[GB-11]]</f>
        <v>0</v>
      </c>
      <c r="BV148" s="147">
        <f ca="1">DB_25[[#This Row],[SL-12]]*DB_25[[#This Row],[GB-12]]</f>
        <v>0</v>
      </c>
      <c r="BW148" s="47">
        <f ca="1">SUM(DB_25[[#This Row],[DT-01-USD]:[DT-12-USD]])</f>
        <v>674.03771721457042</v>
      </c>
    </row>
    <row r="149" spans="1:75" x14ac:dyDescent="0.35">
      <c r="A149" s="18">
        <f>ROWS($A$6:A149)</f>
        <v>144</v>
      </c>
      <c r="B149" s="18" t="s">
        <v>115</v>
      </c>
      <c r="C149" s="18" t="str">
        <f>IFERROR(_xlfn.XLOOKUP(DB_25[[#This Row],[Salesman]],MD_Salesman[Salesman],MD_Salesman[SalesManager]),"")</f>
        <v>Quốc Anh</v>
      </c>
      <c r="D149" s="7" t="s">
        <v>674</v>
      </c>
      <c r="E149" s="7" t="s">
        <v>48</v>
      </c>
      <c r="F149" s="7"/>
      <c r="G149" s="7" t="str">
        <f>_xlfn.XLOOKUP(DB_25[[#This Row],[Mã khách]],MD_Customer[Mã khách],MD_Customer[Kênh bán hàng])</f>
        <v>Nội địa</v>
      </c>
      <c r="H149" s="7"/>
      <c r="I149" s="7"/>
      <c r="J149" s="7"/>
      <c r="K149" s="7" t="s">
        <v>186</v>
      </c>
      <c r="L149" s="7" t="str">
        <f>_xlfn.XLOOKUP(DB_25[[#This Row],[Mã sản phẩm]],MD_SKU[Mã SKU],MD_SKU[Tên SKU-rút gọn])</f>
        <v>rHDB03N02</v>
      </c>
      <c r="M149" s="7" t="str">
        <f>_xlfn.XLOOKUP(DB_25[[#This Row],[Mã sản phẩm]],MD_SKU[Mã SKU],MD_SKU[Nhóm ngành])</f>
        <v>Hạt HD thổi</v>
      </c>
      <c r="N149" s="7"/>
      <c r="O149" s="47">
        <v>0</v>
      </c>
      <c r="P149" s="47">
        <v>0</v>
      </c>
      <c r="Q149" s="47">
        <v>0.3</v>
      </c>
      <c r="R149" s="47">
        <v>0</v>
      </c>
      <c r="S149" s="47">
        <v>0</v>
      </c>
      <c r="T149" s="47">
        <v>0</v>
      </c>
      <c r="U149" s="47">
        <v>0</v>
      </c>
      <c r="V149" s="47">
        <v>0</v>
      </c>
      <c r="W149" s="110">
        <f ca="1">SUMIFS(Data_Actual_LG_EXW[SL],Data_Actual_LG_EXW[Year],2025,Data_Actual_LG_EXW[Month],'DB 2025'!W$1,Data_Actual_LG_EXW[Mã KH],DB_25[[#This Row],[Mã khách]],Data_Actual_LG_EXW[Mã SKU],DB_25[[#This Row],[Mã sản phẩm]])/10^3</f>
        <v>0</v>
      </c>
      <c r="X149" s="33"/>
      <c r="Y149" s="33"/>
      <c r="Z149" s="33"/>
      <c r="AA149" s="19">
        <f ca="1">SUM(DB_25[[#This Row],[SL-01]:[SL-12]])</f>
        <v>0.3</v>
      </c>
      <c r="AB149" s="7"/>
      <c r="AC149" s="20">
        <f ca="1">DB_25[[#This Row],[SL-DB25]]-DB_25[[#This Row],[SL-KH25]]</f>
        <v>0.3</v>
      </c>
      <c r="AD149" s="21">
        <f ca="1">IFERROR(DB_25[[#This Row],[SL-+/-]]/DB_25[[#This Row],[SL-KH25]],0)</f>
        <v>0</v>
      </c>
      <c r="AE149" s="23">
        <v>0</v>
      </c>
      <c r="AF149" s="23">
        <v>0</v>
      </c>
      <c r="AG149" s="23">
        <v>1316.173255198966</v>
      </c>
      <c r="AH149" s="23">
        <v>0</v>
      </c>
      <c r="AI149" s="23">
        <v>0</v>
      </c>
      <c r="AJ149" s="23">
        <v>0</v>
      </c>
      <c r="AK149" s="23">
        <v>0</v>
      </c>
      <c r="AL149" s="23">
        <v>0</v>
      </c>
      <c r="AM149" s="111">
        <v>0</v>
      </c>
      <c r="AN149" s="51">
        <f ca="1">IFERROR(SUM(DB_25[[#This Row],[DT-01-USD]:[DT-09-USD]])/SUM(DB_25[[#This Row],[SL-01]:[SL-09]]),0)</f>
        <v>1316.173255198966</v>
      </c>
      <c r="AO149" s="51">
        <f ca="1">DB_25[[#This Row],[GB-10]]</f>
        <v>1316.173255198966</v>
      </c>
      <c r="AP149" s="51">
        <f ca="1">DB_25[[#This Row],[GB-11]]</f>
        <v>1316.173255198966</v>
      </c>
      <c r="AQ149" s="7"/>
      <c r="AR149" s="7"/>
      <c r="AS149" s="7"/>
      <c r="AT149" s="7"/>
      <c r="AU149" s="47">
        <v>0</v>
      </c>
      <c r="AV149" s="47">
        <v>0</v>
      </c>
      <c r="AW149" s="47">
        <v>10019100</v>
      </c>
      <c r="AX149" s="47">
        <v>0</v>
      </c>
      <c r="AY149" s="47">
        <v>0</v>
      </c>
      <c r="AZ149" s="47">
        <v>0</v>
      </c>
      <c r="BA149" s="47">
        <v>0</v>
      </c>
      <c r="BB149" s="47">
        <v>0</v>
      </c>
      <c r="BC149" s="47">
        <v>0</v>
      </c>
      <c r="BD149" s="19">
        <f ca="1">DB_25[[#This Row],[SL-10]]*DB_25[[#This Row],[GB-10]]*BD$2/10^3</f>
        <v>0</v>
      </c>
      <c r="BE149" s="19">
        <f ca="1">DB_25[[#This Row],[SL-11]]*DB_25[[#This Row],[GB-11]]*BE$2/10^3</f>
        <v>0</v>
      </c>
      <c r="BF149" s="19">
        <f ca="1">DB_25[[#This Row],[SL-12]]*DB_25[[#This Row],[GB-12]]*BF$2/10^3</f>
        <v>0</v>
      </c>
      <c r="BG149" s="47">
        <f ca="1">SUM(DB_25[[#This Row],[DT-01]:[DT-12]])</f>
        <v>10019100</v>
      </c>
      <c r="BH149" s="7"/>
      <c r="BI149" s="7"/>
      <c r="BJ149" s="7"/>
      <c r="BK149" s="50">
        <v>0</v>
      </c>
      <c r="BL149" s="109">
        <v>0</v>
      </c>
      <c r="BM149" s="109">
        <v>394.85197655968977</v>
      </c>
      <c r="BN149" s="109">
        <v>0</v>
      </c>
      <c r="BO149" s="109">
        <v>0</v>
      </c>
      <c r="BP149" s="109">
        <v>0</v>
      </c>
      <c r="BQ149" s="109">
        <v>0</v>
      </c>
      <c r="BR149" s="109">
        <v>0</v>
      </c>
      <c r="BS149" s="109">
        <v>0</v>
      </c>
      <c r="BT149" s="147">
        <f ca="1">DB_25[[#This Row],[SL-10]]*DB_25[[#This Row],[GB-10]]</f>
        <v>0</v>
      </c>
      <c r="BU149" s="147">
        <f ca="1">DB_25[[#This Row],[SL-11]]*DB_25[[#This Row],[GB-11]]</f>
        <v>0</v>
      </c>
      <c r="BV149" s="147">
        <f ca="1">DB_25[[#This Row],[SL-12]]*DB_25[[#This Row],[GB-12]]</f>
        <v>0</v>
      </c>
      <c r="BW149" s="47">
        <f ca="1">SUM(DB_25[[#This Row],[DT-01-USD]:[DT-12-USD]])</f>
        <v>394.85197655968977</v>
      </c>
    </row>
    <row r="150" spans="1:75" x14ac:dyDescent="0.35">
      <c r="A150" s="18">
        <f>ROWS($A$6:A150)</f>
        <v>145</v>
      </c>
      <c r="B150" s="18" t="s">
        <v>115</v>
      </c>
      <c r="C150" s="18" t="str">
        <f>IFERROR(_xlfn.XLOOKUP(DB_25[[#This Row],[Salesman]],MD_Salesman[Salesman],MD_Salesman[SalesManager]),"")</f>
        <v>Quốc Anh</v>
      </c>
      <c r="D150" s="7" t="s">
        <v>628</v>
      </c>
      <c r="E150" s="7" t="s">
        <v>57</v>
      </c>
      <c r="F150" s="7"/>
      <c r="G150" s="7" t="str">
        <f>_xlfn.XLOOKUP(DB_25[[#This Row],[Mã khách]],MD_Customer[Mã khách],MD_Customer[Kênh bán hàng])</f>
        <v>Nội địa</v>
      </c>
      <c r="H150" s="7"/>
      <c r="I150" s="7"/>
      <c r="J150" s="7"/>
      <c r="K150" s="7" t="s">
        <v>196</v>
      </c>
      <c r="L150" s="7" t="str">
        <f>_xlfn.XLOOKUP(DB_25[[#This Row],[Mã sản phẩm]],MD_SKU[Mã SKU],MD_SKU[Tên SKU-rút gọn])</f>
        <v>rHDI3Gy01</v>
      </c>
      <c r="M150" s="7" t="str">
        <f>_xlfn.XLOOKUP(DB_25[[#This Row],[Mã sản phẩm]],MD_SKU[Mã SKU],MD_SKU[Nhóm ngành])</f>
        <v>Hạt HD ép</v>
      </c>
      <c r="N150" s="7"/>
      <c r="O150" s="47">
        <v>0</v>
      </c>
      <c r="P150" s="47">
        <v>0</v>
      </c>
      <c r="Q150" s="47">
        <v>0</v>
      </c>
      <c r="R150" s="47">
        <v>0</v>
      </c>
      <c r="S150" s="47">
        <v>0</v>
      </c>
      <c r="T150" s="47">
        <v>0</v>
      </c>
      <c r="U150" s="47">
        <v>0.3</v>
      </c>
      <c r="V150" s="47">
        <v>0</v>
      </c>
      <c r="W150" s="110">
        <f ca="1">SUMIFS(Data_Actual_LG_EXW[SL],Data_Actual_LG_EXW[Year],2025,Data_Actual_LG_EXW[Month],'DB 2025'!W$1,Data_Actual_LG_EXW[Mã KH],DB_25[[#This Row],[Mã khách]],Data_Actual_LG_EXW[Mã SKU],DB_25[[#This Row],[Mã sản phẩm]])/10^3</f>
        <v>0</v>
      </c>
      <c r="X150" s="33"/>
      <c r="Y150" s="33"/>
      <c r="Z150" s="33"/>
      <c r="AA150" s="19">
        <f ca="1">SUM(DB_25[[#This Row],[SL-01]:[SL-12]])</f>
        <v>0.3</v>
      </c>
      <c r="AB150" s="7"/>
      <c r="AC150" s="20">
        <f ca="1">DB_25[[#This Row],[SL-DB25]]-DB_25[[#This Row],[SL-KH25]]</f>
        <v>0.3</v>
      </c>
      <c r="AD150" s="21">
        <f ca="1">IFERROR(DB_25[[#This Row],[SL-+/-]]/DB_25[[#This Row],[SL-KH25]],0)</f>
        <v>0</v>
      </c>
      <c r="AE150" s="23">
        <v>0</v>
      </c>
      <c r="AF150" s="23">
        <v>0</v>
      </c>
      <c r="AG150" s="23">
        <v>0</v>
      </c>
      <c r="AH150" s="23">
        <v>0</v>
      </c>
      <c r="AI150" s="23">
        <v>0</v>
      </c>
      <c r="AJ150" s="23">
        <v>0</v>
      </c>
      <c r="AK150" s="23">
        <v>579.57128192946459</v>
      </c>
      <c r="AL150" s="23">
        <v>0</v>
      </c>
      <c r="AM150" s="111">
        <v>0</v>
      </c>
      <c r="AN150" s="51">
        <f ca="1">IFERROR(SUM(DB_25[[#This Row],[DT-01-USD]:[DT-09-USD]])/SUM(DB_25[[#This Row],[SL-01]:[SL-09]]),0)</f>
        <v>579.57128192946459</v>
      </c>
      <c r="AO150" s="51">
        <f ca="1">DB_25[[#This Row],[GB-10]]</f>
        <v>579.57128192946459</v>
      </c>
      <c r="AP150" s="51">
        <f ca="1">DB_25[[#This Row],[GB-11]]</f>
        <v>579.57128192946459</v>
      </c>
      <c r="AQ150" s="7"/>
      <c r="AR150" s="7"/>
      <c r="AS150" s="7"/>
      <c r="AT150" s="7"/>
      <c r="AU150" s="47">
        <v>0</v>
      </c>
      <c r="AV150" s="47">
        <v>0</v>
      </c>
      <c r="AW150" s="47">
        <v>0</v>
      </c>
      <c r="AX150" s="47">
        <v>0</v>
      </c>
      <c r="AY150" s="47">
        <v>0</v>
      </c>
      <c r="AZ150" s="47">
        <v>0</v>
      </c>
      <c r="BA150" s="47">
        <v>4518579.5451085102</v>
      </c>
      <c r="BB150" s="47">
        <v>0</v>
      </c>
      <c r="BC150" s="47">
        <v>0</v>
      </c>
      <c r="BD150" s="19">
        <f ca="1">DB_25[[#This Row],[SL-10]]*DB_25[[#This Row],[GB-10]]*BD$2/10^3</f>
        <v>0</v>
      </c>
      <c r="BE150" s="19">
        <f ca="1">DB_25[[#This Row],[SL-11]]*DB_25[[#This Row],[GB-11]]*BE$2/10^3</f>
        <v>0</v>
      </c>
      <c r="BF150" s="19">
        <f ca="1">DB_25[[#This Row],[SL-12]]*DB_25[[#This Row],[GB-12]]*BF$2/10^3</f>
        <v>0</v>
      </c>
      <c r="BG150" s="47">
        <f ca="1">SUM(DB_25[[#This Row],[DT-01]:[DT-12]])</f>
        <v>4518579.5451085102</v>
      </c>
      <c r="BH150" s="7"/>
      <c r="BI150" s="7"/>
      <c r="BJ150" s="7"/>
      <c r="BK150" s="50">
        <v>0</v>
      </c>
      <c r="BL150" s="109">
        <v>0</v>
      </c>
      <c r="BM150" s="109">
        <v>0</v>
      </c>
      <c r="BN150" s="109">
        <v>0</v>
      </c>
      <c r="BO150" s="109">
        <v>0</v>
      </c>
      <c r="BP150" s="109">
        <v>0</v>
      </c>
      <c r="BQ150" s="109">
        <v>173.87138457883938</v>
      </c>
      <c r="BR150" s="109">
        <v>0</v>
      </c>
      <c r="BS150" s="109">
        <v>0</v>
      </c>
      <c r="BT150" s="147">
        <f ca="1">DB_25[[#This Row],[SL-10]]*DB_25[[#This Row],[GB-10]]</f>
        <v>0</v>
      </c>
      <c r="BU150" s="147">
        <f ca="1">DB_25[[#This Row],[SL-11]]*DB_25[[#This Row],[GB-11]]</f>
        <v>0</v>
      </c>
      <c r="BV150" s="147">
        <f ca="1">DB_25[[#This Row],[SL-12]]*DB_25[[#This Row],[GB-12]]</f>
        <v>0</v>
      </c>
      <c r="BW150" s="47">
        <f ca="1">SUM(DB_25[[#This Row],[DT-01-USD]:[DT-12-USD]])</f>
        <v>173.87138457883938</v>
      </c>
    </row>
    <row r="151" spans="1:75" x14ac:dyDescent="0.35">
      <c r="A151" s="18">
        <f>ROWS($A$6:A151)</f>
        <v>146</v>
      </c>
      <c r="B151" s="18" t="s">
        <v>101</v>
      </c>
      <c r="C151" s="18" t="str">
        <f>IFERROR(_xlfn.XLOOKUP(DB_25[[#This Row],[Salesman]],MD_Salesman[Salesman],MD_Salesman[SalesManager]),"")</f>
        <v>Cường</v>
      </c>
      <c r="D151" s="7" t="s">
        <v>675</v>
      </c>
      <c r="E151" s="7" t="s">
        <v>139</v>
      </c>
      <c r="F151" s="7"/>
      <c r="G151" s="7" t="str">
        <f>_xlfn.XLOOKUP(DB_25[[#This Row],[Mã khách]],MD_Customer[Mã khách],MD_Customer[Kênh bán hàng])</f>
        <v>Xuất khẩu</v>
      </c>
      <c r="H151" s="7"/>
      <c r="I151" s="7"/>
      <c r="J151" s="7"/>
      <c r="K151" s="7" t="s">
        <v>171</v>
      </c>
      <c r="L151" s="7" t="str">
        <f>_xlfn.XLOOKUP(DB_25[[#This Row],[Mã sản phẩm]],MD_SKU[Mã SKU],MD_SKU[Tên SKU-rút gọn])</f>
        <v>WSS01G 1</v>
      </c>
      <c r="M151" s="7" t="str">
        <f>_xlfn.XLOOKUP(DB_25[[#This Row],[Mã sản phẩm]],MD_SKU[Mã SKU],MD_SKU[Nhóm ngành])</f>
        <v>Hạt PET</v>
      </c>
      <c r="N151" s="7"/>
      <c r="O151" s="47">
        <v>0</v>
      </c>
      <c r="P151" s="47">
        <v>0</v>
      </c>
      <c r="Q151" s="47">
        <v>0</v>
      </c>
      <c r="R151" s="47">
        <v>0</v>
      </c>
      <c r="S151" s="47">
        <v>0</v>
      </c>
      <c r="T151" s="47">
        <v>0</v>
      </c>
      <c r="U151" s="47">
        <v>0</v>
      </c>
      <c r="V151" s="47">
        <v>0.3</v>
      </c>
      <c r="W151" s="110">
        <f ca="1">SUMIFS(Data_Actual_LG_EXW[SL],Data_Actual_LG_EXW[Year],2025,Data_Actual_LG_EXW[Month],'DB 2025'!W$1,Data_Actual_LG_EXW[Mã KH],DB_25[[#This Row],[Mã khách]],Data_Actual_LG_EXW[Mã SKU],DB_25[[#This Row],[Mã sản phẩm]])/10^3</f>
        <v>0</v>
      </c>
      <c r="X151" s="33"/>
      <c r="Y151" s="33"/>
      <c r="Z151" s="33"/>
      <c r="AA151" s="19">
        <f ca="1">SUM(DB_25[[#This Row],[SL-01]:[SL-12]])</f>
        <v>0.3</v>
      </c>
      <c r="AB151" s="7"/>
      <c r="AC151" s="20">
        <f ca="1">DB_25[[#This Row],[SL-DB25]]-DB_25[[#This Row],[SL-KH25]]</f>
        <v>0.3</v>
      </c>
      <c r="AD151" s="21">
        <f ca="1">IFERROR(DB_25[[#This Row],[SL-+/-]]/DB_25[[#This Row],[SL-KH25]],0)</f>
        <v>0</v>
      </c>
      <c r="AE151" s="23">
        <v>0</v>
      </c>
      <c r="AF151" s="23">
        <v>0</v>
      </c>
      <c r="AG151" s="23">
        <v>0</v>
      </c>
      <c r="AH151" s="23">
        <v>0</v>
      </c>
      <c r="AI151" s="23">
        <v>0</v>
      </c>
      <c r="AJ151" s="23">
        <v>0</v>
      </c>
      <c r="AK151" s="23">
        <v>0</v>
      </c>
      <c r="AL151" s="23">
        <v>723.18643092728348</v>
      </c>
      <c r="AM151" s="111">
        <v>0</v>
      </c>
      <c r="AN151" s="51">
        <f ca="1">IFERROR(SUM(DB_25[[#This Row],[DT-01-USD]:[DT-09-USD]])/SUM(DB_25[[#This Row],[SL-01]:[SL-09]]),0)</f>
        <v>723.18643092728348</v>
      </c>
      <c r="AO151" s="51">
        <f ca="1">DB_25[[#This Row],[GB-10]]</f>
        <v>723.18643092728348</v>
      </c>
      <c r="AP151" s="51">
        <f ca="1">DB_25[[#This Row],[GB-11]]</f>
        <v>723.18643092728348</v>
      </c>
      <c r="AQ151" s="7"/>
      <c r="AR151" s="7"/>
      <c r="AS151" s="7"/>
      <c r="AT151" s="7"/>
      <c r="AU151" s="47">
        <v>0</v>
      </c>
      <c r="AV151" s="47">
        <v>0</v>
      </c>
      <c r="AW151" s="47">
        <v>0</v>
      </c>
      <c r="AX151" s="47">
        <v>0</v>
      </c>
      <c r="AY151" s="47">
        <v>0</v>
      </c>
      <c r="AZ151" s="47">
        <v>0</v>
      </c>
      <c r="BA151" s="47">
        <v>0</v>
      </c>
      <c r="BB151" s="47">
        <v>5671227.991331757</v>
      </c>
      <c r="BC151" s="47">
        <v>0</v>
      </c>
      <c r="BD151" s="19">
        <f ca="1">DB_25[[#This Row],[SL-10]]*DB_25[[#This Row],[GB-10]]*BD$2/10^3</f>
        <v>0</v>
      </c>
      <c r="BE151" s="19">
        <f ca="1">DB_25[[#This Row],[SL-11]]*DB_25[[#This Row],[GB-11]]*BE$2/10^3</f>
        <v>0</v>
      </c>
      <c r="BF151" s="19">
        <f ca="1">DB_25[[#This Row],[SL-12]]*DB_25[[#This Row],[GB-12]]*BF$2/10^3</f>
        <v>0</v>
      </c>
      <c r="BG151" s="47">
        <f ca="1">SUM(DB_25[[#This Row],[DT-01]:[DT-12]])</f>
        <v>5671227.991331757</v>
      </c>
      <c r="BH151" s="7"/>
      <c r="BI151" s="7"/>
      <c r="BJ151" s="7"/>
      <c r="BK151" s="50">
        <v>0</v>
      </c>
      <c r="BL151" s="109">
        <v>0</v>
      </c>
      <c r="BM151" s="109">
        <v>0</v>
      </c>
      <c r="BN151" s="109">
        <v>0</v>
      </c>
      <c r="BO151" s="109">
        <v>0</v>
      </c>
      <c r="BP151" s="109">
        <v>0</v>
      </c>
      <c r="BQ151" s="109">
        <v>0</v>
      </c>
      <c r="BR151" s="109">
        <v>216.95592927818504</v>
      </c>
      <c r="BS151" s="109">
        <v>0</v>
      </c>
      <c r="BT151" s="147">
        <f ca="1">DB_25[[#This Row],[SL-10]]*DB_25[[#This Row],[GB-10]]</f>
        <v>0</v>
      </c>
      <c r="BU151" s="147">
        <f ca="1">DB_25[[#This Row],[SL-11]]*DB_25[[#This Row],[GB-11]]</f>
        <v>0</v>
      </c>
      <c r="BV151" s="147">
        <f ca="1">DB_25[[#This Row],[SL-12]]*DB_25[[#This Row],[GB-12]]</f>
        <v>0</v>
      </c>
      <c r="BW151" s="47">
        <f ca="1">SUM(DB_25[[#This Row],[DT-01-USD]:[DT-12-USD]])</f>
        <v>216.95592927818504</v>
      </c>
    </row>
    <row r="152" spans="1:75" x14ac:dyDescent="0.35">
      <c r="A152" s="18">
        <f>ROWS($A$6:A152)</f>
        <v>147</v>
      </c>
      <c r="B152" s="18" t="s">
        <v>115</v>
      </c>
      <c r="C152" s="18" t="str">
        <f>IFERROR(_xlfn.XLOOKUP(DB_25[[#This Row],[Salesman]],MD_Salesman[Salesman],MD_Salesman[SalesManager]),"")</f>
        <v>Quốc Anh</v>
      </c>
      <c r="D152" s="7" t="s">
        <v>676</v>
      </c>
      <c r="E152" s="7" t="s">
        <v>69</v>
      </c>
      <c r="F152" s="7"/>
      <c r="G152" s="7" t="str">
        <f>_xlfn.XLOOKUP(DB_25[[#This Row],[Mã khách]],MD_Customer[Mã khách],MD_Customer[Kênh bán hàng])</f>
        <v>Nội địa</v>
      </c>
      <c r="H152" s="7"/>
      <c r="I152" s="7"/>
      <c r="J152" s="7"/>
      <c r="K152" s="7" t="s">
        <v>210</v>
      </c>
      <c r="L152" s="7" t="str">
        <f>_xlfn.XLOOKUP(DB_25[[#This Row],[Mã sản phẩm]],MD_SKU[Mã SKU],MD_SKU[Tên SKU-rút gọn])</f>
        <v>rPP20B01</v>
      </c>
      <c r="M152" s="7" t="str">
        <f>_xlfn.XLOOKUP(DB_25[[#This Row],[Mã sản phẩm]],MD_SKU[Mã SKU],MD_SKU[Nhóm ngành])</f>
        <v>Hạt PP</v>
      </c>
      <c r="N152" s="7"/>
      <c r="O152" s="47">
        <v>0</v>
      </c>
      <c r="P152" s="47">
        <v>0.1</v>
      </c>
      <c r="Q152" s="47">
        <v>0</v>
      </c>
      <c r="R152" s="47">
        <v>0</v>
      </c>
      <c r="S152" s="47">
        <v>0</v>
      </c>
      <c r="T152" s="47">
        <v>0</v>
      </c>
      <c r="U152" s="47">
        <v>0</v>
      </c>
      <c r="V152" s="47">
        <v>0</v>
      </c>
      <c r="W152" s="110">
        <f ca="1">SUMIFS(Data_Actual_LG_EXW[SL],Data_Actual_LG_EXW[Year],2025,Data_Actual_LG_EXW[Month],'DB 2025'!W$1,Data_Actual_LG_EXW[Mã KH],DB_25[[#This Row],[Mã khách]],Data_Actual_LG_EXW[Mã SKU],DB_25[[#This Row],[Mã sản phẩm]])/10^3</f>
        <v>0</v>
      </c>
      <c r="X152" s="33"/>
      <c r="Y152" s="33"/>
      <c r="Z152" s="33"/>
      <c r="AA152" s="19">
        <f ca="1">SUM(DB_25[[#This Row],[SL-01]:[SL-12]])</f>
        <v>0.1</v>
      </c>
      <c r="AB152" s="7"/>
      <c r="AC152" s="20">
        <f ca="1">DB_25[[#This Row],[SL-DB25]]-DB_25[[#This Row],[SL-KH25]]</f>
        <v>0.1</v>
      </c>
      <c r="AD152" s="21">
        <f ca="1">IFERROR(DB_25[[#This Row],[SL-+/-]]/DB_25[[#This Row],[SL-KH25]],0)</f>
        <v>0</v>
      </c>
      <c r="AE152" s="23">
        <v>0</v>
      </c>
      <c r="AF152" s="23">
        <v>773.57979905919512</v>
      </c>
      <c r="AG152" s="23">
        <v>0</v>
      </c>
      <c r="AH152" s="23">
        <v>0</v>
      </c>
      <c r="AI152" s="23">
        <v>0</v>
      </c>
      <c r="AJ152" s="23">
        <v>0</v>
      </c>
      <c r="AK152" s="23">
        <v>0</v>
      </c>
      <c r="AL152" s="23">
        <v>0</v>
      </c>
      <c r="AM152" s="111">
        <v>0</v>
      </c>
      <c r="AN152" s="51">
        <f ca="1">IFERROR(SUM(DB_25[[#This Row],[DT-01-USD]:[DT-09-USD]])/SUM(DB_25[[#This Row],[SL-01]:[SL-09]]),0)</f>
        <v>773.57979905919512</v>
      </c>
      <c r="AO152" s="51">
        <f ca="1">DB_25[[#This Row],[GB-10]]</f>
        <v>773.57979905919512</v>
      </c>
      <c r="AP152" s="51">
        <f ca="1">DB_25[[#This Row],[GB-11]]</f>
        <v>773.57979905919512</v>
      </c>
      <c r="AQ152" s="7"/>
      <c r="AR152" s="7"/>
      <c r="AS152" s="7"/>
      <c r="AT152" s="7"/>
      <c r="AU152" s="47">
        <v>0</v>
      </c>
      <c r="AV152" s="47">
        <v>1955000</v>
      </c>
      <c r="AW152" s="47">
        <v>0</v>
      </c>
      <c r="AX152" s="47">
        <v>0</v>
      </c>
      <c r="AY152" s="47">
        <v>0</v>
      </c>
      <c r="AZ152" s="47">
        <v>0</v>
      </c>
      <c r="BA152" s="47">
        <v>0</v>
      </c>
      <c r="BB152" s="47">
        <v>0</v>
      </c>
      <c r="BC152" s="47">
        <v>0</v>
      </c>
      <c r="BD152" s="19">
        <f ca="1">DB_25[[#This Row],[SL-10]]*DB_25[[#This Row],[GB-10]]*BD$2/10^3</f>
        <v>0</v>
      </c>
      <c r="BE152" s="19">
        <f ca="1">DB_25[[#This Row],[SL-11]]*DB_25[[#This Row],[GB-11]]*BE$2/10^3</f>
        <v>0</v>
      </c>
      <c r="BF152" s="19">
        <f ca="1">DB_25[[#This Row],[SL-12]]*DB_25[[#This Row],[GB-12]]*BF$2/10^3</f>
        <v>0</v>
      </c>
      <c r="BG152" s="47">
        <f ca="1">SUM(DB_25[[#This Row],[DT-01]:[DT-12]])</f>
        <v>1955000</v>
      </c>
      <c r="BH152" s="7"/>
      <c r="BI152" s="7"/>
      <c r="BJ152" s="7"/>
      <c r="BK152" s="50">
        <v>0</v>
      </c>
      <c r="BL152" s="109">
        <v>77.357979905919521</v>
      </c>
      <c r="BM152" s="109">
        <v>0</v>
      </c>
      <c r="BN152" s="109">
        <v>0</v>
      </c>
      <c r="BO152" s="109">
        <v>0</v>
      </c>
      <c r="BP152" s="109">
        <v>0</v>
      </c>
      <c r="BQ152" s="109">
        <v>0</v>
      </c>
      <c r="BR152" s="109">
        <v>0</v>
      </c>
      <c r="BS152" s="109">
        <v>0</v>
      </c>
      <c r="BT152" s="147">
        <f ca="1">DB_25[[#This Row],[SL-10]]*DB_25[[#This Row],[GB-10]]</f>
        <v>0</v>
      </c>
      <c r="BU152" s="147">
        <f ca="1">DB_25[[#This Row],[SL-11]]*DB_25[[#This Row],[GB-11]]</f>
        <v>0</v>
      </c>
      <c r="BV152" s="147">
        <f ca="1">DB_25[[#This Row],[SL-12]]*DB_25[[#This Row],[GB-12]]</f>
        <v>0</v>
      </c>
      <c r="BW152" s="47">
        <f ca="1">SUM(DB_25[[#This Row],[DT-01-USD]:[DT-12-USD]])</f>
        <v>77.357979905919521</v>
      </c>
    </row>
    <row r="153" spans="1:75" x14ac:dyDescent="0.35">
      <c r="A153" s="18">
        <f>ROWS($A$6:A153)</f>
        <v>148</v>
      </c>
      <c r="B153" s="18" t="s">
        <v>115</v>
      </c>
      <c r="C153" s="18" t="str">
        <f>IFERROR(_xlfn.XLOOKUP(DB_25[[#This Row],[Salesman]],MD_Salesman[Salesman],MD_Salesman[SalesManager]),"")</f>
        <v>Quốc Anh</v>
      </c>
      <c r="D153" s="7" t="s">
        <v>677</v>
      </c>
      <c r="E153" s="7" t="s">
        <v>70</v>
      </c>
      <c r="F153" s="7"/>
      <c r="G153" s="7" t="str">
        <f>_xlfn.XLOOKUP(DB_25[[#This Row],[Mã khách]],MD_Customer[Mã khách],MD_Customer[Kênh bán hàng])</f>
        <v>Nội địa</v>
      </c>
      <c r="H153" s="7"/>
      <c r="I153" s="7"/>
      <c r="J153" s="7"/>
      <c r="K153" s="7" t="s">
        <v>210</v>
      </c>
      <c r="L153" s="7" t="str">
        <f>_xlfn.XLOOKUP(DB_25[[#This Row],[Mã sản phẩm]],MD_SKU[Mã SKU],MD_SKU[Tên SKU-rút gọn])</f>
        <v>rPP20B01</v>
      </c>
      <c r="M153" s="7" t="str">
        <f>_xlfn.XLOOKUP(DB_25[[#This Row],[Mã sản phẩm]],MD_SKU[Mã SKU],MD_SKU[Nhóm ngành])</f>
        <v>Hạt PP</v>
      </c>
      <c r="N153" s="7"/>
      <c r="O153" s="47">
        <v>0</v>
      </c>
      <c r="P153" s="47">
        <v>0</v>
      </c>
      <c r="Q153" s="47">
        <v>0</v>
      </c>
      <c r="R153" s="47">
        <v>0.1</v>
      </c>
      <c r="S153" s="47">
        <v>0</v>
      </c>
      <c r="T153" s="47">
        <v>0</v>
      </c>
      <c r="U153" s="47">
        <v>0</v>
      </c>
      <c r="V153" s="47">
        <v>0</v>
      </c>
      <c r="W153" s="110">
        <f ca="1">SUMIFS(Data_Actual_LG_EXW[SL],Data_Actual_LG_EXW[Year],2025,Data_Actual_LG_EXW[Month],'DB 2025'!W$1,Data_Actual_LG_EXW[Mã KH],DB_25[[#This Row],[Mã khách]],Data_Actual_LG_EXW[Mã SKU],DB_25[[#This Row],[Mã sản phẩm]])/10^3</f>
        <v>0</v>
      </c>
      <c r="X153" s="33"/>
      <c r="Y153" s="33"/>
      <c r="Z153" s="33"/>
      <c r="AA153" s="19">
        <f ca="1">SUM(DB_25[[#This Row],[SL-01]:[SL-12]])</f>
        <v>0.1</v>
      </c>
      <c r="AB153" s="7"/>
      <c r="AC153" s="20">
        <f ca="1">DB_25[[#This Row],[SL-DB25]]-DB_25[[#This Row],[SL-KH25]]</f>
        <v>0.1</v>
      </c>
      <c r="AD153" s="21">
        <f ca="1">IFERROR(DB_25[[#This Row],[SL-+/-]]/DB_25[[#This Row],[SL-KH25]],0)</f>
        <v>0</v>
      </c>
      <c r="AE153" s="23">
        <v>0</v>
      </c>
      <c r="AF153" s="23">
        <v>0</v>
      </c>
      <c r="AG153" s="23">
        <v>0</v>
      </c>
      <c r="AH153" s="23">
        <v>742.56220377795137</v>
      </c>
      <c r="AI153" s="23">
        <v>0</v>
      </c>
      <c r="AJ153" s="23">
        <v>0</v>
      </c>
      <c r="AK153" s="23">
        <v>0</v>
      </c>
      <c r="AL153" s="23">
        <v>0</v>
      </c>
      <c r="AM153" s="111">
        <v>0</v>
      </c>
      <c r="AN153" s="51">
        <f ca="1">IFERROR(SUM(DB_25[[#This Row],[DT-01-USD]:[DT-09-USD]])/SUM(DB_25[[#This Row],[SL-01]:[SL-09]]),0)</f>
        <v>742.56220377795137</v>
      </c>
      <c r="AO153" s="51">
        <f ca="1">DB_25[[#This Row],[GB-10]]</f>
        <v>742.56220377795137</v>
      </c>
      <c r="AP153" s="51">
        <f ca="1">DB_25[[#This Row],[GB-11]]</f>
        <v>742.56220377795137</v>
      </c>
      <c r="AQ153" s="7"/>
      <c r="AR153" s="7"/>
      <c r="AS153" s="7"/>
      <c r="AT153" s="7"/>
      <c r="AU153" s="47">
        <v>0</v>
      </c>
      <c r="AV153" s="47">
        <v>0</v>
      </c>
      <c r="AW153" s="47">
        <v>0</v>
      </c>
      <c r="AX153" s="47">
        <v>1906240.0000000002</v>
      </c>
      <c r="AY153" s="47">
        <v>0</v>
      </c>
      <c r="AZ153" s="47">
        <v>0</v>
      </c>
      <c r="BA153" s="47">
        <v>0</v>
      </c>
      <c r="BB153" s="47">
        <v>0</v>
      </c>
      <c r="BC153" s="47">
        <v>0</v>
      </c>
      <c r="BD153" s="19">
        <f ca="1">DB_25[[#This Row],[SL-10]]*DB_25[[#This Row],[GB-10]]*BD$2/10^3</f>
        <v>0</v>
      </c>
      <c r="BE153" s="19">
        <f ca="1">DB_25[[#This Row],[SL-11]]*DB_25[[#This Row],[GB-11]]*BE$2/10^3</f>
        <v>0</v>
      </c>
      <c r="BF153" s="19">
        <f ca="1">DB_25[[#This Row],[SL-12]]*DB_25[[#This Row],[GB-12]]*BF$2/10^3</f>
        <v>0</v>
      </c>
      <c r="BG153" s="47">
        <f ca="1">SUM(DB_25[[#This Row],[DT-01]:[DT-12]])</f>
        <v>1906240.0000000002</v>
      </c>
      <c r="BH153" s="7"/>
      <c r="BI153" s="7"/>
      <c r="BJ153" s="7"/>
      <c r="BK153" s="50">
        <v>0</v>
      </c>
      <c r="BL153" s="109">
        <v>0</v>
      </c>
      <c r="BM153" s="109">
        <v>0</v>
      </c>
      <c r="BN153" s="109">
        <v>74.256220377795145</v>
      </c>
      <c r="BO153" s="109">
        <v>0</v>
      </c>
      <c r="BP153" s="109">
        <v>0</v>
      </c>
      <c r="BQ153" s="109">
        <v>0</v>
      </c>
      <c r="BR153" s="109">
        <v>0</v>
      </c>
      <c r="BS153" s="109">
        <v>0</v>
      </c>
      <c r="BT153" s="147">
        <f ca="1">DB_25[[#This Row],[SL-10]]*DB_25[[#This Row],[GB-10]]</f>
        <v>0</v>
      </c>
      <c r="BU153" s="147">
        <f ca="1">DB_25[[#This Row],[SL-11]]*DB_25[[#This Row],[GB-11]]</f>
        <v>0</v>
      </c>
      <c r="BV153" s="147">
        <f ca="1">DB_25[[#This Row],[SL-12]]*DB_25[[#This Row],[GB-12]]</f>
        <v>0</v>
      </c>
      <c r="BW153" s="47">
        <f ca="1">SUM(DB_25[[#This Row],[DT-01-USD]:[DT-12-USD]])</f>
        <v>74.256220377795145</v>
      </c>
    </row>
    <row r="154" spans="1:75" x14ac:dyDescent="0.35">
      <c r="A154" s="18">
        <f>ROWS($A$6:A154)</f>
        <v>149</v>
      </c>
      <c r="B154" s="18" t="s">
        <v>115</v>
      </c>
      <c r="C154" s="18" t="str">
        <f>IFERROR(_xlfn.XLOOKUP(DB_25[[#This Row],[Salesman]],MD_Salesman[Salesman],MD_Salesman[SalesManager]),"")</f>
        <v>Quốc Anh</v>
      </c>
      <c r="D154" s="7" t="s">
        <v>677</v>
      </c>
      <c r="E154" s="7" t="s">
        <v>70</v>
      </c>
      <c r="F154" s="7"/>
      <c r="G154" s="7" t="str">
        <f>_xlfn.XLOOKUP(DB_25[[#This Row],[Mã khách]],MD_Customer[Mã khách],MD_Customer[Kênh bán hàng])</f>
        <v>Nội địa</v>
      </c>
      <c r="H154" s="7"/>
      <c r="I154" s="7"/>
      <c r="J154" s="7"/>
      <c r="K154" s="7" t="s">
        <v>212</v>
      </c>
      <c r="L154" s="7" t="str">
        <f>_xlfn.XLOOKUP(DB_25[[#This Row],[Mã sản phẩm]],MD_SKU[Mã SKU],MD_SKU[Tên SKU-rút gọn])</f>
        <v>Vảy PP Đỏ Nhạt</v>
      </c>
      <c r="M154" s="7" t="str">
        <f>_xlfn.XLOOKUP(DB_25[[#This Row],[Mã sản phẩm]],MD_SKU[Mã SKU],MD_SKU[Nhóm ngành])</f>
        <v>Vảy PP</v>
      </c>
      <c r="N154" s="7"/>
      <c r="O154" s="47">
        <v>0</v>
      </c>
      <c r="P154" s="47">
        <v>0</v>
      </c>
      <c r="Q154" s="47">
        <v>0</v>
      </c>
      <c r="R154" s="47">
        <v>0.1</v>
      </c>
      <c r="S154" s="47">
        <v>0</v>
      </c>
      <c r="T154" s="47">
        <v>0</v>
      </c>
      <c r="U154" s="47">
        <v>0</v>
      </c>
      <c r="V154" s="47">
        <v>0</v>
      </c>
      <c r="W154" s="110">
        <f ca="1">SUMIFS(Data_Actual_LG_EXW[SL],Data_Actual_LG_EXW[Year],2025,Data_Actual_LG_EXW[Month],'DB 2025'!W$1,Data_Actual_LG_EXW[Mã KH],DB_25[[#This Row],[Mã khách]],Data_Actual_LG_EXW[Mã SKU],DB_25[[#This Row],[Mã sản phẩm]])/10^3</f>
        <v>0</v>
      </c>
      <c r="X154" s="33"/>
      <c r="Y154" s="33"/>
      <c r="Z154" s="33"/>
      <c r="AA154" s="19">
        <f ca="1">SUM(DB_25[[#This Row],[SL-01]:[SL-12]])</f>
        <v>0.1</v>
      </c>
      <c r="AB154" s="7"/>
      <c r="AC154" s="20">
        <f ca="1">DB_25[[#This Row],[SL-DB25]]-DB_25[[#This Row],[SL-KH25]]</f>
        <v>0.1</v>
      </c>
      <c r="AD154" s="21">
        <f ca="1">IFERROR(DB_25[[#This Row],[SL-+/-]]/DB_25[[#This Row],[SL-KH25]],0)</f>
        <v>0</v>
      </c>
      <c r="AE154" s="23">
        <v>0</v>
      </c>
      <c r="AF154" s="23">
        <v>0</v>
      </c>
      <c r="AG154" s="23">
        <v>0</v>
      </c>
      <c r="AH154" s="23">
        <v>787.71801346715108</v>
      </c>
      <c r="AI154" s="23">
        <v>0</v>
      </c>
      <c r="AJ154" s="23">
        <v>0</v>
      </c>
      <c r="AK154" s="23">
        <v>0</v>
      </c>
      <c r="AL154" s="23">
        <v>0</v>
      </c>
      <c r="AM154" s="111">
        <v>0</v>
      </c>
      <c r="AN154" s="51">
        <f ca="1">IFERROR(SUM(DB_25[[#This Row],[DT-01-USD]:[DT-09-USD]])/SUM(DB_25[[#This Row],[SL-01]:[SL-09]]),0)</f>
        <v>787.71801346715108</v>
      </c>
      <c r="AO154" s="51">
        <f ca="1">DB_25[[#This Row],[GB-10]]</f>
        <v>787.71801346715108</v>
      </c>
      <c r="AP154" s="51">
        <f ca="1">DB_25[[#This Row],[GB-11]]</f>
        <v>787.71801346715108</v>
      </c>
      <c r="AQ154" s="7"/>
      <c r="AR154" s="7"/>
      <c r="AS154" s="7"/>
      <c r="AT154" s="7"/>
      <c r="AU154" s="47">
        <v>0</v>
      </c>
      <c r="AV154" s="47">
        <v>0</v>
      </c>
      <c r="AW154" s="47">
        <v>0</v>
      </c>
      <c r="AX154" s="47">
        <v>2022159.9999999998</v>
      </c>
      <c r="AY154" s="47">
        <v>0</v>
      </c>
      <c r="AZ154" s="47">
        <v>0</v>
      </c>
      <c r="BA154" s="47">
        <v>0</v>
      </c>
      <c r="BB154" s="47">
        <v>0</v>
      </c>
      <c r="BC154" s="47">
        <v>0</v>
      </c>
      <c r="BD154" s="19">
        <f ca="1">DB_25[[#This Row],[SL-10]]*DB_25[[#This Row],[GB-10]]*BD$2/10^3</f>
        <v>0</v>
      </c>
      <c r="BE154" s="19">
        <f ca="1">DB_25[[#This Row],[SL-11]]*DB_25[[#This Row],[GB-11]]*BE$2/10^3</f>
        <v>0</v>
      </c>
      <c r="BF154" s="19">
        <f ca="1">DB_25[[#This Row],[SL-12]]*DB_25[[#This Row],[GB-12]]*BF$2/10^3</f>
        <v>0</v>
      </c>
      <c r="BG154" s="47">
        <f ca="1">SUM(DB_25[[#This Row],[DT-01]:[DT-12]])</f>
        <v>2022159.9999999998</v>
      </c>
      <c r="BH154" s="7"/>
      <c r="BI154" s="7"/>
      <c r="BJ154" s="7"/>
      <c r="BK154" s="50">
        <v>0</v>
      </c>
      <c r="BL154" s="109">
        <v>0</v>
      </c>
      <c r="BM154" s="109">
        <v>0</v>
      </c>
      <c r="BN154" s="109">
        <v>78.771801346715108</v>
      </c>
      <c r="BO154" s="109">
        <v>0</v>
      </c>
      <c r="BP154" s="109">
        <v>0</v>
      </c>
      <c r="BQ154" s="109">
        <v>0</v>
      </c>
      <c r="BR154" s="109">
        <v>0</v>
      </c>
      <c r="BS154" s="109">
        <v>0</v>
      </c>
      <c r="BT154" s="147">
        <f ca="1">DB_25[[#This Row],[SL-10]]*DB_25[[#This Row],[GB-10]]</f>
        <v>0</v>
      </c>
      <c r="BU154" s="147">
        <f ca="1">DB_25[[#This Row],[SL-11]]*DB_25[[#This Row],[GB-11]]</f>
        <v>0</v>
      </c>
      <c r="BV154" s="147">
        <f ca="1">DB_25[[#This Row],[SL-12]]*DB_25[[#This Row],[GB-12]]</f>
        <v>0</v>
      </c>
      <c r="BW154" s="47">
        <f ca="1">SUM(DB_25[[#This Row],[DT-01-USD]:[DT-12-USD]])</f>
        <v>78.771801346715108</v>
      </c>
    </row>
    <row r="155" spans="1:75" x14ac:dyDescent="0.35">
      <c r="A155" s="18">
        <f>ROWS($A$6:A155)</f>
        <v>150</v>
      </c>
      <c r="B155" s="18" t="s">
        <v>115</v>
      </c>
      <c r="C155" s="18" t="str">
        <f>IFERROR(_xlfn.XLOOKUP(DB_25[[#This Row],[Salesman]],MD_Salesman[Salesman],MD_Salesman[SalesManager]),"")</f>
        <v>Quốc Anh</v>
      </c>
      <c r="D155" s="7" t="s">
        <v>677</v>
      </c>
      <c r="E155" s="7" t="s">
        <v>70</v>
      </c>
      <c r="F155" s="7"/>
      <c r="G155" s="7" t="str">
        <f>_xlfn.XLOOKUP(DB_25[[#This Row],[Mã khách]],MD_Customer[Mã khách],MD_Customer[Kênh bán hàng])</f>
        <v>Nội địa</v>
      </c>
      <c r="H155" s="7"/>
      <c r="I155" s="7"/>
      <c r="J155" s="7"/>
      <c r="K155" s="7" t="s">
        <v>213</v>
      </c>
      <c r="L155" s="7" t="str">
        <f>_xlfn.XLOOKUP(DB_25[[#This Row],[Mã sản phẩm]],MD_SKU[Mã SKU],MD_SKU[Tên SKU-rút gọn])</f>
        <v>Vảy PP Dương Nhạt</v>
      </c>
      <c r="M155" s="7" t="str">
        <f>_xlfn.XLOOKUP(DB_25[[#This Row],[Mã sản phẩm]],MD_SKU[Mã SKU],MD_SKU[Nhóm ngành])</f>
        <v>Vảy PP</v>
      </c>
      <c r="N155" s="7"/>
      <c r="O155" s="47">
        <v>0</v>
      </c>
      <c r="P155" s="47">
        <v>0</v>
      </c>
      <c r="Q155" s="47">
        <v>0</v>
      </c>
      <c r="R155" s="47">
        <v>0.1</v>
      </c>
      <c r="S155" s="47">
        <v>0</v>
      </c>
      <c r="T155" s="47">
        <v>0</v>
      </c>
      <c r="U155" s="47">
        <v>0</v>
      </c>
      <c r="V155" s="47">
        <v>0</v>
      </c>
      <c r="W155" s="110">
        <f ca="1">SUMIFS(Data_Actual_LG_EXW[SL],Data_Actual_LG_EXW[Year],2025,Data_Actual_LG_EXW[Month],'DB 2025'!W$1,Data_Actual_LG_EXW[Mã KH],DB_25[[#This Row],[Mã khách]],Data_Actual_LG_EXW[Mã SKU],DB_25[[#This Row],[Mã sản phẩm]])/10^3</f>
        <v>0</v>
      </c>
      <c r="X155" s="33"/>
      <c r="Y155" s="33"/>
      <c r="Z155" s="33"/>
      <c r="AA155" s="19">
        <f ca="1">SUM(DB_25[[#This Row],[SL-01]:[SL-12]])</f>
        <v>0.1</v>
      </c>
      <c r="AB155" s="7"/>
      <c r="AC155" s="20">
        <f ca="1">DB_25[[#This Row],[SL-DB25]]-DB_25[[#This Row],[SL-KH25]]</f>
        <v>0.1</v>
      </c>
      <c r="AD155" s="21">
        <f ca="1">IFERROR(DB_25[[#This Row],[SL-+/-]]/DB_25[[#This Row],[SL-KH25]],0)</f>
        <v>0</v>
      </c>
      <c r="AE155" s="23">
        <v>0</v>
      </c>
      <c r="AF155" s="23">
        <v>0</v>
      </c>
      <c r="AG155" s="23">
        <v>0</v>
      </c>
      <c r="AH155" s="23">
        <v>787.71801346715108</v>
      </c>
      <c r="AI155" s="23">
        <v>0</v>
      </c>
      <c r="AJ155" s="23">
        <v>0</v>
      </c>
      <c r="AK155" s="23">
        <v>0</v>
      </c>
      <c r="AL155" s="23">
        <v>0</v>
      </c>
      <c r="AM155" s="111">
        <v>0</v>
      </c>
      <c r="AN155" s="51">
        <f ca="1">IFERROR(SUM(DB_25[[#This Row],[DT-01-USD]:[DT-09-USD]])/SUM(DB_25[[#This Row],[SL-01]:[SL-09]]),0)</f>
        <v>787.71801346715108</v>
      </c>
      <c r="AO155" s="51">
        <f ca="1">DB_25[[#This Row],[GB-10]]</f>
        <v>787.71801346715108</v>
      </c>
      <c r="AP155" s="51">
        <f ca="1">DB_25[[#This Row],[GB-11]]</f>
        <v>787.71801346715108</v>
      </c>
      <c r="AQ155" s="7"/>
      <c r="AR155" s="7"/>
      <c r="AS155" s="7"/>
      <c r="AT155" s="7"/>
      <c r="AU155" s="47">
        <v>0</v>
      </c>
      <c r="AV155" s="47">
        <v>0</v>
      </c>
      <c r="AW155" s="47">
        <v>0</v>
      </c>
      <c r="AX155" s="47">
        <v>2022159.9999999998</v>
      </c>
      <c r="AY155" s="47">
        <v>0</v>
      </c>
      <c r="AZ155" s="47">
        <v>0</v>
      </c>
      <c r="BA155" s="47">
        <v>0</v>
      </c>
      <c r="BB155" s="47">
        <v>0</v>
      </c>
      <c r="BC155" s="47">
        <v>0</v>
      </c>
      <c r="BD155" s="19">
        <f ca="1">DB_25[[#This Row],[SL-10]]*DB_25[[#This Row],[GB-10]]*BD$2/10^3</f>
        <v>0</v>
      </c>
      <c r="BE155" s="19">
        <f ca="1">DB_25[[#This Row],[SL-11]]*DB_25[[#This Row],[GB-11]]*BE$2/10^3</f>
        <v>0</v>
      </c>
      <c r="BF155" s="19">
        <f ca="1">DB_25[[#This Row],[SL-12]]*DB_25[[#This Row],[GB-12]]*BF$2/10^3</f>
        <v>0</v>
      </c>
      <c r="BG155" s="47">
        <f ca="1">SUM(DB_25[[#This Row],[DT-01]:[DT-12]])</f>
        <v>2022159.9999999998</v>
      </c>
      <c r="BH155" s="7"/>
      <c r="BI155" s="7"/>
      <c r="BJ155" s="7"/>
      <c r="BK155" s="50">
        <v>0</v>
      </c>
      <c r="BL155" s="109">
        <v>0</v>
      </c>
      <c r="BM155" s="109">
        <v>0</v>
      </c>
      <c r="BN155" s="109">
        <v>78.771801346715108</v>
      </c>
      <c r="BO155" s="109">
        <v>0</v>
      </c>
      <c r="BP155" s="109">
        <v>0</v>
      </c>
      <c r="BQ155" s="109">
        <v>0</v>
      </c>
      <c r="BR155" s="109">
        <v>0</v>
      </c>
      <c r="BS155" s="109">
        <v>0</v>
      </c>
      <c r="BT155" s="147">
        <f ca="1">DB_25[[#This Row],[SL-10]]*DB_25[[#This Row],[GB-10]]</f>
        <v>0</v>
      </c>
      <c r="BU155" s="147">
        <f ca="1">DB_25[[#This Row],[SL-11]]*DB_25[[#This Row],[GB-11]]</f>
        <v>0</v>
      </c>
      <c r="BV155" s="147">
        <f ca="1">DB_25[[#This Row],[SL-12]]*DB_25[[#This Row],[GB-12]]</f>
        <v>0</v>
      </c>
      <c r="BW155" s="47">
        <f ca="1">SUM(DB_25[[#This Row],[DT-01-USD]:[DT-12-USD]])</f>
        <v>78.771801346715108</v>
      </c>
    </row>
    <row r="156" spans="1:75" x14ac:dyDescent="0.35">
      <c r="A156" s="18">
        <f>ROWS($A$6:A156)</f>
        <v>151</v>
      </c>
      <c r="B156" s="18" t="s">
        <v>115</v>
      </c>
      <c r="C156" s="18" t="str">
        <f>IFERROR(_xlfn.XLOOKUP(DB_25[[#This Row],[Salesman]],MD_Salesman[Salesman],MD_Salesman[SalesManager]),"")</f>
        <v>Quốc Anh</v>
      </c>
      <c r="D156" s="7" t="s">
        <v>628</v>
      </c>
      <c r="E156" s="7" t="s">
        <v>57</v>
      </c>
      <c r="F156" s="7"/>
      <c r="G156" s="7" t="str">
        <f>_xlfn.XLOOKUP(DB_25[[#This Row],[Mã khách]],MD_Customer[Mã khách],MD_Customer[Kênh bán hàng])</f>
        <v>Nội địa</v>
      </c>
      <c r="H156" s="7"/>
      <c r="I156" s="7"/>
      <c r="J156" s="7"/>
      <c r="K156" s="7" t="s">
        <v>201</v>
      </c>
      <c r="L156" s="7" t="str">
        <f>_xlfn.XLOOKUP(DB_25[[#This Row],[Mã sản phẩm]],MD_SKU[Mã SKU],MD_SKU[Tên SKU-rút gọn])</f>
        <v>Vảy HD Ép Trắng</v>
      </c>
      <c r="M156" s="7" t="str">
        <f>_xlfn.XLOOKUP(DB_25[[#This Row],[Mã sản phẩm]],MD_SKU[Mã SKU],MD_SKU[Nhóm ngành])</f>
        <v>Vảy HD ép</v>
      </c>
      <c r="N156" s="7"/>
      <c r="O156" s="47">
        <v>0</v>
      </c>
      <c r="P156" s="47">
        <v>0</v>
      </c>
      <c r="Q156" s="47">
        <v>0.05</v>
      </c>
      <c r="R156" s="47">
        <v>0</v>
      </c>
      <c r="S156" s="47">
        <v>0</v>
      </c>
      <c r="T156" s="47">
        <v>0</v>
      </c>
      <c r="U156" s="47">
        <v>0</v>
      </c>
      <c r="V156" s="47">
        <v>0</v>
      </c>
      <c r="W156" s="110">
        <f ca="1">SUMIFS(Data_Actual_LG_EXW[SL],Data_Actual_LG_EXW[Year],2025,Data_Actual_LG_EXW[Month],'DB 2025'!W$1,Data_Actual_LG_EXW[Mã KH],DB_25[[#This Row],[Mã khách]],Data_Actual_LG_EXW[Mã SKU],DB_25[[#This Row],[Mã sản phẩm]])/10^3</f>
        <v>0</v>
      </c>
      <c r="X156" s="33"/>
      <c r="Y156" s="33"/>
      <c r="Z156" s="33"/>
      <c r="AA156" s="19">
        <f ca="1">SUM(DB_25[[#This Row],[SL-01]:[SL-12]])</f>
        <v>0.05</v>
      </c>
      <c r="AB156" s="7"/>
      <c r="AC156" s="20">
        <f ca="1">DB_25[[#This Row],[SL-DB25]]-DB_25[[#This Row],[SL-KH25]]</f>
        <v>0.05</v>
      </c>
      <c r="AD156" s="21">
        <f ca="1">IFERROR(DB_25[[#This Row],[SL-+/-]]/DB_25[[#This Row],[SL-KH25]],0)</f>
        <v>0</v>
      </c>
      <c r="AE156" s="23">
        <v>0</v>
      </c>
      <c r="AF156" s="23">
        <v>0</v>
      </c>
      <c r="AG156" s="23">
        <v>675.07782253455139</v>
      </c>
      <c r="AH156" s="23">
        <v>0</v>
      </c>
      <c r="AI156" s="23">
        <v>0</v>
      </c>
      <c r="AJ156" s="23">
        <v>0</v>
      </c>
      <c r="AK156" s="23">
        <v>0</v>
      </c>
      <c r="AL156" s="23">
        <v>0</v>
      </c>
      <c r="AM156" s="111">
        <v>0</v>
      </c>
      <c r="AN156" s="51">
        <f ca="1">IFERROR(SUM(DB_25[[#This Row],[DT-01-USD]:[DT-09-USD]])/SUM(DB_25[[#This Row],[SL-01]:[SL-09]]),0)</f>
        <v>675.07782253455139</v>
      </c>
      <c r="AO156" s="51">
        <f ca="1">DB_25[[#This Row],[GB-10]]</f>
        <v>675.07782253455139</v>
      </c>
      <c r="AP156" s="51">
        <f ca="1">DB_25[[#This Row],[GB-11]]</f>
        <v>675.07782253455139</v>
      </c>
      <c r="AQ156" s="7"/>
      <c r="AR156" s="7"/>
      <c r="AS156" s="7"/>
      <c r="AT156" s="7"/>
      <c r="AU156" s="47">
        <v>0</v>
      </c>
      <c r="AV156" s="47">
        <v>0</v>
      </c>
      <c r="AW156" s="47">
        <v>856482</v>
      </c>
      <c r="AX156" s="47">
        <v>0</v>
      </c>
      <c r="AY156" s="47">
        <v>0</v>
      </c>
      <c r="AZ156" s="47">
        <v>0</v>
      </c>
      <c r="BA156" s="47">
        <v>0</v>
      </c>
      <c r="BB156" s="47">
        <v>0</v>
      </c>
      <c r="BC156" s="47">
        <v>0</v>
      </c>
      <c r="BD156" s="19">
        <f ca="1">DB_25[[#This Row],[SL-10]]*DB_25[[#This Row],[GB-10]]*BD$2/10^3</f>
        <v>0</v>
      </c>
      <c r="BE156" s="19">
        <f ca="1">DB_25[[#This Row],[SL-11]]*DB_25[[#This Row],[GB-11]]*BE$2/10^3</f>
        <v>0</v>
      </c>
      <c r="BF156" s="19">
        <f ca="1">DB_25[[#This Row],[SL-12]]*DB_25[[#This Row],[GB-12]]*BF$2/10^3</f>
        <v>0</v>
      </c>
      <c r="BG156" s="47">
        <f ca="1">SUM(DB_25[[#This Row],[DT-01]:[DT-12]])</f>
        <v>856482</v>
      </c>
      <c r="BH156" s="7"/>
      <c r="BI156" s="7"/>
      <c r="BJ156" s="7"/>
      <c r="BK156" s="50">
        <v>0</v>
      </c>
      <c r="BL156" s="109">
        <v>0</v>
      </c>
      <c r="BM156" s="109">
        <v>33.753891126727574</v>
      </c>
      <c r="BN156" s="109">
        <v>0</v>
      </c>
      <c r="BO156" s="109">
        <v>0</v>
      </c>
      <c r="BP156" s="109">
        <v>0</v>
      </c>
      <c r="BQ156" s="109">
        <v>0</v>
      </c>
      <c r="BR156" s="109">
        <v>0</v>
      </c>
      <c r="BS156" s="109">
        <v>0</v>
      </c>
      <c r="BT156" s="147">
        <f ca="1">DB_25[[#This Row],[SL-10]]*DB_25[[#This Row],[GB-10]]</f>
        <v>0</v>
      </c>
      <c r="BU156" s="147">
        <f ca="1">DB_25[[#This Row],[SL-11]]*DB_25[[#This Row],[GB-11]]</f>
        <v>0</v>
      </c>
      <c r="BV156" s="147">
        <f ca="1">DB_25[[#This Row],[SL-12]]*DB_25[[#This Row],[GB-12]]</f>
        <v>0</v>
      </c>
      <c r="BW156" s="47">
        <f ca="1">SUM(DB_25[[#This Row],[DT-01-USD]:[DT-12-USD]])</f>
        <v>33.753891126727574</v>
      </c>
    </row>
    <row r="157" spans="1:75" x14ac:dyDescent="0.35">
      <c r="A157" s="18">
        <f>ROWS($A$6:A157)</f>
        <v>152</v>
      </c>
      <c r="B157" s="18" t="s">
        <v>115</v>
      </c>
      <c r="C157" s="18" t="str">
        <f>IFERROR(_xlfn.XLOOKUP(DB_25[[#This Row],[Salesman]],MD_Salesman[Salesman],MD_Salesman[SalesManager]),"")</f>
        <v>Quốc Anh</v>
      </c>
      <c r="D157" s="7" t="s">
        <v>628</v>
      </c>
      <c r="E157" s="7" t="s">
        <v>57</v>
      </c>
      <c r="F157" s="7"/>
      <c r="G157" s="7" t="str">
        <f>_xlfn.XLOOKUP(DB_25[[#This Row],[Mã khách]],MD_Customer[Mã khách],MD_Customer[Kênh bán hàng])</f>
        <v>Nội địa</v>
      </c>
      <c r="H157" s="7"/>
      <c r="I157" s="7"/>
      <c r="J157" s="7"/>
      <c r="K157" s="7" t="s">
        <v>203</v>
      </c>
      <c r="L157" s="7" t="str">
        <f>_xlfn.XLOOKUP(DB_25[[#This Row],[Mã sản phẩm]],MD_SKU[Mã SKU],MD_SKU[Tên SKU-rút gọn])</f>
        <v>Vảy HD Ép Lá</v>
      </c>
      <c r="M157" s="7" t="str">
        <f>_xlfn.XLOOKUP(DB_25[[#This Row],[Mã sản phẩm]],MD_SKU[Mã SKU],MD_SKU[Nhóm ngành])</f>
        <v>Vảy HD ép</v>
      </c>
      <c r="N157" s="7"/>
      <c r="O157" s="47">
        <v>0</v>
      </c>
      <c r="P157" s="47">
        <v>0</v>
      </c>
      <c r="Q157" s="47">
        <v>0.05</v>
      </c>
      <c r="R157" s="47">
        <v>0</v>
      </c>
      <c r="S157" s="47">
        <v>0</v>
      </c>
      <c r="T157" s="47">
        <v>0</v>
      </c>
      <c r="U157" s="47">
        <v>0</v>
      </c>
      <c r="V157" s="47">
        <v>0</v>
      </c>
      <c r="W157" s="110">
        <f ca="1">SUMIFS(Data_Actual_LG_EXW[SL],Data_Actual_LG_EXW[Year],2025,Data_Actual_LG_EXW[Month],'DB 2025'!W$1,Data_Actual_LG_EXW[Mã KH],DB_25[[#This Row],[Mã khách]],Data_Actual_LG_EXW[Mã SKU],DB_25[[#This Row],[Mã sản phẩm]])/10^3</f>
        <v>0</v>
      </c>
      <c r="X157" s="33"/>
      <c r="Y157" s="33"/>
      <c r="Z157" s="33"/>
      <c r="AA157" s="19">
        <f ca="1">SUM(DB_25[[#This Row],[SL-01]:[SL-12]])</f>
        <v>0.05</v>
      </c>
      <c r="AB157" s="7"/>
      <c r="AC157" s="20">
        <f ca="1">DB_25[[#This Row],[SL-DB25]]-DB_25[[#This Row],[SL-KH25]]</f>
        <v>0.05</v>
      </c>
      <c r="AD157" s="21">
        <f ca="1">IFERROR(DB_25[[#This Row],[SL-+/-]]/DB_25[[#This Row],[SL-KH25]],0)</f>
        <v>0</v>
      </c>
      <c r="AE157" s="23">
        <v>0</v>
      </c>
      <c r="AF157" s="23">
        <v>0</v>
      </c>
      <c r="AG157" s="23">
        <v>675.07782253455139</v>
      </c>
      <c r="AH157" s="23">
        <v>0</v>
      </c>
      <c r="AI157" s="23">
        <v>0</v>
      </c>
      <c r="AJ157" s="23">
        <v>0</v>
      </c>
      <c r="AK157" s="23">
        <v>0</v>
      </c>
      <c r="AL157" s="23">
        <v>0</v>
      </c>
      <c r="AM157" s="111">
        <v>0</v>
      </c>
      <c r="AN157" s="51">
        <f ca="1">IFERROR(SUM(DB_25[[#This Row],[DT-01-USD]:[DT-09-USD]])/SUM(DB_25[[#This Row],[SL-01]:[SL-09]]),0)</f>
        <v>675.07782253455139</v>
      </c>
      <c r="AO157" s="51">
        <f ca="1">DB_25[[#This Row],[GB-10]]</f>
        <v>675.07782253455139</v>
      </c>
      <c r="AP157" s="51">
        <f ca="1">DB_25[[#This Row],[GB-11]]</f>
        <v>675.07782253455139</v>
      </c>
      <c r="AQ157" s="7"/>
      <c r="AR157" s="7"/>
      <c r="AS157" s="7"/>
      <c r="AT157" s="7"/>
      <c r="AU157" s="47">
        <v>0</v>
      </c>
      <c r="AV157" s="47">
        <v>0</v>
      </c>
      <c r="AW157" s="47">
        <v>856482</v>
      </c>
      <c r="AX157" s="47">
        <v>0</v>
      </c>
      <c r="AY157" s="47">
        <v>0</v>
      </c>
      <c r="AZ157" s="47">
        <v>0</v>
      </c>
      <c r="BA157" s="47">
        <v>0</v>
      </c>
      <c r="BB157" s="47">
        <v>0</v>
      </c>
      <c r="BC157" s="47">
        <v>0</v>
      </c>
      <c r="BD157" s="19">
        <f ca="1">DB_25[[#This Row],[SL-10]]*DB_25[[#This Row],[GB-10]]*BD$2/10^3</f>
        <v>0</v>
      </c>
      <c r="BE157" s="19">
        <f ca="1">DB_25[[#This Row],[SL-11]]*DB_25[[#This Row],[GB-11]]*BE$2/10^3</f>
        <v>0</v>
      </c>
      <c r="BF157" s="19">
        <f ca="1">DB_25[[#This Row],[SL-12]]*DB_25[[#This Row],[GB-12]]*BF$2/10^3</f>
        <v>0</v>
      </c>
      <c r="BG157" s="47">
        <f ca="1">SUM(DB_25[[#This Row],[DT-01]:[DT-12]])</f>
        <v>856482</v>
      </c>
      <c r="BH157" s="7"/>
      <c r="BI157" s="7"/>
      <c r="BJ157" s="7"/>
      <c r="BK157" s="50">
        <v>0</v>
      </c>
      <c r="BL157" s="109">
        <v>0</v>
      </c>
      <c r="BM157" s="109">
        <v>33.753891126727574</v>
      </c>
      <c r="BN157" s="109">
        <v>0</v>
      </c>
      <c r="BO157" s="109">
        <v>0</v>
      </c>
      <c r="BP157" s="109">
        <v>0</v>
      </c>
      <c r="BQ157" s="109">
        <v>0</v>
      </c>
      <c r="BR157" s="109">
        <v>0</v>
      </c>
      <c r="BS157" s="109">
        <v>0</v>
      </c>
      <c r="BT157" s="147">
        <f ca="1">DB_25[[#This Row],[SL-10]]*DB_25[[#This Row],[GB-10]]</f>
        <v>0</v>
      </c>
      <c r="BU157" s="147">
        <f ca="1">DB_25[[#This Row],[SL-11]]*DB_25[[#This Row],[GB-11]]</f>
        <v>0</v>
      </c>
      <c r="BV157" s="147">
        <f ca="1">DB_25[[#This Row],[SL-12]]*DB_25[[#This Row],[GB-12]]</f>
        <v>0</v>
      </c>
      <c r="BW157" s="47">
        <f ca="1">SUM(DB_25[[#This Row],[DT-01-USD]:[DT-12-USD]])</f>
        <v>33.753891126727574</v>
      </c>
    </row>
    <row r="158" spans="1:75" x14ac:dyDescent="0.35">
      <c r="A158" s="18">
        <f>ROWS($A$6:A158)</f>
        <v>153</v>
      </c>
      <c r="B158" s="18" t="s">
        <v>115</v>
      </c>
      <c r="C158" s="18" t="str">
        <f>IFERROR(_xlfn.XLOOKUP(DB_25[[#This Row],[Salesman]],MD_Salesman[Salesman],MD_Salesman[SalesManager]),"")</f>
        <v>Quốc Anh</v>
      </c>
      <c r="D158" s="7" t="s">
        <v>628</v>
      </c>
      <c r="E158" s="7" t="s">
        <v>57</v>
      </c>
      <c r="F158" s="7"/>
      <c r="G158" s="7" t="str">
        <f>_xlfn.XLOOKUP(DB_25[[#This Row],[Mã khách]],MD_Customer[Mã khách],MD_Customer[Kênh bán hàng])</f>
        <v>Nội địa</v>
      </c>
      <c r="H158" s="7"/>
      <c r="I158" s="7"/>
      <c r="J158" s="7"/>
      <c r="K158" s="7" t="s">
        <v>206</v>
      </c>
      <c r="L158" s="7" t="str">
        <f>_xlfn.XLOOKUP(DB_25[[#This Row],[Mã sản phẩm]],MD_SKU[Mã SKU],MD_SKU[Tên SKU-rút gọn])</f>
        <v>Vảy HD Ép Đồng</v>
      </c>
      <c r="M158" s="7" t="str">
        <f>_xlfn.XLOOKUP(DB_25[[#This Row],[Mã sản phẩm]],MD_SKU[Mã SKU],MD_SKU[Nhóm ngành])</f>
        <v>Vảy HD ép</v>
      </c>
      <c r="N158" s="7"/>
      <c r="O158" s="47">
        <v>0</v>
      </c>
      <c r="P158" s="47">
        <v>0</v>
      </c>
      <c r="Q158" s="47">
        <v>0.05</v>
      </c>
      <c r="R158" s="47">
        <v>0</v>
      </c>
      <c r="S158" s="47">
        <v>0</v>
      </c>
      <c r="T158" s="47">
        <v>0</v>
      </c>
      <c r="U158" s="47">
        <v>0</v>
      </c>
      <c r="V158" s="47">
        <v>0</v>
      </c>
      <c r="W158" s="110">
        <f ca="1">SUMIFS(Data_Actual_LG_EXW[SL],Data_Actual_LG_EXW[Year],2025,Data_Actual_LG_EXW[Month],'DB 2025'!W$1,Data_Actual_LG_EXW[Mã KH],DB_25[[#This Row],[Mã khách]],Data_Actual_LG_EXW[Mã SKU],DB_25[[#This Row],[Mã sản phẩm]])/10^3</f>
        <v>0</v>
      </c>
      <c r="X158" s="33"/>
      <c r="Y158" s="33"/>
      <c r="Z158" s="33"/>
      <c r="AA158" s="19">
        <f ca="1">SUM(DB_25[[#This Row],[SL-01]:[SL-12]])</f>
        <v>0.05</v>
      </c>
      <c r="AB158" s="7"/>
      <c r="AC158" s="20">
        <f ca="1">DB_25[[#This Row],[SL-DB25]]-DB_25[[#This Row],[SL-KH25]]</f>
        <v>0.05</v>
      </c>
      <c r="AD158" s="21">
        <f ca="1">IFERROR(DB_25[[#This Row],[SL-+/-]]/DB_25[[#This Row],[SL-KH25]],0)</f>
        <v>0</v>
      </c>
      <c r="AE158" s="23">
        <v>0</v>
      </c>
      <c r="AF158" s="23">
        <v>0</v>
      </c>
      <c r="AG158" s="23">
        <v>656.8302392000536</v>
      </c>
      <c r="AH158" s="23">
        <v>0</v>
      </c>
      <c r="AI158" s="23">
        <v>0</v>
      </c>
      <c r="AJ158" s="23">
        <v>0</v>
      </c>
      <c r="AK158" s="23">
        <v>0</v>
      </c>
      <c r="AL158" s="23">
        <v>0</v>
      </c>
      <c r="AM158" s="111">
        <v>0</v>
      </c>
      <c r="AN158" s="51">
        <f ca="1">IFERROR(SUM(DB_25[[#This Row],[DT-01-USD]:[DT-09-USD]])/SUM(DB_25[[#This Row],[SL-01]:[SL-09]]),0)</f>
        <v>656.8302392000536</v>
      </c>
      <c r="AO158" s="51">
        <f ca="1">DB_25[[#This Row],[GB-10]]</f>
        <v>656.8302392000536</v>
      </c>
      <c r="AP158" s="51">
        <f ca="1">DB_25[[#This Row],[GB-11]]</f>
        <v>656.8302392000536</v>
      </c>
      <c r="AQ158" s="7"/>
      <c r="AR158" s="7"/>
      <c r="AS158" s="7"/>
      <c r="AT158" s="7"/>
      <c r="AU158" s="47">
        <v>0</v>
      </c>
      <c r="AV158" s="47">
        <v>0</v>
      </c>
      <c r="AW158" s="47">
        <v>833331</v>
      </c>
      <c r="AX158" s="47">
        <v>0</v>
      </c>
      <c r="AY158" s="47">
        <v>0</v>
      </c>
      <c r="AZ158" s="47">
        <v>0</v>
      </c>
      <c r="BA158" s="47">
        <v>0</v>
      </c>
      <c r="BB158" s="47">
        <v>0</v>
      </c>
      <c r="BC158" s="47">
        <v>0</v>
      </c>
      <c r="BD158" s="19">
        <f ca="1">DB_25[[#This Row],[SL-10]]*DB_25[[#This Row],[GB-10]]*BD$2/10^3</f>
        <v>0</v>
      </c>
      <c r="BE158" s="19">
        <f ca="1">DB_25[[#This Row],[SL-11]]*DB_25[[#This Row],[GB-11]]*BE$2/10^3</f>
        <v>0</v>
      </c>
      <c r="BF158" s="19">
        <f ca="1">DB_25[[#This Row],[SL-12]]*DB_25[[#This Row],[GB-12]]*BF$2/10^3</f>
        <v>0</v>
      </c>
      <c r="BG158" s="47">
        <f ca="1">SUM(DB_25[[#This Row],[DT-01]:[DT-12]])</f>
        <v>833331</v>
      </c>
      <c r="BH158" s="7"/>
      <c r="BI158" s="7"/>
      <c r="BJ158" s="7"/>
      <c r="BK158" s="50">
        <v>0</v>
      </c>
      <c r="BL158" s="109">
        <v>0</v>
      </c>
      <c r="BM158" s="109">
        <v>32.841511960002684</v>
      </c>
      <c r="BN158" s="109">
        <v>0</v>
      </c>
      <c r="BO158" s="109">
        <v>0</v>
      </c>
      <c r="BP158" s="109">
        <v>0</v>
      </c>
      <c r="BQ158" s="109">
        <v>0</v>
      </c>
      <c r="BR158" s="109">
        <v>0</v>
      </c>
      <c r="BS158" s="109">
        <v>0</v>
      </c>
      <c r="BT158" s="147">
        <f ca="1">DB_25[[#This Row],[SL-10]]*DB_25[[#This Row],[GB-10]]</f>
        <v>0</v>
      </c>
      <c r="BU158" s="147">
        <f ca="1">DB_25[[#This Row],[SL-11]]*DB_25[[#This Row],[GB-11]]</f>
        <v>0</v>
      </c>
      <c r="BV158" s="147">
        <f ca="1">DB_25[[#This Row],[SL-12]]*DB_25[[#This Row],[GB-12]]</f>
        <v>0</v>
      </c>
      <c r="BW158" s="47">
        <f ca="1">SUM(DB_25[[#This Row],[DT-01-USD]:[DT-12-USD]])</f>
        <v>32.841511960002684</v>
      </c>
    </row>
    <row r="159" spans="1:75" x14ac:dyDescent="0.35">
      <c r="A159" s="18">
        <f>ROWS($A$6:A159)</f>
        <v>154</v>
      </c>
      <c r="B159" s="18" t="s">
        <v>115</v>
      </c>
      <c r="C159" s="18" t="str">
        <f>IFERROR(_xlfn.XLOOKUP(DB_25[[#This Row],[Salesman]],MD_Salesman[Salesman],MD_Salesman[SalesManager]),"")</f>
        <v>Quốc Anh</v>
      </c>
      <c r="D159" s="7" t="s">
        <v>678</v>
      </c>
      <c r="E159" s="7" t="s">
        <v>157</v>
      </c>
      <c r="F159" s="7"/>
      <c r="G159" s="7" t="str">
        <f>_xlfn.XLOOKUP(DB_25[[#This Row],[Mã khách]],MD_Customer[Mã khách],MD_Customer[Kênh bán hàng])</f>
        <v>Nội địa</v>
      </c>
      <c r="H159" s="7"/>
      <c r="I159" s="7"/>
      <c r="J159" s="7"/>
      <c r="K159" s="7" t="s">
        <v>203</v>
      </c>
      <c r="L159" s="7" t="str">
        <f>_xlfn.XLOOKUP(DB_25[[#This Row],[Mã sản phẩm]],MD_SKU[Mã SKU],MD_SKU[Tên SKU-rút gọn])</f>
        <v>Vảy HD Ép Lá</v>
      </c>
      <c r="M159" s="7" t="str">
        <f>_xlfn.XLOOKUP(DB_25[[#This Row],[Mã sản phẩm]],MD_SKU[Mã SKU],MD_SKU[Nhóm ngành])</f>
        <v>Vảy HD ép</v>
      </c>
      <c r="N159" s="7"/>
      <c r="O159" s="47">
        <v>0</v>
      </c>
      <c r="P159" s="47">
        <v>0</v>
      </c>
      <c r="Q159" s="47">
        <v>0</v>
      </c>
      <c r="R159" s="47">
        <v>0.05</v>
      </c>
      <c r="S159" s="47">
        <v>0</v>
      </c>
      <c r="T159" s="47">
        <v>0</v>
      </c>
      <c r="U159" s="47">
        <v>0</v>
      </c>
      <c r="V159" s="47">
        <v>0</v>
      </c>
      <c r="W159" s="110">
        <f ca="1">SUMIFS(Data_Actual_LG_EXW[SL],Data_Actual_LG_EXW[Year],2025,Data_Actual_LG_EXW[Month],'DB 2025'!W$1,Data_Actual_LG_EXW[Mã KH],DB_25[[#This Row],[Mã khách]],Data_Actual_LG_EXW[Mã SKU],DB_25[[#This Row],[Mã sản phẩm]])/10^3</f>
        <v>0</v>
      </c>
      <c r="X159" s="33"/>
      <c r="Y159" s="33"/>
      <c r="Z159" s="33"/>
      <c r="AA159" s="19">
        <f ca="1">SUM(DB_25[[#This Row],[SL-01]:[SL-12]])</f>
        <v>0.05</v>
      </c>
      <c r="AB159" s="7"/>
      <c r="AC159" s="20">
        <f ca="1">DB_25[[#This Row],[SL-DB25]]-DB_25[[#This Row],[SL-KH25]]</f>
        <v>0.05</v>
      </c>
      <c r="AD159" s="21">
        <f ca="1">IFERROR(DB_25[[#This Row],[SL-+/-]]/DB_25[[#This Row],[SL-KH25]],0)</f>
        <v>0</v>
      </c>
      <c r="AE159" s="23">
        <v>0</v>
      </c>
      <c r="AF159" s="23">
        <v>0</v>
      </c>
      <c r="AG159" s="23">
        <v>0</v>
      </c>
      <c r="AH159" s="23">
        <v>584.31430757246039</v>
      </c>
      <c r="AI159" s="23">
        <v>0</v>
      </c>
      <c r="AJ159" s="23">
        <v>0</v>
      </c>
      <c r="AK159" s="23">
        <v>0</v>
      </c>
      <c r="AL159" s="23">
        <v>0</v>
      </c>
      <c r="AM159" s="111">
        <v>0</v>
      </c>
      <c r="AN159" s="51">
        <f ca="1">IFERROR(SUM(DB_25[[#This Row],[DT-01-USD]:[DT-09-USD]])/SUM(DB_25[[#This Row],[SL-01]:[SL-09]]),0)</f>
        <v>584.31430757246039</v>
      </c>
      <c r="AO159" s="51">
        <f ca="1">DB_25[[#This Row],[GB-10]]</f>
        <v>584.31430757246039</v>
      </c>
      <c r="AP159" s="51">
        <f ca="1">DB_25[[#This Row],[GB-11]]</f>
        <v>584.31430757246039</v>
      </c>
      <c r="AQ159" s="7"/>
      <c r="AR159" s="7"/>
      <c r="AS159" s="7"/>
      <c r="AT159" s="7"/>
      <c r="AU159" s="47">
        <v>0</v>
      </c>
      <c r="AV159" s="47">
        <v>0</v>
      </c>
      <c r="AW159" s="47">
        <v>0</v>
      </c>
      <c r="AX159" s="47">
        <v>750000</v>
      </c>
      <c r="AY159" s="47">
        <v>0</v>
      </c>
      <c r="AZ159" s="47">
        <v>0</v>
      </c>
      <c r="BA159" s="47">
        <v>0</v>
      </c>
      <c r="BB159" s="47">
        <v>0</v>
      </c>
      <c r="BC159" s="47">
        <v>0</v>
      </c>
      <c r="BD159" s="19">
        <f ca="1">DB_25[[#This Row],[SL-10]]*DB_25[[#This Row],[GB-10]]*BD$2/10^3</f>
        <v>0</v>
      </c>
      <c r="BE159" s="19">
        <f ca="1">DB_25[[#This Row],[SL-11]]*DB_25[[#This Row],[GB-11]]*BE$2/10^3</f>
        <v>0</v>
      </c>
      <c r="BF159" s="19">
        <f ca="1">DB_25[[#This Row],[SL-12]]*DB_25[[#This Row],[GB-12]]*BF$2/10^3</f>
        <v>0</v>
      </c>
      <c r="BG159" s="47">
        <f ca="1">SUM(DB_25[[#This Row],[DT-01]:[DT-12]])</f>
        <v>750000</v>
      </c>
      <c r="BH159" s="7"/>
      <c r="BI159" s="7"/>
      <c r="BJ159" s="7"/>
      <c r="BK159" s="50">
        <v>0</v>
      </c>
      <c r="BL159" s="109">
        <v>0</v>
      </c>
      <c r="BM159" s="109">
        <v>0</v>
      </c>
      <c r="BN159" s="109">
        <v>29.215715378623024</v>
      </c>
      <c r="BO159" s="109">
        <v>0</v>
      </c>
      <c r="BP159" s="109">
        <v>0</v>
      </c>
      <c r="BQ159" s="109">
        <v>0</v>
      </c>
      <c r="BR159" s="109">
        <v>0</v>
      </c>
      <c r="BS159" s="109">
        <v>0</v>
      </c>
      <c r="BT159" s="147">
        <f ca="1">DB_25[[#This Row],[SL-10]]*DB_25[[#This Row],[GB-10]]</f>
        <v>0</v>
      </c>
      <c r="BU159" s="147">
        <f ca="1">DB_25[[#This Row],[SL-11]]*DB_25[[#This Row],[GB-11]]</f>
        <v>0</v>
      </c>
      <c r="BV159" s="147">
        <f ca="1">DB_25[[#This Row],[SL-12]]*DB_25[[#This Row],[GB-12]]</f>
        <v>0</v>
      </c>
      <c r="BW159" s="47">
        <f ca="1">SUM(DB_25[[#This Row],[DT-01-USD]:[DT-12-USD]])</f>
        <v>29.215715378623024</v>
      </c>
    </row>
    <row r="160" spans="1:75" x14ac:dyDescent="0.35">
      <c r="A160" s="18">
        <f>ROWS($A$6:A160)</f>
        <v>155</v>
      </c>
      <c r="B160" s="18" t="s">
        <v>115</v>
      </c>
      <c r="C160" s="18" t="str">
        <f>IFERROR(_xlfn.XLOOKUP(DB_25[[#This Row],[Salesman]],MD_Salesman[Salesman],MD_Salesman[SalesManager]),"")</f>
        <v>Quốc Anh</v>
      </c>
      <c r="D160" s="7" t="s">
        <v>679</v>
      </c>
      <c r="E160" s="7" t="s">
        <v>68</v>
      </c>
      <c r="F160" s="7"/>
      <c r="G160" s="7" t="str">
        <f>_xlfn.XLOOKUP(DB_25[[#This Row],[Mã khách]],MD_Customer[Mã khách],MD_Customer[Kênh bán hàng])</f>
        <v>Nội địa</v>
      </c>
      <c r="H160" s="7"/>
      <c r="I160" s="7"/>
      <c r="J160" s="7"/>
      <c r="K160" s="7" t="s">
        <v>217</v>
      </c>
      <c r="L160" s="7" t="str">
        <f>_xlfn.XLOOKUP(DB_25[[#This Row],[Mã sản phẩm]],MD_SKU[Mã SKU],MD_SKU[Tên SKU-rút gọn])</f>
        <v>rPP20Gy01</v>
      </c>
      <c r="M160" s="7" t="str">
        <f>_xlfn.XLOOKUP(DB_25[[#This Row],[Mã sản phẩm]],MD_SKU[Mã SKU],MD_SKU[Nhóm ngành])</f>
        <v>Hạt PP</v>
      </c>
      <c r="N160" s="7"/>
      <c r="O160" s="47">
        <v>0</v>
      </c>
      <c r="P160" s="47">
        <v>0.05</v>
      </c>
      <c r="Q160" s="47">
        <v>0</v>
      </c>
      <c r="R160" s="47">
        <v>0</v>
      </c>
      <c r="S160" s="47">
        <v>0</v>
      </c>
      <c r="T160" s="47">
        <v>0</v>
      </c>
      <c r="U160" s="47">
        <v>0</v>
      </c>
      <c r="V160" s="47">
        <v>0</v>
      </c>
      <c r="W160" s="110">
        <f ca="1">SUMIFS(Data_Actual_LG_EXW[SL],Data_Actual_LG_EXW[Year],2025,Data_Actual_LG_EXW[Month],'DB 2025'!W$1,Data_Actual_LG_EXW[Mã KH],DB_25[[#This Row],[Mã khách]],Data_Actual_LG_EXW[Mã SKU],DB_25[[#This Row],[Mã sản phẩm]])/10^3</f>
        <v>0</v>
      </c>
      <c r="X160" s="33"/>
      <c r="Y160" s="33"/>
      <c r="Z160" s="33"/>
      <c r="AA160" s="19">
        <f ca="1">SUM(DB_25[[#This Row],[SL-01]:[SL-12]])</f>
        <v>0.05</v>
      </c>
      <c r="AB160" s="7"/>
      <c r="AC160" s="20">
        <f ca="1">DB_25[[#This Row],[SL-DB25]]-DB_25[[#This Row],[SL-KH25]]</f>
        <v>0.05</v>
      </c>
      <c r="AD160" s="21">
        <f ca="1">IFERROR(DB_25[[#This Row],[SL-+/-]]/DB_25[[#This Row],[SL-KH25]],0)</f>
        <v>0</v>
      </c>
      <c r="AE160" s="23">
        <v>0</v>
      </c>
      <c r="AF160" s="23">
        <v>1066.550890222074</v>
      </c>
      <c r="AG160" s="23">
        <v>0</v>
      </c>
      <c r="AH160" s="23">
        <v>0</v>
      </c>
      <c r="AI160" s="23">
        <v>0</v>
      </c>
      <c r="AJ160" s="23">
        <v>0</v>
      </c>
      <c r="AK160" s="23">
        <v>0</v>
      </c>
      <c r="AL160" s="23">
        <v>0</v>
      </c>
      <c r="AM160" s="111">
        <v>0</v>
      </c>
      <c r="AN160" s="51">
        <f ca="1">IFERROR(SUM(DB_25[[#This Row],[DT-01-USD]:[DT-09-USD]])/SUM(DB_25[[#This Row],[SL-01]:[SL-09]]),0)</f>
        <v>1066.550890222074</v>
      </c>
      <c r="AO160" s="51">
        <f ca="1">DB_25[[#This Row],[GB-10]]</f>
        <v>1066.550890222074</v>
      </c>
      <c r="AP160" s="51">
        <f ca="1">DB_25[[#This Row],[GB-11]]</f>
        <v>1066.550890222074</v>
      </c>
      <c r="AQ160" s="7"/>
      <c r="AR160" s="7"/>
      <c r="AS160" s="7"/>
      <c r="AT160" s="7"/>
      <c r="AU160" s="47">
        <v>0</v>
      </c>
      <c r="AV160" s="47">
        <v>1347700</v>
      </c>
      <c r="AW160" s="47">
        <v>0</v>
      </c>
      <c r="AX160" s="47">
        <v>0</v>
      </c>
      <c r="AY160" s="47">
        <v>0</v>
      </c>
      <c r="AZ160" s="47">
        <v>0</v>
      </c>
      <c r="BA160" s="47">
        <v>0</v>
      </c>
      <c r="BB160" s="47">
        <v>0</v>
      </c>
      <c r="BC160" s="47">
        <v>0</v>
      </c>
      <c r="BD160" s="19">
        <f ca="1">DB_25[[#This Row],[SL-10]]*DB_25[[#This Row],[GB-10]]*BD$2/10^3</f>
        <v>0</v>
      </c>
      <c r="BE160" s="19">
        <f ca="1">DB_25[[#This Row],[SL-11]]*DB_25[[#This Row],[GB-11]]*BE$2/10^3</f>
        <v>0</v>
      </c>
      <c r="BF160" s="19">
        <f ca="1">DB_25[[#This Row],[SL-12]]*DB_25[[#This Row],[GB-12]]*BF$2/10^3</f>
        <v>0</v>
      </c>
      <c r="BG160" s="47">
        <f ca="1">SUM(DB_25[[#This Row],[DT-01]:[DT-12]])</f>
        <v>1347700</v>
      </c>
      <c r="BH160" s="7"/>
      <c r="BI160" s="7"/>
      <c r="BJ160" s="7"/>
      <c r="BK160" s="50">
        <v>0</v>
      </c>
      <c r="BL160" s="109">
        <v>53.327544511103703</v>
      </c>
      <c r="BM160" s="109">
        <v>0</v>
      </c>
      <c r="BN160" s="109">
        <v>0</v>
      </c>
      <c r="BO160" s="109">
        <v>0</v>
      </c>
      <c r="BP160" s="109">
        <v>0</v>
      </c>
      <c r="BQ160" s="109">
        <v>0</v>
      </c>
      <c r="BR160" s="109">
        <v>0</v>
      </c>
      <c r="BS160" s="109">
        <v>0</v>
      </c>
      <c r="BT160" s="147">
        <f ca="1">DB_25[[#This Row],[SL-10]]*DB_25[[#This Row],[GB-10]]</f>
        <v>0</v>
      </c>
      <c r="BU160" s="147">
        <f ca="1">DB_25[[#This Row],[SL-11]]*DB_25[[#This Row],[GB-11]]</f>
        <v>0</v>
      </c>
      <c r="BV160" s="147">
        <f ca="1">DB_25[[#This Row],[SL-12]]*DB_25[[#This Row],[GB-12]]</f>
        <v>0</v>
      </c>
      <c r="BW160" s="47">
        <f ca="1">SUM(DB_25[[#This Row],[DT-01-USD]:[DT-12-USD]])</f>
        <v>53.327544511103703</v>
      </c>
    </row>
    <row r="161" spans="1:75" x14ac:dyDescent="0.35">
      <c r="A161" s="18">
        <f>ROWS($A$6:A161)</f>
        <v>156</v>
      </c>
      <c r="B161" s="18" t="s">
        <v>104</v>
      </c>
      <c r="C161" s="18" t="str">
        <f>IFERROR(_xlfn.XLOOKUP(DB_25[[#This Row],[Salesman]],MD_Salesman[Salesman],MD_Salesman[SalesManager]),"")</f>
        <v>Quốc Anh</v>
      </c>
      <c r="D161" s="7" t="s">
        <v>680</v>
      </c>
      <c r="E161" s="7" t="s">
        <v>67</v>
      </c>
      <c r="F161" s="7"/>
      <c r="G161" s="7" t="str">
        <f>_xlfn.XLOOKUP(DB_25[[#This Row],[Mã khách]],MD_Customer[Mã khách],MD_Customer[Kênh bán hàng])</f>
        <v>Nội địa</v>
      </c>
      <c r="H161" s="7"/>
      <c r="I161" s="7"/>
      <c r="J161" s="7"/>
      <c r="K161" s="7" t="s">
        <v>218</v>
      </c>
      <c r="L161" s="7" t="str">
        <f>_xlfn.XLOOKUP(DB_25[[#This Row],[Mã sản phẩm]],MD_SKU[Mã SKU],MD_SKU[Tên SKU-rút gọn])</f>
        <v>rPP20W01</v>
      </c>
      <c r="M161" s="7" t="str">
        <f>_xlfn.XLOOKUP(DB_25[[#This Row],[Mã sản phẩm]],MD_SKU[Mã SKU],MD_SKU[Nhóm ngành])</f>
        <v>Hạt PP</v>
      </c>
      <c r="N161" s="7"/>
      <c r="O161" s="47">
        <v>0</v>
      </c>
      <c r="P161" s="47">
        <v>0</v>
      </c>
      <c r="Q161" s="47">
        <v>0</v>
      </c>
      <c r="R161" s="47">
        <v>0</v>
      </c>
      <c r="S161" s="47">
        <v>0</v>
      </c>
      <c r="T161" s="47">
        <v>0</v>
      </c>
      <c r="U161" s="47">
        <v>0</v>
      </c>
      <c r="V161" s="47">
        <v>0.05</v>
      </c>
      <c r="W161" s="110">
        <f ca="1">SUMIFS(Data_Actual_LG_EXW[SL],Data_Actual_LG_EXW[Year],2025,Data_Actual_LG_EXW[Month],'DB 2025'!W$1,Data_Actual_LG_EXW[Mã KH],DB_25[[#This Row],[Mã khách]],Data_Actual_LG_EXW[Mã SKU],DB_25[[#This Row],[Mã sản phẩm]])/10^3</f>
        <v>0</v>
      </c>
      <c r="X161" s="33"/>
      <c r="Y161" s="33"/>
      <c r="Z161" s="33"/>
      <c r="AA161" s="19">
        <f ca="1">SUM(DB_25[[#This Row],[SL-01]:[SL-12]])</f>
        <v>0.05</v>
      </c>
      <c r="AB161" s="7"/>
      <c r="AC161" s="20">
        <f ca="1">DB_25[[#This Row],[SL-DB25]]-DB_25[[#This Row],[SL-KH25]]</f>
        <v>0.05</v>
      </c>
      <c r="AD161" s="21">
        <f ca="1">IFERROR(DB_25[[#This Row],[SL-+/-]]/DB_25[[#This Row],[SL-KH25]],0)</f>
        <v>0</v>
      </c>
      <c r="AE161" s="23">
        <v>0</v>
      </c>
      <c r="AF161" s="23">
        <v>0</v>
      </c>
      <c r="AG161" s="23">
        <v>0</v>
      </c>
      <c r="AH161" s="23">
        <v>0</v>
      </c>
      <c r="AI161" s="23">
        <v>0</v>
      </c>
      <c r="AJ161" s="23">
        <v>0</v>
      </c>
      <c r="AK161" s="23">
        <v>0</v>
      </c>
      <c r="AL161" s="23">
        <v>1356.1415167645469</v>
      </c>
      <c r="AM161" s="111">
        <v>0</v>
      </c>
      <c r="AN161" s="51">
        <f ca="1">IFERROR(SUM(DB_25[[#This Row],[DT-01-USD]:[DT-09-USD]])/SUM(DB_25[[#This Row],[SL-01]:[SL-09]]),0)</f>
        <v>1356.1415167645469</v>
      </c>
      <c r="AO161" s="51">
        <f ca="1">DB_25[[#This Row],[GB-10]]</f>
        <v>1356.1415167645469</v>
      </c>
      <c r="AP161" s="51">
        <f ca="1">DB_25[[#This Row],[GB-11]]</f>
        <v>1356.1415167645469</v>
      </c>
      <c r="AQ161" s="7"/>
      <c r="AR161" s="7"/>
      <c r="AS161" s="7"/>
      <c r="AT161" s="7"/>
      <c r="AU161" s="47">
        <v>0</v>
      </c>
      <c r="AV161" s="47">
        <v>0</v>
      </c>
      <c r="AW161" s="47">
        <v>0</v>
      </c>
      <c r="AX161" s="47">
        <v>0</v>
      </c>
      <c r="AY161" s="47">
        <v>0</v>
      </c>
      <c r="AZ161" s="47">
        <v>0</v>
      </c>
      <c r="BA161" s="47">
        <v>0</v>
      </c>
      <c r="BB161" s="47">
        <v>1772000</v>
      </c>
      <c r="BC161" s="47">
        <v>0</v>
      </c>
      <c r="BD161" s="19">
        <f ca="1">DB_25[[#This Row],[SL-10]]*DB_25[[#This Row],[GB-10]]*BD$2/10^3</f>
        <v>0</v>
      </c>
      <c r="BE161" s="19">
        <f ca="1">DB_25[[#This Row],[SL-11]]*DB_25[[#This Row],[GB-11]]*BE$2/10^3</f>
        <v>0</v>
      </c>
      <c r="BF161" s="19">
        <f ca="1">DB_25[[#This Row],[SL-12]]*DB_25[[#This Row],[GB-12]]*BF$2/10^3</f>
        <v>0</v>
      </c>
      <c r="BG161" s="47">
        <f ca="1">SUM(DB_25[[#This Row],[DT-01]:[DT-12]])</f>
        <v>1772000</v>
      </c>
      <c r="BH161" s="7"/>
      <c r="BI161" s="7"/>
      <c r="BJ161" s="7"/>
      <c r="BK161" s="50">
        <v>0</v>
      </c>
      <c r="BL161" s="109">
        <v>0</v>
      </c>
      <c r="BM161" s="109">
        <v>0</v>
      </c>
      <c r="BN161" s="109">
        <v>0</v>
      </c>
      <c r="BO161" s="109">
        <v>0</v>
      </c>
      <c r="BP161" s="109">
        <v>0</v>
      </c>
      <c r="BQ161" s="109">
        <v>0</v>
      </c>
      <c r="BR161" s="109">
        <v>67.807075838227348</v>
      </c>
      <c r="BS161" s="109">
        <v>0</v>
      </c>
      <c r="BT161" s="147">
        <f ca="1">DB_25[[#This Row],[SL-10]]*DB_25[[#This Row],[GB-10]]</f>
        <v>0</v>
      </c>
      <c r="BU161" s="147">
        <f ca="1">DB_25[[#This Row],[SL-11]]*DB_25[[#This Row],[GB-11]]</f>
        <v>0</v>
      </c>
      <c r="BV161" s="147">
        <f ca="1">DB_25[[#This Row],[SL-12]]*DB_25[[#This Row],[GB-12]]</f>
        <v>0</v>
      </c>
      <c r="BW161" s="47">
        <f ca="1">SUM(DB_25[[#This Row],[DT-01-USD]:[DT-12-USD]])</f>
        <v>67.807075838227348</v>
      </c>
    </row>
    <row r="162" spans="1:75" x14ac:dyDescent="0.35">
      <c r="A162" s="18">
        <f>ROWS($A$6:A162)</f>
        <v>157</v>
      </c>
      <c r="B162" s="18" t="s">
        <v>115</v>
      </c>
      <c r="C162" s="18" t="str">
        <f>IFERROR(_xlfn.XLOOKUP(DB_25[[#This Row],[Salesman]],MD_Salesman[Salesman],MD_Salesman[SalesManager]),"")</f>
        <v>Quốc Anh</v>
      </c>
      <c r="D162" s="7" t="s">
        <v>637</v>
      </c>
      <c r="E162" s="7" t="s">
        <v>64</v>
      </c>
      <c r="F162" s="7"/>
      <c r="G162" s="7" t="str">
        <f>_xlfn.XLOOKUP(DB_25[[#This Row],[Mã khách]],MD_Customer[Mã khách],MD_Customer[Kênh bán hàng])</f>
        <v>Xuất khẩu</v>
      </c>
      <c r="H162" s="7"/>
      <c r="I162" s="7"/>
      <c r="J162" s="7"/>
      <c r="K162" s="7" t="s">
        <v>215</v>
      </c>
      <c r="L162" s="7" t="str">
        <f>_xlfn.XLOOKUP(DB_25[[#This Row],[Mã sản phẩm]],MD_SKU[Mã SKU],MD_SKU[Tên SKU-rút gọn])</f>
        <v>rPP20L04</v>
      </c>
      <c r="M162" s="7" t="str">
        <f>_xlfn.XLOOKUP(DB_25[[#This Row],[Mã sản phẩm]],MD_SKU[Mã SKU],MD_SKU[Nhóm ngành])</f>
        <v>Hạt PP</v>
      </c>
      <c r="N162" s="7"/>
      <c r="O162" s="47">
        <v>0</v>
      </c>
      <c r="P162" s="47">
        <v>0</v>
      </c>
      <c r="Q162" s="47">
        <v>0.05</v>
      </c>
      <c r="R162" s="47">
        <v>0</v>
      </c>
      <c r="S162" s="47">
        <v>0</v>
      </c>
      <c r="T162" s="47">
        <v>0</v>
      </c>
      <c r="U162" s="47">
        <v>0</v>
      </c>
      <c r="V162" s="47">
        <v>0</v>
      </c>
      <c r="W162" s="110">
        <f ca="1">SUMIFS(Data_Actual_LG_EXW[SL],Data_Actual_LG_EXW[Year],2025,Data_Actual_LG_EXW[Month],'DB 2025'!W$1,Data_Actual_LG_EXW[Mã KH],DB_25[[#This Row],[Mã khách]],Data_Actual_LG_EXW[Mã SKU],DB_25[[#This Row],[Mã sản phẩm]])/10^3</f>
        <v>0</v>
      </c>
      <c r="X162" s="33"/>
      <c r="Y162" s="33"/>
      <c r="Z162" s="33"/>
      <c r="AA162" s="19">
        <f ca="1">SUM(DB_25[[#This Row],[SL-01]:[SL-12]])</f>
        <v>0.05</v>
      </c>
      <c r="AB162" s="7"/>
      <c r="AC162" s="20">
        <f ca="1">DB_25[[#This Row],[SL-DB25]]-DB_25[[#This Row],[SL-KH25]]</f>
        <v>0.05</v>
      </c>
      <c r="AD162" s="21">
        <f ca="1">IFERROR(DB_25[[#This Row],[SL-+/-]]/DB_25[[#This Row],[SL-KH25]],0)</f>
        <v>0</v>
      </c>
      <c r="AE162" s="23">
        <v>0</v>
      </c>
      <c r="AF162" s="23">
        <v>0</v>
      </c>
      <c r="AG162" s="23">
        <v>1051.2485037237202</v>
      </c>
      <c r="AH162" s="23">
        <v>0</v>
      </c>
      <c r="AI162" s="23">
        <v>0</v>
      </c>
      <c r="AJ162" s="23">
        <v>0</v>
      </c>
      <c r="AK162" s="23">
        <v>0</v>
      </c>
      <c r="AL162" s="23">
        <v>0</v>
      </c>
      <c r="AM162" s="111">
        <v>0</v>
      </c>
      <c r="AN162" s="51">
        <f ca="1">IFERROR(SUM(DB_25[[#This Row],[DT-01-USD]:[DT-09-USD]])/SUM(DB_25[[#This Row],[SL-01]:[SL-09]]),0)</f>
        <v>1051.2485037237202</v>
      </c>
      <c r="AO162" s="51">
        <f ca="1">DB_25[[#This Row],[GB-10]]</f>
        <v>1051.2485037237202</v>
      </c>
      <c r="AP162" s="51">
        <f ca="1">DB_25[[#This Row],[GB-11]]</f>
        <v>1051.2485037237202</v>
      </c>
      <c r="AQ162" s="7"/>
      <c r="AR162" s="7"/>
      <c r="AS162" s="7"/>
      <c r="AT162" s="7"/>
      <c r="AU162" s="47">
        <v>0</v>
      </c>
      <c r="AV162" s="47">
        <v>0</v>
      </c>
      <c r="AW162" s="47">
        <v>1336136.8482328483</v>
      </c>
      <c r="AX162" s="47">
        <v>0</v>
      </c>
      <c r="AY162" s="47">
        <v>0</v>
      </c>
      <c r="AZ162" s="47">
        <v>0</v>
      </c>
      <c r="BA162" s="47">
        <v>0</v>
      </c>
      <c r="BB162" s="47">
        <v>0</v>
      </c>
      <c r="BC162" s="47">
        <v>0</v>
      </c>
      <c r="BD162" s="19">
        <f ca="1">DB_25[[#This Row],[SL-10]]*DB_25[[#This Row],[GB-10]]*BD$2/10^3</f>
        <v>0</v>
      </c>
      <c r="BE162" s="19">
        <f ca="1">DB_25[[#This Row],[SL-11]]*DB_25[[#This Row],[GB-11]]*BE$2/10^3</f>
        <v>0</v>
      </c>
      <c r="BF162" s="19">
        <f ca="1">DB_25[[#This Row],[SL-12]]*DB_25[[#This Row],[GB-12]]*BF$2/10^3</f>
        <v>0</v>
      </c>
      <c r="BG162" s="47">
        <f ca="1">SUM(DB_25[[#This Row],[DT-01]:[DT-12]])</f>
        <v>1336136.8482328483</v>
      </c>
      <c r="BH162" s="7"/>
      <c r="BI162" s="7"/>
      <c r="BJ162" s="7"/>
      <c r="BK162" s="50">
        <v>0</v>
      </c>
      <c r="BL162" s="109">
        <v>0</v>
      </c>
      <c r="BM162" s="109">
        <v>52.562425186186012</v>
      </c>
      <c r="BN162" s="109">
        <v>0</v>
      </c>
      <c r="BO162" s="109">
        <v>0</v>
      </c>
      <c r="BP162" s="109">
        <v>0</v>
      </c>
      <c r="BQ162" s="109">
        <v>0</v>
      </c>
      <c r="BR162" s="109">
        <v>0</v>
      </c>
      <c r="BS162" s="109">
        <v>0</v>
      </c>
      <c r="BT162" s="147">
        <f ca="1">DB_25[[#This Row],[SL-10]]*DB_25[[#This Row],[GB-10]]</f>
        <v>0</v>
      </c>
      <c r="BU162" s="147">
        <f ca="1">DB_25[[#This Row],[SL-11]]*DB_25[[#This Row],[GB-11]]</f>
        <v>0</v>
      </c>
      <c r="BV162" s="147">
        <f ca="1">DB_25[[#This Row],[SL-12]]*DB_25[[#This Row],[GB-12]]</f>
        <v>0</v>
      </c>
      <c r="BW162" s="47">
        <f ca="1">SUM(DB_25[[#This Row],[DT-01-USD]:[DT-12-USD]])</f>
        <v>52.562425186186012</v>
      </c>
    </row>
    <row r="163" spans="1:75" x14ac:dyDescent="0.35">
      <c r="A163" s="18">
        <f>ROWS($A$6:A163)</f>
        <v>158</v>
      </c>
      <c r="B163" s="18" t="s">
        <v>101</v>
      </c>
      <c r="C163" s="18" t="str">
        <f>IFERROR(_xlfn.XLOOKUP(DB_25[[#This Row],[Salesman]],MD_Salesman[Salesman],MD_Salesman[SalesManager]),"")</f>
        <v>Cường</v>
      </c>
      <c r="D163" s="7" t="s">
        <v>681</v>
      </c>
      <c r="E163" s="7" t="s">
        <v>111</v>
      </c>
      <c r="F163" s="7"/>
      <c r="G163" s="7" t="str">
        <f>_xlfn.XLOOKUP(DB_25[[#This Row],[Mã khách]],MD_Customer[Mã khách],MD_Customer[Kênh bán hàng])</f>
        <v>Nội địa</v>
      </c>
      <c r="H163" s="7"/>
      <c r="I163" s="7"/>
      <c r="J163" s="7"/>
      <c r="K163" s="7" t="s">
        <v>175</v>
      </c>
      <c r="L163" s="7" t="str">
        <f>_xlfn.XLOOKUP(DB_25[[#This Row],[Mã sản phẩm]],MD_SKU[Mã SKU],MD_SKU[Tên SKU-rút gọn])</f>
        <v>iSS01G-S</v>
      </c>
      <c r="M163" s="7" t="str">
        <f>_xlfn.XLOOKUP(DB_25[[#This Row],[Mã sản phẩm]],MD_SKU[Mã SKU],MD_SKU[Nhóm ngành])</f>
        <v>Hạt PET</v>
      </c>
      <c r="N163" s="7"/>
      <c r="O163" s="47">
        <v>0</v>
      </c>
      <c r="P163" s="47">
        <v>0</v>
      </c>
      <c r="Q163" s="47">
        <v>0</v>
      </c>
      <c r="R163" s="47">
        <v>0</v>
      </c>
      <c r="S163" s="47">
        <v>0</v>
      </c>
      <c r="T163" s="47">
        <v>0</v>
      </c>
      <c r="U163" s="47">
        <v>0.03</v>
      </c>
      <c r="V163" s="47">
        <v>0</v>
      </c>
      <c r="W163" s="110">
        <f ca="1">SUMIFS(Data_Actual_LG_EXW[SL],Data_Actual_LG_EXW[Year],2025,Data_Actual_LG_EXW[Month],'DB 2025'!W$1,Data_Actual_LG_EXW[Mã KH],DB_25[[#This Row],[Mã khách]],Data_Actual_LG_EXW[Mã SKU],DB_25[[#This Row],[Mã sản phẩm]])/10^3</f>
        <v>0</v>
      </c>
      <c r="X163" s="33"/>
      <c r="Y163" s="33"/>
      <c r="Z163" s="33"/>
      <c r="AA163" s="19">
        <f ca="1">SUM(DB_25[[#This Row],[SL-01]:[SL-12]])</f>
        <v>0.03</v>
      </c>
      <c r="AB163" s="7"/>
      <c r="AC163" s="20">
        <f ca="1">DB_25[[#This Row],[SL-DB25]]-DB_25[[#This Row],[SL-KH25]]</f>
        <v>0.03</v>
      </c>
      <c r="AD163" s="21">
        <f ca="1">IFERROR(DB_25[[#This Row],[SL-+/-]]/DB_25[[#This Row],[SL-KH25]],0)</f>
        <v>0</v>
      </c>
      <c r="AE163" s="23">
        <v>0</v>
      </c>
      <c r="AF163" s="23">
        <v>0</v>
      </c>
      <c r="AG163" s="23">
        <v>0</v>
      </c>
      <c r="AH163" s="23">
        <v>0</v>
      </c>
      <c r="AI163" s="23">
        <v>0</v>
      </c>
      <c r="AJ163" s="23">
        <v>0</v>
      </c>
      <c r="AK163" s="23">
        <v>1308.2932405339732</v>
      </c>
      <c r="AL163" s="23">
        <v>0</v>
      </c>
      <c r="AM163" s="111">
        <v>0</v>
      </c>
      <c r="AN163" s="51">
        <f ca="1">IFERROR(SUM(DB_25[[#This Row],[DT-01-USD]:[DT-09-USD]])/SUM(DB_25[[#This Row],[SL-01]:[SL-09]]),0)</f>
        <v>1308.2932405339732</v>
      </c>
      <c r="AO163" s="51">
        <f ca="1">DB_25[[#This Row],[GB-10]]</f>
        <v>1308.2932405339732</v>
      </c>
      <c r="AP163" s="51">
        <f ca="1">DB_25[[#This Row],[GB-11]]</f>
        <v>1308.2932405339732</v>
      </c>
      <c r="AQ163" s="7"/>
      <c r="AR163" s="7"/>
      <c r="AS163" s="7"/>
      <c r="AT163" s="7"/>
      <c r="AU163" s="47">
        <v>0</v>
      </c>
      <c r="AV163" s="47">
        <v>0</v>
      </c>
      <c r="AW163" s="47">
        <v>0</v>
      </c>
      <c r="AX163" s="47">
        <v>0</v>
      </c>
      <c r="AY163" s="47">
        <v>0</v>
      </c>
      <c r="AZ163" s="47">
        <v>0</v>
      </c>
      <c r="BA163" s="47">
        <v>1020000</v>
      </c>
      <c r="BB163" s="47">
        <v>0</v>
      </c>
      <c r="BC163" s="47">
        <v>0</v>
      </c>
      <c r="BD163" s="19">
        <f ca="1">DB_25[[#This Row],[SL-10]]*DB_25[[#This Row],[GB-10]]*BD$2/10^3</f>
        <v>0</v>
      </c>
      <c r="BE163" s="19">
        <f ca="1">DB_25[[#This Row],[SL-11]]*DB_25[[#This Row],[GB-11]]*BE$2/10^3</f>
        <v>0</v>
      </c>
      <c r="BF163" s="19">
        <f ca="1">DB_25[[#This Row],[SL-12]]*DB_25[[#This Row],[GB-12]]*BF$2/10^3</f>
        <v>0</v>
      </c>
      <c r="BG163" s="47">
        <f ca="1">SUM(DB_25[[#This Row],[DT-01]:[DT-12]])</f>
        <v>1020000</v>
      </c>
      <c r="BH163" s="7"/>
      <c r="BI163" s="7"/>
      <c r="BJ163" s="7"/>
      <c r="BK163" s="50">
        <v>0</v>
      </c>
      <c r="BL163" s="109">
        <v>0</v>
      </c>
      <c r="BM163" s="109">
        <v>0</v>
      </c>
      <c r="BN163" s="109">
        <v>0</v>
      </c>
      <c r="BO163" s="109">
        <v>0</v>
      </c>
      <c r="BP163" s="109">
        <v>0</v>
      </c>
      <c r="BQ163" s="109">
        <v>39.248797216019192</v>
      </c>
      <c r="BR163" s="109">
        <v>0</v>
      </c>
      <c r="BS163" s="109">
        <v>0</v>
      </c>
      <c r="BT163" s="147">
        <f ca="1">DB_25[[#This Row],[SL-10]]*DB_25[[#This Row],[GB-10]]</f>
        <v>0</v>
      </c>
      <c r="BU163" s="147">
        <f ca="1">DB_25[[#This Row],[SL-11]]*DB_25[[#This Row],[GB-11]]</f>
        <v>0</v>
      </c>
      <c r="BV163" s="147">
        <f ca="1">DB_25[[#This Row],[SL-12]]*DB_25[[#This Row],[GB-12]]</f>
        <v>0</v>
      </c>
      <c r="BW163" s="47">
        <f ca="1">SUM(DB_25[[#This Row],[DT-01-USD]:[DT-12-USD]])</f>
        <v>39.248797216019192</v>
      </c>
    </row>
    <row r="164" spans="1:75" x14ac:dyDescent="0.35">
      <c r="A164" s="18">
        <f>ROWS($A$6:A164)</f>
        <v>159</v>
      </c>
      <c r="B164" s="18" t="s">
        <v>115</v>
      </c>
      <c r="C164" s="18" t="str">
        <f>IFERROR(_xlfn.XLOOKUP(DB_25[[#This Row],[Salesman]],MD_Salesman[Salesman],MD_Salesman[SalesManager]),"")</f>
        <v>Quốc Anh</v>
      </c>
      <c r="D164" s="7" t="s">
        <v>682</v>
      </c>
      <c r="E164" s="7" t="s">
        <v>156</v>
      </c>
      <c r="F164" s="7"/>
      <c r="G164" s="7" t="str">
        <f>_xlfn.XLOOKUP(DB_25[[#This Row],[Mã khách]],MD_Customer[Mã khách],MD_Customer[Kênh bán hàng])</f>
        <v>Nội địa</v>
      </c>
      <c r="H164" s="7"/>
      <c r="I164" s="7"/>
      <c r="J164" s="7"/>
      <c r="K164" s="7" t="s">
        <v>200</v>
      </c>
      <c r="L164" s="7" t="str">
        <f>_xlfn.XLOOKUP(DB_25[[#This Row],[Mã sản phẩm]],MD_SKU[Mã SKU],MD_SKU[Tên SKU-rút gọn])</f>
        <v>Vảy HD Ép Đỏ</v>
      </c>
      <c r="M164" s="7" t="str">
        <f>_xlfn.XLOOKUP(DB_25[[#This Row],[Mã sản phẩm]],MD_SKU[Mã SKU],MD_SKU[Nhóm ngành])</f>
        <v>Vảy HD ép</v>
      </c>
      <c r="N164" s="7"/>
      <c r="O164" s="47">
        <v>0</v>
      </c>
      <c r="P164" s="47">
        <v>0</v>
      </c>
      <c r="Q164" s="47">
        <v>0</v>
      </c>
      <c r="R164" s="47">
        <v>2.5000000000000001E-2</v>
      </c>
      <c r="S164" s="47">
        <v>0</v>
      </c>
      <c r="T164" s="47">
        <v>0</v>
      </c>
      <c r="U164" s="47">
        <v>0</v>
      </c>
      <c r="V164" s="47">
        <v>0</v>
      </c>
      <c r="W164" s="110">
        <f ca="1">SUMIFS(Data_Actual_LG_EXW[SL],Data_Actual_LG_EXW[Year],2025,Data_Actual_LG_EXW[Month],'DB 2025'!W$1,Data_Actual_LG_EXW[Mã KH],DB_25[[#This Row],[Mã khách]],Data_Actual_LG_EXW[Mã SKU],DB_25[[#This Row],[Mã sản phẩm]])/10^3</f>
        <v>0</v>
      </c>
      <c r="X164" s="33"/>
      <c r="Y164" s="33"/>
      <c r="Z164" s="33"/>
      <c r="AA164" s="19">
        <f ca="1">SUM(DB_25[[#This Row],[SL-01]:[SL-12]])</f>
        <v>2.5000000000000001E-2</v>
      </c>
      <c r="AB164" s="7"/>
      <c r="AC164" s="20">
        <f ca="1">DB_25[[#This Row],[SL-DB25]]-DB_25[[#This Row],[SL-KH25]]</f>
        <v>2.5000000000000001E-2</v>
      </c>
      <c r="AD164" s="21">
        <f ca="1">IFERROR(DB_25[[#This Row],[SL-+/-]]/DB_25[[#This Row],[SL-KH25]],0)</f>
        <v>0</v>
      </c>
      <c r="AE164" s="23">
        <v>0</v>
      </c>
      <c r="AF164" s="23">
        <v>0</v>
      </c>
      <c r="AG164" s="23">
        <v>0</v>
      </c>
      <c r="AH164" s="23">
        <v>584.31430757246039</v>
      </c>
      <c r="AI164" s="23">
        <v>0</v>
      </c>
      <c r="AJ164" s="23">
        <v>0</v>
      </c>
      <c r="AK164" s="23">
        <v>0</v>
      </c>
      <c r="AL164" s="23">
        <v>0</v>
      </c>
      <c r="AM164" s="111">
        <v>0</v>
      </c>
      <c r="AN164" s="51">
        <f ca="1">IFERROR(SUM(DB_25[[#This Row],[DT-01-USD]:[DT-09-USD]])/SUM(DB_25[[#This Row],[SL-01]:[SL-09]]),0)</f>
        <v>584.31430757246039</v>
      </c>
      <c r="AO164" s="51">
        <f ca="1">DB_25[[#This Row],[GB-10]]</f>
        <v>584.31430757246039</v>
      </c>
      <c r="AP164" s="51">
        <f ca="1">DB_25[[#This Row],[GB-11]]</f>
        <v>584.31430757246039</v>
      </c>
      <c r="AQ164" s="7"/>
      <c r="AR164" s="7"/>
      <c r="AS164" s="7"/>
      <c r="AT164" s="7"/>
      <c r="AU164" s="47">
        <v>0</v>
      </c>
      <c r="AV164" s="47">
        <v>0</v>
      </c>
      <c r="AW164" s="47">
        <v>0</v>
      </c>
      <c r="AX164" s="47">
        <v>375000</v>
      </c>
      <c r="AY164" s="47">
        <v>0</v>
      </c>
      <c r="AZ164" s="47">
        <v>0</v>
      </c>
      <c r="BA164" s="47">
        <v>0</v>
      </c>
      <c r="BB164" s="47">
        <v>0</v>
      </c>
      <c r="BC164" s="47">
        <v>0</v>
      </c>
      <c r="BD164" s="19">
        <f ca="1">DB_25[[#This Row],[SL-10]]*DB_25[[#This Row],[GB-10]]*BD$2/10^3</f>
        <v>0</v>
      </c>
      <c r="BE164" s="19">
        <f ca="1">DB_25[[#This Row],[SL-11]]*DB_25[[#This Row],[GB-11]]*BE$2/10^3</f>
        <v>0</v>
      </c>
      <c r="BF164" s="19">
        <f ca="1">DB_25[[#This Row],[SL-12]]*DB_25[[#This Row],[GB-12]]*BF$2/10^3</f>
        <v>0</v>
      </c>
      <c r="BG164" s="47">
        <f ca="1">SUM(DB_25[[#This Row],[DT-01]:[DT-12]])</f>
        <v>375000</v>
      </c>
      <c r="BH164" s="7"/>
      <c r="BI164" s="7"/>
      <c r="BJ164" s="7"/>
      <c r="BK164" s="50">
        <v>0</v>
      </c>
      <c r="BL164" s="109">
        <v>0</v>
      </c>
      <c r="BM164" s="109">
        <v>0</v>
      </c>
      <c r="BN164" s="109">
        <v>14.607857689311512</v>
      </c>
      <c r="BO164" s="109">
        <v>0</v>
      </c>
      <c r="BP164" s="109">
        <v>0</v>
      </c>
      <c r="BQ164" s="109">
        <v>0</v>
      </c>
      <c r="BR164" s="109">
        <v>0</v>
      </c>
      <c r="BS164" s="109">
        <v>0</v>
      </c>
      <c r="BT164" s="147">
        <f ca="1">DB_25[[#This Row],[SL-10]]*DB_25[[#This Row],[GB-10]]</f>
        <v>0</v>
      </c>
      <c r="BU164" s="147">
        <f ca="1">DB_25[[#This Row],[SL-11]]*DB_25[[#This Row],[GB-11]]</f>
        <v>0</v>
      </c>
      <c r="BV164" s="147">
        <f ca="1">DB_25[[#This Row],[SL-12]]*DB_25[[#This Row],[GB-12]]</f>
        <v>0</v>
      </c>
      <c r="BW164" s="47">
        <f ca="1">SUM(DB_25[[#This Row],[DT-01-USD]:[DT-12-USD]])</f>
        <v>14.607857689311512</v>
      </c>
    </row>
    <row r="165" spans="1:75" x14ac:dyDescent="0.35">
      <c r="A165" s="18">
        <f>ROWS($A$6:A165)</f>
        <v>160</v>
      </c>
      <c r="B165" s="18" t="s">
        <v>115</v>
      </c>
      <c r="C165" s="18" t="str">
        <f>IFERROR(_xlfn.XLOOKUP(DB_25[[#This Row],[Salesman]],MD_Salesman[Salesman],MD_Salesman[SalesManager]),"")</f>
        <v>Quốc Anh</v>
      </c>
      <c r="D165" s="7" t="s">
        <v>682</v>
      </c>
      <c r="E165" s="7" t="s">
        <v>156</v>
      </c>
      <c r="F165" s="7"/>
      <c r="G165" s="7" t="str">
        <f>_xlfn.XLOOKUP(DB_25[[#This Row],[Mã khách]],MD_Customer[Mã khách],MD_Customer[Kênh bán hàng])</f>
        <v>Nội địa</v>
      </c>
      <c r="H165" s="7"/>
      <c r="I165" s="7"/>
      <c r="J165" s="7"/>
      <c r="K165" s="7" t="s">
        <v>201</v>
      </c>
      <c r="L165" s="7" t="str">
        <f>_xlfn.XLOOKUP(DB_25[[#This Row],[Mã sản phẩm]],MD_SKU[Mã SKU],MD_SKU[Tên SKU-rút gọn])</f>
        <v>Vảy HD Ép Trắng</v>
      </c>
      <c r="M165" s="7" t="str">
        <f>_xlfn.XLOOKUP(DB_25[[#This Row],[Mã sản phẩm]],MD_SKU[Mã SKU],MD_SKU[Nhóm ngành])</f>
        <v>Vảy HD ép</v>
      </c>
      <c r="N165" s="7"/>
      <c r="O165" s="47">
        <v>0</v>
      </c>
      <c r="P165" s="47">
        <v>0</v>
      </c>
      <c r="Q165" s="47">
        <v>0</v>
      </c>
      <c r="R165" s="47">
        <v>2.5000000000000001E-2</v>
      </c>
      <c r="S165" s="47">
        <v>0</v>
      </c>
      <c r="T165" s="47">
        <v>0</v>
      </c>
      <c r="U165" s="47">
        <v>0</v>
      </c>
      <c r="V165" s="47">
        <v>0</v>
      </c>
      <c r="W165" s="110">
        <f ca="1">SUMIFS(Data_Actual_LG_EXW[SL],Data_Actual_LG_EXW[Year],2025,Data_Actual_LG_EXW[Month],'DB 2025'!W$1,Data_Actual_LG_EXW[Mã KH],DB_25[[#This Row],[Mã khách]],Data_Actual_LG_EXW[Mã SKU],DB_25[[#This Row],[Mã sản phẩm]])/10^3</f>
        <v>0</v>
      </c>
      <c r="X165" s="33"/>
      <c r="Y165" s="33"/>
      <c r="Z165" s="33"/>
      <c r="AA165" s="19">
        <f ca="1">SUM(DB_25[[#This Row],[SL-01]:[SL-12]])</f>
        <v>2.5000000000000001E-2</v>
      </c>
      <c r="AB165" s="7"/>
      <c r="AC165" s="20">
        <f ca="1">DB_25[[#This Row],[SL-DB25]]-DB_25[[#This Row],[SL-KH25]]</f>
        <v>2.5000000000000001E-2</v>
      </c>
      <c r="AD165" s="21">
        <f ca="1">IFERROR(DB_25[[#This Row],[SL-+/-]]/DB_25[[#This Row],[SL-KH25]],0)</f>
        <v>0</v>
      </c>
      <c r="AE165" s="23">
        <v>0</v>
      </c>
      <c r="AF165" s="23">
        <v>0</v>
      </c>
      <c r="AG165" s="23">
        <v>0</v>
      </c>
      <c r="AH165" s="23">
        <v>584.31430757246039</v>
      </c>
      <c r="AI165" s="23">
        <v>0</v>
      </c>
      <c r="AJ165" s="23">
        <v>0</v>
      </c>
      <c r="AK165" s="23">
        <v>0</v>
      </c>
      <c r="AL165" s="23">
        <v>0</v>
      </c>
      <c r="AM165" s="111">
        <v>0</v>
      </c>
      <c r="AN165" s="51">
        <f ca="1">IFERROR(SUM(DB_25[[#This Row],[DT-01-USD]:[DT-09-USD]])/SUM(DB_25[[#This Row],[SL-01]:[SL-09]]),0)</f>
        <v>584.31430757246039</v>
      </c>
      <c r="AO165" s="51">
        <f ca="1">DB_25[[#This Row],[GB-10]]</f>
        <v>584.31430757246039</v>
      </c>
      <c r="AP165" s="51">
        <f ca="1">DB_25[[#This Row],[GB-11]]</f>
        <v>584.31430757246039</v>
      </c>
      <c r="AQ165" s="7"/>
      <c r="AR165" s="7"/>
      <c r="AS165" s="7"/>
      <c r="AT165" s="7"/>
      <c r="AU165" s="47">
        <v>0</v>
      </c>
      <c r="AV165" s="47">
        <v>0</v>
      </c>
      <c r="AW165" s="47">
        <v>0</v>
      </c>
      <c r="AX165" s="47">
        <v>375000</v>
      </c>
      <c r="AY165" s="47">
        <v>0</v>
      </c>
      <c r="AZ165" s="47">
        <v>0</v>
      </c>
      <c r="BA165" s="47">
        <v>0</v>
      </c>
      <c r="BB165" s="47">
        <v>0</v>
      </c>
      <c r="BC165" s="47">
        <v>0</v>
      </c>
      <c r="BD165" s="19">
        <f ca="1">DB_25[[#This Row],[SL-10]]*DB_25[[#This Row],[GB-10]]*BD$2/10^3</f>
        <v>0</v>
      </c>
      <c r="BE165" s="19">
        <f ca="1">DB_25[[#This Row],[SL-11]]*DB_25[[#This Row],[GB-11]]*BE$2/10^3</f>
        <v>0</v>
      </c>
      <c r="BF165" s="19">
        <f ca="1">DB_25[[#This Row],[SL-12]]*DB_25[[#This Row],[GB-12]]*BF$2/10^3</f>
        <v>0</v>
      </c>
      <c r="BG165" s="47">
        <f ca="1">SUM(DB_25[[#This Row],[DT-01]:[DT-12]])</f>
        <v>375000</v>
      </c>
      <c r="BH165" s="7"/>
      <c r="BI165" s="7"/>
      <c r="BJ165" s="7"/>
      <c r="BK165" s="50">
        <v>0</v>
      </c>
      <c r="BL165" s="109">
        <v>0</v>
      </c>
      <c r="BM165" s="109">
        <v>0</v>
      </c>
      <c r="BN165" s="109">
        <v>14.607857689311512</v>
      </c>
      <c r="BO165" s="109">
        <v>0</v>
      </c>
      <c r="BP165" s="109">
        <v>0</v>
      </c>
      <c r="BQ165" s="109">
        <v>0</v>
      </c>
      <c r="BR165" s="109">
        <v>0</v>
      </c>
      <c r="BS165" s="109">
        <v>0</v>
      </c>
      <c r="BT165" s="147">
        <f ca="1">DB_25[[#This Row],[SL-10]]*DB_25[[#This Row],[GB-10]]</f>
        <v>0</v>
      </c>
      <c r="BU165" s="147">
        <f ca="1">DB_25[[#This Row],[SL-11]]*DB_25[[#This Row],[GB-11]]</f>
        <v>0</v>
      </c>
      <c r="BV165" s="147">
        <f ca="1">DB_25[[#This Row],[SL-12]]*DB_25[[#This Row],[GB-12]]</f>
        <v>0</v>
      </c>
      <c r="BW165" s="47">
        <f ca="1">SUM(DB_25[[#This Row],[DT-01-USD]:[DT-12-USD]])</f>
        <v>14.607857689311512</v>
      </c>
    </row>
    <row r="166" spans="1:75" x14ac:dyDescent="0.35">
      <c r="A166" s="18">
        <f>ROWS($A$6:A166)</f>
        <v>161</v>
      </c>
      <c r="B166" s="18" t="s">
        <v>115</v>
      </c>
      <c r="C166" s="18" t="str">
        <f>IFERROR(_xlfn.XLOOKUP(DB_25[[#This Row],[Salesman]],MD_Salesman[Salesman],MD_Salesman[SalesManager]),"")</f>
        <v>Quốc Anh</v>
      </c>
      <c r="D166" s="7" t="s">
        <v>682</v>
      </c>
      <c r="E166" s="7" t="s">
        <v>156</v>
      </c>
      <c r="F166" s="7"/>
      <c r="G166" s="7" t="str">
        <f>_xlfn.XLOOKUP(DB_25[[#This Row],[Mã khách]],MD_Customer[Mã khách],MD_Customer[Kênh bán hàng])</f>
        <v>Nội địa</v>
      </c>
      <c r="H166" s="7"/>
      <c r="I166" s="7"/>
      <c r="J166" s="7"/>
      <c r="K166" s="7" t="s">
        <v>202</v>
      </c>
      <c r="L166" s="7" t="str">
        <f>_xlfn.XLOOKUP(DB_25[[#This Row],[Mã sản phẩm]],MD_SKU[Mã SKU],MD_SKU[Tên SKU-rút gọn])</f>
        <v>Vảy HD Ép Vàng</v>
      </c>
      <c r="M166" s="7" t="str">
        <f>_xlfn.XLOOKUP(DB_25[[#This Row],[Mã sản phẩm]],MD_SKU[Mã SKU],MD_SKU[Nhóm ngành])</f>
        <v>Vảy HD ép</v>
      </c>
      <c r="N166" s="7"/>
      <c r="O166" s="47">
        <v>0</v>
      </c>
      <c r="P166" s="47">
        <v>0</v>
      </c>
      <c r="Q166" s="47">
        <v>0</v>
      </c>
      <c r="R166" s="47">
        <v>2.5000000000000001E-2</v>
      </c>
      <c r="S166" s="47">
        <v>0</v>
      </c>
      <c r="T166" s="47">
        <v>0</v>
      </c>
      <c r="U166" s="47">
        <v>0</v>
      </c>
      <c r="V166" s="47">
        <v>0</v>
      </c>
      <c r="W166" s="110">
        <f ca="1">SUMIFS(Data_Actual_LG_EXW[SL],Data_Actual_LG_EXW[Year],2025,Data_Actual_LG_EXW[Month],'DB 2025'!W$1,Data_Actual_LG_EXW[Mã KH],DB_25[[#This Row],[Mã khách]],Data_Actual_LG_EXW[Mã SKU],DB_25[[#This Row],[Mã sản phẩm]])/10^3</f>
        <v>0</v>
      </c>
      <c r="X166" s="33"/>
      <c r="Y166" s="33"/>
      <c r="Z166" s="33"/>
      <c r="AA166" s="19">
        <f ca="1">SUM(DB_25[[#This Row],[SL-01]:[SL-12]])</f>
        <v>2.5000000000000001E-2</v>
      </c>
      <c r="AB166" s="7"/>
      <c r="AC166" s="20">
        <f ca="1">DB_25[[#This Row],[SL-DB25]]-DB_25[[#This Row],[SL-KH25]]</f>
        <v>2.5000000000000001E-2</v>
      </c>
      <c r="AD166" s="21">
        <f ca="1">IFERROR(DB_25[[#This Row],[SL-+/-]]/DB_25[[#This Row],[SL-KH25]],0)</f>
        <v>0</v>
      </c>
      <c r="AE166" s="23">
        <v>0</v>
      </c>
      <c r="AF166" s="23">
        <v>0</v>
      </c>
      <c r="AG166" s="23">
        <v>0</v>
      </c>
      <c r="AH166" s="23">
        <v>584.31430757246039</v>
      </c>
      <c r="AI166" s="23">
        <v>0</v>
      </c>
      <c r="AJ166" s="23">
        <v>0</v>
      </c>
      <c r="AK166" s="23">
        <v>0</v>
      </c>
      <c r="AL166" s="23">
        <v>0</v>
      </c>
      <c r="AM166" s="111">
        <v>0</v>
      </c>
      <c r="AN166" s="51">
        <f ca="1">IFERROR(SUM(DB_25[[#This Row],[DT-01-USD]:[DT-09-USD]])/SUM(DB_25[[#This Row],[SL-01]:[SL-09]]),0)</f>
        <v>584.31430757246039</v>
      </c>
      <c r="AO166" s="51">
        <f ca="1">DB_25[[#This Row],[GB-10]]</f>
        <v>584.31430757246039</v>
      </c>
      <c r="AP166" s="51">
        <f ca="1">DB_25[[#This Row],[GB-11]]</f>
        <v>584.31430757246039</v>
      </c>
      <c r="AQ166" s="7"/>
      <c r="AR166" s="7"/>
      <c r="AS166" s="7"/>
      <c r="AT166" s="7"/>
      <c r="AU166" s="47">
        <v>0</v>
      </c>
      <c r="AV166" s="47">
        <v>0</v>
      </c>
      <c r="AW166" s="47">
        <v>0</v>
      </c>
      <c r="AX166" s="47">
        <v>375000</v>
      </c>
      <c r="AY166" s="47">
        <v>0</v>
      </c>
      <c r="AZ166" s="47">
        <v>0</v>
      </c>
      <c r="BA166" s="47">
        <v>0</v>
      </c>
      <c r="BB166" s="47">
        <v>0</v>
      </c>
      <c r="BC166" s="47">
        <v>0</v>
      </c>
      <c r="BD166" s="19">
        <f ca="1">DB_25[[#This Row],[SL-10]]*DB_25[[#This Row],[GB-10]]*BD$2/10^3</f>
        <v>0</v>
      </c>
      <c r="BE166" s="19">
        <f ca="1">DB_25[[#This Row],[SL-11]]*DB_25[[#This Row],[GB-11]]*BE$2/10^3</f>
        <v>0</v>
      </c>
      <c r="BF166" s="19">
        <f ca="1">DB_25[[#This Row],[SL-12]]*DB_25[[#This Row],[GB-12]]*BF$2/10^3</f>
        <v>0</v>
      </c>
      <c r="BG166" s="47">
        <f ca="1">SUM(DB_25[[#This Row],[DT-01]:[DT-12]])</f>
        <v>375000</v>
      </c>
      <c r="BH166" s="7"/>
      <c r="BI166" s="7"/>
      <c r="BJ166" s="7"/>
      <c r="BK166" s="50">
        <v>0</v>
      </c>
      <c r="BL166" s="109">
        <v>0</v>
      </c>
      <c r="BM166" s="109">
        <v>0</v>
      </c>
      <c r="BN166" s="109">
        <v>14.607857689311512</v>
      </c>
      <c r="BO166" s="109">
        <v>0</v>
      </c>
      <c r="BP166" s="109">
        <v>0</v>
      </c>
      <c r="BQ166" s="109">
        <v>0</v>
      </c>
      <c r="BR166" s="109">
        <v>0</v>
      </c>
      <c r="BS166" s="109">
        <v>0</v>
      </c>
      <c r="BT166" s="147">
        <f ca="1">DB_25[[#This Row],[SL-10]]*DB_25[[#This Row],[GB-10]]</f>
        <v>0</v>
      </c>
      <c r="BU166" s="147">
        <f ca="1">DB_25[[#This Row],[SL-11]]*DB_25[[#This Row],[GB-11]]</f>
        <v>0</v>
      </c>
      <c r="BV166" s="147">
        <f ca="1">DB_25[[#This Row],[SL-12]]*DB_25[[#This Row],[GB-12]]</f>
        <v>0</v>
      </c>
      <c r="BW166" s="47">
        <f ca="1">SUM(DB_25[[#This Row],[DT-01-USD]:[DT-12-USD]])</f>
        <v>14.607857689311512</v>
      </c>
    </row>
    <row r="167" spans="1:75" x14ac:dyDescent="0.35">
      <c r="A167" s="18">
        <f>ROWS($A$6:A167)</f>
        <v>162</v>
      </c>
      <c r="B167" s="18" t="s">
        <v>115</v>
      </c>
      <c r="C167" s="18" t="str">
        <f>IFERROR(_xlfn.XLOOKUP(DB_25[[#This Row],[Salesman]],MD_Salesman[Salesman],MD_Salesman[SalesManager]),"")</f>
        <v>Quốc Anh</v>
      </c>
      <c r="D167" s="7" t="s">
        <v>682</v>
      </c>
      <c r="E167" s="7" t="s">
        <v>156</v>
      </c>
      <c r="F167" s="7"/>
      <c r="G167" s="7" t="str">
        <f>_xlfn.XLOOKUP(DB_25[[#This Row],[Mã khách]],MD_Customer[Mã khách],MD_Customer[Kênh bán hàng])</f>
        <v>Nội địa</v>
      </c>
      <c r="H167" s="7"/>
      <c r="I167" s="7"/>
      <c r="J167" s="7"/>
      <c r="K167" s="7" t="s">
        <v>203</v>
      </c>
      <c r="L167" s="7" t="str">
        <f>_xlfn.XLOOKUP(DB_25[[#This Row],[Mã sản phẩm]],MD_SKU[Mã SKU],MD_SKU[Tên SKU-rút gọn])</f>
        <v>Vảy HD Ép Lá</v>
      </c>
      <c r="M167" s="7" t="str">
        <f>_xlfn.XLOOKUP(DB_25[[#This Row],[Mã sản phẩm]],MD_SKU[Mã SKU],MD_SKU[Nhóm ngành])</f>
        <v>Vảy HD ép</v>
      </c>
      <c r="N167" s="7"/>
      <c r="O167" s="47">
        <v>0</v>
      </c>
      <c r="P167" s="47">
        <v>0</v>
      </c>
      <c r="Q167" s="47">
        <v>0</v>
      </c>
      <c r="R167" s="47">
        <v>2.5000000000000001E-2</v>
      </c>
      <c r="S167" s="47">
        <v>0</v>
      </c>
      <c r="T167" s="47">
        <v>0</v>
      </c>
      <c r="U167" s="47">
        <v>0</v>
      </c>
      <c r="V167" s="47">
        <v>0</v>
      </c>
      <c r="W167" s="110">
        <f ca="1">SUMIFS(Data_Actual_LG_EXW[SL],Data_Actual_LG_EXW[Year],2025,Data_Actual_LG_EXW[Month],'DB 2025'!W$1,Data_Actual_LG_EXW[Mã KH],DB_25[[#This Row],[Mã khách]],Data_Actual_LG_EXW[Mã SKU],DB_25[[#This Row],[Mã sản phẩm]])/10^3</f>
        <v>0</v>
      </c>
      <c r="X167" s="33"/>
      <c r="Y167" s="33"/>
      <c r="Z167" s="33"/>
      <c r="AA167" s="19">
        <f ca="1">SUM(DB_25[[#This Row],[SL-01]:[SL-12]])</f>
        <v>2.5000000000000001E-2</v>
      </c>
      <c r="AB167" s="7"/>
      <c r="AC167" s="20">
        <f ca="1">DB_25[[#This Row],[SL-DB25]]-DB_25[[#This Row],[SL-KH25]]</f>
        <v>2.5000000000000001E-2</v>
      </c>
      <c r="AD167" s="21">
        <f ca="1">IFERROR(DB_25[[#This Row],[SL-+/-]]/DB_25[[#This Row],[SL-KH25]],0)</f>
        <v>0</v>
      </c>
      <c r="AE167" s="23">
        <v>0</v>
      </c>
      <c r="AF167" s="23">
        <v>0</v>
      </c>
      <c r="AG167" s="23">
        <v>0</v>
      </c>
      <c r="AH167" s="23">
        <v>584.31430757246039</v>
      </c>
      <c r="AI167" s="23">
        <v>0</v>
      </c>
      <c r="AJ167" s="23">
        <v>0</v>
      </c>
      <c r="AK167" s="23">
        <v>0</v>
      </c>
      <c r="AL167" s="23">
        <v>0</v>
      </c>
      <c r="AM167" s="111">
        <v>0</v>
      </c>
      <c r="AN167" s="51">
        <f ca="1">IFERROR(SUM(DB_25[[#This Row],[DT-01-USD]:[DT-09-USD]])/SUM(DB_25[[#This Row],[SL-01]:[SL-09]]),0)</f>
        <v>584.31430757246039</v>
      </c>
      <c r="AO167" s="51">
        <f ca="1">DB_25[[#This Row],[GB-10]]</f>
        <v>584.31430757246039</v>
      </c>
      <c r="AP167" s="51">
        <f ca="1">DB_25[[#This Row],[GB-11]]</f>
        <v>584.31430757246039</v>
      </c>
      <c r="AQ167" s="7"/>
      <c r="AR167" s="7"/>
      <c r="AS167" s="7"/>
      <c r="AT167" s="7"/>
      <c r="AU167" s="47">
        <v>0</v>
      </c>
      <c r="AV167" s="47">
        <v>0</v>
      </c>
      <c r="AW167" s="47">
        <v>0</v>
      </c>
      <c r="AX167" s="47">
        <v>375000</v>
      </c>
      <c r="AY167" s="47">
        <v>0</v>
      </c>
      <c r="AZ167" s="47">
        <v>0</v>
      </c>
      <c r="BA167" s="47">
        <v>0</v>
      </c>
      <c r="BB167" s="47">
        <v>0</v>
      </c>
      <c r="BC167" s="47">
        <v>0</v>
      </c>
      <c r="BD167" s="19">
        <f ca="1">DB_25[[#This Row],[SL-10]]*DB_25[[#This Row],[GB-10]]*BD$2/10^3</f>
        <v>0</v>
      </c>
      <c r="BE167" s="19">
        <f ca="1">DB_25[[#This Row],[SL-11]]*DB_25[[#This Row],[GB-11]]*BE$2/10^3</f>
        <v>0</v>
      </c>
      <c r="BF167" s="19">
        <f ca="1">DB_25[[#This Row],[SL-12]]*DB_25[[#This Row],[GB-12]]*BF$2/10^3</f>
        <v>0</v>
      </c>
      <c r="BG167" s="47">
        <f ca="1">SUM(DB_25[[#This Row],[DT-01]:[DT-12]])</f>
        <v>375000</v>
      </c>
      <c r="BH167" s="7"/>
      <c r="BI167" s="7"/>
      <c r="BJ167" s="7"/>
      <c r="BK167" s="50">
        <v>0</v>
      </c>
      <c r="BL167" s="109">
        <v>0</v>
      </c>
      <c r="BM167" s="109">
        <v>0</v>
      </c>
      <c r="BN167" s="109">
        <v>14.607857689311512</v>
      </c>
      <c r="BO167" s="109">
        <v>0</v>
      </c>
      <c r="BP167" s="109">
        <v>0</v>
      </c>
      <c r="BQ167" s="109">
        <v>0</v>
      </c>
      <c r="BR167" s="109">
        <v>0</v>
      </c>
      <c r="BS167" s="109">
        <v>0</v>
      </c>
      <c r="BT167" s="147">
        <f ca="1">DB_25[[#This Row],[SL-10]]*DB_25[[#This Row],[GB-10]]</f>
        <v>0</v>
      </c>
      <c r="BU167" s="147">
        <f ca="1">DB_25[[#This Row],[SL-11]]*DB_25[[#This Row],[GB-11]]</f>
        <v>0</v>
      </c>
      <c r="BV167" s="147">
        <f ca="1">DB_25[[#This Row],[SL-12]]*DB_25[[#This Row],[GB-12]]</f>
        <v>0</v>
      </c>
      <c r="BW167" s="47">
        <f ca="1">SUM(DB_25[[#This Row],[DT-01-USD]:[DT-12-USD]])</f>
        <v>14.607857689311512</v>
      </c>
    </row>
    <row r="168" spans="1:75" x14ac:dyDescent="0.35">
      <c r="A168" s="18">
        <f>ROWS($A$6:A168)</f>
        <v>163</v>
      </c>
      <c r="B168" s="18" t="s">
        <v>115</v>
      </c>
      <c r="C168" s="18" t="str">
        <f>IFERROR(_xlfn.XLOOKUP(DB_25[[#This Row],[Salesman]],MD_Salesman[Salesman],MD_Salesman[SalesManager]),"")</f>
        <v>Quốc Anh</v>
      </c>
      <c r="D168" s="7" t="s">
        <v>682</v>
      </c>
      <c r="E168" s="7" t="s">
        <v>156</v>
      </c>
      <c r="F168" s="7"/>
      <c r="G168" s="7" t="str">
        <f>_xlfn.XLOOKUP(DB_25[[#This Row],[Mã khách]],MD_Customer[Mã khách],MD_Customer[Kênh bán hàng])</f>
        <v>Nội địa</v>
      </c>
      <c r="H168" s="7"/>
      <c r="I168" s="7"/>
      <c r="J168" s="7"/>
      <c r="K168" s="7" t="s">
        <v>204</v>
      </c>
      <c r="L168" s="7" t="str">
        <f>_xlfn.XLOOKUP(DB_25[[#This Row],[Mã sản phẩm]],MD_SKU[Mã SKU],MD_SKU[Tên SKU-rút gọn])</f>
        <v>Vảy HD Ép Dương</v>
      </c>
      <c r="M168" s="7" t="str">
        <f>_xlfn.XLOOKUP(DB_25[[#This Row],[Mã sản phẩm]],MD_SKU[Mã SKU],MD_SKU[Nhóm ngành])</f>
        <v>Vảy HD ép</v>
      </c>
      <c r="N168" s="7"/>
      <c r="O168" s="47">
        <v>0</v>
      </c>
      <c r="P168" s="47">
        <v>0</v>
      </c>
      <c r="Q168" s="47">
        <v>0</v>
      </c>
      <c r="R168" s="47">
        <v>2.5000000000000001E-2</v>
      </c>
      <c r="S168" s="47">
        <v>0</v>
      </c>
      <c r="T168" s="47">
        <v>0</v>
      </c>
      <c r="U168" s="47">
        <v>0</v>
      </c>
      <c r="V168" s="47">
        <v>0</v>
      </c>
      <c r="W168" s="110">
        <f ca="1">SUMIFS(Data_Actual_LG_EXW[SL],Data_Actual_LG_EXW[Year],2025,Data_Actual_LG_EXW[Month],'DB 2025'!W$1,Data_Actual_LG_EXW[Mã KH],DB_25[[#This Row],[Mã khách]],Data_Actual_LG_EXW[Mã SKU],DB_25[[#This Row],[Mã sản phẩm]])/10^3</f>
        <v>0</v>
      </c>
      <c r="X168" s="33"/>
      <c r="Y168" s="33"/>
      <c r="Z168" s="33"/>
      <c r="AA168" s="19">
        <f ca="1">SUM(DB_25[[#This Row],[SL-01]:[SL-12]])</f>
        <v>2.5000000000000001E-2</v>
      </c>
      <c r="AB168" s="7"/>
      <c r="AC168" s="20">
        <f ca="1">DB_25[[#This Row],[SL-DB25]]-DB_25[[#This Row],[SL-KH25]]</f>
        <v>2.5000000000000001E-2</v>
      </c>
      <c r="AD168" s="21">
        <f ca="1">IFERROR(DB_25[[#This Row],[SL-+/-]]/DB_25[[#This Row],[SL-KH25]],0)</f>
        <v>0</v>
      </c>
      <c r="AE168" s="23">
        <v>0</v>
      </c>
      <c r="AF168" s="23">
        <v>0</v>
      </c>
      <c r="AG168" s="23">
        <v>0</v>
      </c>
      <c r="AH168" s="23">
        <v>584.31430757246039</v>
      </c>
      <c r="AI168" s="23">
        <v>0</v>
      </c>
      <c r="AJ168" s="23">
        <v>0</v>
      </c>
      <c r="AK168" s="23">
        <v>0</v>
      </c>
      <c r="AL168" s="23">
        <v>0</v>
      </c>
      <c r="AM168" s="111">
        <v>0</v>
      </c>
      <c r="AN168" s="51">
        <f ca="1">IFERROR(SUM(DB_25[[#This Row],[DT-01-USD]:[DT-09-USD]])/SUM(DB_25[[#This Row],[SL-01]:[SL-09]]),0)</f>
        <v>584.31430757246039</v>
      </c>
      <c r="AO168" s="51">
        <f ca="1">DB_25[[#This Row],[GB-10]]</f>
        <v>584.31430757246039</v>
      </c>
      <c r="AP168" s="51">
        <f ca="1">DB_25[[#This Row],[GB-11]]</f>
        <v>584.31430757246039</v>
      </c>
      <c r="AQ168" s="7"/>
      <c r="AR168" s="7"/>
      <c r="AS168" s="7"/>
      <c r="AT168" s="7"/>
      <c r="AU168" s="47">
        <v>0</v>
      </c>
      <c r="AV168" s="47">
        <v>0</v>
      </c>
      <c r="AW168" s="47">
        <v>0</v>
      </c>
      <c r="AX168" s="47">
        <v>375000</v>
      </c>
      <c r="AY168" s="47">
        <v>0</v>
      </c>
      <c r="AZ168" s="47">
        <v>0</v>
      </c>
      <c r="BA168" s="47">
        <v>0</v>
      </c>
      <c r="BB168" s="47">
        <v>0</v>
      </c>
      <c r="BC168" s="47">
        <v>0</v>
      </c>
      <c r="BD168" s="19">
        <f ca="1">DB_25[[#This Row],[SL-10]]*DB_25[[#This Row],[GB-10]]*BD$2/10^3</f>
        <v>0</v>
      </c>
      <c r="BE168" s="19">
        <f ca="1">DB_25[[#This Row],[SL-11]]*DB_25[[#This Row],[GB-11]]*BE$2/10^3</f>
        <v>0</v>
      </c>
      <c r="BF168" s="19">
        <f ca="1">DB_25[[#This Row],[SL-12]]*DB_25[[#This Row],[GB-12]]*BF$2/10^3</f>
        <v>0</v>
      </c>
      <c r="BG168" s="47">
        <f ca="1">SUM(DB_25[[#This Row],[DT-01]:[DT-12]])</f>
        <v>375000</v>
      </c>
      <c r="BH168" s="7"/>
      <c r="BI168" s="7"/>
      <c r="BJ168" s="7"/>
      <c r="BK168" s="50">
        <v>0</v>
      </c>
      <c r="BL168" s="109">
        <v>0</v>
      </c>
      <c r="BM168" s="109">
        <v>0</v>
      </c>
      <c r="BN168" s="109">
        <v>14.607857689311512</v>
      </c>
      <c r="BO168" s="109">
        <v>0</v>
      </c>
      <c r="BP168" s="109">
        <v>0</v>
      </c>
      <c r="BQ168" s="109">
        <v>0</v>
      </c>
      <c r="BR168" s="109">
        <v>0</v>
      </c>
      <c r="BS168" s="109">
        <v>0</v>
      </c>
      <c r="BT168" s="147">
        <f ca="1">DB_25[[#This Row],[SL-10]]*DB_25[[#This Row],[GB-10]]</f>
        <v>0</v>
      </c>
      <c r="BU168" s="147">
        <f ca="1">DB_25[[#This Row],[SL-11]]*DB_25[[#This Row],[GB-11]]</f>
        <v>0</v>
      </c>
      <c r="BV168" s="147">
        <f ca="1">DB_25[[#This Row],[SL-12]]*DB_25[[#This Row],[GB-12]]</f>
        <v>0</v>
      </c>
      <c r="BW168" s="47">
        <f ca="1">SUM(DB_25[[#This Row],[DT-01-USD]:[DT-12-USD]])</f>
        <v>14.607857689311512</v>
      </c>
    </row>
    <row r="169" spans="1:75" x14ac:dyDescent="0.35">
      <c r="A169" s="18">
        <f>ROWS($A$6:A169)</f>
        <v>164</v>
      </c>
      <c r="B169" s="18" t="s">
        <v>115</v>
      </c>
      <c r="C169" s="18" t="str">
        <f>IFERROR(_xlfn.XLOOKUP(DB_25[[#This Row],[Salesman]],MD_Salesman[Salesman],MD_Salesman[SalesManager]),"")</f>
        <v>Quốc Anh</v>
      </c>
      <c r="D169" s="7" t="s">
        <v>682</v>
      </c>
      <c r="E169" s="7" t="s">
        <v>156</v>
      </c>
      <c r="F169" s="7"/>
      <c r="G169" s="7" t="str">
        <f>_xlfn.XLOOKUP(DB_25[[#This Row],[Mã khách]],MD_Customer[Mã khách],MD_Customer[Kênh bán hàng])</f>
        <v>Nội địa</v>
      </c>
      <c r="H169" s="7"/>
      <c r="I169" s="7"/>
      <c r="J169" s="7"/>
      <c r="K169" s="7" t="s">
        <v>205</v>
      </c>
      <c r="L169" s="7" t="str">
        <f>_xlfn.XLOOKUP(DB_25[[#This Row],[Mã sản phẩm]],MD_SKU[Mã SKU],MD_SKU[Tên SKU-rút gọn])</f>
        <v>Vảy HD Ép Đen</v>
      </c>
      <c r="M169" s="7" t="str">
        <f>_xlfn.XLOOKUP(DB_25[[#This Row],[Mã sản phẩm]],MD_SKU[Mã SKU],MD_SKU[Nhóm ngành])</f>
        <v>Vảy HD ép</v>
      </c>
      <c r="N169" s="7"/>
      <c r="O169" s="47">
        <v>0</v>
      </c>
      <c r="P169" s="47">
        <v>0</v>
      </c>
      <c r="Q169" s="47">
        <v>0</v>
      </c>
      <c r="R169" s="47">
        <v>2.5000000000000001E-2</v>
      </c>
      <c r="S169" s="47">
        <v>0</v>
      </c>
      <c r="T169" s="47">
        <v>0</v>
      </c>
      <c r="U169" s="47">
        <v>0</v>
      </c>
      <c r="V169" s="47">
        <v>0</v>
      </c>
      <c r="W169" s="110">
        <f ca="1">SUMIFS(Data_Actual_LG_EXW[SL],Data_Actual_LG_EXW[Year],2025,Data_Actual_LG_EXW[Month],'DB 2025'!W$1,Data_Actual_LG_EXW[Mã KH],DB_25[[#This Row],[Mã khách]],Data_Actual_LG_EXW[Mã SKU],DB_25[[#This Row],[Mã sản phẩm]])/10^3</f>
        <v>0</v>
      </c>
      <c r="X169" s="33"/>
      <c r="Y169" s="33"/>
      <c r="Z169" s="33"/>
      <c r="AA169" s="19">
        <f ca="1">SUM(DB_25[[#This Row],[SL-01]:[SL-12]])</f>
        <v>2.5000000000000001E-2</v>
      </c>
      <c r="AB169" s="7"/>
      <c r="AC169" s="20">
        <f ca="1">DB_25[[#This Row],[SL-DB25]]-DB_25[[#This Row],[SL-KH25]]</f>
        <v>2.5000000000000001E-2</v>
      </c>
      <c r="AD169" s="21">
        <f ca="1">IFERROR(DB_25[[#This Row],[SL-+/-]]/DB_25[[#This Row],[SL-KH25]],0)</f>
        <v>0</v>
      </c>
      <c r="AE169" s="23">
        <v>0</v>
      </c>
      <c r="AF169" s="23">
        <v>0</v>
      </c>
      <c r="AG169" s="23">
        <v>0</v>
      </c>
      <c r="AH169" s="23">
        <v>584.31430757246039</v>
      </c>
      <c r="AI169" s="23">
        <v>0</v>
      </c>
      <c r="AJ169" s="23">
        <v>0</v>
      </c>
      <c r="AK169" s="23">
        <v>0</v>
      </c>
      <c r="AL169" s="23">
        <v>0</v>
      </c>
      <c r="AM169" s="111">
        <v>0</v>
      </c>
      <c r="AN169" s="51">
        <f ca="1">IFERROR(SUM(DB_25[[#This Row],[DT-01-USD]:[DT-09-USD]])/SUM(DB_25[[#This Row],[SL-01]:[SL-09]]),0)</f>
        <v>584.31430757246039</v>
      </c>
      <c r="AO169" s="51">
        <f ca="1">DB_25[[#This Row],[GB-10]]</f>
        <v>584.31430757246039</v>
      </c>
      <c r="AP169" s="51">
        <f ca="1">DB_25[[#This Row],[GB-11]]</f>
        <v>584.31430757246039</v>
      </c>
      <c r="AQ169" s="7"/>
      <c r="AR169" s="7"/>
      <c r="AS169" s="7"/>
      <c r="AT169" s="7"/>
      <c r="AU169" s="47">
        <v>0</v>
      </c>
      <c r="AV169" s="47">
        <v>0</v>
      </c>
      <c r="AW169" s="47">
        <v>0</v>
      </c>
      <c r="AX169" s="47">
        <v>375000</v>
      </c>
      <c r="AY169" s="47">
        <v>0</v>
      </c>
      <c r="AZ169" s="47">
        <v>0</v>
      </c>
      <c r="BA169" s="47">
        <v>0</v>
      </c>
      <c r="BB169" s="47">
        <v>0</v>
      </c>
      <c r="BC169" s="47">
        <v>0</v>
      </c>
      <c r="BD169" s="19">
        <f ca="1">DB_25[[#This Row],[SL-10]]*DB_25[[#This Row],[GB-10]]*BD$2/10^3</f>
        <v>0</v>
      </c>
      <c r="BE169" s="19">
        <f ca="1">DB_25[[#This Row],[SL-11]]*DB_25[[#This Row],[GB-11]]*BE$2/10^3</f>
        <v>0</v>
      </c>
      <c r="BF169" s="19">
        <f ca="1">DB_25[[#This Row],[SL-12]]*DB_25[[#This Row],[GB-12]]*BF$2/10^3</f>
        <v>0</v>
      </c>
      <c r="BG169" s="47">
        <f ca="1">SUM(DB_25[[#This Row],[DT-01]:[DT-12]])</f>
        <v>375000</v>
      </c>
      <c r="BH169" s="7"/>
      <c r="BI169" s="7"/>
      <c r="BJ169" s="7"/>
      <c r="BK169" s="50">
        <v>0</v>
      </c>
      <c r="BL169" s="109">
        <v>0</v>
      </c>
      <c r="BM169" s="109">
        <v>0</v>
      </c>
      <c r="BN169" s="109">
        <v>14.607857689311512</v>
      </c>
      <c r="BO169" s="109">
        <v>0</v>
      </c>
      <c r="BP169" s="109">
        <v>0</v>
      </c>
      <c r="BQ169" s="109">
        <v>0</v>
      </c>
      <c r="BR169" s="109">
        <v>0</v>
      </c>
      <c r="BS169" s="109">
        <v>0</v>
      </c>
      <c r="BT169" s="147">
        <f ca="1">DB_25[[#This Row],[SL-10]]*DB_25[[#This Row],[GB-10]]</f>
        <v>0</v>
      </c>
      <c r="BU169" s="147">
        <f ca="1">DB_25[[#This Row],[SL-11]]*DB_25[[#This Row],[GB-11]]</f>
        <v>0</v>
      </c>
      <c r="BV169" s="147">
        <f ca="1">DB_25[[#This Row],[SL-12]]*DB_25[[#This Row],[GB-12]]</f>
        <v>0</v>
      </c>
      <c r="BW169" s="47">
        <f ca="1">SUM(DB_25[[#This Row],[DT-01-USD]:[DT-12-USD]])</f>
        <v>14.607857689311512</v>
      </c>
    </row>
    <row r="170" spans="1:75" x14ac:dyDescent="0.35">
      <c r="A170" s="18">
        <f>ROWS($A$6:A170)</f>
        <v>165</v>
      </c>
      <c r="B170" s="18" t="s">
        <v>115</v>
      </c>
      <c r="C170" s="18" t="str">
        <f>IFERROR(_xlfn.XLOOKUP(DB_25[[#This Row],[Salesman]],MD_Salesman[Salesman],MD_Salesman[SalesManager]),"")</f>
        <v>Quốc Anh</v>
      </c>
      <c r="D170" s="7" t="s">
        <v>682</v>
      </c>
      <c r="E170" s="7" t="s">
        <v>156</v>
      </c>
      <c r="F170" s="7"/>
      <c r="G170" s="7" t="str">
        <f>_xlfn.XLOOKUP(DB_25[[#This Row],[Mã khách]],MD_Customer[Mã khách],MD_Customer[Kênh bán hàng])</f>
        <v>Nội địa</v>
      </c>
      <c r="H170" s="7"/>
      <c r="I170" s="7"/>
      <c r="J170" s="7"/>
      <c r="K170" s="7" t="s">
        <v>206</v>
      </c>
      <c r="L170" s="7" t="str">
        <f>_xlfn.XLOOKUP(DB_25[[#This Row],[Mã sản phẩm]],MD_SKU[Mã SKU],MD_SKU[Tên SKU-rút gọn])</f>
        <v>Vảy HD Ép Đồng</v>
      </c>
      <c r="M170" s="7" t="str">
        <f>_xlfn.XLOOKUP(DB_25[[#This Row],[Mã sản phẩm]],MD_SKU[Mã SKU],MD_SKU[Nhóm ngành])</f>
        <v>Vảy HD ép</v>
      </c>
      <c r="N170" s="7"/>
      <c r="O170" s="47">
        <v>0</v>
      </c>
      <c r="P170" s="47">
        <v>0</v>
      </c>
      <c r="Q170" s="47">
        <v>0</v>
      </c>
      <c r="R170" s="47">
        <v>2.5000000000000001E-2</v>
      </c>
      <c r="S170" s="47">
        <v>0</v>
      </c>
      <c r="T170" s="47">
        <v>0</v>
      </c>
      <c r="U170" s="47">
        <v>0</v>
      </c>
      <c r="V170" s="47">
        <v>0</v>
      </c>
      <c r="W170" s="110">
        <f ca="1">SUMIFS(Data_Actual_LG_EXW[SL],Data_Actual_LG_EXW[Year],2025,Data_Actual_LG_EXW[Month],'DB 2025'!W$1,Data_Actual_LG_EXW[Mã KH],DB_25[[#This Row],[Mã khách]],Data_Actual_LG_EXW[Mã SKU],DB_25[[#This Row],[Mã sản phẩm]])/10^3</f>
        <v>0</v>
      </c>
      <c r="X170" s="33"/>
      <c r="Y170" s="33"/>
      <c r="Z170" s="33"/>
      <c r="AA170" s="19">
        <f ca="1">SUM(DB_25[[#This Row],[SL-01]:[SL-12]])</f>
        <v>2.5000000000000001E-2</v>
      </c>
      <c r="AB170" s="7"/>
      <c r="AC170" s="20">
        <f ca="1">DB_25[[#This Row],[SL-DB25]]-DB_25[[#This Row],[SL-KH25]]</f>
        <v>2.5000000000000001E-2</v>
      </c>
      <c r="AD170" s="21">
        <f ca="1">IFERROR(DB_25[[#This Row],[SL-+/-]]/DB_25[[#This Row],[SL-KH25]],0)</f>
        <v>0</v>
      </c>
      <c r="AE170" s="23">
        <v>0</v>
      </c>
      <c r="AF170" s="23">
        <v>0</v>
      </c>
      <c r="AG170" s="23">
        <v>0</v>
      </c>
      <c r="AH170" s="23">
        <v>584.31430757246039</v>
      </c>
      <c r="AI170" s="23">
        <v>0</v>
      </c>
      <c r="AJ170" s="23">
        <v>0</v>
      </c>
      <c r="AK170" s="23">
        <v>0</v>
      </c>
      <c r="AL170" s="23">
        <v>0</v>
      </c>
      <c r="AM170" s="111">
        <v>0</v>
      </c>
      <c r="AN170" s="51">
        <f ca="1">IFERROR(SUM(DB_25[[#This Row],[DT-01-USD]:[DT-09-USD]])/SUM(DB_25[[#This Row],[SL-01]:[SL-09]]),0)</f>
        <v>584.31430757246039</v>
      </c>
      <c r="AO170" s="51">
        <f ca="1">DB_25[[#This Row],[GB-10]]</f>
        <v>584.31430757246039</v>
      </c>
      <c r="AP170" s="51">
        <f ca="1">DB_25[[#This Row],[GB-11]]</f>
        <v>584.31430757246039</v>
      </c>
      <c r="AQ170" s="7"/>
      <c r="AR170" s="7"/>
      <c r="AS170" s="7"/>
      <c r="AT170" s="7"/>
      <c r="AU170" s="47">
        <v>0</v>
      </c>
      <c r="AV170" s="47">
        <v>0</v>
      </c>
      <c r="AW170" s="47">
        <v>0</v>
      </c>
      <c r="AX170" s="47">
        <v>375000</v>
      </c>
      <c r="AY170" s="47">
        <v>0</v>
      </c>
      <c r="AZ170" s="47">
        <v>0</v>
      </c>
      <c r="BA170" s="47">
        <v>0</v>
      </c>
      <c r="BB170" s="47">
        <v>0</v>
      </c>
      <c r="BC170" s="47">
        <v>0</v>
      </c>
      <c r="BD170" s="19">
        <f ca="1">DB_25[[#This Row],[SL-10]]*DB_25[[#This Row],[GB-10]]*BD$2/10^3</f>
        <v>0</v>
      </c>
      <c r="BE170" s="19">
        <f ca="1">DB_25[[#This Row],[SL-11]]*DB_25[[#This Row],[GB-11]]*BE$2/10^3</f>
        <v>0</v>
      </c>
      <c r="BF170" s="19">
        <f ca="1">DB_25[[#This Row],[SL-12]]*DB_25[[#This Row],[GB-12]]*BF$2/10^3</f>
        <v>0</v>
      </c>
      <c r="BG170" s="47">
        <f ca="1">SUM(DB_25[[#This Row],[DT-01]:[DT-12]])</f>
        <v>375000</v>
      </c>
      <c r="BH170" s="7"/>
      <c r="BI170" s="7"/>
      <c r="BJ170" s="7"/>
      <c r="BK170" s="50">
        <v>0</v>
      </c>
      <c r="BL170" s="109">
        <v>0</v>
      </c>
      <c r="BM170" s="109">
        <v>0</v>
      </c>
      <c r="BN170" s="109">
        <v>14.607857689311512</v>
      </c>
      <c r="BO170" s="109">
        <v>0</v>
      </c>
      <c r="BP170" s="109">
        <v>0</v>
      </c>
      <c r="BQ170" s="109">
        <v>0</v>
      </c>
      <c r="BR170" s="109">
        <v>0</v>
      </c>
      <c r="BS170" s="109">
        <v>0</v>
      </c>
      <c r="BT170" s="147">
        <f ca="1">DB_25[[#This Row],[SL-10]]*DB_25[[#This Row],[GB-10]]</f>
        <v>0</v>
      </c>
      <c r="BU170" s="147">
        <f ca="1">DB_25[[#This Row],[SL-11]]*DB_25[[#This Row],[GB-11]]</f>
        <v>0</v>
      </c>
      <c r="BV170" s="147">
        <f ca="1">DB_25[[#This Row],[SL-12]]*DB_25[[#This Row],[GB-12]]</f>
        <v>0</v>
      </c>
      <c r="BW170" s="47">
        <f ca="1">SUM(DB_25[[#This Row],[DT-01-USD]:[DT-12-USD]])</f>
        <v>14.607857689311512</v>
      </c>
    </row>
    <row r="171" spans="1:75" x14ac:dyDescent="0.35">
      <c r="A171" s="18">
        <f>ROWS($A$6:A171)</f>
        <v>166</v>
      </c>
      <c r="B171" s="18" t="s">
        <v>101</v>
      </c>
      <c r="C171" s="18" t="str">
        <f>IFERROR(_xlfn.XLOOKUP(DB_25[[#This Row],[Salesman]],MD_Salesman[Salesman],MD_Salesman[SalesManager]),"")</f>
        <v>Cường</v>
      </c>
      <c r="D171" s="7" t="s">
        <v>667</v>
      </c>
      <c r="E171" s="7" t="s">
        <v>114</v>
      </c>
      <c r="F171" s="7"/>
      <c r="G171" s="7" t="str">
        <f>_xlfn.XLOOKUP(DB_25[[#This Row],[Mã khách]],MD_Customer[Mã khách],MD_Customer[Kênh bán hàng])</f>
        <v>Nội địa</v>
      </c>
      <c r="H171" s="7"/>
      <c r="I171" s="7"/>
      <c r="J171" s="7"/>
      <c r="K171" s="7" t="s">
        <v>172</v>
      </c>
      <c r="L171" s="7" t="str">
        <f>_xlfn.XLOOKUP(DB_25[[#This Row],[Mã sản phẩm]],MD_SKU[Mã SKU],MD_SKU[Tên SKU-rút gọn])</f>
        <v>iSS01G 1</v>
      </c>
      <c r="M171" s="7" t="str">
        <f>_xlfn.XLOOKUP(DB_25[[#This Row],[Mã sản phẩm]],MD_SKU[Mã SKU],MD_SKU[Nhóm ngành])</f>
        <v>Hạt PET</v>
      </c>
      <c r="N171" s="7"/>
      <c r="O171" s="47">
        <v>0</v>
      </c>
      <c r="P171" s="47">
        <v>0</v>
      </c>
      <c r="Q171" s="47">
        <v>0</v>
      </c>
      <c r="R171" s="47">
        <v>0</v>
      </c>
      <c r="S171" s="47">
        <v>0</v>
      </c>
      <c r="T171" s="47">
        <v>2.5000000000000001E-2</v>
      </c>
      <c r="U171" s="47">
        <v>0</v>
      </c>
      <c r="V171" s="47">
        <v>0</v>
      </c>
      <c r="W171" s="110">
        <f ca="1">SUMIFS(Data_Actual_LG_EXW[SL],Data_Actual_LG_EXW[Year],2025,Data_Actual_LG_EXW[Month],'DB 2025'!W$1,Data_Actual_LG_EXW[Mã KH],DB_25[[#This Row],[Mã khách]],Data_Actual_LG_EXW[Mã SKU],DB_25[[#This Row],[Mã sản phẩm]])/10^3</f>
        <v>0</v>
      </c>
      <c r="X171" s="33"/>
      <c r="Y171" s="33"/>
      <c r="Z171" s="33"/>
      <c r="AA171" s="19">
        <f ca="1">SUM(DB_25[[#This Row],[SL-01]:[SL-12]])</f>
        <v>2.5000000000000001E-2</v>
      </c>
      <c r="AB171" s="7"/>
      <c r="AC171" s="20">
        <f ca="1">DB_25[[#This Row],[SL-DB25]]-DB_25[[#This Row],[SL-KH25]]</f>
        <v>2.5000000000000001E-2</v>
      </c>
      <c r="AD171" s="21">
        <f ca="1">IFERROR(DB_25[[#This Row],[SL-+/-]]/DB_25[[#This Row],[SL-KH25]],0)</f>
        <v>0</v>
      </c>
      <c r="AE171" s="23">
        <v>0</v>
      </c>
      <c r="AF171" s="23">
        <v>0</v>
      </c>
      <c r="AG171" s="23">
        <v>0</v>
      </c>
      <c r="AH171" s="23">
        <v>0</v>
      </c>
      <c r="AI171" s="23">
        <v>0</v>
      </c>
      <c r="AJ171" s="23">
        <v>1319.7034882825308</v>
      </c>
      <c r="AK171" s="23">
        <v>0</v>
      </c>
      <c r="AL171" s="23">
        <v>0</v>
      </c>
      <c r="AM171" s="111">
        <v>0</v>
      </c>
      <c r="AN171" s="51">
        <f ca="1">IFERROR(SUM(DB_25[[#This Row],[DT-01-USD]:[DT-09-USD]])/SUM(DB_25[[#This Row],[SL-01]:[SL-09]]),0)</f>
        <v>1319.7034882825308</v>
      </c>
      <c r="AO171" s="51">
        <f ca="1">DB_25[[#This Row],[GB-10]]</f>
        <v>1319.7034882825308</v>
      </c>
      <c r="AP171" s="51">
        <f ca="1">DB_25[[#This Row],[GB-11]]</f>
        <v>1319.7034882825308</v>
      </c>
      <c r="AQ171" s="7"/>
      <c r="AR171" s="7"/>
      <c r="AS171" s="7"/>
      <c r="AT171" s="7"/>
      <c r="AU171" s="47">
        <v>0</v>
      </c>
      <c r="AV171" s="47">
        <v>0</v>
      </c>
      <c r="AW171" s="47">
        <v>0</v>
      </c>
      <c r="AX171" s="47">
        <v>0</v>
      </c>
      <c r="AY171" s="47">
        <v>0</v>
      </c>
      <c r="AZ171" s="47">
        <v>855000</v>
      </c>
      <c r="BA171" s="47">
        <v>0</v>
      </c>
      <c r="BB171" s="47">
        <v>0</v>
      </c>
      <c r="BC171" s="47">
        <v>0</v>
      </c>
      <c r="BD171" s="19">
        <f ca="1">DB_25[[#This Row],[SL-10]]*DB_25[[#This Row],[GB-10]]*BD$2/10^3</f>
        <v>0</v>
      </c>
      <c r="BE171" s="19">
        <f ca="1">DB_25[[#This Row],[SL-11]]*DB_25[[#This Row],[GB-11]]*BE$2/10^3</f>
        <v>0</v>
      </c>
      <c r="BF171" s="19">
        <f ca="1">DB_25[[#This Row],[SL-12]]*DB_25[[#This Row],[GB-12]]*BF$2/10^3</f>
        <v>0</v>
      </c>
      <c r="BG171" s="47">
        <f ca="1">SUM(DB_25[[#This Row],[DT-01]:[DT-12]])</f>
        <v>855000</v>
      </c>
      <c r="BH171" s="7"/>
      <c r="BI171" s="7"/>
      <c r="BJ171" s="7"/>
      <c r="BK171" s="50">
        <v>0</v>
      </c>
      <c r="BL171" s="109">
        <v>0</v>
      </c>
      <c r="BM171" s="109">
        <v>0</v>
      </c>
      <c r="BN171" s="109">
        <v>0</v>
      </c>
      <c r="BO171" s="109">
        <v>0</v>
      </c>
      <c r="BP171" s="109">
        <v>32.992587207063274</v>
      </c>
      <c r="BQ171" s="109">
        <v>0</v>
      </c>
      <c r="BR171" s="109">
        <v>0</v>
      </c>
      <c r="BS171" s="109">
        <v>0</v>
      </c>
      <c r="BT171" s="147">
        <f ca="1">DB_25[[#This Row],[SL-10]]*DB_25[[#This Row],[GB-10]]</f>
        <v>0</v>
      </c>
      <c r="BU171" s="147">
        <f ca="1">DB_25[[#This Row],[SL-11]]*DB_25[[#This Row],[GB-11]]</f>
        <v>0</v>
      </c>
      <c r="BV171" s="147">
        <f ca="1">DB_25[[#This Row],[SL-12]]*DB_25[[#This Row],[GB-12]]</f>
        <v>0</v>
      </c>
      <c r="BW171" s="47">
        <f ca="1">SUM(DB_25[[#This Row],[DT-01-USD]:[DT-12-USD]])</f>
        <v>32.992587207063274</v>
      </c>
    </row>
    <row r="172" spans="1:75" x14ac:dyDescent="0.35">
      <c r="A172" s="18">
        <f>ROWS($A$6:A172)</f>
        <v>167</v>
      </c>
      <c r="B172" s="18" t="s">
        <v>115</v>
      </c>
      <c r="C172" s="18" t="str">
        <f>IFERROR(_xlfn.XLOOKUP(DB_25[[#This Row],[Salesman]],MD_Salesman[Salesman],MD_Salesman[SalesManager]),"")</f>
        <v>Quốc Anh</v>
      </c>
      <c r="D172" s="7" t="s">
        <v>683</v>
      </c>
      <c r="E172" s="7" t="s">
        <v>72</v>
      </c>
      <c r="F172" s="7"/>
      <c r="G172" s="7" t="str">
        <f>_xlfn.XLOOKUP(DB_25[[#This Row],[Mã khách]],MD_Customer[Mã khách],MD_Customer[Kênh bán hàng])</f>
        <v>Nội địa</v>
      </c>
      <c r="H172" s="7"/>
      <c r="I172" s="7"/>
      <c r="J172" s="7"/>
      <c r="K172" s="7" t="s">
        <v>209</v>
      </c>
      <c r="L172" s="7" t="str">
        <f>_xlfn.XLOOKUP(DB_25[[#This Row],[Mã sản phẩm]],MD_SKU[Mã SKU],MD_SKU[Tên SKU-rút gọn])</f>
        <v>rPP20R02</v>
      </c>
      <c r="M172" s="7" t="str">
        <f>_xlfn.XLOOKUP(DB_25[[#This Row],[Mã sản phẩm]],MD_SKU[Mã SKU],MD_SKU[Nhóm ngành])</f>
        <v>Hạt PP</v>
      </c>
      <c r="N172" s="7"/>
      <c r="O172" s="47">
        <v>0</v>
      </c>
      <c r="P172" s="47">
        <v>5.0000000000000001E-3</v>
      </c>
      <c r="Q172" s="47">
        <v>0</v>
      </c>
      <c r="R172" s="47">
        <v>0</v>
      </c>
      <c r="S172" s="47">
        <v>0</v>
      </c>
      <c r="T172" s="47">
        <v>0</v>
      </c>
      <c r="U172" s="47">
        <v>0</v>
      </c>
      <c r="V172" s="47">
        <v>0</v>
      </c>
      <c r="W172" s="110">
        <f ca="1">SUMIFS(Data_Actual_LG_EXW[SL],Data_Actual_LG_EXW[Year],2025,Data_Actual_LG_EXW[Month],'DB 2025'!W$1,Data_Actual_LG_EXW[Mã KH],DB_25[[#This Row],[Mã khách]],Data_Actual_LG_EXW[Mã SKU],DB_25[[#This Row],[Mã sản phẩm]])/10^3</f>
        <v>0</v>
      </c>
      <c r="X172" s="33"/>
      <c r="Y172" s="33"/>
      <c r="Z172" s="33"/>
      <c r="AA172" s="19">
        <f ca="1">SUM(DB_25[[#This Row],[SL-01]:[SL-12]])</f>
        <v>5.0000000000000001E-3</v>
      </c>
      <c r="AB172" s="7"/>
      <c r="AC172" s="20">
        <f ca="1">DB_25[[#This Row],[SL-DB25]]-DB_25[[#This Row],[SL-KH25]]</f>
        <v>5.0000000000000001E-3</v>
      </c>
      <c r="AD172" s="21">
        <f ca="1">IFERROR(DB_25[[#This Row],[SL-+/-]]/DB_25[[#This Row],[SL-KH25]],0)</f>
        <v>0</v>
      </c>
      <c r="AE172" s="23">
        <v>0</v>
      </c>
      <c r="AF172" s="23">
        <v>830.95528287688489</v>
      </c>
      <c r="AG172" s="23">
        <v>0</v>
      </c>
      <c r="AH172" s="23">
        <v>0</v>
      </c>
      <c r="AI172" s="23">
        <v>0</v>
      </c>
      <c r="AJ172" s="23">
        <v>0</v>
      </c>
      <c r="AK172" s="23">
        <v>0</v>
      </c>
      <c r="AL172" s="23">
        <v>0</v>
      </c>
      <c r="AM172" s="111">
        <v>0</v>
      </c>
      <c r="AN172" s="51">
        <f ca="1">IFERROR(SUM(DB_25[[#This Row],[DT-01-USD]:[DT-09-USD]])/SUM(DB_25[[#This Row],[SL-01]:[SL-09]]),0)</f>
        <v>830.95528287688489</v>
      </c>
      <c r="AO172" s="51">
        <f ca="1">DB_25[[#This Row],[GB-10]]</f>
        <v>830.95528287688489</v>
      </c>
      <c r="AP172" s="51">
        <f ca="1">DB_25[[#This Row],[GB-11]]</f>
        <v>830.95528287688489</v>
      </c>
      <c r="AQ172" s="7"/>
      <c r="AR172" s="7"/>
      <c r="AS172" s="7"/>
      <c r="AT172" s="7"/>
      <c r="AU172" s="47">
        <v>0</v>
      </c>
      <c r="AV172" s="47">
        <v>105000</v>
      </c>
      <c r="AW172" s="47">
        <v>0</v>
      </c>
      <c r="AX172" s="47">
        <v>0</v>
      </c>
      <c r="AY172" s="47">
        <v>0</v>
      </c>
      <c r="AZ172" s="47">
        <v>0</v>
      </c>
      <c r="BA172" s="47">
        <v>0</v>
      </c>
      <c r="BB172" s="47">
        <v>0</v>
      </c>
      <c r="BC172" s="47">
        <v>0</v>
      </c>
      <c r="BD172" s="19">
        <f ca="1">DB_25[[#This Row],[SL-10]]*DB_25[[#This Row],[GB-10]]*BD$2/10^3</f>
        <v>0</v>
      </c>
      <c r="BE172" s="19">
        <f ca="1">DB_25[[#This Row],[SL-11]]*DB_25[[#This Row],[GB-11]]*BE$2/10^3</f>
        <v>0</v>
      </c>
      <c r="BF172" s="19">
        <f ca="1">DB_25[[#This Row],[SL-12]]*DB_25[[#This Row],[GB-12]]*BF$2/10^3</f>
        <v>0</v>
      </c>
      <c r="BG172" s="47">
        <f ca="1">SUM(DB_25[[#This Row],[DT-01]:[DT-12]])</f>
        <v>105000</v>
      </c>
      <c r="BH172" s="7"/>
      <c r="BI172" s="7"/>
      <c r="BJ172" s="7"/>
      <c r="BK172" s="50">
        <v>0</v>
      </c>
      <c r="BL172" s="109">
        <v>4.1547764143844246</v>
      </c>
      <c r="BM172" s="109">
        <v>0</v>
      </c>
      <c r="BN172" s="109">
        <v>0</v>
      </c>
      <c r="BO172" s="109">
        <v>0</v>
      </c>
      <c r="BP172" s="109">
        <v>0</v>
      </c>
      <c r="BQ172" s="109">
        <v>0</v>
      </c>
      <c r="BR172" s="109">
        <v>0</v>
      </c>
      <c r="BS172" s="109">
        <v>0</v>
      </c>
      <c r="BT172" s="147">
        <f ca="1">DB_25[[#This Row],[SL-10]]*DB_25[[#This Row],[GB-10]]</f>
        <v>0</v>
      </c>
      <c r="BU172" s="147">
        <f ca="1">DB_25[[#This Row],[SL-11]]*DB_25[[#This Row],[GB-11]]</f>
        <v>0</v>
      </c>
      <c r="BV172" s="147">
        <f ca="1">DB_25[[#This Row],[SL-12]]*DB_25[[#This Row],[GB-12]]</f>
        <v>0</v>
      </c>
      <c r="BW172" s="47">
        <f ca="1">SUM(DB_25[[#This Row],[DT-01-USD]:[DT-12-USD]])</f>
        <v>4.1547764143844246</v>
      </c>
    </row>
    <row r="173" spans="1:75" x14ac:dyDescent="0.35">
      <c r="A173" s="18">
        <f>ROWS($A$6:A173)</f>
        <v>168</v>
      </c>
      <c r="B173" s="18" t="s">
        <v>115</v>
      </c>
      <c r="C173" s="18" t="str">
        <f>IFERROR(_xlfn.XLOOKUP(DB_25[[#This Row],[Salesman]],MD_Salesman[Salesman],MD_Salesman[SalesManager]),"")</f>
        <v>Quốc Anh</v>
      </c>
      <c r="D173" s="7" t="s">
        <v>683</v>
      </c>
      <c r="E173" s="7" t="s">
        <v>72</v>
      </c>
      <c r="F173" s="7"/>
      <c r="G173" s="7" t="str">
        <f>_xlfn.XLOOKUP(DB_25[[#This Row],[Mã khách]],MD_Customer[Mã khách],MD_Customer[Kênh bán hàng])</f>
        <v>Nội địa</v>
      </c>
      <c r="H173" s="7"/>
      <c r="I173" s="7"/>
      <c r="J173" s="7"/>
      <c r="K173" s="7" t="s">
        <v>210</v>
      </c>
      <c r="L173" s="7" t="str">
        <f>_xlfn.XLOOKUP(DB_25[[#This Row],[Mã sản phẩm]],MD_SKU[Mã SKU],MD_SKU[Tên SKU-rút gọn])</f>
        <v>rPP20B01</v>
      </c>
      <c r="M173" s="7" t="str">
        <f>_xlfn.XLOOKUP(DB_25[[#This Row],[Mã sản phẩm]],MD_SKU[Mã SKU],MD_SKU[Nhóm ngành])</f>
        <v>Hạt PP</v>
      </c>
      <c r="N173" s="7"/>
      <c r="O173" s="47">
        <v>0</v>
      </c>
      <c r="P173" s="47">
        <v>5.0000000000000001E-3</v>
      </c>
      <c r="Q173" s="47">
        <v>0</v>
      </c>
      <c r="R173" s="47">
        <v>0</v>
      </c>
      <c r="S173" s="47">
        <v>0</v>
      </c>
      <c r="T173" s="47">
        <v>0</v>
      </c>
      <c r="U173" s="47">
        <v>0</v>
      </c>
      <c r="V173" s="47">
        <v>0</v>
      </c>
      <c r="W173" s="110">
        <f ca="1">SUMIFS(Data_Actual_LG_EXW[SL],Data_Actual_LG_EXW[Year],2025,Data_Actual_LG_EXW[Month],'DB 2025'!W$1,Data_Actual_LG_EXW[Mã KH],DB_25[[#This Row],[Mã khách]],Data_Actual_LG_EXW[Mã SKU],DB_25[[#This Row],[Mã sản phẩm]])/10^3</f>
        <v>2.5000000000000001E-2</v>
      </c>
      <c r="X173" s="33"/>
      <c r="Y173" s="33"/>
      <c r="Z173" s="33"/>
      <c r="AA173" s="19">
        <f ca="1">SUM(DB_25[[#This Row],[SL-01]:[SL-12]])</f>
        <v>3.0000000000000002E-2</v>
      </c>
      <c r="AB173" s="7"/>
      <c r="AC173" s="20">
        <f ca="1">DB_25[[#This Row],[SL-DB25]]-DB_25[[#This Row],[SL-KH25]]</f>
        <v>3.0000000000000002E-2</v>
      </c>
      <c r="AD173" s="21">
        <f ca="1">IFERROR(DB_25[[#This Row],[SL-+/-]]/DB_25[[#This Row],[SL-KH25]],0)</f>
        <v>0</v>
      </c>
      <c r="AE173" s="23">
        <v>0</v>
      </c>
      <c r="AF173" s="23">
        <v>706.31199044535208</v>
      </c>
      <c r="AG173" s="23">
        <v>0</v>
      </c>
      <c r="AH173" s="23">
        <v>0</v>
      </c>
      <c r="AI173" s="23">
        <v>0</v>
      </c>
      <c r="AJ173" s="23">
        <v>0</v>
      </c>
      <c r="AK173" s="23">
        <v>0</v>
      </c>
      <c r="AL173" s="23">
        <v>0</v>
      </c>
      <c r="AM173" s="111">
        <v>667.67159293350028</v>
      </c>
      <c r="AN173" s="51">
        <f ca="1">IFERROR(SUM(DB_25[[#This Row],[DT-01-USD]:[DT-09-USD]])/SUM(DB_25[[#This Row],[SL-01]:[SL-09]]),0)</f>
        <v>674.11165918547556</v>
      </c>
      <c r="AO173" s="51">
        <f ca="1">DB_25[[#This Row],[GB-10]]</f>
        <v>674.11165918547556</v>
      </c>
      <c r="AP173" s="51">
        <f ca="1">DB_25[[#This Row],[GB-11]]</f>
        <v>674.11165918547556</v>
      </c>
      <c r="AQ173" s="7"/>
      <c r="AR173" s="7"/>
      <c r="AS173" s="7"/>
      <c r="AT173" s="7"/>
      <c r="AU173" s="47">
        <v>0</v>
      </c>
      <c r="AV173" s="47">
        <v>89250</v>
      </c>
      <c r="AW173" s="47">
        <v>0</v>
      </c>
      <c r="AX173" s="47">
        <v>0</v>
      </c>
      <c r="AY173" s="47">
        <v>0</v>
      </c>
      <c r="AZ173" s="47">
        <v>0</v>
      </c>
      <c r="BA173" s="47">
        <v>0</v>
      </c>
      <c r="BB173" s="47">
        <v>0</v>
      </c>
      <c r="BC173" s="47">
        <v>437500</v>
      </c>
      <c r="BD173" s="19">
        <f ca="1">DB_25[[#This Row],[SL-10]]*DB_25[[#This Row],[GB-10]]*BD$2/10^3</f>
        <v>0</v>
      </c>
      <c r="BE173" s="19">
        <f ca="1">DB_25[[#This Row],[SL-11]]*DB_25[[#This Row],[GB-11]]*BE$2/10^3</f>
        <v>0</v>
      </c>
      <c r="BF173" s="19">
        <f ca="1">DB_25[[#This Row],[SL-12]]*DB_25[[#This Row],[GB-12]]*BF$2/10^3</f>
        <v>0</v>
      </c>
      <c r="BG173" s="47">
        <f ca="1">SUM(DB_25[[#This Row],[DT-01]:[DT-12]])</f>
        <v>526750</v>
      </c>
      <c r="BH173" s="7"/>
      <c r="BI173" s="7"/>
      <c r="BJ173" s="7"/>
      <c r="BK173" s="50">
        <v>0</v>
      </c>
      <c r="BL173" s="109">
        <v>3.5315599522267607</v>
      </c>
      <c r="BM173" s="109">
        <v>0</v>
      </c>
      <c r="BN173" s="109">
        <v>0</v>
      </c>
      <c r="BO173" s="109">
        <v>0</v>
      </c>
      <c r="BP173" s="109">
        <v>0</v>
      </c>
      <c r="BQ173" s="109">
        <v>0</v>
      </c>
      <c r="BR173" s="109">
        <v>0</v>
      </c>
      <c r="BS173" s="109">
        <v>16.691789823337508</v>
      </c>
      <c r="BT173" s="147">
        <f ca="1">DB_25[[#This Row],[SL-10]]*DB_25[[#This Row],[GB-10]]</f>
        <v>0</v>
      </c>
      <c r="BU173" s="147">
        <f ca="1">DB_25[[#This Row],[SL-11]]*DB_25[[#This Row],[GB-11]]</f>
        <v>0</v>
      </c>
      <c r="BV173" s="147">
        <f ca="1">DB_25[[#This Row],[SL-12]]*DB_25[[#This Row],[GB-12]]</f>
        <v>0</v>
      </c>
      <c r="BW173" s="47">
        <f ca="1">SUM(DB_25[[#This Row],[DT-01-USD]:[DT-12-USD]])</f>
        <v>20.223349775564269</v>
      </c>
    </row>
    <row r="174" spans="1:75" x14ac:dyDescent="0.35">
      <c r="A174" s="18">
        <f>ROWS($A$6:A174)</f>
        <v>169</v>
      </c>
      <c r="B174" s="18" t="s">
        <v>115</v>
      </c>
      <c r="C174" s="18" t="str">
        <f>IFERROR(_xlfn.XLOOKUP(DB_25[[#This Row],[Salesman]],MD_Salesman[Salesman],MD_Salesman[SalesManager]),"")</f>
        <v>Quốc Anh</v>
      </c>
      <c r="D174" s="7" t="s">
        <v>683</v>
      </c>
      <c r="E174" s="7" t="s">
        <v>72</v>
      </c>
      <c r="F174" s="7"/>
      <c r="G174" s="7" t="str">
        <f>_xlfn.XLOOKUP(DB_25[[#This Row],[Mã khách]],MD_Customer[Mã khách],MD_Customer[Kênh bán hàng])</f>
        <v>Nội địa</v>
      </c>
      <c r="H174" s="7"/>
      <c r="I174" s="7"/>
      <c r="J174" s="7"/>
      <c r="K174" s="7" t="s">
        <v>214</v>
      </c>
      <c r="L174" s="7" t="str">
        <f>_xlfn.XLOOKUP(DB_25[[#This Row],[Mã sản phẩm]],MD_SKU[Mã SKU],MD_SKU[Tên SKU-rút gọn])</f>
        <v>rPP20L03</v>
      </c>
      <c r="M174" s="7" t="str">
        <f>_xlfn.XLOOKUP(DB_25[[#This Row],[Mã sản phẩm]],MD_SKU[Mã SKU],MD_SKU[Nhóm ngành])</f>
        <v>Hạt PP</v>
      </c>
      <c r="N174" s="7"/>
      <c r="O174" s="47">
        <v>0</v>
      </c>
      <c r="P174" s="47">
        <v>5.0000000000000001E-3</v>
      </c>
      <c r="Q174" s="47">
        <v>0</v>
      </c>
      <c r="R174" s="47">
        <v>0</v>
      </c>
      <c r="S174" s="47">
        <v>0</v>
      </c>
      <c r="T174" s="47">
        <v>0</v>
      </c>
      <c r="U174" s="47">
        <v>0</v>
      </c>
      <c r="V174" s="47">
        <v>0</v>
      </c>
      <c r="W174" s="110">
        <f ca="1">SUMIFS(Data_Actual_LG_EXW[SL],Data_Actual_LG_EXW[Year],2025,Data_Actual_LG_EXW[Month],'DB 2025'!W$1,Data_Actual_LG_EXW[Mã KH],DB_25[[#This Row],[Mã khách]],Data_Actual_LG_EXW[Mã SKU],DB_25[[#This Row],[Mã sản phẩm]])/10^3</f>
        <v>0</v>
      </c>
      <c r="X174" s="33"/>
      <c r="Y174" s="33"/>
      <c r="Z174" s="33"/>
      <c r="AA174" s="19">
        <f ca="1">SUM(DB_25[[#This Row],[SL-01]:[SL-12]])</f>
        <v>5.0000000000000001E-3</v>
      </c>
      <c r="AB174" s="7"/>
      <c r="AC174" s="20">
        <f ca="1">DB_25[[#This Row],[SL-DB25]]-DB_25[[#This Row],[SL-KH25]]</f>
        <v>5.0000000000000001E-3</v>
      </c>
      <c r="AD174" s="21">
        <f ca="1">IFERROR(DB_25[[#This Row],[SL-+/-]]/DB_25[[#This Row],[SL-KH25]],0)</f>
        <v>0</v>
      </c>
      <c r="AE174" s="23">
        <v>0</v>
      </c>
      <c r="AF174" s="23">
        <v>830.95528287688489</v>
      </c>
      <c r="AG174" s="23">
        <v>0</v>
      </c>
      <c r="AH174" s="23">
        <v>0</v>
      </c>
      <c r="AI174" s="23">
        <v>0</v>
      </c>
      <c r="AJ174" s="23">
        <v>0</v>
      </c>
      <c r="AK174" s="23">
        <v>0</v>
      </c>
      <c r="AL174" s="23">
        <v>0</v>
      </c>
      <c r="AM174" s="111">
        <v>0</v>
      </c>
      <c r="AN174" s="51">
        <f ca="1">IFERROR(SUM(DB_25[[#This Row],[DT-01-USD]:[DT-09-USD]])/SUM(DB_25[[#This Row],[SL-01]:[SL-09]]),0)</f>
        <v>830.95528287688489</v>
      </c>
      <c r="AO174" s="51">
        <f ca="1">DB_25[[#This Row],[GB-10]]</f>
        <v>830.95528287688489</v>
      </c>
      <c r="AP174" s="51">
        <f ca="1">DB_25[[#This Row],[GB-11]]</f>
        <v>830.95528287688489</v>
      </c>
      <c r="AQ174" s="7"/>
      <c r="AR174" s="7"/>
      <c r="AS174" s="7"/>
      <c r="AT174" s="7"/>
      <c r="AU174" s="47">
        <v>0</v>
      </c>
      <c r="AV174" s="47">
        <v>105000</v>
      </c>
      <c r="AW174" s="47">
        <v>0</v>
      </c>
      <c r="AX174" s="47">
        <v>0</v>
      </c>
      <c r="AY174" s="47">
        <v>0</v>
      </c>
      <c r="AZ174" s="47">
        <v>0</v>
      </c>
      <c r="BA174" s="47">
        <v>0</v>
      </c>
      <c r="BB174" s="47">
        <v>0</v>
      </c>
      <c r="BC174" s="47">
        <v>0</v>
      </c>
      <c r="BD174" s="19">
        <f ca="1">DB_25[[#This Row],[SL-10]]*DB_25[[#This Row],[GB-10]]*BD$2/10^3</f>
        <v>0</v>
      </c>
      <c r="BE174" s="19">
        <f ca="1">DB_25[[#This Row],[SL-11]]*DB_25[[#This Row],[GB-11]]*BE$2/10^3</f>
        <v>0</v>
      </c>
      <c r="BF174" s="19">
        <f ca="1">DB_25[[#This Row],[SL-12]]*DB_25[[#This Row],[GB-12]]*BF$2/10^3</f>
        <v>0</v>
      </c>
      <c r="BG174" s="47">
        <f ca="1">SUM(DB_25[[#This Row],[DT-01]:[DT-12]])</f>
        <v>105000</v>
      </c>
      <c r="BH174" s="7"/>
      <c r="BI174" s="7"/>
      <c r="BJ174" s="7"/>
      <c r="BK174" s="50">
        <v>0</v>
      </c>
      <c r="BL174" s="109">
        <v>4.1547764143844246</v>
      </c>
      <c r="BM174" s="109">
        <v>0</v>
      </c>
      <c r="BN174" s="109">
        <v>0</v>
      </c>
      <c r="BO174" s="109">
        <v>0</v>
      </c>
      <c r="BP174" s="109">
        <v>0</v>
      </c>
      <c r="BQ174" s="109">
        <v>0</v>
      </c>
      <c r="BR174" s="109">
        <v>0</v>
      </c>
      <c r="BS174" s="109">
        <v>0</v>
      </c>
      <c r="BT174" s="147">
        <f ca="1">DB_25[[#This Row],[SL-10]]*DB_25[[#This Row],[GB-10]]</f>
        <v>0</v>
      </c>
      <c r="BU174" s="147">
        <f ca="1">DB_25[[#This Row],[SL-11]]*DB_25[[#This Row],[GB-11]]</f>
        <v>0</v>
      </c>
      <c r="BV174" s="147">
        <f ca="1">DB_25[[#This Row],[SL-12]]*DB_25[[#This Row],[GB-12]]</f>
        <v>0</v>
      </c>
      <c r="BW174" s="47">
        <f ca="1">SUM(DB_25[[#This Row],[DT-01-USD]:[DT-12-USD]])</f>
        <v>4.1547764143844246</v>
      </c>
    </row>
    <row r="175" spans="1:75" x14ac:dyDescent="0.35">
      <c r="A175" s="18">
        <f>ROWS($A$6:A175)</f>
        <v>170</v>
      </c>
      <c r="B175" s="18" t="s">
        <v>115</v>
      </c>
      <c r="C175" s="18" t="str">
        <f>IFERROR(_xlfn.XLOOKUP(DB_25[[#This Row],[Salesman]],MD_Salesman[Salesman],MD_Salesman[SalesManager]),"")</f>
        <v>Quốc Anh</v>
      </c>
      <c r="D175" s="7" t="s">
        <v>683</v>
      </c>
      <c r="E175" s="7" t="s">
        <v>72</v>
      </c>
      <c r="F175" s="7"/>
      <c r="G175" s="7" t="str">
        <f>_xlfn.XLOOKUP(DB_25[[#This Row],[Mã khách]],MD_Customer[Mã khách],MD_Customer[Kênh bán hàng])</f>
        <v>Nội địa</v>
      </c>
      <c r="H175" s="7"/>
      <c r="I175" s="7"/>
      <c r="J175" s="7"/>
      <c r="K175" s="7" t="s">
        <v>217</v>
      </c>
      <c r="L175" s="7" t="str">
        <f>_xlfn.XLOOKUP(DB_25[[#This Row],[Mã sản phẩm]],MD_SKU[Mã SKU],MD_SKU[Tên SKU-rút gọn])</f>
        <v>rPP20Gy01</v>
      </c>
      <c r="M175" s="7" t="str">
        <f>_xlfn.XLOOKUP(DB_25[[#This Row],[Mã sản phẩm]],MD_SKU[Mã SKU],MD_SKU[Nhóm ngành])</f>
        <v>Hạt PP</v>
      </c>
      <c r="N175" s="7"/>
      <c r="O175" s="47">
        <v>0</v>
      </c>
      <c r="P175" s="47">
        <v>5.0000000000000001E-3</v>
      </c>
      <c r="Q175" s="47">
        <v>0</v>
      </c>
      <c r="R175" s="47">
        <v>0</v>
      </c>
      <c r="S175" s="47">
        <v>0</v>
      </c>
      <c r="T175" s="47">
        <v>0</v>
      </c>
      <c r="U175" s="47">
        <v>0</v>
      </c>
      <c r="V175" s="47">
        <v>0</v>
      </c>
      <c r="W175" s="110">
        <f ca="1">SUMIFS(Data_Actual_LG_EXW[SL],Data_Actual_LG_EXW[Year],2025,Data_Actual_LG_EXW[Month],'DB 2025'!W$1,Data_Actual_LG_EXW[Mã KH],DB_25[[#This Row],[Mã khách]],Data_Actual_LG_EXW[Mã SKU],DB_25[[#This Row],[Mã sản phẩm]])/10^3</f>
        <v>0</v>
      </c>
      <c r="X175" s="33"/>
      <c r="Y175" s="33"/>
      <c r="Z175" s="33"/>
      <c r="AA175" s="19">
        <f ca="1">SUM(DB_25[[#This Row],[SL-01]:[SL-12]])</f>
        <v>5.0000000000000001E-3</v>
      </c>
      <c r="AB175" s="7"/>
      <c r="AC175" s="20">
        <f ca="1">DB_25[[#This Row],[SL-DB25]]-DB_25[[#This Row],[SL-KH25]]</f>
        <v>5.0000000000000001E-3</v>
      </c>
      <c r="AD175" s="21">
        <f ca="1">IFERROR(DB_25[[#This Row],[SL-+/-]]/DB_25[[#This Row],[SL-KH25]],0)</f>
        <v>0</v>
      </c>
      <c r="AE175" s="23">
        <v>0</v>
      </c>
      <c r="AF175" s="23">
        <v>830.95528287688489</v>
      </c>
      <c r="AG175" s="23">
        <v>0</v>
      </c>
      <c r="AH175" s="23">
        <v>0</v>
      </c>
      <c r="AI175" s="23">
        <v>0</v>
      </c>
      <c r="AJ175" s="23">
        <v>0</v>
      </c>
      <c r="AK175" s="23">
        <v>0</v>
      </c>
      <c r="AL175" s="23">
        <v>0</v>
      </c>
      <c r="AM175" s="111">
        <v>0</v>
      </c>
      <c r="AN175" s="51">
        <f ca="1">IFERROR(SUM(DB_25[[#This Row],[DT-01-USD]:[DT-09-USD]])/SUM(DB_25[[#This Row],[SL-01]:[SL-09]]),0)</f>
        <v>830.95528287688489</v>
      </c>
      <c r="AO175" s="51">
        <f ca="1">DB_25[[#This Row],[GB-10]]</f>
        <v>830.95528287688489</v>
      </c>
      <c r="AP175" s="51">
        <f ca="1">DB_25[[#This Row],[GB-11]]</f>
        <v>830.95528287688489</v>
      </c>
      <c r="AQ175" s="7"/>
      <c r="AR175" s="7"/>
      <c r="AS175" s="7"/>
      <c r="AT175" s="7"/>
      <c r="AU175" s="47">
        <v>0</v>
      </c>
      <c r="AV175" s="47">
        <v>105000</v>
      </c>
      <c r="AW175" s="47">
        <v>0</v>
      </c>
      <c r="AX175" s="47">
        <v>0</v>
      </c>
      <c r="AY175" s="47">
        <v>0</v>
      </c>
      <c r="AZ175" s="47">
        <v>0</v>
      </c>
      <c r="BA175" s="47">
        <v>0</v>
      </c>
      <c r="BB175" s="47">
        <v>0</v>
      </c>
      <c r="BC175" s="47">
        <v>0</v>
      </c>
      <c r="BD175" s="19">
        <f ca="1">DB_25[[#This Row],[SL-10]]*DB_25[[#This Row],[GB-10]]*BD$2/10^3</f>
        <v>0</v>
      </c>
      <c r="BE175" s="19">
        <f ca="1">DB_25[[#This Row],[SL-11]]*DB_25[[#This Row],[GB-11]]*BE$2/10^3</f>
        <v>0</v>
      </c>
      <c r="BF175" s="19">
        <f ca="1">DB_25[[#This Row],[SL-12]]*DB_25[[#This Row],[GB-12]]*BF$2/10^3</f>
        <v>0</v>
      </c>
      <c r="BG175" s="47">
        <f ca="1">SUM(DB_25[[#This Row],[DT-01]:[DT-12]])</f>
        <v>105000</v>
      </c>
      <c r="BH175" s="7"/>
      <c r="BI175" s="7"/>
      <c r="BJ175" s="7"/>
      <c r="BK175" s="50">
        <v>0</v>
      </c>
      <c r="BL175" s="109">
        <v>4.1547764143844246</v>
      </c>
      <c r="BM175" s="109">
        <v>0</v>
      </c>
      <c r="BN175" s="109">
        <v>0</v>
      </c>
      <c r="BO175" s="109">
        <v>0</v>
      </c>
      <c r="BP175" s="109">
        <v>0</v>
      </c>
      <c r="BQ175" s="109">
        <v>0</v>
      </c>
      <c r="BR175" s="109">
        <v>0</v>
      </c>
      <c r="BS175" s="109">
        <v>0</v>
      </c>
      <c r="BT175" s="147">
        <f ca="1">DB_25[[#This Row],[SL-10]]*DB_25[[#This Row],[GB-10]]</f>
        <v>0</v>
      </c>
      <c r="BU175" s="147">
        <f ca="1">DB_25[[#This Row],[SL-11]]*DB_25[[#This Row],[GB-11]]</f>
        <v>0</v>
      </c>
      <c r="BV175" s="147">
        <f ca="1">DB_25[[#This Row],[SL-12]]*DB_25[[#This Row],[GB-12]]</f>
        <v>0</v>
      </c>
      <c r="BW175" s="47">
        <f ca="1">SUM(DB_25[[#This Row],[DT-01-USD]:[DT-12-USD]])</f>
        <v>4.1547764143844246</v>
      </c>
    </row>
    <row r="176" spans="1:75" x14ac:dyDescent="0.35">
      <c r="A176" s="18">
        <f>ROWS($A$6:A176)</f>
        <v>171</v>
      </c>
      <c r="B176" s="18" t="s">
        <v>115</v>
      </c>
      <c r="C176" s="18" t="str">
        <f>IFERROR(_xlfn.XLOOKUP(DB_25[[#This Row],[Salesman]],MD_Salesman[Salesman],MD_Salesman[SalesManager]),"")</f>
        <v>Quốc Anh</v>
      </c>
      <c r="D176" s="7" t="s">
        <v>683</v>
      </c>
      <c r="E176" s="7" t="s">
        <v>72</v>
      </c>
      <c r="F176" s="7"/>
      <c r="G176" s="7" t="str">
        <f>_xlfn.XLOOKUP(DB_25[[#This Row],[Mã khách]],MD_Customer[Mã khách],MD_Customer[Kênh bán hàng])</f>
        <v>Nội địa</v>
      </c>
      <c r="H176" s="7"/>
      <c r="I176" s="7"/>
      <c r="J176" s="7"/>
      <c r="K176" s="7" t="s">
        <v>218</v>
      </c>
      <c r="L176" s="7" t="str">
        <f>_xlfn.XLOOKUP(DB_25[[#This Row],[Mã sản phẩm]],MD_SKU[Mã SKU],MD_SKU[Tên SKU-rút gọn])</f>
        <v>rPP20W01</v>
      </c>
      <c r="M176" s="7" t="str">
        <f>_xlfn.XLOOKUP(DB_25[[#This Row],[Mã sản phẩm]],MD_SKU[Mã SKU],MD_SKU[Nhóm ngành])</f>
        <v>Hạt PP</v>
      </c>
      <c r="N176" s="7"/>
      <c r="O176" s="47">
        <v>0</v>
      </c>
      <c r="P176" s="47">
        <v>5.0000000000000001E-3</v>
      </c>
      <c r="Q176" s="47">
        <v>0</v>
      </c>
      <c r="R176" s="47">
        <v>0</v>
      </c>
      <c r="S176" s="47">
        <v>0</v>
      </c>
      <c r="T176" s="47">
        <v>0</v>
      </c>
      <c r="U176" s="47">
        <v>0</v>
      </c>
      <c r="V176" s="47">
        <v>0</v>
      </c>
      <c r="W176" s="110">
        <f ca="1">SUMIFS(Data_Actual_LG_EXW[SL],Data_Actual_LG_EXW[Year],2025,Data_Actual_LG_EXW[Month],'DB 2025'!W$1,Data_Actual_LG_EXW[Mã KH],DB_25[[#This Row],[Mã khách]],Data_Actual_LG_EXW[Mã SKU],DB_25[[#This Row],[Mã sản phẩm]])/10^3</f>
        <v>0</v>
      </c>
      <c r="X176" s="33"/>
      <c r="Y176" s="33"/>
      <c r="Z176" s="33"/>
      <c r="AA176" s="19">
        <f ca="1">SUM(DB_25[[#This Row],[SL-01]:[SL-12]])</f>
        <v>5.0000000000000001E-3</v>
      </c>
      <c r="AB176" s="7"/>
      <c r="AC176" s="20">
        <f ca="1">DB_25[[#This Row],[SL-DB25]]-DB_25[[#This Row],[SL-KH25]]</f>
        <v>5.0000000000000001E-3</v>
      </c>
      <c r="AD176" s="21">
        <f ca="1">IFERROR(DB_25[[#This Row],[SL-+/-]]/DB_25[[#This Row],[SL-KH25]],0)</f>
        <v>0</v>
      </c>
      <c r="AE176" s="23">
        <v>0</v>
      </c>
      <c r="AF176" s="23">
        <v>830.95528287688489</v>
      </c>
      <c r="AG176" s="23">
        <v>0</v>
      </c>
      <c r="AH176" s="23">
        <v>0</v>
      </c>
      <c r="AI176" s="23">
        <v>0</v>
      </c>
      <c r="AJ176" s="23">
        <v>0</v>
      </c>
      <c r="AK176" s="23">
        <v>0</v>
      </c>
      <c r="AL176" s="23">
        <v>0</v>
      </c>
      <c r="AM176" s="111">
        <v>0</v>
      </c>
      <c r="AN176" s="51">
        <f ca="1">IFERROR(SUM(DB_25[[#This Row],[DT-01-USD]:[DT-09-USD]])/SUM(DB_25[[#This Row],[SL-01]:[SL-09]]),0)</f>
        <v>830.95528287688489</v>
      </c>
      <c r="AO176" s="51">
        <f ca="1">DB_25[[#This Row],[GB-10]]</f>
        <v>830.95528287688489</v>
      </c>
      <c r="AP176" s="51">
        <f ca="1">DB_25[[#This Row],[GB-11]]</f>
        <v>830.95528287688489</v>
      </c>
      <c r="AQ176" s="7"/>
      <c r="AR176" s="7"/>
      <c r="AS176" s="7"/>
      <c r="AT176" s="7"/>
      <c r="AU176" s="47">
        <v>0</v>
      </c>
      <c r="AV176" s="47">
        <v>105000</v>
      </c>
      <c r="AW176" s="47">
        <v>0</v>
      </c>
      <c r="AX176" s="47">
        <v>0</v>
      </c>
      <c r="AY176" s="47">
        <v>0</v>
      </c>
      <c r="AZ176" s="47">
        <v>0</v>
      </c>
      <c r="BA176" s="47">
        <v>0</v>
      </c>
      <c r="BB176" s="47">
        <v>0</v>
      </c>
      <c r="BC176" s="47">
        <v>0</v>
      </c>
      <c r="BD176" s="19">
        <f ca="1">DB_25[[#This Row],[SL-10]]*DB_25[[#This Row],[GB-10]]*BD$2/10^3</f>
        <v>0</v>
      </c>
      <c r="BE176" s="19">
        <f ca="1">DB_25[[#This Row],[SL-11]]*DB_25[[#This Row],[GB-11]]*BE$2/10^3</f>
        <v>0</v>
      </c>
      <c r="BF176" s="19">
        <f ca="1">DB_25[[#This Row],[SL-12]]*DB_25[[#This Row],[GB-12]]*BF$2/10^3</f>
        <v>0</v>
      </c>
      <c r="BG176" s="47">
        <f ca="1">SUM(DB_25[[#This Row],[DT-01]:[DT-12]])</f>
        <v>105000</v>
      </c>
      <c r="BH176" s="7"/>
      <c r="BI176" s="7"/>
      <c r="BJ176" s="7"/>
      <c r="BK176" s="50">
        <v>0</v>
      </c>
      <c r="BL176" s="109">
        <v>4.1547764143844246</v>
      </c>
      <c r="BM176" s="109">
        <v>0</v>
      </c>
      <c r="BN176" s="109">
        <v>0</v>
      </c>
      <c r="BO176" s="109">
        <v>0</v>
      </c>
      <c r="BP176" s="109">
        <v>0</v>
      </c>
      <c r="BQ176" s="109">
        <v>0</v>
      </c>
      <c r="BR176" s="109">
        <v>0</v>
      </c>
      <c r="BS176" s="109">
        <v>0</v>
      </c>
      <c r="BT176" s="147">
        <f ca="1">DB_25[[#This Row],[SL-10]]*DB_25[[#This Row],[GB-10]]</f>
        <v>0</v>
      </c>
      <c r="BU176" s="147">
        <f ca="1">DB_25[[#This Row],[SL-11]]*DB_25[[#This Row],[GB-11]]</f>
        <v>0</v>
      </c>
      <c r="BV176" s="147">
        <f ca="1">DB_25[[#This Row],[SL-12]]*DB_25[[#This Row],[GB-12]]</f>
        <v>0</v>
      </c>
      <c r="BW176" s="47">
        <f ca="1">SUM(DB_25[[#This Row],[DT-01-USD]:[DT-12-USD]])</f>
        <v>4.1547764143844246</v>
      </c>
    </row>
    <row r="177" spans="1:75" x14ac:dyDescent="0.35">
      <c r="A177" s="18">
        <f>ROWS($A$6:A177)</f>
        <v>172</v>
      </c>
      <c r="B177" s="18"/>
      <c r="C177" s="18"/>
      <c r="D177" s="7" t="s">
        <v>625</v>
      </c>
      <c r="E177" s="7" t="s">
        <v>271</v>
      </c>
      <c r="F177" s="7"/>
      <c r="G177" s="7" t="str">
        <f>_xlfn.XLOOKUP(DB_25[[#This Row],[Mã khách]],MD_Customer[Mã khách],MD_Customer[Kênh bán hàng])</f>
        <v>Nội địa</v>
      </c>
      <c r="H177" s="7"/>
      <c r="I177" s="7"/>
      <c r="J177" s="7"/>
      <c r="K177" s="7" t="s">
        <v>217</v>
      </c>
      <c r="L177" s="7" t="str">
        <f>_xlfn.XLOOKUP(DB_25[[#This Row],[Mã sản phẩm]],MD_SKU[Mã SKU],MD_SKU[Tên SKU-rút gọn])</f>
        <v>rPP20Gy01</v>
      </c>
      <c r="M177" s="7" t="str">
        <f>_xlfn.XLOOKUP(DB_25[[#This Row],[Mã sản phẩm]],MD_SKU[Mã SKU],MD_SKU[Nhóm ngành])</f>
        <v>Hạt PP</v>
      </c>
      <c r="N177" s="7"/>
      <c r="O177" s="47"/>
      <c r="P177" s="47"/>
      <c r="Q177" s="47"/>
      <c r="R177" s="47"/>
      <c r="S177" s="47"/>
      <c r="T177" s="47"/>
      <c r="U177" s="47"/>
      <c r="V177" s="47"/>
      <c r="W177" s="110">
        <f ca="1">SUMIFS(Data_Actual_LG_EXW[SL],Data_Actual_LG_EXW[Year],2025,Data_Actual_LG_EXW[Month],'DB 2025'!W$1,Data_Actual_LG_EXW[Mã KH],DB_25[[#This Row],[Mã khách]],Data_Actual_LG_EXW[Mã SKU],DB_25[[#This Row],[Mã sản phẩm]])/10^3</f>
        <v>2.5000000000000001E-2</v>
      </c>
      <c r="X177" s="33"/>
      <c r="Y177" s="33"/>
      <c r="Z177" s="33"/>
      <c r="AA177" s="19">
        <f ca="1">SUM(DB_25[[#This Row],[SL-01]:[SL-12]])</f>
        <v>2.5000000000000001E-2</v>
      </c>
      <c r="AB177" s="7"/>
      <c r="AC177" s="20">
        <f ca="1">DB_25[[#This Row],[SL-DB25]]-DB_25[[#This Row],[SL-KH25]]</f>
        <v>2.5000000000000001E-2</v>
      </c>
      <c r="AD177" s="21">
        <f ca="1">IFERROR(DB_25[[#This Row],[SL-+/-]]/DB_25[[#This Row],[SL-KH25]],0)</f>
        <v>0</v>
      </c>
      <c r="AE177" s="23">
        <v>0</v>
      </c>
      <c r="AF177" s="23">
        <v>0</v>
      </c>
      <c r="AG177" s="23">
        <v>0</v>
      </c>
      <c r="AH177" s="23">
        <v>0</v>
      </c>
      <c r="AI177" s="23">
        <v>0</v>
      </c>
      <c r="AJ177" s="23">
        <v>0</v>
      </c>
      <c r="AK177" s="23">
        <v>0</v>
      </c>
      <c r="AL177" s="23">
        <v>0</v>
      </c>
      <c r="AM177" s="111">
        <v>0</v>
      </c>
      <c r="AN177" s="51">
        <f ca="1">IFERROR(SUM(DB_25[[#This Row],[DT-01-USD]:[DT-09-USD]])/SUM(DB_25[[#This Row],[SL-01]:[SL-09]]),0)</f>
        <v>0</v>
      </c>
      <c r="AO177" s="51">
        <f ca="1">DB_25[[#This Row],[GB-10]]</f>
        <v>0</v>
      </c>
      <c r="AP177" s="51">
        <f ca="1">DB_25[[#This Row],[GB-11]]</f>
        <v>0</v>
      </c>
      <c r="AQ177" s="7"/>
      <c r="AR177" s="7"/>
      <c r="AS177" s="7"/>
      <c r="AT177" s="7"/>
      <c r="AU177" s="47">
        <v>0</v>
      </c>
      <c r="AV177" s="47">
        <v>0</v>
      </c>
      <c r="AW177" s="47">
        <v>0</v>
      </c>
      <c r="AX177" s="47">
        <v>0</v>
      </c>
      <c r="AY177" s="47">
        <v>0</v>
      </c>
      <c r="AZ177" s="47">
        <v>0</v>
      </c>
      <c r="BA177" s="47">
        <v>0</v>
      </c>
      <c r="BB177" s="47">
        <v>0</v>
      </c>
      <c r="BC177" s="47">
        <v>715716</v>
      </c>
      <c r="BD177" s="19">
        <f ca="1">DB_25[[#This Row],[SL-10]]*DB_25[[#This Row],[GB-10]]*BD$2/10^3</f>
        <v>0</v>
      </c>
      <c r="BE177" s="19">
        <f ca="1">DB_25[[#This Row],[SL-11]]*DB_25[[#This Row],[GB-11]]*BE$2/10^3</f>
        <v>0</v>
      </c>
      <c r="BF177" s="19">
        <f ca="1">DB_25[[#This Row],[SL-12]]*DB_25[[#This Row],[GB-12]]*BF$2/10^3</f>
        <v>0</v>
      </c>
      <c r="BG177" s="19">
        <f ca="1">SUM(DB_25[[#This Row],[DT-01]:[DT-12]])</f>
        <v>715716</v>
      </c>
      <c r="BH177" s="7"/>
      <c r="BI177" s="7"/>
      <c r="BJ177" s="7"/>
      <c r="BK177" s="47"/>
      <c r="BL177" s="19"/>
      <c r="BM177" s="19"/>
      <c r="BN177" s="19"/>
      <c r="BO177" s="19"/>
      <c r="BP177" s="19"/>
      <c r="BQ177" s="19"/>
      <c r="BR177" s="19"/>
      <c r="BS177" s="19"/>
      <c r="BT177" s="148">
        <f ca="1">DB_25[[#This Row],[SL-10]]*DB_25[[#This Row],[GB-10]]</f>
        <v>0</v>
      </c>
      <c r="BU177" s="148">
        <f ca="1">DB_25[[#This Row],[SL-11]]*DB_25[[#This Row],[GB-11]]</f>
        <v>0</v>
      </c>
      <c r="BV177" s="148">
        <f ca="1">DB_25[[#This Row],[SL-12]]*DB_25[[#This Row],[GB-12]]</f>
        <v>0</v>
      </c>
      <c r="BW177" s="47">
        <f ca="1">SUM(DB_25[[#This Row],[DT-01-USD]:[DT-12-USD]])</f>
        <v>0</v>
      </c>
    </row>
    <row r="178" spans="1:75" x14ac:dyDescent="0.35">
      <c r="A178" s="18">
        <f>ROWS($A$6:A178)</f>
        <v>173</v>
      </c>
      <c r="B178" s="18"/>
      <c r="C178" s="18"/>
      <c r="D178" s="7" t="s">
        <v>665</v>
      </c>
      <c r="E178" s="7" t="s">
        <v>498</v>
      </c>
      <c r="F178" s="7"/>
      <c r="G178" s="7" t="str">
        <f>_xlfn.XLOOKUP(DB_25[[#This Row],[Mã khách]],MD_Customer[Mã khách],MD_Customer[Kênh bán hàng])</f>
        <v>Nội địa</v>
      </c>
      <c r="H178" s="7"/>
      <c r="I178" s="7"/>
      <c r="J178" s="7"/>
      <c r="K178" s="7" t="s">
        <v>171</v>
      </c>
      <c r="L178" s="7" t="str">
        <f>_xlfn.XLOOKUP(DB_25[[#This Row],[Mã sản phẩm]],MD_SKU[Mã SKU],MD_SKU[Tên SKU-rút gọn])</f>
        <v>WSS01G 1</v>
      </c>
      <c r="M178" s="7" t="str">
        <f>_xlfn.XLOOKUP(DB_25[[#This Row],[Mã sản phẩm]],MD_SKU[Mã SKU],MD_SKU[Nhóm ngành])</f>
        <v>Hạt PET</v>
      </c>
      <c r="N178" s="7"/>
      <c r="O178" s="47"/>
      <c r="P178" s="47"/>
      <c r="Q178" s="47"/>
      <c r="R178" s="47"/>
      <c r="S178" s="47"/>
      <c r="T178" s="47"/>
      <c r="U178" s="47"/>
      <c r="V178" s="47"/>
      <c r="W178" s="110">
        <f ca="1">SUMIFS(Data_Actual_LG_EXW[SL],Data_Actual_LG_EXW[Year],2025,Data_Actual_LG_EXW[Month],'DB 2025'!W$1,Data_Actual_LG_EXW[Mã KH],DB_25[[#This Row],[Mã khách]],Data_Actual_LG_EXW[Mã SKU],DB_25[[#This Row],[Mã sản phẩm]])/10^3</f>
        <v>0.5</v>
      </c>
      <c r="X178" s="33"/>
      <c r="Y178" s="33"/>
      <c r="Z178" s="33"/>
      <c r="AA178" s="19">
        <f ca="1">SUM(DB_25[[#This Row],[SL-01]:[SL-12]])</f>
        <v>0.5</v>
      </c>
      <c r="AB178" s="7"/>
      <c r="AC178" s="20">
        <f ca="1">DB_25[[#This Row],[SL-DB25]]-DB_25[[#This Row],[SL-KH25]]</f>
        <v>0.5</v>
      </c>
      <c r="AD178" s="21">
        <f ca="1">IFERROR(DB_25[[#This Row],[SL-+/-]]/DB_25[[#This Row],[SL-KH25]],0)</f>
        <v>0</v>
      </c>
      <c r="AE178" s="23">
        <v>0</v>
      </c>
      <c r="AF178" s="23">
        <v>0</v>
      </c>
      <c r="AG178" s="23">
        <v>0</v>
      </c>
      <c r="AH178" s="23">
        <v>0</v>
      </c>
      <c r="AI178" s="23">
        <v>0</v>
      </c>
      <c r="AJ178" s="23">
        <v>0</v>
      </c>
      <c r="AK178" s="23">
        <v>0</v>
      </c>
      <c r="AL178" s="23">
        <v>0</v>
      </c>
      <c r="AM178" s="111">
        <v>0</v>
      </c>
      <c r="AN178" s="51">
        <f ca="1">IFERROR(SUM(DB_25[[#This Row],[DT-01-USD]:[DT-09-USD]])/SUM(DB_25[[#This Row],[SL-01]:[SL-09]]),0)</f>
        <v>0</v>
      </c>
      <c r="AO178" s="51">
        <f ca="1">DB_25[[#This Row],[GB-10]]</f>
        <v>0</v>
      </c>
      <c r="AP178" s="51">
        <f ca="1">DB_25[[#This Row],[GB-11]]</f>
        <v>0</v>
      </c>
      <c r="AQ178" s="7"/>
      <c r="AR178" s="7"/>
      <c r="AS178" s="7"/>
      <c r="AT178" s="7"/>
      <c r="AU178" s="47">
        <v>0</v>
      </c>
      <c r="AV178" s="47">
        <v>0</v>
      </c>
      <c r="AW178" s="47">
        <v>0</v>
      </c>
      <c r="AX178" s="47">
        <v>0</v>
      </c>
      <c r="AY178" s="47">
        <v>0</v>
      </c>
      <c r="AZ178" s="47">
        <v>0</v>
      </c>
      <c r="BA178" s="47">
        <v>0</v>
      </c>
      <c r="BB178" s="47">
        <v>0</v>
      </c>
      <c r="BC178" s="47">
        <v>16457862.885741265</v>
      </c>
      <c r="BD178" s="19">
        <f ca="1">DB_25[[#This Row],[SL-10]]*DB_25[[#This Row],[GB-10]]*BD$2/10^3</f>
        <v>0</v>
      </c>
      <c r="BE178" s="19">
        <f ca="1">DB_25[[#This Row],[SL-11]]*DB_25[[#This Row],[GB-11]]*BE$2/10^3</f>
        <v>0</v>
      </c>
      <c r="BF178" s="19">
        <f ca="1">DB_25[[#This Row],[SL-12]]*DB_25[[#This Row],[GB-12]]*BF$2/10^3</f>
        <v>0</v>
      </c>
      <c r="BG178" s="19">
        <f ca="1">SUM(DB_25[[#This Row],[DT-01]:[DT-12]])</f>
        <v>16457862.885741265</v>
      </c>
      <c r="BH178" s="7"/>
      <c r="BI178" s="7"/>
      <c r="BJ178" s="7"/>
      <c r="BK178" s="47"/>
      <c r="BL178" s="19"/>
      <c r="BM178" s="19"/>
      <c r="BN178" s="19"/>
      <c r="BO178" s="19"/>
      <c r="BP178" s="19"/>
      <c r="BQ178" s="19"/>
      <c r="BR178" s="19"/>
      <c r="BS178" s="19"/>
      <c r="BT178" s="148">
        <f ca="1">DB_25[[#This Row],[SL-10]]*DB_25[[#This Row],[GB-10]]</f>
        <v>0</v>
      </c>
      <c r="BU178" s="148">
        <f ca="1">DB_25[[#This Row],[SL-11]]*DB_25[[#This Row],[GB-11]]</f>
        <v>0</v>
      </c>
      <c r="BV178" s="148">
        <f ca="1">DB_25[[#This Row],[SL-12]]*DB_25[[#This Row],[GB-12]]</f>
        <v>0</v>
      </c>
      <c r="BW178" s="47">
        <f ca="1">SUM(DB_25[[#This Row],[DT-01-USD]:[DT-12-USD]])</f>
        <v>0</v>
      </c>
    </row>
    <row r="179" spans="1:75" x14ac:dyDescent="0.35">
      <c r="A179" s="18">
        <f>ROWS($A$6:A179)</f>
        <v>174</v>
      </c>
      <c r="B179" s="18"/>
      <c r="C179" s="18"/>
      <c r="D179" s="7" t="s">
        <v>684</v>
      </c>
      <c r="E179" s="7" t="s">
        <v>63</v>
      </c>
      <c r="F179" s="7"/>
      <c r="G179" s="7" t="str">
        <f>_xlfn.XLOOKUP(DB_25[[#This Row],[Mã khách]],MD_Customer[Mã khách],MD_Customer[Kênh bán hàng])</f>
        <v>Nội địa</v>
      </c>
      <c r="H179" s="7"/>
      <c r="I179" s="7"/>
      <c r="J179" s="7"/>
      <c r="K179" s="7" t="s">
        <v>219</v>
      </c>
      <c r="L179" s="7" t="str">
        <f>_xlfn.XLOOKUP(DB_25[[#This Row],[Mã sản phẩm]],MD_SKU[Mã SKU],MD_SKU[Tên SKU-rút gọn])</f>
        <v>rPP20W02</v>
      </c>
      <c r="M179" s="7" t="str">
        <f>_xlfn.XLOOKUP(DB_25[[#This Row],[Mã sản phẩm]],MD_SKU[Mã SKU],MD_SKU[Nhóm ngành])</f>
        <v>Hạt PP</v>
      </c>
      <c r="N179" s="7"/>
      <c r="O179" s="47"/>
      <c r="P179" s="47"/>
      <c r="Q179" s="47"/>
      <c r="R179" s="47"/>
      <c r="S179" s="47"/>
      <c r="T179" s="47"/>
      <c r="U179" s="47"/>
      <c r="V179" s="47"/>
      <c r="W179" s="110">
        <f ca="1">SUMIFS(Data_Actual_LG_EXW[SL],Data_Actual_LG_EXW[Year],2025,Data_Actual_LG_EXW[Month],'DB 2025'!W$1,Data_Actual_LG_EXW[Mã KH],DB_25[[#This Row],[Mã khách]],Data_Actual_LG_EXW[Mã SKU],DB_25[[#This Row],[Mã sản phẩm]])/10^3</f>
        <v>5</v>
      </c>
      <c r="X179" s="33"/>
      <c r="Y179" s="33"/>
      <c r="Z179" s="33"/>
      <c r="AA179" s="19">
        <f ca="1">SUM(DB_25[[#This Row],[SL-01]:[SL-12]])</f>
        <v>5</v>
      </c>
      <c r="AB179" s="7"/>
      <c r="AC179" s="20">
        <f ca="1">DB_25[[#This Row],[SL-DB25]]-DB_25[[#This Row],[SL-KH25]]</f>
        <v>5</v>
      </c>
      <c r="AD179" s="21">
        <f ca="1">IFERROR(DB_25[[#This Row],[SL-+/-]]/DB_25[[#This Row],[SL-KH25]],0)</f>
        <v>0</v>
      </c>
      <c r="AE179" s="23">
        <v>0</v>
      </c>
      <c r="AF179" s="23">
        <v>0</v>
      </c>
      <c r="AG179" s="23">
        <v>0</v>
      </c>
      <c r="AH179" s="23">
        <v>0</v>
      </c>
      <c r="AI179" s="23">
        <v>0</v>
      </c>
      <c r="AJ179" s="23">
        <v>0</v>
      </c>
      <c r="AK179" s="23">
        <v>0</v>
      </c>
      <c r="AL179" s="23">
        <v>0</v>
      </c>
      <c r="AM179" s="111">
        <v>0</v>
      </c>
      <c r="AN179" s="51">
        <f ca="1">IFERROR(SUM(DB_25[[#This Row],[DT-01-USD]:[DT-09-USD]])/SUM(DB_25[[#This Row],[SL-01]:[SL-09]]),0)</f>
        <v>0</v>
      </c>
      <c r="AO179" s="51">
        <f ca="1">DB_25[[#This Row],[GB-10]]</f>
        <v>0</v>
      </c>
      <c r="AP179" s="51">
        <f ca="1">DB_25[[#This Row],[GB-11]]</f>
        <v>0</v>
      </c>
      <c r="AQ179" s="7"/>
      <c r="AR179" s="7"/>
      <c r="AS179" s="7"/>
      <c r="AT179" s="7"/>
      <c r="AU179" s="47">
        <v>0</v>
      </c>
      <c r="AV179" s="47">
        <v>0</v>
      </c>
      <c r="AW179" s="47">
        <v>0</v>
      </c>
      <c r="AX179" s="47">
        <v>0</v>
      </c>
      <c r="AY179" s="47">
        <v>0</v>
      </c>
      <c r="AZ179" s="47">
        <v>0</v>
      </c>
      <c r="BA179" s="47">
        <v>0</v>
      </c>
      <c r="BB179" s="47">
        <v>0</v>
      </c>
      <c r="BC179" s="47">
        <v>100000000</v>
      </c>
      <c r="BD179" s="19">
        <f ca="1">DB_25[[#This Row],[SL-10]]*DB_25[[#This Row],[GB-10]]*BD$2/10^3</f>
        <v>0</v>
      </c>
      <c r="BE179" s="19">
        <f ca="1">DB_25[[#This Row],[SL-11]]*DB_25[[#This Row],[GB-11]]*BE$2/10^3</f>
        <v>0</v>
      </c>
      <c r="BF179" s="19">
        <f ca="1">DB_25[[#This Row],[SL-12]]*DB_25[[#This Row],[GB-12]]*BF$2/10^3</f>
        <v>0</v>
      </c>
      <c r="BG179" s="19">
        <f ca="1">SUM(DB_25[[#This Row],[DT-01]:[DT-12]])</f>
        <v>100000000</v>
      </c>
      <c r="BH179" s="7"/>
      <c r="BI179" s="7"/>
      <c r="BJ179" s="7"/>
      <c r="BK179" s="47"/>
      <c r="BL179" s="19"/>
      <c r="BM179" s="19"/>
      <c r="BN179" s="19"/>
      <c r="BO179" s="19"/>
      <c r="BP179" s="19"/>
      <c r="BQ179" s="19"/>
      <c r="BR179" s="19"/>
      <c r="BS179" s="19"/>
      <c r="BT179" s="148">
        <f ca="1">DB_25[[#This Row],[SL-10]]*DB_25[[#This Row],[GB-10]]</f>
        <v>0</v>
      </c>
      <c r="BU179" s="148">
        <f ca="1">DB_25[[#This Row],[SL-11]]*DB_25[[#This Row],[GB-11]]</f>
        <v>0</v>
      </c>
      <c r="BV179" s="148">
        <f ca="1">DB_25[[#This Row],[SL-12]]*DB_25[[#This Row],[GB-12]]</f>
        <v>0</v>
      </c>
      <c r="BW179" s="47">
        <f ca="1">SUM(DB_25[[#This Row],[DT-01-USD]:[DT-12-USD]])</f>
        <v>0</v>
      </c>
    </row>
    <row r="180" spans="1:75" x14ac:dyDescent="0.35">
      <c r="A180" s="18">
        <f>ROWS($A$6:A180)</f>
        <v>175</v>
      </c>
      <c r="B180" s="18"/>
      <c r="C180" s="18"/>
      <c r="D180" s="7" t="s">
        <v>652</v>
      </c>
      <c r="E180" s="7" t="s">
        <v>71</v>
      </c>
      <c r="F180" s="7"/>
      <c r="G180" s="7" t="str">
        <f>_xlfn.XLOOKUP(DB_25[[#This Row],[Mã khách]],MD_Customer[Mã khách],MD_Customer[Kênh bán hàng])</f>
        <v>Nội địa</v>
      </c>
      <c r="H180" s="7"/>
      <c r="I180" s="7"/>
      <c r="J180" s="7"/>
      <c r="K180" s="7" t="s">
        <v>173</v>
      </c>
      <c r="L180" s="7" t="str">
        <f>_xlfn.XLOOKUP(DB_25[[#This Row],[Mã sản phẩm]],MD_SKU[Mã SKU],MD_SKU[Tên SKU-rút gọn])</f>
        <v>WSS02G</v>
      </c>
      <c r="M180" s="7" t="str">
        <f>_xlfn.XLOOKUP(DB_25[[#This Row],[Mã sản phẩm]],MD_SKU[Mã SKU],MD_SKU[Nhóm ngành])</f>
        <v>Hạt PET</v>
      </c>
      <c r="N180" s="7"/>
      <c r="O180" s="47"/>
      <c r="P180" s="47"/>
      <c r="Q180" s="47"/>
      <c r="R180" s="47"/>
      <c r="S180" s="47"/>
      <c r="T180" s="47"/>
      <c r="U180" s="47"/>
      <c r="V180" s="47"/>
      <c r="W180" s="110">
        <f ca="1">SUMIFS(Data_Actual_LG_EXW[SL],Data_Actual_LG_EXW[Year],2025,Data_Actual_LG_EXW[Month],'DB 2025'!W$1,Data_Actual_LG_EXW[Mã KH],DB_25[[#This Row],[Mã khách]],Data_Actual_LG_EXW[Mã SKU],DB_25[[#This Row],[Mã sản phẩm]])/10^3</f>
        <v>3.3</v>
      </c>
      <c r="X180" s="33"/>
      <c r="Y180" s="33"/>
      <c r="Z180" s="33"/>
      <c r="AA180" s="19">
        <f ca="1">SUM(DB_25[[#This Row],[SL-01]:[SL-12]])</f>
        <v>3.3</v>
      </c>
      <c r="AB180" s="7"/>
      <c r="AC180" s="20">
        <f ca="1">DB_25[[#This Row],[SL-DB25]]-DB_25[[#This Row],[SL-KH25]]</f>
        <v>3.3</v>
      </c>
      <c r="AD180" s="21">
        <f ca="1">IFERROR(DB_25[[#This Row],[SL-+/-]]/DB_25[[#This Row],[SL-KH25]],0)</f>
        <v>0</v>
      </c>
      <c r="AE180" s="23">
        <v>0</v>
      </c>
      <c r="AF180" s="23">
        <v>0</v>
      </c>
      <c r="AG180" s="23">
        <v>0</v>
      </c>
      <c r="AH180" s="23">
        <v>0</v>
      </c>
      <c r="AI180" s="23">
        <v>0</v>
      </c>
      <c r="AJ180" s="23">
        <v>0</v>
      </c>
      <c r="AK180" s="23">
        <v>0</v>
      </c>
      <c r="AL180" s="23">
        <v>0</v>
      </c>
      <c r="AM180" s="111">
        <v>0</v>
      </c>
      <c r="AN180" s="51">
        <f ca="1">IFERROR(SUM(DB_25[[#This Row],[DT-01-USD]:[DT-09-USD]])/SUM(DB_25[[#This Row],[SL-01]:[SL-09]]),0)</f>
        <v>0</v>
      </c>
      <c r="AO180" s="51">
        <f ca="1">DB_25[[#This Row],[GB-10]]</f>
        <v>0</v>
      </c>
      <c r="AP180" s="51">
        <f ca="1">DB_25[[#This Row],[GB-11]]</f>
        <v>0</v>
      </c>
      <c r="AQ180" s="7"/>
      <c r="AR180" s="7"/>
      <c r="AS180" s="7"/>
      <c r="AT180" s="7"/>
      <c r="AU180" s="47">
        <v>0</v>
      </c>
      <c r="AV180" s="47">
        <v>0</v>
      </c>
      <c r="AW180" s="47">
        <v>0</v>
      </c>
      <c r="AX180" s="47">
        <v>0</v>
      </c>
      <c r="AY180" s="47">
        <v>0</v>
      </c>
      <c r="AZ180" s="47">
        <v>0</v>
      </c>
      <c r="BA180" s="47">
        <v>0</v>
      </c>
      <c r="BB180" s="47">
        <v>0</v>
      </c>
      <c r="BC180" s="47">
        <v>100749032.65722379</v>
      </c>
      <c r="BD180" s="19">
        <f ca="1">DB_25[[#This Row],[SL-10]]*DB_25[[#This Row],[GB-10]]*BD$2/10^3</f>
        <v>0</v>
      </c>
      <c r="BE180" s="19">
        <f ca="1">DB_25[[#This Row],[SL-11]]*DB_25[[#This Row],[GB-11]]*BE$2/10^3</f>
        <v>0</v>
      </c>
      <c r="BF180" s="19">
        <f ca="1">DB_25[[#This Row],[SL-12]]*DB_25[[#This Row],[GB-12]]*BF$2/10^3</f>
        <v>0</v>
      </c>
      <c r="BG180" s="19">
        <f ca="1">SUM(DB_25[[#This Row],[DT-01]:[DT-12]])</f>
        <v>100749032.65722379</v>
      </c>
      <c r="BH180" s="7"/>
      <c r="BI180" s="7"/>
      <c r="BJ180" s="7"/>
      <c r="BK180" s="47"/>
      <c r="BL180" s="19"/>
      <c r="BM180" s="19"/>
      <c r="BN180" s="19"/>
      <c r="BO180" s="19"/>
      <c r="BP180" s="19"/>
      <c r="BQ180" s="19"/>
      <c r="BR180" s="19"/>
      <c r="BS180" s="19"/>
      <c r="BT180" s="148">
        <f ca="1">DB_25[[#This Row],[SL-10]]*DB_25[[#This Row],[GB-10]]</f>
        <v>0</v>
      </c>
      <c r="BU180" s="148">
        <f ca="1">DB_25[[#This Row],[SL-11]]*DB_25[[#This Row],[GB-11]]</f>
        <v>0</v>
      </c>
      <c r="BV180" s="148">
        <f ca="1">DB_25[[#This Row],[SL-12]]*DB_25[[#This Row],[GB-12]]</f>
        <v>0</v>
      </c>
      <c r="BW180" s="47">
        <f ca="1">SUM(DB_25[[#This Row],[DT-01-USD]:[DT-12-USD]])</f>
        <v>0</v>
      </c>
    </row>
    <row r="181" spans="1:75" x14ac:dyDescent="0.35">
      <c r="A181" s="18">
        <f>ROWS($A$6:A181)</f>
        <v>176</v>
      </c>
      <c r="B181" s="18"/>
      <c r="C181" s="18"/>
      <c r="D181" s="7" t="s">
        <v>627</v>
      </c>
      <c r="E181" s="7" t="s">
        <v>58</v>
      </c>
      <c r="F181" s="7"/>
      <c r="G181" s="7" t="str">
        <f>_xlfn.XLOOKUP(DB_25[[#This Row],[Mã khách]],MD_Customer[Mã khách],MD_Customer[Kênh bán hàng])</f>
        <v>Nội địa</v>
      </c>
      <c r="H181" s="7"/>
      <c r="I181" s="7"/>
      <c r="J181" s="7"/>
      <c r="K181" s="7" t="s">
        <v>221</v>
      </c>
      <c r="L181" s="7" t="str">
        <f>_xlfn.XLOOKUP(DB_25[[#This Row],[Mã sản phẩm]],MD_SKU[Mã SKU],MD_SKU[Tên SKU-rút gọn])</f>
        <v>PS HD Ép Hỗn Hợp Cuối SSR</v>
      </c>
      <c r="M181" s="7" t="str">
        <f>_xlfn.XLOOKUP(DB_25[[#This Row],[Mã sản phẩm]],MD_SKU[Mã SKU],MD_SKU[Nhóm ngành])</f>
        <v>Vảy Phó sản HD ép</v>
      </c>
      <c r="N181" s="7"/>
      <c r="O181" s="47"/>
      <c r="P181" s="47"/>
      <c r="Q181" s="47"/>
      <c r="R181" s="47"/>
      <c r="S181" s="47"/>
      <c r="T181" s="47"/>
      <c r="U181" s="47"/>
      <c r="V181" s="47"/>
      <c r="W181" s="110">
        <f ca="1">SUMIFS(Data_Actual_LG_EXW[SL],Data_Actual_LG_EXW[Year],2025,Data_Actual_LG_EXW[Month],'DB 2025'!W$1,Data_Actual_LG_EXW[Mã KH],DB_25[[#This Row],[Mã khách]],Data_Actual_LG_EXW[Mã SKU],DB_25[[#This Row],[Mã sản phẩm]])/10^3</f>
        <v>10.538</v>
      </c>
      <c r="X181" s="33"/>
      <c r="Y181" s="33"/>
      <c r="Z181" s="33"/>
      <c r="AA181" s="19">
        <f ca="1">SUM(DB_25[[#This Row],[SL-01]:[SL-12]])</f>
        <v>10.538</v>
      </c>
      <c r="AB181" s="7"/>
      <c r="AC181" s="20">
        <f ca="1">DB_25[[#This Row],[SL-DB25]]-DB_25[[#This Row],[SL-KH25]]</f>
        <v>10.538</v>
      </c>
      <c r="AD181" s="21">
        <f ca="1">IFERROR(DB_25[[#This Row],[SL-+/-]]/DB_25[[#This Row],[SL-KH25]],0)</f>
        <v>0</v>
      </c>
      <c r="AE181" s="23">
        <v>0</v>
      </c>
      <c r="AF181" s="23">
        <v>0</v>
      </c>
      <c r="AG181" s="23">
        <v>0</v>
      </c>
      <c r="AH181" s="23">
        <v>0</v>
      </c>
      <c r="AI181" s="23">
        <v>0</v>
      </c>
      <c r="AJ181" s="23">
        <v>0</v>
      </c>
      <c r="AK181" s="23">
        <v>0</v>
      </c>
      <c r="AL181" s="23">
        <v>0</v>
      </c>
      <c r="AM181" s="111">
        <v>0</v>
      </c>
      <c r="AN181" s="51">
        <f ca="1">IFERROR(SUM(DB_25[[#This Row],[DT-01-USD]:[DT-09-USD]])/SUM(DB_25[[#This Row],[SL-01]:[SL-09]]),0)</f>
        <v>0</v>
      </c>
      <c r="AO181" s="51">
        <f ca="1">DB_25[[#This Row],[GB-10]]</f>
        <v>0</v>
      </c>
      <c r="AP181" s="51">
        <f ca="1">DB_25[[#This Row],[GB-11]]</f>
        <v>0</v>
      </c>
      <c r="AQ181" s="7"/>
      <c r="AR181" s="7"/>
      <c r="AS181" s="7"/>
      <c r="AT181" s="7"/>
      <c r="AU181" s="47">
        <v>0</v>
      </c>
      <c r="AV181" s="47">
        <v>0</v>
      </c>
      <c r="AW181" s="47">
        <v>0</v>
      </c>
      <c r="AX181" s="47">
        <v>0</v>
      </c>
      <c r="AY181" s="47">
        <v>0</v>
      </c>
      <c r="AZ181" s="47">
        <v>0</v>
      </c>
      <c r="BA181" s="47">
        <v>0</v>
      </c>
      <c r="BB181" s="47">
        <v>109761836.56480473</v>
      </c>
      <c r="BC181" s="47">
        <v>104653867.39447334</v>
      </c>
      <c r="BD181" s="19">
        <f ca="1">DB_25[[#This Row],[SL-10]]*DB_25[[#This Row],[GB-10]]*BD$2/10^3</f>
        <v>0</v>
      </c>
      <c r="BE181" s="19">
        <f ca="1">DB_25[[#This Row],[SL-11]]*DB_25[[#This Row],[GB-11]]*BE$2/10^3</f>
        <v>0</v>
      </c>
      <c r="BF181" s="19">
        <f ca="1">DB_25[[#This Row],[SL-12]]*DB_25[[#This Row],[GB-12]]*BF$2/10^3</f>
        <v>0</v>
      </c>
      <c r="BG181" s="19">
        <f ca="1">SUM(DB_25[[#This Row],[DT-01]:[DT-12]])</f>
        <v>214415703.95927808</v>
      </c>
      <c r="BH181" s="7"/>
      <c r="BI181" s="7"/>
      <c r="BJ181" s="7"/>
      <c r="BK181" s="47"/>
      <c r="BL181" s="19"/>
      <c r="BM181" s="19"/>
      <c r="BN181" s="19"/>
      <c r="BO181" s="19"/>
      <c r="BP181" s="19"/>
      <c r="BQ181" s="19"/>
      <c r="BR181" s="19"/>
      <c r="BS181" s="19"/>
      <c r="BT181" s="148">
        <f ca="1">DB_25[[#This Row],[SL-10]]*DB_25[[#This Row],[GB-10]]</f>
        <v>0</v>
      </c>
      <c r="BU181" s="148">
        <f ca="1">DB_25[[#This Row],[SL-11]]*DB_25[[#This Row],[GB-11]]</f>
        <v>0</v>
      </c>
      <c r="BV181" s="148">
        <f ca="1">DB_25[[#This Row],[SL-12]]*DB_25[[#This Row],[GB-12]]</f>
        <v>0</v>
      </c>
      <c r="BW181" s="47">
        <f ca="1">SUM(DB_25[[#This Row],[DT-01-USD]:[DT-12-USD]])</f>
        <v>0</v>
      </c>
    </row>
    <row r="182" spans="1:75" x14ac:dyDescent="0.35">
      <c r="A182" s="18">
        <f>ROWS($A$6:A182)</f>
        <v>177</v>
      </c>
      <c r="B182" s="18"/>
      <c r="C182" s="18"/>
      <c r="D182" s="7" t="s">
        <v>661</v>
      </c>
      <c r="E182" s="7" t="s">
        <v>106</v>
      </c>
      <c r="F182" s="7"/>
      <c r="G182" s="7" t="str">
        <f>_xlfn.XLOOKUP(DB_25[[#This Row],[Mã khách]],MD_Customer[Mã khách],MD_Customer[Kênh bán hàng])</f>
        <v>Nội địa</v>
      </c>
      <c r="H182" s="7"/>
      <c r="I182" s="7"/>
      <c r="J182" s="7"/>
      <c r="K182" s="7" t="s">
        <v>170</v>
      </c>
      <c r="L182" s="7" t="str">
        <f>_xlfn.XLOOKUP(DB_25[[#This Row],[Mã sản phẩm]],MD_SKU[Mã SKU],MD_SKU[Tên SKU-rút gọn])</f>
        <v>WSS04</v>
      </c>
      <c r="M182" s="7" t="str">
        <f>_xlfn.XLOOKUP(DB_25[[#This Row],[Mã sản phẩm]],MD_SKU[Mã SKU],MD_SKU[Nhóm ngành])</f>
        <v>Hạt PET</v>
      </c>
      <c r="N182" s="7"/>
      <c r="O182" s="47"/>
      <c r="P182" s="47"/>
      <c r="Q182" s="47"/>
      <c r="R182" s="47"/>
      <c r="S182" s="47"/>
      <c r="T182" s="47"/>
      <c r="U182" s="47"/>
      <c r="V182" s="47"/>
      <c r="W182" s="110">
        <f ca="1">SUMIFS(Data_Actual_LG_EXW[SL],Data_Actual_LG_EXW[Year],2025,Data_Actual_LG_EXW[Month],'DB 2025'!W$1,Data_Actual_LG_EXW[Mã KH],DB_25[[#This Row],[Mã khách]],Data_Actual_LG_EXW[Mã SKU],DB_25[[#This Row],[Mã sản phẩm]])/10^3</f>
        <v>24.2</v>
      </c>
      <c r="X182" s="33"/>
      <c r="Y182" s="33"/>
      <c r="Z182" s="33"/>
      <c r="AA182" s="19">
        <f ca="1">SUM(DB_25[[#This Row],[SL-01]:[SL-12]])</f>
        <v>24.2</v>
      </c>
      <c r="AB182" s="7"/>
      <c r="AC182" s="20">
        <f ca="1">DB_25[[#This Row],[SL-DB25]]-DB_25[[#This Row],[SL-KH25]]</f>
        <v>24.2</v>
      </c>
      <c r="AD182" s="21">
        <f ca="1">IFERROR(DB_25[[#This Row],[SL-+/-]]/DB_25[[#This Row],[SL-KH25]],0)</f>
        <v>0</v>
      </c>
      <c r="AE182" s="23">
        <v>0</v>
      </c>
      <c r="AF182" s="23">
        <v>0</v>
      </c>
      <c r="AG182" s="23">
        <v>0</v>
      </c>
      <c r="AH182" s="23">
        <v>0</v>
      </c>
      <c r="AI182" s="23">
        <v>0</v>
      </c>
      <c r="AJ182" s="23">
        <v>0</v>
      </c>
      <c r="AK182" s="23">
        <v>0</v>
      </c>
      <c r="AL182" s="23">
        <v>0</v>
      </c>
      <c r="AM182" s="111">
        <v>0</v>
      </c>
      <c r="AN182" s="51">
        <f ca="1">IFERROR(SUM(DB_25[[#This Row],[DT-01-USD]:[DT-09-USD]])/SUM(DB_25[[#This Row],[SL-01]:[SL-09]]),0)</f>
        <v>0</v>
      </c>
      <c r="AO182" s="51">
        <f ca="1">DB_25[[#This Row],[GB-10]]</f>
        <v>0</v>
      </c>
      <c r="AP182" s="51">
        <f ca="1">DB_25[[#This Row],[GB-11]]</f>
        <v>0</v>
      </c>
      <c r="AQ182" s="7"/>
      <c r="AR182" s="7"/>
      <c r="AS182" s="7"/>
      <c r="AT182" s="7"/>
      <c r="AU182" s="47">
        <v>0</v>
      </c>
      <c r="AV182" s="47">
        <v>0</v>
      </c>
      <c r="AW182" s="47">
        <v>0</v>
      </c>
      <c r="AX182" s="47">
        <v>0</v>
      </c>
      <c r="AY182" s="47">
        <v>0</v>
      </c>
      <c r="AZ182" s="47">
        <v>0</v>
      </c>
      <c r="BA182" s="47">
        <v>0</v>
      </c>
      <c r="BB182" s="47">
        <v>0</v>
      </c>
      <c r="BC182" s="47">
        <v>494144649.48630786</v>
      </c>
      <c r="BD182" s="19">
        <f ca="1">DB_25[[#This Row],[SL-10]]*DB_25[[#This Row],[GB-10]]*BD$2/10^3</f>
        <v>0</v>
      </c>
      <c r="BE182" s="19">
        <f ca="1">DB_25[[#This Row],[SL-11]]*DB_25[[#This Row],[GB-11]]*BE$2/10^3</f>
        <v>0</v>
      </c>
      <c r="BF182" s="19">
        <f ca="1">DB_25[[#This Row],[SL-12]]*DB_25[[#This Row],[GB-12]]*BF$2/10^3</f>
        <v>0</v>
      </c>
      <c r="BG182" s="19">
        <f ca="1">SUM(DB_25[[#This Row],[DT-01]:[DT-12]])</f>
        <v>494144649.48630786</v>
      </c>
      <c r="BH182" s="7"/>
      <c r="BI182" s="7"/>
      <c r="BJ182" s="7"/>
      <c r="BK182" s="47"/>
      <c r="BL182" s="19"/>
      <c r="BM182" s="19"/>
      <c r="BN182" s="19"/>
      <c r="BO182" s="19"/>
      <c r="BP182" s="19"/>
      <c r="BQ182" s="19"/>
      <c r="BR182" s="19"/>
      <c r="BS182" s="19"/>
      <c r="BT182" s="148">
        <f ca="1">DB_25[[#This Row],[SL-10]]*DB_25[[#This Row],[GB-10]]</f>
        <v>0</v>
      </c>
      <c r="BU182" s="148">
        <f ca="1">DB_25[[#This Row],[SL-11]]*DB_25[[#This Row],[GB-11]]</f>
        <v>0</v>
      </c>
      <c r="BV182" s="148">
        <f ca="1">DB_25[[#This Row],[SL-12]]*DB_25[[#This Row],[GB-12]]</f>
        <v>0</v>
      </c>
      <c r="BW182" s="47">
        <f ca="1">SUM(DB_25[[#This Row],[DT-01-USD]:[DT-12-USD]])</f>
        <v>0</v>
      </c>
    </row>
    <row r="183" spans="1:75" x14ac:dyDescent="0.35">
      <c r="A183" s="18">
        <f>ROWS($A$6:A183)</f>
        <v>178</v>
      </c>
      <c r="B183" s="18"/>
      <c r="C183" s="18"/>
      <c r="D183" s="7" t="s">
        <v>614</v>
      </c>
      <c r="E183" s="7" t="s">
        <v>304</v>
      </c>
      <c r="F183" s="7"/>
      <c r="G183" s="7" t="str">
        <f>_xlfn.XLOOKUP(DB_25[[#This Row],[Mã khách]],MD_Customer[Mã khách],MD_Customer[Kênh bán hàng])</f>
        <v>Xuất khẩu</v>
      </c>
      <c r="H183" s="7"/>
      <c r="I183" s="7"/>
      <c r="J183" s="7"/>
      <c r="K183" s="7" t="s">
        <v>174</v>
      </c>
      <c r="L183" s="7" t="str">
        <f>_xlfn.XLOOKUP(DB_25[[#This Row],[Mã sản phẩm]],MD_SKU[Mã SKU],MD_SKU[Tên SKU-rút gọn])</f>
        <v>WSS03G</v>
      </c>
      <c r="M183" s="7" t="str">
        <f>_xlfn.XLOOKUP(DB_25[[#This Row],[Mã sản phẩm]],MD_SKU[Mã SKU],MD_SKU[Nhóm ngành])</f>
        <v>Hạt PET</v>
      </c>
      <c r="N183" s="7"/>
      <c r="O183" s="47"/>
      <c r="P183" s="47"/>
      <c r="Q183" s="47"/>
      <c r="R183" s="47"/>
      <c r="S183" s="47"/>
      <c r="T183" s="47"/>
      <c r="U183" s="47"/>
      <c r="V183" s="47"/>
      <c r="W183" s="110">
        <f ca="1">SUMIFS(Data_Actual_LG_EXW[SL],Data_Actual_LG_EXW[Year],2025,Data_Actual_LG_EXW[Month],'DB 2025'!W$1,Data_Actual_LG_EXW[Mã KH],DB_25[[#This Row],[Mã khách]],Data_Actual_LG_EXW[Mã SKU],DB_25[[#This Row],[Mã sản phẩm]])/10^3</f>
        <v>1.1000000000000001</v>
      </c>
      <c r="X183" s="33"/>
      <c r="Y183" s="33"/>
      <c r="Z183" s="33"/>
      <c r="AA183" s="19">
        <f ca="1">SUM(DB_25[[#This Row],[SL-01]:[SL-12]])</f>
        <v>1.1000000000000001</v>
      </c>
      <c r="AB183" s="7"/>
      <c r="AC183" s="20">
        <f ca="1">DB_25[[#This Row],[SL-DB25]]-DB_25[[#This Row],[SL-KH25]]</f>
        <v>1.1000000000000001</v>
      </c>
      <c r="AD183" s="21">
        <f ca="1">IFERROR(DB_25[[#This Row],[SL-+/-]]/DB_25[[#This Row],[SL-KH25]],0)</f>
        <v>0</v>
      </c>
      <c r="AE183" s="23">
        <v>0</v>
      </c>
      <c r="AF183" s="23">
        <v>0</v>
      </c>
      <c r="AG183" s="23">
        <v>0</v>
      </c>
      <c r="AH183" s="23">
        <v>0</v>
      </c>
      <c r="AI183" s="23">
        <v>0</v>
      </c>
      <c r="AJ183" s="23">
        <v>0</v>
      </c>
      <c r="AK183" s="23">
        <v>0</v>
      </c>
      <c r="AL183" s="23">
        <v>0</v>
      </c>
      <c r="AM183" s="111">
        <v>0</v>
      </c>
      <c r="AN183" s="51">
        <f ca="1">IFERROR(SUM(DB_25[[#This Row],[DT-01-USD]:[DT-09-USD]])/SUM(DB_25[[#This Row],[SL-01]:[SL-09]]),0)</f>
        <v>0</v>
      </c>
      <c r="AO183" s="51">
        <f ca="1">DB_25[[#This Row],[GB-10]]</f>
        <v>0</v>
      </c>
      <c r="AP183" s="51">
        <f ca="1">DB_25[[#This Row],[GB-11]]</f>
        <v>0</v>
      </c>
      <c r="AQ183" s="7"/>
      <c r="AR183" s="7"/>
      <c r="AS183" s="7"/>
      <c r="AT183" s="7"/>
      <c r="AU183" s="47">
        <v>0</v>
      </c>
      <c r="AV183" s="47">
        <v>0</v>
      </c>
      <c r="AW183" s="47">
        <v>0</v>
      </c>
      <c r="AX183" s="47">
        <v>0</v>
      </c>
      <c r="AY183" s="47">
        <v>0</v>
      </c>
      <c r="AZ183" s="47">
        <v>0</v>
      </c>
      <c r="BA183" s="47">
        <v>0</v>
      </c>
      <c r="BB183" s="47">
        <v>0</v>
      </c>
      <c r="BC183" s="47">
        <v>32315879.156579711</v>
      </c>
      <c r="BD183" s="19">
        <f ca="1">DB_25[[#This Row],[SL-10]]*DB_25[[#This Row],[GB-10]]*BD$2/10^3</f>
        <v>0</v>
      </c>
      <c r="BE183" s="19">
        <f ca="1">DB_25[[#This Row],[SL-11]]*DB_25[[#This Row],[GB-11]]*BE$2/10^3</f>
        <v>0</v>
      </c>
      <c r="BF183" s="19">
        <f ca="1">DB_25[[#This Row],[SL-12]]*DB_25[[#This Row],[GB-12]]*BF$2/10^3</f>
        <v>0</v>
      </c>
      <c r="BG183" s="19">
        <f ca="1">SUM(DB_25[[#This Row],[DT-01]:[DT-12]])</f>
        <v>32315879.156579711</v>
      </c>
      <c r="BH183" s="7"/>
      <c r="BI183" s="7"/>
      <c r="BJ183" s="7"/>
      <c r="BK183" s="47"/>
      <c r="BL183" s="19"/>
      <c r="BM183" s="19"/>
      <c r="BN183" s="19"/>
      <c r="BO183" s="19"/>
      <c r="BP183" s="19"/>
      <c r="BQ183" s="19"/>
      <c r="BR183" s="19"/>
      <c r="BS183" s="19"/>
      <c r="BT183" s="148">
        <f ca="1">DB_25[[#This Row],[SL-10]]*DB_25[[#This Row],[GB-10]]</f>
        <v>0</v>
      </c>
      <c r="BU183" s="148">
        <f ca="1">DB_25[[#This Row],[SL-11]]*DB_25[[#This Row],[GB-11]]</f>
        <v>0</v>
      </c>
      <c r="BV183" s="148">
        <f ca="1">DB_25[[#This Row],[SL-12]]*DB_25[[#This Row],[GB-12]]</f>
        <v>0</v>
      </c>
      <c r="BW183" s="47">
        <f ca="1">SUM(DB_25[[#This Row],[DT-01-USD]:[DT-12-USD]])</f>
        <v>0</v>
      </c>
    </row>
    <row r="184" spans="1:75" x14ac:dyDescent="0.35">
      <c r="A184" s="18">
        <f>ROWS($A$6:A184)</f>
        <v>179</v>
      </c>
      <c r="B184" s="18"/>
      <c r="C184" s="18"/>
      <c r="D184" s="7" t="s">
        <v>685</v>
      </c>
      <c r="E184" s="7" t="s">
        <v>112</v>
      </c>
      <c r="F184" s="7"/>
      <c r="G184" s="7" t="str">
        <f>_xlfn.XLOOKUP(DB_25[[#This Row],[Mã khách]],MD_Customer[Mã khách],MD_Customer[Kênh bán hàng])</f>
        <v>Nội địa</v>
      </c>
      <c r="H184" s="7"/>
      <c r="I184" s="7"/>
      <c r="J184" s="7"/>
      <c r="K184" s="7" t="s">
        <v>171</v>
      </c>
      <c r="L184" s="7" t="str">
        <f>_xlfn.XLOOKUP(DB_25[[#This Row],[Mã sản phẩm]],MD_SKU[Mã SKU],MD_SKU[Tên SKU-rút gọn])</f>
        <v>WSS01G 1</v>
      </c>
      <c r="M184" s="7" t="str">
        <f>_xlfn.XLOOKUP(DB_25[[#This Row],[Mã sản phẩm]],MD_SKU[Mã SKU],MD_SKU[Nhóm ngành])</f>
        <v>Hạt PET</v>
      </c>
      <c r="N184" s="7"/>
      <c r="O184" s="47"/>
      <c r="P184" s="47"/>
      <c r="Q184" s="47"/>
      <c r="R184" s="47"/>
      <c r="S184" s="47"/>
      <c r="T184" s="47"/>
      <c r="U184" s="47"/>
      <c r="V184" s="47"/>
      <c r="W184" s="110">
        <f ca="1">SUMIFS(Data_Actual_LG_EXW[SL],Data_Actual_LG_EXW[Year],2025,Data_Actual_LG_EXW[Month],'DB 2025'!W$1,Data_Actual_LG_EXW[Mã KH],DB_25[[#This Row],[Mã khách]],Data_Actual_LG_EXW[Mã SKU],DB_25[[#This Row],[Mã sản phẩm]])/10^3</f>
        <v>13.2</v>
      </c>
      <c r="X184" s="33"/>
      <c r="Y184" s="33"/>
      <c r="Z184" s="33"/>
      <c r="AA184" s="19">
        <f ca="1">SUM(DB_25[[#This Row],[SL-01]:[SL-12]])</f>
        <v>13.2</v>
      </c>
      <c r="AB184" s="7"/>
      <c r="AC184" s="20">
        <f ca="1">DB_25[[#This Row],[SL-DB25]]-DB_25[[#This Row],[SL-KH25]]</f>
        <v>13.2</v>
      </c>
      <c r="AD184" s="21">
        <f ca="1">IFERROR(DB_25[[#This Row],[SL-+/-]]/DB_25[[#This Row],[SL-KH25]],0)</f>
        <v>0</v>
      </c>
      <c r="AE184" s="23">
        <v>0</v>
      </c>
      <c r="AF184" s="23">
        <v>0</v>
      </c>
      <c r="AG184" s="23">
        <v>0</v>
      </c>
      <c r="AH184" s="23">
        <v>0</v>
      </c>
      <c r="AI184" s="23">
        <v>0</v>
      </c>
      <c r="AJ184" s="23">
        <v>0</v>
      </c>
      <c r="AK184" s="23">
        <v>0</v>
      </c>
      <c r="AL184" s="23">
        <v>0</v>
      </c>
      <c r="AM184" s="111">
        <v>0</v>
      </c>
      <c r="AN184" s="51">
        <f ca="1">IFERROR(SUM(DB_25[[#This Row],[DT-01-USD]:[DT-09-USD]])/SUM(DB_25[[#This Row],[SL-01]:[SL-09]]),0)</f>
        <v>0</v>
      </c>
      <c r="AO184" s="51">
        <f ca="1">DB_25[[#This Row],[GB-10]]</f>
        <v>0</v>
      </c>
      <c r="AP184" s="51">
        <f ca="1">DB_25[[#This Row],[GB-11]]</f>
        <v>0</v>
      </c>
      <c r="AQ184" s="7"/>
      <c r="AR184" s="7"/>
      <c r="AS184" s="7"/>
      <c r="AT184" s="7"/>
      <c r="AU184" s="47">
        <v>0</v>
      </c>
      <c r="AV184" s="47">
        <v>0</v>
      </c>
      <c r="AW184" s="47">
        <v>0</v>
      </c>
      <c r="AX184" s="47">
        <v>0</v>
      </c>
      <c r="AY184" s="47">
        <v>0</v>
      </c>
      <c r="AZ184" s="47">
        <v>0</v>
      </c>
      <c r="BA184" s="47">
        <v>0</v>
      </c>
      <c r="BB184" s="47">
        <v>0</v>
      </c>
      <c r="BC184" s="47">
        <v>422091954.62889516</v>
      </c>
      <c r="BD184" s="19">
        <f ca="1">DB_25[[#This Row],[SL-10]]*DB_25[[#This Row],[GB-10]]*BD$2/10^3</f>
        <v>0</v>
      </c>
      <c r="BE184" s="19">
        <f ca="1">DB_25[[#This Row],[SL-11]]*DB_25[[#This Row],[GB-11]]*BE$2/10^3</f>
        <v>0</v>
      </c>
      <c r="BF184" s="19">
        <f ca="1">DB_25[[#This Row],[SL-12]]*DB_25[[#This Row],[GB-12]]*BF$2/10^3</f>
        <v>0</v>
      </c>
      <c r="BG184" s="19">
        <f ca="1">SUM(DB_25[[#This Row],[DT-01]:[DT-12]])</f>
        <v>422091954.62889516</v>
      </c>
      <c r="BH184" s="7"/>
      <c r="BI184" s="7"/>
      <c r="BJ184" s="7"/>
      <c r="BK184" s="47"/>
      <c r="BL184" s="19"/>
      <c r="BM184" s="19"/>
      <c r="BN184" s="19"/>
      <c r="BO184" s="19"/>
      <c r="BP184" s="19"/>
      <c r="BQ184" s="19"/>
      <c r="BR184" s="19"/>
      <c r="BS184" s="19"/>
      <c r="BT184" s="148">
        <f ca="1">DB_25[[#This Row],[SL-10]]*DB_25[[#This Row],[GB-10]]</f>
        <v>0</v>
      </c>
      <c r="BU184" s="148">
        <f ca="1">DB_25[[#This Row],[SL-11]]*DB_25[[#This Row],[GB-11]]</f>
        <v>0</v>
      </c>
      <c r="BV184" s="148">
        <f ca="1">DB_25[[#This Row],[SL-12]]*DB_25[[#This Row],[GB-12]]</f>
        <v>0</v>
      </c>
      <c r="BW184" s="47">
        <f ca="1">SUM(DB_25[[#This Row],[DT-01-USD]:[DT-12-USD]])</f>
        <v>0</v>
      </c>
    </row>
    <row r="185" spans="1:75" x14ac:dyDescent="0.35">
      <c r="A185" s="18">
        <f>ROWS($A$6:A185)</f>
        <v>180</v>
      </c>
      <c r="B185" s="18"/>
      <c r="C185" s="18"/>
      <c r="D185" s="7" t="s">
        <v>686</v>
      </c>
      <c r="E185" s="7" t="s">
        <v>116</v>
      </c>
      <c r="F185" s="7"/>
      <c r="G185" s="7" t="str">
        <f>_xlfn.XLOOKUP(DB_25[[#This Row],[Mã khách]],MD_Customer[Mã khách],MD_Customer[Kênh bán hàng])</f>
        <v>Nội địa</v>
      </c>
      <c r="H185" s="7"/>
      <c r="I185" s="7"/>
      <c r="J185" s="7"/>
      <c r="K185" s="7" t="s">
        <v>170</v>
      </c>
      <c r="L185" s="7" t="str">
        <f>_xlfn.XLOOKUP(DB_25[[#This Row],[Mã sản phẩm]],MD_SKU[Mã SKU],MD_SKU[Tên SKU-rút gọn])</f>
        <v>WSS04</v>
      </c>
      <c r="M185" s="7" t="str">
        <f>_xlfn.XLOOKUP(DB_25[[#This Row],[Mã sản phẩm]],MD_SKU[Mã SKU],MD_SKU[Nhóm ngành])</f>
        <v>Hạt PET</v>
      </c>
      <c r="N185" s="7"/>
      <c r="O185" s="47"/>
      <c r="P185" s="47"/>
      <c r="Q185" s="47"/>
      <c r="R185" s="47"/>
      <c r="S185" s="47"/>
      <c r="T185" s="47"/>
      <c r="U185" s="47"/>
      <c r="V185" s="47"/>
      <c r="W185" s="110">
        <f ca="1">SUMIFS(Data_Actual_LG_EXW[SL],Data_Actual_LG_EXW[Year],2025,Data_Actual_LG_EXW[Month],'DB 2025'!W$1,Data_Actual_LG_EXW[Mã KH],DB_25[[#This Row],[Mã khách]],Data_Actual_LG_EXW[Mã SKU],DB_25[[#This Row],[Mã sản phẩm]])/10^3</f>
        <v>19.8</v>
      </c>
      <c r="X185" s="33"/>
      <c r="Y185" s="33"/>
      <c r="Z185" s="33"/>
      <c r="AA185" s="19">
        <f ca="1">SUM(DB_25[[#This Row],[SL-01]:[SL-12]])</f>
        <v>19.8</v>
      </c>
      <c r="AB185" s="7"/>
      <c r="AC185" s="20">
        <f ca="1">DB_25[[#This Row],[SL-DB25]]-DB_25[[#This Row],[SL-KH25]]</f>
        <v>19.8</v>
      </c>
      <c r="AD185" s="21">
        <f ca="1">IFERROR(DB_25[[#This Row],[SL-+/-]]/DB_25[[#This Row],[SL-KH25]],0)</f>
        <v>0</v>
      </c>
      <c r="AE185" s="23">
        <v>0</v>
      </c>
      <c r="AF185" s="23">
        <v>0</v>
      </c>
      <c r="AG185" s="23">
        <v>0</v>
      </c>
      <c r="AH185" s="23">
        <v>0</v>
      </c>
      <c r="AI185" s="23">
        <v>0</v>
      </c>
      <c r="AJ185" s="23">
        <v>0</v>
      </c>
      <c r="AK185" s="23">
        <v>0</v>
      </c>
      <c r="AL185" s="23">
        <v>0</v>
      </c>
      <c r="AM185" s="111">
        <v>0</v>
      </c>
      <c r="AN185" s="51">
        <f ca="1">IFERROR(SUM(DB_25[[#This Row],[DT-01-USD]:[DT-09-USD]])/SUM(DB_25[[#This Row],[SL-01]:[SL-09]]),0)</f>
        <v>0</v>
      </c>
      <c r="AO185" s="51">
        <f ca="1">DB_25[[#This Row],[GB-10]]</f>
        <v>0</v>
      </c>
      <c r="AP185" s="51">
        <f ca="1">DB_25[[#This Row],[GB-11]]</f>
        <v>0</v>
      </c>
      <c r="AQ185" s="7"/>
      <c r="AR185" s="7"/>
      <c r="AS185" s="7"/>
      <c r="AT185" s="7"/>
      <c r="AU185" s="47">
        <v>0</v>
      </c>
      <c r="AV185" s="47">
        <v>0</v>
      </c>
      <c r="AW185" s="47">
        <v>0</v>
      </c>
      <c r="AX185" s="47">
        <v>0</v>
      </c>
      <c r="AY185" s="47">
        <v>0</v>
      </c>
      <c r="AZ185" s="47">
        <v>0</v>
      </c>
      <c r="BA185" s="47">
        <v>0</v>
      </c>
      <c r="BB185" s="47">
        <v>0</v>
      </c>
      <c r="BC185" s="47">
        <v>378236531.94334275</v>
      </c>
      <c r="BD185" s="19">
        <f ca="1">DB_25[[#This Row],[SL-10]]*DB_25[[#This Row],[GB-10]]*BD$2/10^3</f>
        <v>0</v>
      </c>
      <c r="BE185" s="19">
        <f ca="1">DB_25[[#This Row],[SL-11]]*DB_25[[#This Row],[GB-11]]*BE$2/10^3</f>
        <v>0</v>
      </c>
      <c r="BF185" s="19">
        <f ca="1">DB_25[[#This Row],[SL-12]]*DB_25[[#This Row],[GB-12]]*BF$2/10^3</f>
        <v>0</v>
      </c>
      <c r="BG185" s="19">
        <f ca="1">SUM(DB_25[[#This Row],[DT-01]:[DT-12]])</f>
        <v>378236531.94334275</v>
      </c>
      <c r="BH185" s="7"/>
      <c r="BI185" s="7"/>
      <c r="BJ185" s="7"/>
      <c r="BK185" s="47"/>
      <c r="BL185" s="19"/>
      <c r="BM185" s="19"/>
      <c r="BN185" s="19"/>
      <c r="BO185" s="19"/>
      <c r="BP185" s="19"/>
      <c r="BQ185" s="19"/>
      <c r="BR185" s="19"/>
      <c r="BS185" s="19"/>
      <c r="BT185" s="148">
        <f ca="1">DB_25[[#This Row],[SL-10]]*DB_25[[#This Row],[GB-10]]</f>
        <v>0</v>
      </c>
      <c r="BU185" s="148">
        <f ca="1">DB_25[[#This Row],[SL-11]]*DB_25[[#This Row],[GB-11]]</f>
        <v>0</v>
      </c>
      <c r="BV185" s="148">
        <f ca="1">DB_25[[#This Row],[SL-12]]*DB_25[[#This Row],[GB-12]]</f>
        <v>0</v>
      </c>
      <c r="BW185" s="47">
        <f ca="1">SUM(DB_25[[#This Row],[DT-01-USD]:[DT-12-USD]])</f>
        <v>0</v>
      </c>
    </row>
    <row r="186" spans="1:75" x14ac:dyDescent="0.35">
      <c r="A186" s="25" t="s">
        <v>510</v>
      </c>
      <c r="B186" s="25"/>
      <c r="C186" s="18"/>
      <c r="D186" s="26"/>
      <c r="E186" s="26"/>
      <c r="F186" s="26"/>
      <c r="G186" s="26"/>
      <c r="H186" s="26"/>
      <c r="I186" s="26"/>
      <c r="J186" s="26"/>
      <c r="K186" s="26"/>
      <c r="L186" s="26"/>
      <c r="M186" s="26"/>
      <c r="N186" s="26"/>
      <c r="O186" s="26"/>
      <c r="P186" s="26"/>
      <c r="Q186" s="26"/>
      <c r="R186" s="26"/>
      <c r="S186" s="26"/>
      <c r="T186" s="26"/>
      <c r="U186" s="26"/>
      <c r="V186" s="26"/>
      <c r="W186" s="26"/>
      <c r="X186" s="26"/>
      <c r="Y186" s="26"/>
      <c r="Z186" s="26"/>
      <c r="AA186" s="27"/>
      <c r="AB186" s="26"/>
      <c r="AC186" s="28"/>
      <c r="AD186" s="26"/>
      <c r="AE186" s="26"/>
      <c r="AF186" s="26"/>
      <c r="AG186" s="26"/>
      <c r="AH186" s="26"/>
      <c r="AI186" s="26"/>
      <c r="AJ186" s="26"/>
      <c r="AK186" s="26"/>
      <c r="AL186" s="26"/>
      <c r="AM186" s="26"/>
      <c r="AN186" s="26"/>
      <c r="AO186" s="26"/>
      <c r="AP186" s="26"/>
      <c r="AQ186" s="26"/>
      <c r="AR186" s="26"/>
      <c r="AS186" s="26"/>
      <c r="AT186" s="26"/>
      <c r="AU186" s="26"/>
      <c r="AV186" s="26"/>
      <c r="AW186" s="26"/>
      <c r="AX186" s="26"/>
      <c r="AY186" s="26"/>
      <c r="AZ186" s="26"/>
      <c r="BA186" s="26"/>
      <c r="BB186" s="26"/>
      <c r="BC186" s="48"/>
      <c r="BD186" s="26"/>
      <c r="BE186" s="26"/>
      <c r="BF186" s="26"/>
      <c r="BG186" s="27"/>
      <c r="BH186" s="26"/>
      <c r="BI186" s="26"/>
      <c r="BJ186" s="26"/>
      <c r="BK186" s="26"/>
      <c r="BL186" s="26"/>
      <c r="BM186" s="26"/>
      <c r="BN186" s="26"/>
      <c r="BO186" s="26"/>
      <c r="BP186" s="26"/>
      <c r="BQ186" s="26"/>
      <c r="BR186" s="26"/>
      <c r="BS186" s="26"/>
      <c r="BT186" s="26"/>
      <c r="BU186" s="26"/>
      <c r="BV186" s="26"/>
      <c r="BW186" s="26"/>
    </row>
  </sheetData>
  <mergeCells count="31">
    <mergeCell ref="BK3:BV3"/>
    <mergeCell ref="BW3:BW4"/>
    <mergeCell ref="A3:A4"/>
    <mergeCell ref="D3:D4"/>
    <mergeCell ref="E3:E4"/>
    <mergeCell ref="F3:F4"/>
    <mergeCell ref="G3:G4"/>
    <mergeCell ref="B3:B4"/>
    <mergeCell ref="C3:C4"/>
    <mergeCell ref="AC3:AC4"/>
    <mergeCell ref="AD3:AD4"/>
    <mergeCell ref="BH3:BH4"/>
    <mergeCell ref="BI3:BI4"/>
    <mergeCell ref="AE3:AP3"/>
    <mergeCell ref="AA3:AA4"/>
    <mergeCell ref="AB3:AB4"/>
    <mergeCell ref="O3:Z3"/>
    <mergeCell ref="H3:H4"/>
    <mergeCell ref="J3:J4"/>
    <mergeCell ref="K3:K4"/>
    <mergeCell ref="L3:L4"/>
    <mergeCell ref="I3:I4"/>
    <mergeCell ref="N3:N4"/>
    <mergeCell ref="M3:M4"/>
    <mergeCell ref="BJ3:BJ4"/>
    <mergeCell ref="AQ3:AQ4"/>
    <mergeCell ref="AR3:AR4"/>
    <mergeCell ref="AS3:AS4"/>
    <mergeCell ref="AT3:AT4"/>
    <mergeCell ref="AU3:BF3"/>
    <mergeCell ref="BG3:BG4"/>
  </mergeCells>
  <phoneticPr fontId="4" type="noConversion"/>
  <dataValidations disablePrompts="1" count="1">
    <dataValidation type="list" allowBlank="1" showInputMessage="1" showErrorMessage="1" sqref="B66:B80 B82:B112" xr:uid="{D33E66B2-D6ED-4B3F-AF82-7EE0DF918AB8}">
      <formula1>INDIRECT("MD_Salesman[salesman]")</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D6E50-DB1D-42D6-ADB5-3E34521D5C3D}">
  <dimension ref="A1:AA174"/>
  <sheetViews>
    <sheetView workbookViewId="0">
      <selection sqref="A1:A2"/>
    </sheetView>
  </sheetViews>
  <sheetFormatPr defaultRowHeight="14.5" x14ac:dyDescent="0.35"/>
  <cols>
    <col min="1" max="1" width="6.33203125" bestFit="1" customWidth="1"/>
    <col min="2" max="2" width="11.25" bestFit="1" customWidth="1"/>
    <col min="3" max="3" width="16.33203125" bestFit="1" customWidth="1"/>
    <col min="4" max="4" width="10.83203125" bestFit="1" customWidth="1"/>
    <col min="5" max="5" width="38" bestFit="1" customWidth="1"/>
    <col min="6" max="6" width="17.08203125" hidden="1" customWidth="1"/>
    <col min="7" max="7" width="16.5" bestFit="1" customWidth="1"/>
    <col min="8" max="8" width="12.5" hidden="1" customWidth="1"/>
    <col min="9" max="9" width="10" hidden="1" customWidth="1"/>
    <col min="10" max="10" width="10.08203125" hidden="1" customWidth="1"/>
    <col min="11" max="11" width="13.5" bestFit="1" customWidth="1"/>
    <col min="12" max="12" width="25" bestFit="1" customWidth="1"/>
    <col min="13" max="13" width="16.75" bestFit="1" customWidth="1"/>
    <col min="14" max="14" width="20" bestFit="1" customWidth="1"/>
    <col min="15" max="15" width="8" bestFit="1" customWidth="1"/>
    <col min="16" max="23" width="8.33203125" bestFit="1" customWidth="1"/>
    <col min="24" max="24" width="8" bestFit="1" customWidth="1"/>
    <col min="25" max="25" width="7.58203125" bestFit="1" customWidth="1"/>
    <col min="26" max="26" width="8" bestFit="1" customWidth="1"/>
    <col min="27" max="27" width="11.83203125" bestFit="1" customWidth="1"/>
  </cols>
  <sheetData>
    <row r="1" spans="1:27" x14ac:dyDescent="0.35">
      <c r="A1" s="189" t="s">
        <v>223</v>
      </c>
      <c r="B1" s="189" t="s">
        <v>333</v>
      </c>
      <c r="C1" s="189" t="s">
        <v>334</v>
      </c>
      <c r="D1" s="189" t="s">
        <v>335</v>
      </c>
      <c r="E1" s="189" t="s">
        <v>431</v>
      </c>
      <c r="F1" s="189" t="s">
        <v>338</v>
      </c>
      <c r="G1" s="189" t="s">
        <v>245</v>
      </c>
      <c r="H1" s="189" t="s">
        <v>246</v>
      </c>
      <c r="I1" s="189" t="s">
        <v>247</v>
      </c>
      <c r="J1" s="189" t="s">
        <v>248</v>
      </c>
      <c r="K1" s="190" t="s">
        <v>339</v>
      </c>
      <c r="L1" s="190" t="s">
        <v>432</v>
      </c>
      <c r="M1" s="190" t="s">
        <v>0</v>
      </c>
      <c r="N1" s="190" t="s">
        <v>341</v>
      </c>
      <c r="O1" s="193" t="s">
        <v>568</v>
      </c>
      <c r="P1" s="193"/>
      <c r="Q1" s="193"/>
      <c r="R1" s="193"/>
      <c r="S1" s="193"/>
      <c r="T1" s="193"/>
      <c r="U1" s="193"/>
      <c r="V1" s="193"/>
      <c r="W1" s="193"/>
      <c r="X1" s="193"/>
      <c r="Y1" s="193"/>
      <c r="Z1" s="193"/>
      <c r="AA1" s="194" t="s">
        <v>345</v>
      </c>
    </row>
    <row r="2" spans="1:27" x14ac:dyDescent="0.35">
      <c r="A2" s="189"/>
      <c r="B2" s="189"/>
      <c r="C2" s="189"/>
      <c r="D2" s="189"/>
      <c r="E2" s="189"/>
      <c r="F2" s="189"/>
      <c r="G2" s="189"/>
      <c r="H2" s="189"/>
      <c r="I2" s="189"/>
      <c r="J2" s="189"/>
      <c r="K2" s="190"/>
      <c r="L2" s="190"/>
      <c r="M2" s="190"/>
      <c r="N2" s="190"/>
      <c r="O2" s="11" t="s">
        <v>357</v>
      </c>
      <c r="P2" s="11" t="s">
        <v>358</v>
      </c>
      <c r="Q2" s="11" t="s">
        <v>359</v>
      </c>
      <c r="R2" s="11" t="s">
        <v>360</v>
      </c>
      <c r="S2" s="11" t="s">
        <v>361</v>
      </c>
      <c r="T2" s="11" t="s">
        <v>362</v>
      </c>
      <c r="U2" s="11" t="s">
        <v>363</v>
      </c>
      <c r="V2" s="11" t="s">
        <v>364</v>
      </c>
      <c r="W2" s="75" t="s">
        <v>365</v>
      </c>
      <c r="X2" s="75" t="s">
        <v>366</v>
      </c>
      <c r="Y2" s="75" t="s">
        <v>367</v>
      </c>
      <c r="Z2" s="75" t="s">
        <v>368</v>
      </c>
      <c r="AA2" s="194"/>
    </row>
    <row r="3" spans="1:27" x14ac:dyDescent="0.35">
      <c r="A3" s="13" t="s">
        <v>223</v>
      </c>
      <c r="B3" s="13" t="s">
        <v>333</v>
      </c>
      <c r="C3" s="13" t="s">
        <v>334</v>
      </c>
      <c r="D3" s="14" t="s">
        <v>335</v>
      </c>
      <c r="E3" s="14" t="s">
        <v>431</v>
      </c>
      <c r="F3" s="14" t="s">
        <v>338</v>
      </c>
      <c r="G3" s="14" t="s">
        <v>245</v>
      </c>
      <c r="H3" s="14" t="s">
        <v>246</v>
      </c>
      <c r="I3" s="14" t="s">
        <v>247</v>
      </c>
      <c r="J3" s="14" t="s">
        <v>248</v>
      </c>
      <c r="K3" s="14" t="s">
        <v>339</v>
      </c>
      <c r="L3" s="14" t="s">
        <v>432</v>
      </c>
      <c r="M3" s="14" t="s">
        <v>0</v>
      </c>
      <c r="N3" s="14" t="s">
        <v>341</v>
      </c>
      <c r="O3" s="14" t="s">
        <v>357</v>
      </c>
      <c r="P3" s="14" t="s">
        <v>358</v>
      </c>
      <c r="Q3" s="14" t="s">
        <v>359</v>
      </c>
      <c r="R3" s="14" t="s">
        <v>360</v>
      </c>
      <c r="S3" s="14" t="s">
        <v>361</v>
      </c>
      <c r="T3" s="14" t="s">
        <v>362</v>
      </c>
      <c r="U3" s="14" t="s">
        <v>363</v>
      </c>
      <c r="V3" s="14" t="s">
        <v>364</v>
      </c>
      <c r="W3" s="14" t="s">
        <v>365</v>
      </c>
      <c r="X3" s="14" t="s">
        <v>366</v>
      </c>
      <c r="Y3" s="14" t="s">
        <v>367</v>
      </c>
      <c r="Z3" s="14" t="s">
        <v>368</v>
      </c>
      <c r="AA3" s="14" t="s">
        <v>434</v>
      </c>
    </row>
    <row r="4" spans="1:27" x14ac:dyDescent="0.35">
      <c r="A4" s="18">
        <v>1</v>
      </c>
      <c r="B4" s="18" t="s">
        <v>110</v>
      </c>
      <c r="C4" s="18" t="s">
        <v>110</v>
      </c>
      <c r="D4" s="7" t="s">
        <v>587</v>
      </c>
      <c r="E4" s="7" t="s">
        <v>6</v>
      </c>
      <c r="F4" s="7"/>
      <c r="G4" s="7" t="s">
        <v>119</v>
      </c>
      <c r="H4" s="7"/>
      <c r="I4" s="7"/>
      <c r="J4" s="7"/>
      <c r="K4" s="7" t="s">
        <v>171</v>
      </c>
      <c r="L4" s="7" t="s">
        <v>456</v>
      </c>
      <c r="M4" s="7" t="s">
        <v>1</v>
      </c>
      <c r="N4" s="7"/>
      <c r="O4" s="47">
        <v>2376</v>
      </c>
      <c r="P4" s="47">
        <v>1672</v>
      </c>
      <c r="Q4" s="47">
        <v>1078</v>
      </c>
      <c r="R4" s="47">
        <v>1408</v>
      </c>
      <c r="S4" s="47">
        <v>1320</v>
      </c>
      <c r="T4" s="47">
        <v>748</v>
      </c>
      <c r="U4" s="47">
        <v>1672</v>
      </c>
      <c r="V4" s="47">
        <v>1210</v>
      </c>
      <c r="W4" s="33">
        <v>440</v>
      </c>
      <c r="X4" s="33">
        <v>440</v>
      </c>
      <c r="Y4" s="33">
        <v>220</v>
      </c>
      <c r="Z4" s="33">
        <v>220</v>
      </c>
      <c r="AA4" s="19">
        <f>SUM(O4:Z4)</f>
        <v>12804</v>
      </c>
    </row>
    <row r="5" spans="1:27" x14ac:dyDescent="0.35">
      <c r="A5" s="18">
        <v>2</v>
      </c>
      <c r="B5" s="18" t="s">
        <v>104</v>
      </c>
      <c r="C5" s="18" t="s">
        <v>110</v>
      </c>
      <c r="D5" s="7" t="s">
        <v>588</v>
      </c>
      <c r="E5" s="7" t="s">
        <v>9</v>
      </c>
      <c r="F5" s="7"/>
      <c r="G5" s="7" t="s">
        <v>119</v>
      </c>
      <c r="H5" s="7"/>
      <c r="I5" s="7"/>
      <c r="J5" s="7"/>
      <c r="K5" s="7" t="s">
        <v>172</v>
      </c>
      <c r="L5" s="7" t="s">
        <v>469</v>
      </c>
      <c r="M5" s="7" t="s">
        <v>1</v>
      </c>
      <c r="N5" s="7"/>
      <c r="O5" s="47">
        <v>0</v>
      </c>
      <c r="P5" s="47">
        <v>880</v>
      </c>
      <c r="Q5" s="47">
        <v>880</v>
      </c>
      <c r="R5" s="47">
        <v>880</v>
      </c>
      <c r="S5" s="47">
        <v>880</v>
      </c>
      <c r="T5" s="47">
        <v>880</v>
      </c>
      <c r="U5" s="47">
        <v>880</v>
      </c>
      <c r="V5" s="47">
        <v>880</v>
      </c>
      <c r="W5" s="33"/>
      <c r="X5" s="33"/>
      <c r="Y5" s="33"/>
      <c r="Z5" s="33"/>
      <c r="AA5" s="19">
        <f t="shared" ref="AA5:AA68" si="0">SUM(O5:Z5)</f>
        <v>6160</v>
      </c>
    </row>
    <row r="6" spans="1:27" x14ac:dyDescent="0.35">
      <c r="A6" s="18">
        <v>3</v>
      </c>
      <c r="B6" s="18" t="s">
        <v>95</v>
      </c>
      <c r="C6" s="18" t="s">
        <v>97</v>
      </c>
      <c r="D6" s="7" t="s">
        <v>589</v>
      </c>
      <c r="E6" s="7" t="s">
        <v>322</v>
      </c>
      <c r="F6" s="7"/>
      <c r="G6" s="7" t="s">
        <v>96</v>
      </c>
      <c r="H6" s="7"/>
      <c r="I6" s="7"/>
      <c r="J6" s="7"/>
      <c r="K6" s="7" t="s">
        <v>171</v>
      </c>
      <c r="L6" s="7" t="s">
        <v>456</v>
      </c>
      <c r="M6" s="7" t="s">
        <v>1</v>
      </c>
      <c r="N6" s="7"/>
      <c r="O6" s="47">
        <v>242</v>
      </c>
      <c r="P6" s="47">
        <v>352</v>
      </c>
      <c r="Q6" s="47">
        <v>227.7</v>
      </c>
      <c r="R6" s="47">
        <v>176</v>
      </c>
      <c r="S6" s="47">
        <v>220</v>
      </c>
      <c r="T6" s="47">
        <v>286</v>
      </c>
      <c r="U6" s="47">
        <v>176</v>
      </c>
      <c r="V6" s="47">
        <v>330</v>
      </c>
      <c r="W6" s="33">
        <v>330</v>
      </c>
      <c r="X6" s="33">
        <v>298</v>
      </c>
      <c r="Y6" s="33">
        <v>298</v>
      </c>
      <c r="Z6" s="33">
        <v>330</v>
      </c>
      <c r="AA6" s="19">
        <f t="shared" si="0"/>
        <v>3265.7</v>
      </c>
    </row>
    <row r="7" spans="1:27" x14ac:dyDescent="0.35">
      <c r="A7" s="18">
        <v>4</v>
      </c>
      <c r="B7" s="18" t="s">
        <v>97</v>
      </c>
      <c r="C7" s="18" t="s">
        <v>97</v>
      </c>
      <c r="D7" s="7" t="s">
        <v>590</v>
      </c>
      <c r="E7" s="7" t="s">
        <v>500</v>
      </c>
      <c r="F7" s="7"/>
      <c r="G7" s="7" t="s">
        <v>96</v>
      </c>
      <c r="H7" s="7"/>
      <c r="I7" s="7"/>
      <c r="J7" s="7"/>
      <c r="K7" s="7" t="s">
        <v>168</v>
      </c>
      <c r="L7" s="7" t="s">
        <v>467</v>
      </c>
      <c r="M7" s="7" t="s">
        <v>1</v>
      </c>
      <c r="N7" s="7"/>
      <c r="O7" s="47">
        <v>154</v>
      </c>
      <c r="P7" s="47">
        <v>484</v>
      </c>
      <c r="Q7" s="47">
        <v>154</v>
      </c>
      <c r="R7" s="47">
        <v>374</v>
      </c>
      <c r="S7" s="47">
        <v>330</v>
      </c>
      <c r="T7" s="47">
        <v>351.63299999999998</v>
      </c>
      <c r="U7" s="47">
        <v>132</v>
      </c>
      <c r="V7" s="47">
        <v>616</v>
      </c>
      <c r="W7" s="33">
        <v>110</v>
      </c>
      <c r="X7" s="33">
        <v>110</v>
      </c>
      <c r="Y7" s="33">
        <v>110</v>
      </c>
      <c r="Z7" s="33">
        <v>110</v>
      </c>
      <c r="AA7" s="19">
        <f t="shared" si="0"/>
        <v>3035.6329999999998</v>
      </c>
    </row>
    <row r="8" spans="1:27" x14ac:dyDescent="0.35">
      <c r="A8" s="18">
        <v>5</v>
      </c>
      <c r="B8" s="18" t="s">
        <v>95</v>
      </c>
      <c r="C8" s="18" t="s">
        <v>97</v>
      </c>
      <c r="D8" s="7" t="s">
        <v>591</v>
      </c>
      <c r="E8" s="7" t="s">
        <v>121</v>
      </c>
      <c r="F8" s="7"/>
      <c r="G8" s="7" t="s">
        <v>119</v>
      </c>
      <c r="H8" s="7"/>
      <c r="I8" s="7"/>
      <c r="J8" s="7"/>
      <c r="K8" s="7" t="s">
        <v>172</v>
      </c>
      <c r="L8" s="7" t="s">
        <v>469</v>
      </c>
      <c r="M8" s="7" t="s">
        <v>1</v>
      </c>
      <c r="N8" s="7"/>
      <c r="O8" s="47">
        <v>0</v>
      </c>
      <c r="P8" s="47">
        <v>330</v>
      </c>
      <c r="Q8" s="47">
        <v>770</v>
      </c>
      <c r="R8" s="47">
        <v>0</v>
      </c>
      <c r="S8" s="47">
        <v>440</v>
      </c>
      <c r="T8" s="47">
        <v>154</v>
      </c>
      <c r="U8" s="47">
        <v>0</v>
      </c>
      <c r="V8" s="47">
        <v>0</v>
      </c>
      <c r="W8" s="33"/>
      <c r="X8" s="33"/>
      <c r="Y8" s="33"/>
      <c r="Z8" s="33"/>
      <c r="AA8" s="19">
        <f t="shared" si="0"/>
        <v>1694</v>
      </c>
    </row>
    <row r="9" spans="1:27" x14ac:dyDescent="0.35">
      <c r="A9" s="18">
        <v>6</v>
      </c>
      <c r="B9" s="18" t="s">
        <v>115</v>
      </c>
      <c r="C9" s="18" t="s">
        <v>110</v>
      </c>
      <c r="D9" s="7" t="s">
        <v>592</v>
      </c>
      <c r="E9" s="7" t="s">
        <v>23</v>
      </c>
      <c r="F9" s="7"/>
      <c r="G9" s="7" t="s">
        <v>96</v>
      </c>
      <c r="H9" s="7"/>
      <c r="I9" s="7"/>
      <c r="J9" s="7"/>
      <c r="K9" s="7" t="s">
        <v>182</v>
      </c>
      <c r="L9" s="7" t="s">
        <v>484</v>
      </c>
      <c r="M9" s="7" t="s">
        <v>10</v>
      </c>
      <c r="N9" s="7"/>
      <c r="O9" s="47">
        <v>0</v>
      </c>
      <c r="P9" s="47">
        <v>0</v>
      </c>
      <c r="Q9" s="47">
        <v>0</v>
      </c>
      <c r="R9" s="47">
        <v>0</v>
      </c>
      <c r="S9" s="47">
        <v>0</v>
      </c>
      <c r="T9" s="47">
        <v>46.9</v>
      </c>
      <c r="U9" s="47">
        <v>249.55</v>
      </c>
      <c r="V9" s="47">
        <v>51.5</v>
      </c>
      <c r="W9" s="33">
        <v>50</v>
      </c>
      <c r="X9" s="33">
        <v>250</v>
      </c>
      <c r="Y9" s="33">
        <v>200</v>
      </c>
      <c r="Z9" s="33">
        <v>200</v>
      </c>
      <c r="AA9" s="19">
        <f t="shared" si="0"/>
        <v>1047.95</v>
      </c>
    </row>
    <row r="10" spans="1:27" x14ac:dyDescent="0.35">
      <c r="A10" s="18">
        <v>7</v>
      </c>
      <c r="B10" s="18" t="s">
        <v>104</v>
      </c>
      <c r="C10" s="18" t="s">
        <v>110</v>
      </c>
      <c r="D10" s="7" t="s">
        <v>593</v>
      </c>
      <c r="E10" s="7" t="s">
        <v>46</v>
      </c>
      <c r="F10" s="7"/>
      <c r="G10" s="7" t="s">
        <v>119</v>
      </c>
      <c r="H10" s="7"/>
      <c r="I10" s="7"/>
      <c r="J10" s="7"/>
      <c r="K10" s="7" t="s">
        <v>172</v>
      </c>
      <c r="L10" s="7" t="s">
        <v>469</v>
      </c>
      <c r="M10" s="7" t="s">
        <v>1</v>
      </c>
      <c r="N10" s="7"/>
      <c r="O10" s="47">
        <v>0</v>
      </c>
      <c r="P10" s="47">
        <v>440</v>
      </c>
      <c r="Q10" s="47">
        <v>66</v>
      </c>
      <c r="R10" s="47">
        <v>88</v>
      </c>
      <c r="S10" s="47">
        <v>374</v>
      </c>
      <c r="T10" s="47">
        <v>0</v>
      </c>
      <c r="U10" s="47">
        <v>0</v>
      </c>
      <c r="V10" s="47">
        <v>0</v>
      </c>
      <c r="W10" s="33"/>
      <c r="X10" s="33"/>
      <c r="Y10" s="33"/>
      <c r="Z10" s="33"/>
      <c r="AA10" s="19">
        <f t="shared" si="0"/>
        <v>968</v>
      </c>
    </row>
    <row r="11" spans="1:27" x14ac:dyDescent="0.35">
      <c r="A11" s="18">
        <v>8</v>
      </c>
      <c r="B11" s="18" t="s">
        <v>115</v>
      </c>
      <c r="C11" s="18" t="s">
        <v>110</v>
      </c>
      <c r="D11" s="7" t="s">
        <v>594</v>
      </c>
      <c r="E11" s="7" t="s">
        <v>267</v>
      </c>
      <c r="F11" s="7"/>
      <c r="G11" s="7" t="s">
        <v>96</v>
      </c>
      <c r="H11" s="7"/>
      <c r="I11" s="7"/>
      <c r="J11" s="7"/>
      <c r="K11" s="7" t="s">
        <v>182</v>
      </c>
      <c r="L11" s="7" t="s">
        <v>484</v>
      </c>
      <c r="M11" s="7" t="s">
        <v>10</v>
      </c>
      <c r="N11" s="7"/>
      <c r="O11" s="47">
        <v>0</v>
      </c>
      <c r="P11" s="47">
        <v>0</v>
      </c>
      <c r="Q11" s="47">
        <v>0</v>
      </c>
      <c r="R11" s="47">
        <v>0</v>
      </c>
      <c r="S11" s="47">
        <v>0</v>
      </c>
      <c r="T11" s="47">
        <v>0</v>
      </c>
      <c r="U11" s="47">
        <v>0</v>
      </c>
      <c r="V11" s="47">
        <v>259.35000000000002</v>
      </c>
      <c r="W11" s="33">
        <v>150</v>
      </c>
      <c r="X11" s="33">
        <v>150</v>
      </c>
      <c r="Y11" s="33">
        <v>150</v>
      </c>
      <c r="Z11" s="33">
        <v>150</v>
      </c>
      <c r="AA11" s="19">
        <f t="shared" si="0"/>
        <v>859.35</v>
      </c>
    </row>
    <row r="12" spans="1:27" x14ac:dyDescent="0.35">
      <c r="A12" s="18">
        <v>9</v>
      </c>
      <c r="B12" s="18" t="s">
        <v>95</v>
      </c>
      <c r="C12" s="18" t="s">
        <v>97</v>
      </c>
      <c r="D12" s="7" t="s">
        <v>595</v>
      </c>
      <c r="E12" s="7" t="s">
        <v>478</v>
      </c>
      <c r="F12" s="7"/>
      <c r="G12" s="7" t="s">
        <v>96</v>
      </c>
      <c r="H12" s="7"/>
      <c r="I12" s="7"/>
      <c r="J12" s="7"/>
      <c r="K12" s="7" t="s">
        <v>184</v>
      </c>
      <c r="L12" s="7" t="s">
        <v>465</v>
      </c>
      <c r="M12" s="7" t="s">
        <v>3</v>
      </c>
      <c r="N12" s="7"/>
      <c r="O12" s="47">
        <v>54.85</v>
      </c>
      <c r="P12" s="47">
        <v>77</v>
      </c>
      <c r="Q12" s="47">
        <v>88</v>
      </c>
      <c r="R12" s="47">
        <v>22</v>
      </c>
      <c r="S12" s="47">
        <v>77</v>
      </c>
      <c r="T12" s="47">
        <v>88</v>
      </c>
      <c r="U12" s="47">
        <v>99</v>
      </c>
      <c r="V12" s="47">
        <v>77</v>
      </c>
      <c r="W12" s="33">
        <v>77</v>
      </c>
      <c r="X12" s="33">
        <v>55</v>
      </c>
      <c r="Y12" s="33">
        <v>55</v>
      </c>
      <c r="Z12" s="33">
        <v>55</v>
      </c>
      <c r="AA12" s="19">
        <f t="shared" si="0"/>
        <v>824.85</v>
      </c>
    </row>
    <row r="13" spans="1:27" x14ac:dyDescent="0.35">
      <c r="A13" s="18">
        <v>10</v>
      </c>
      <c r="B13" s="18" t="s">
        <v>101</v>
      </c>
      <c r="C13" s="18" t="s">
        <v>97</v>
      </c>
      <c r="D13" s="7" t="s">
        <v>596</v>
      </c>
      <c r="E13" s="7" t="s">
        <v>266</v>
      </c>
      <c r="F13" s="7"/>
      <c r="G13" s="7" t="s">
        <v>96</v>
      </c>
      <c r="H13" s="7"/>
      <c r="I13" s="7"/>
      <c r="J13" s="7"/>
      <c r="K13" s="7" t="s">
        <v>171</v>
      </c>
      <c r="L13" s="7" t="s">
        <v>456</v>
      </c>
      <c r="M13" s="7" t="s">
        <v>1</v>
      </c>
      <c r="N13" s="7"/>
      <c r="O13" s="47">
        <v>44</v>
      </c>
      <c r="P13" s="47">
        <v>77</v>
      </c>
      <c r="Q13" s="47">
        <v>110</v>
      </c>
      <c r="R13" s="47">
        <v>56.1</v>
      </c>
      <c r="S13" s="47">
        <v>64.900000000000006</v>
      </c>
      <c r="T13" s="47">
        <v>66</v>
      </c>
      <c r="U13" s="47">
        <v>99</v>
      </c>
      <c r="V13" s="47">
        <v>0</v>
      </c>
      <c r="W13" s="33"/>
      <c r="X13" s="33">
        <v>22</v>
      </c>
      <c r="Y13" s="33">
        <v>88</v>
      </c>
      <c r="Z13" s="33">
        <v>88</v>
      </c>
      <c r="AA13" s="19">
        <f t="shared" si="0"/>
        <v>715</v>
      </c>
    </row>
    <row r="14" spans="1:27" x14ac:dyDescent="0.35">
      <c r="A14" s="18">
        <v>11</v>
      </c>
      <c r="B14" s="18" t="s">
        <v>95</v>
      </c>
      <c r="C14" s="18" t="s">
        <v>97</v>
      </c>
      <c r="D14" s="7" t="s">
        <v>597</v>
      </c>
      <c r="E14" s="7" t="s">
        <v>123</v>
      </c>
      <c r="F14" s="7"/>
      <c r="G14" s="7" t="s">
        <v>119</v>
      </c>
      <c r="H14" s="7"/>
      <c r="I14" s="7"/>
      <c r="J14" s="7"/>
      <c r="K14" s="7" t="s">
        <v>172</v>
      </c>
      <c r="L14" s="7" t="s">
        <v>469</v>
      </c>
      <c r="M14" s="7" t="s">
        <v>1</v>
      </c>
      <c r="N14" s="7"/>
      <c r="O14" s="47">
        <v>0</v>
      </c>
      <c r="P14" s="47">
        <v>0</v>
      </c>
      <c r="Q14" s="47">
        <v>0</v>
      </c>
      <c r="R14" s="47">
        <v>0</v>
      </c>
      <c r="S14" s="47">
        <v>0</v>
      </c>
      <c r="T14" s="47">
        <v>0</v>
      </c>
      <c r="U14" s="47">
        <v>0</v>
      </c>
      <c r="V14" s="47">
        <v>330</v>
      </c>
      <c r="W14" s="33"/>
      <c r="X14" s="33"/>
      <c r="Y14" s="33"/>
      <c r="Z14" s="33"/>
      <c r="AA14" s="19">
        <f t="shared" si="0"/>
        <v>330</v>
      </c>
    </row>
    <row r="15" spans="1:27" x14ac:dyDescent="0.35">
      <c r="A15" s="18">
        <v>12</v>
      </c>
      <c r="B15" s="18" t="s">
        <v>97</v>
      </c>
      <c r="C15" s="18" t="s">
        <v>97</v>
      </c>
      <c r="D15" s="7" t="s">
        <v>598</v>
      </c>
      <c r="E15" s="7" t="s">
        <v>35</v>
      </c>
      <c r="F15" s="7"/>
      <c r="G15" s="7" t="s">
        <v>119</v>
      </c>
      <c r="H15" s="7"/>
      <c r="I15" s="7"/>
      <c r="J15" s="7"/>
      <c r="K15" s="7" t="s">
        <v>179</v>
      </c>
      <c r="L15" s="7" t="s">
        <v>14</v>
      </c>
      <c r="M15" s="7" t="s">
        <v>14</v>
      </c>
      <c r="N15" s="7"/>
      <c r="O15" s="47">
        <v>0</v>
      </c>
      <c r="P15" s="47">
        <v>0</v>
      </c>
      <c r="Q15" s="47">
        <v>0</v>
      </c>
      <c r="R15" s="47">
        <v>0</v>
      </c>
      <c r="S15" s="47">
        <v>0</v>
      </c>
      <c r="T15" s="47">
        <v>2</v>
      </c>
      <c r="U15" s="47">
        <v>0</v>
      </c>
      <c r="V15" s="47">
        <v>0</v>
      </c>
      <c r="W15" s="33"/>
      <c r="X15" s="33"/>
      <c r="Y15" s="33"/>
      <c r="Z15" s="33"/>
      <c r="AA15" s="19">
        <f t="shared" si="0"/>
        <v>2</v>
      </c>
    </row>
    <row r="16" spans="1:27" x14ac:dyDescent="0.35">
      <c r="A16" s="18">
        <v>13</v>
      </c>
      <c r="B16" s="18" t="s">
        <v>115</v>
      </c>
      <c r="C16" s="18" t="s">
        <v>110</v>
      </c>
      <c r="D16" s="7" t="s">
        <v>599</v>
      </c>
      <c r="E16" s="7" t="s">
        <v>127</v>
      </c>
      <c r="F16" s="7"/>
      <c r="G16" s="7" t="s">
        <v>119</v>
      </c>
      <c r="H16" s="7"/>
      <c r="I16" s="7"/>
      <c r="J16" s="7"/>
      <c r="K16" s="7" t="s">
        <v>168</v>
      </c>
      <c r="L16" s="7" t="s">
        <v>467</v>
      </c>
      <c r="M16" s="7" t="s">
        <v>1</v>
      </c>
      <c r="N16" s="7"/>
      <c r="O16" s="47">
        <v>44</v>
      </c>
      <c r="P16" s="47">
        <v>0</v>
      </c>
      <c r="Q16" s="47">
        <v>0</v>
      </c>
      <c r="R16" s="47">
        <v>0</v>
      </c>
      <c r="S16" s="47">
        <v>0</v>
      </c>
      <c r="T16" s="47">
        <v>0</v>
      </c>
      <c r="U16" s="47">
        <v>0</v>
      </c>
      <c r="V16" s="47">
        <v>0</v>
      </c>
      <c r="W16" s="33"/>
      <c r="X16" s="33">
        <v>176</v>
      </c>
      <c r="Y16" s="33">
        <v>176</v>
      </c>
      <c r="Z16" s="33">
        <v>176</v>
      </c>
      <c r="AA16" s="19">
        <f t="shared" si="0"/>
        <v>572</v>
      </c>
    </row>
    <row r="17" spans="1:27" x14ac:dyDescent="0.35">
      <c r="A17" s="18">
        <v>14</v>
      </c>
      <c r="B17" s="18" t="s">
        <v>95</v>
      </c>
      <c r="C17" s="18" t="s">
        <v>97</v>
      </c>
      <c r="D17" s="7" t="s">
        <v>600</v>
      </c>
      <c r="E17" s="7" t="s">
        <v>323</v>
      </c>
      <c r="F17" s="7"/>
      <c r="G17" s="7" t="s">
        <v>96</v>
      </c>
      <c r="H17" s="7"/>
      <c r="I17" s="7"/>
      <c r="J17" s="7"/>
      <c r="K17" s="7" t="s">
        <v>171</v>
      </c>
      <c r="L17" s="7" t="s">
        <v>456</v>
      </c>
      <c r="M17" s="7" t="s">
        <v>1</v>
      </c>
      <c r="N17" s="7"/>
      <c r="O17" s="47">
        <v>0</v>
      </c>
      <c r="P17" s="47">
        <v>0</v>
      </c>
      <c r="Q17" s="47">
        <v>0</v>
      </c>
      <c r="R17" s="47">
        <v>0</v>
      </c>
      <c r="S17" s="47">
        <v>0</v>
      </c>
      <c r="T17" s="47">
        <v>44</v>
      </c>
      <c r="U17" s="47">
        <v>44</v>
      </c>
      <c r="V17" s="47">
        <v>88</v>
      </c>
      <c r="W17" s="33">
        <v>66</v>
      </c>
      <c r="X17" s="33">
        <v>110</v>
      </c>
      <c r="Y17" s="33">
        <v>110</v>
      </c>
      <c r="Z17" s="33">
        <v>110</v>
      </c>
      <c r="AA17" s="19">
        <f t="shared" si="0"/>
        <v>572</v>
      </c>
    </row>
    <row r="18" spans="1:27" x14ac:dyDescent="0.35">
      <c r="A18" s="18">
        <v>15</v>
      </c>
      <c r="B18" s="18" t="s">
        <v>97</v>
      </c>
      <c r="C18" s="18" t="s">
        <v>97</v>
      </c>
      <c r="D18" s="7" t="s">
        <v>601</v>
      </c>
      <c r="E18" s="7" t="s">
        <v>501</v>
      </c>
      <c r="F18" s="7"/>
      <c r="G18" s="7" t="s">
        <v>96</v>
      </c>
      <c r="H18" s="7"/>
      <c r="I18" s="7"/>
      <c r="J18" s="7"/>
      <c r="K18" s="7" t="s">
        <v>171</v>
      </c>
      <c r="L18" s="7" t="s">
        <v>456</v>
      </c>
      <c r="M18" s="7" t="s">
        <v>1</v>
      </c>
      <c r="N18" s="7"/>
      <c r="O18" s="47">
        <v>24.2</v>
      </c>
      <c r="P18" s="47">
        <v>33</v>
      </c>
      <c r="Q18" s="47">
        <v>45</v>
      </c>
      <c r="R18" s="47">
        <v>11</v>
      </c>
      <c r="S18" s="47">
        <v>28.6</v>
      </c>
      <c r="T18" s="47">
        <v>0</v>
      </c>
      <c r="U18" s="47">
        <v>0</v>
      </c>
      <c r="V18" s="47">
        <v>0</v>
      </c>
      <c r="W18" s="33"/>
      <c r="X18" s="33"/>
      <c r="Y18" s="33"/>
      <c r="Z18" s="33"/>
      <c r="AA18" s="19">
        <f t="shared" si="0"/>
        <v>141.80000000000001</v>
      </c>
    </row>
    <row r="19" spans="1:27" x14ac:dyDescent="0.35">
      <c r="A19" s="18">
        <v>16</v>
      </c>
      <c r="B19" s="18" t="s">
        <v>101</v>
      </c>
      <c r="C19" s="18" t="s">
        <v>97</v>
      </c>
      <c r="D19" s="7" t="s">
        <v>602</v>
      </c>
      <c r="E19" s="7" t="s">
        <v>122</v>
      </c>
      <c r="F19" s="7"/>
      <c r="G19" s="7" t="s">
        <v>119</v>
      </c>
      <c r="H19" s="7"/>
      <c r="I19" s="7"/>
      <c r="J19" s="7"/>
      <c r="K19" s="7" t="s">
        <v>171</v>
      </c>
      <c r="L19" s="7" t="s">
        <v>456</v>
      </c>
      <c r="M19" s="7" t="s">
        <v>1</v>
      </c>
      <c r="N19" s="7"/>
      <c r="O19" s="47">
        <v>0</v>
      </c>
      <c r="P19" s="47">
        <v>0</v>
      </c>
      <c r="Q19" s="47">
        <v>44</v>
      </c>
      <c r="R19" s="47">
        <v>44</v>
      </c>
      <c r="S19" s="47">
        <v>88</v>
      </c>
      <c r="T19" s="47">
        <v>44</v>
      </c>
      <c r="U19" s="47">
        <v>64.900000000000006</v>
      </c>
      <c r="V19" s="47">
        <v>66</v>
      </c>
      <c r="W19" s="33"/>
      <c r="X19" s="33"/>
      <c r="Y19" s="33">
        <v>66</v>
      </c>
      <c r="Z19" s="33">
        <v>66</v>
      </c>
      <c r="AA19" s="19">
        <f t="shared" si="0"/>
        <v>482.9</v>
      </c>
    </row>
    <row r="20" spans="1:27" x14ac:dyDescent="0.35">
      <c r="A20" s="18">
        <v>17</v>
      </c>
      <c r="B20" s="18" t="s">
        <v>115</v>
      </c>
      <c r="C20" s="18" t="s">
        <v>110</v>
      </c>
      <c r="D20" s="7" t="s">
        <v>603</v>
      </c>
      <c r="E20" s="7" t="s">
        <v>56</v>
      </c>
      <c r="F20" s="7"/>
      <c r="G20" s="7" t="s">
        <v>96</v>
      </c>
      <c r="H20" s="7"/>
      <c r="I20" s="7"/>
      <c r="J20" s="7"/>
      <c r="K20" s="7" t="s">
        <v>201</v>
      </c>
      <c r="L20" s="7" t="s">
        <v>471</v>
      </c>
      <c r="M20" s="7" t="s">
        <v>12</v>
      </c>
      <c r="N20" s="7"/>
      <c r="O20" s="47">
        <v>0</v>
      </c>
      <c r="P20" s="47">
        <v>0.75</v>
      </c>
      <c r="Q20" s="47">
        <v>0</v>
      </c>
      <c r="R20" s="47">
        <v>0</v>
      </c>
      <c r="S20" s="47">
        <v>0</v>
      </c>
      <c r="T20" s="47">
        <v>0</v>
      </c>
      <c r="U20" s="47">
        <v>0</v>
      </c>
      <c r="V20" s="47">
        <v>0</v>
      </c>
      <c r="W20" s="33">
        <v>212</v>
      </c>
      <c r="X20" s="33">
        <v>239</v>
      </c>
      <c r="Y20" s="33"/>
      <c r="Z20" s="33"/>
      <c r="AA20" s="19">
        <f t="shared" si="0"/>
        <v>451.75</v>
      </c>
    </row>
    <row r="21" spans="1:27" x14ac:dyDescent="0.35">
      <c r="A21" s="18">
        <v>18</v>
      </c>
      <c r="B21" s="18" t="s">
        <v>97</v>
      </c>
      <c r="C21" s="18" t="s">
        <v>97</v>
      </c>
      <c r="D21" s="7" t="s">
        <v>604</v>
      </c>
      <c r="E21" s="7" t="s">
        <v>145</v>
      </c>
      <c r="F21" s="7"/>
      <c r="G21" s="7" t="s">
        <v>119</v>
      </c>
      <c r="H21" s="7"/>
      <c r="I21" s="7"/>
      <c r="J21" s="7"/>
      <c r="K21" s="7" t="s">
        <v>174</v>
      </c>
      <c r="L21" s="7" t="s">
        <v>468</v>
      </c>
      <c r="M21" s="7" t="s">
        <v>1</v>
      </c>
      <c r="N21" s="7"/>
      <c r="O21" s="47">
        <v>0</v>
      </c>
      <c r="P21" s="47">
        <v>0</v>
      </c>
      <c r="Q21" s="47">
        <v>0</v>
      </c>
      <c r="R21" s="47">
        <v>0</v>
      </c>
      <c r="S21" s="47">
        <v>0</v>
      </c>
      <c r="T21" s="47">
        <v>220</v>
      </c>
      <c r="U21" s="47">
        <v>0</v>
      </c>
      <c r="V21" s="47">
        <v>220</v>
      </c>
      <c r="W21" s="33"/>
      <c r="X21" s="33"/>
      <c r="Y21" s="33"/>
      <c r="Z21" s="33"/>
      <c r="AA21" s="19">
        <f t="shared" si="0"/>
        <v>440</v>
      </c>
    </row>
    <row r="22" spans="1:27" x14ac:dyDescent="0.35">
      <c r="A22" s="18">
        <v>19</v>
      </c>
      <c r="B22" s="18" t="s">
        <v>95</v>
      </c>
      <c r="C22" s="18" t="s">
        <v>97</v>
      </c>
      <c r="D22" s="7" t="s">
        <v>595</v>
      </c>
      <c r="E22" s="7" t="s">
        <v>478</v>
      </c>
      <c r="F22" s="7"/>
      <c r="G22" s="7" t="s">
        <v>96</v>
      </c>
      <c r="H22" s="7"/>
      <c r="I22" s="7"/>
      <c r="J22" s="7"/>
      <c r="K22" s="7" t="s">
        <v>191</v>
      </c>
      <c r="L22" s="7" t="s">
        <v>466</v>
      </c>
      <c r="M22" s="7" t="s">
        <v>3</v>
      </c>
      <c r="N22" s="7"/>
      <c r="O22" s="47">
        <v>11</v>
      </c>
      <c r="P22" s="47">
        <v>24</v>
      </c>
      <c r="Q22" s="47">
        <v>44</v>
      </c>
      <c r="R22" s="47">
        <v>22</v>
      </c>
      <c r="S22" s="47">
        <v>11</v>
      </c>
      <c r="T22" s="47">
        <v>33</v>
      </c>
      <c r="U22" s="47">
        <v>0</v>
      </c>
      <c r="V22" s="47">
        <v>22</v>
      </c>
      <c r="W22" s="33">
        <v>22</v>
      </c>
      <c r="X22" s="33">
        <v>75</v>
      </c>
      <c r="Y22" s="33">
        <v>75</v>
      </c>
      <c r="Z22" s="33">
        <v>75</v>
      </c>
      <c r="AA22" s="19">
        <f t="shared" si="0"/>
        <v>414</v>
      </c>
    </row>
    <row r="23" spans="1:27" x14ac:dyDescent="0.35">
      <c r="A23" s="18">
        <v>20</v>
      </c>
      <c r="B23" s="18" t="s">
        <v>95</v>
      </c>
      <c r="C23" s="18" t="s">
        <v>97</v>
      </c>
      <c r="D23" s="7" t="s">
        <v>605</v>
      </c>
      <c r="E23" s="7" t="s">
        <v>479</v>
      </c>
      <c r="F23" s="7"/>
      <c r="G23" s="7" t="s">
        <v>96</v>
      </c>
      <c r="H23" s="7"/>
      <c r="I23" s="7"/>
      <c r="J23" s="7"/>
      <c r="K23" s="7" t="s">
        <v>184</v>
      </c>
      <c r="L23" s="7" t="s">
        <v>465</v>
      </c>
      <c r="M23" s="7" t="s">
        <v>3</v>
      </c>
      <c r="N23" s="7"/>
      <c r="O23" s="47">
        <v>49.5</v>
      </c>
      <c r="P23" s="47">
        <v>24.75</v>
      </c>
      <c r="Q23" s="47">
        <v>24.75</v>
      </c>
      <c r="R23" s="47">
        <v>24.75</v>
      </c>
      <c r="S23" s="47">
        <v>24.75</v>
      </c>
      <c r="T23" s="47">
        <v>24.75</v>
      </c>
      <c r="U23" s="47">
        <v>35.75</v>
      </c>
      <c r="V23" s="47">
        <v>35.725000000000001</v>
      </c>
      <c r="W23" s="33">
        <v>36</v>
      </c>
      <c r="X23" s="33">
        <v>40</v>
      </c>
      <c r="Y23" s="33">
        <v>40</v>
      </c>
      <c r="Z23" s="33">
        <v>40</v>
      </c>
      <c r="AA23" s="19">
        <f t="shared" si="0"/>
        <v>400.72500000000002</v>
      </c>
    </row>
    <row r="24" spans="1:27" x14ac:dyDescent="0.35">
      <c r="A24" s="18">
        <v>21</v>
      </c>
      <c r="B24" s="18" t="s">
        <v>115</v>
      </c>
      <c r="C24" s="18" t="s">
        <v>110</v>
      </c>
      <c r="D24" s="7" t="s">
        <v>603</v>
      </c>
      <c r="E24" s="7" t="s">
        <v>56</v>
      </c>
      <c r="F24" s="7"/>
      <c r="G24" s="7" t="s">
        <v>96</v>
      </c>
      <c r="H24" s="7"/>
      <c r="I24" s="7"/>
      <c r="J24" s="7"/>
      <c r="K24" s="72" t="s">
        <v>220</v>
      </c>
      <c r="L24" s="7" t="s">
        <v>507</v>
      </c>
      <c r="M24" s="7" t="s">
        <v>17</v>
      </c>
      <c r="N24" s="7"/>
      <c r="O24" s="47"/>
      <c r="P24" s="47"/>
      <c r="Q24" s="47"/>
      <c r="R24" s="47"/>
      <c r="S24" s="47"/>
      <c r="T24" s="47"/>
      <c r="U24" s="47"/>
      <c r="V24" s="47">
        <v>146.61099999999999</v>
      </c>
      <c r="W24" s="33">
        <v>60</v>
      </c>
      <c r="X24" s="33">
        <v>176</v>
      </c>
      <c r="Y24" s="33"/>
      <c r="Z24" s="33"/>
      <c r="AA24" s="19">
        <f t="shared" si="0"/>
        <v>382.61099999999999</v>
      </c>
    </row>
    <row r="25" spans="1:27" x14ac:dyDescent="0.35">
      <c r="A25" s="18">
        <v>22</v>
      </c>
      <c r="B25" s="18" t="s">
        <v>97</v>
      </c>
      <c r="C25" s="18" t="s">
        <v>97</v>
      </c>
      <c r="D25" s="7" t="s">
        <v>606</v>
      </c>
      <c r="E25" s="7" t="s">
        <v>325</v>
      </c>
      <c r="F25" s="7"/>
      <c r="G25" s="7" t="s">
        <v>96</v>
      </c>
      <c r="H25" s="7"/>
      <c r="I25" s="7"/>
      <c r="J25" s="7"/>
      <c r="K25" s="7" t="s">
        <v>168</v>
      </c>
      <c r="L25" s="7" t="s">
        <v>467</v>
      </c>
      <c r="M25" s="7" t="s">
        <v>1</v>
      </c>
      <c r="N25" s="7"/>
      <c r="O25" s="47">
        <v>44</v>
      </c>
      <c r="P25" s="47">
        <v>0</v>
      </c>
      <c r="Q25" s="47">
        <v>22</v>
      </c>
      <c r="R25" s="47">
        <v>22</v>
      </c>
      <c r="S25" s="47">
        <v>44</v>
      </c>
      <c r="T25" s="47">
        <v>22</v>
      </c>
      <c r="U25" s="47">
        <v>66</v>
      </c>
      <c r="V25" s="47">
        <v>44</v>
      </c>
      <c r="W25" s="33">
        <v>110</v>
      </c>
      <c r="X25" s="33"/>
      <c r="Y25" s="33"/>
      <c r="Z25" s="33"/>
      <c r="AA25" s="19">
        <f t="shared" si="0"/>
        <v>374</v>
      </c>
    </row>
    <row r="26" spans="1:27" x14ac:dyDescent="0.35">
      <c r="A26" s="18">
        <v>23</v>
      </c>
      <c r="B26" s="18" t="s">
        <v>95</v>
      </c>
      <c r="C26" s="18" t="s">
        <v>97</v>
      </c>
      <c r="D26" s="7" t="s">
        <v>607</v>
      </c>
      <c r="E26" s="7" t="s">
        <v>126</v>
      </c>
      <c r="F26" s="7"/>
      <c r="G26" s="7" t="s">
        <v>119</v>
      </c>
      <c r="H26" s="7"/>
      <c r="I26" s="7"/>
      <c r="J26" s="7"/>
      <c r="K26" s="7" t="s">
        <v>168</v>
      </c>
      <c r="L26" s="7" t="s">
        <v>467</v>
      </c>
      <c r="M26" s="7" t="s">
        <v>1</v>
      </c>
      <c r="N26" s="7"/>
      <c r="O26" s="47">
        <v>0</v>
      </c>
      <c r="P26" s="47">
        <v>0</v>
      </c>
      <c r="Q26" s="47">
        <v>0</v>
      </c>
      <c r="R26" s="47">
        <v>0</v>
      </c>
      <c r="S26" s="47">
        <v>220</v>
      </c>
      <c r="T26" s="47">
        <v>0</v>
      </c>
      <c r="U26" s="47">
        <v>0</v>
      </c>
      <c r="V26" s="47">
        <v>0</v>
      </c>
      <c r="W26" s="33"/>
      <c r="X26" s="33">
        <v>66</v>
      </c>
      <c r="Y26" s="33"/>
      <c r="Z26" s="33">
        <v>66</v>
      </c>
      <c r="AA26" s="19">
        <f t="shared" si="0"/>
        <v>352</v>
      </c>
    </row>
    <row r="27" spans="1:27" x14ac:dyDescent="0.35">
      <c r="A27" s="18">
        <v>24</v>
      </c>
      <c r="B27" s="18" t="s">
        <v>95</v>
      </c>
      <c r="C27" s="18" t="s">
        <v>97</v>
      </c>
      <c r="D27" s="7" t="s">
        <v>595</v>
      </c>
      <c r="E27" s="7" t="s">
        <v>478</v>
      </c>
      <c r="F27" s="7"/>
      <c r="G27" s="7" t="s">
        <v>96</v>
      </c>
      <c r="H27" s="7"/>
      <c r="I27" s="7"/>
      <c r="J27" s="7"/>
      <c r="K27" s="7" t="s">
        <v>188</v>
      </c>
      <c r="L27" s="7" t="s">
        <v>482</v>
      </c>
      <c r="M27" s="7" t="s">
        <v>3</v>
      </c>
      <c r="N27" s="7"/>
      <c r="O27" s="47">
        <v>22</v>
      </c>
      <c r="P27" s="47">
        <v>44</v>
      </c>
      <c r="Q27" s="47">
        <v>44</v>
      </c>
      <c r="R27" s="47">
        <v>22</v>
      </c>
      <c r="S27" s="47">
        <v>33</v>
      </c>
      <c r="T27" s="47">
        <v>44</v>
      </c>
      <c r="U27" s="47">
        <v>11</v>
      </c>
      <c r="V27" s="47">
        <v>44</v>
      </c>
      <c r="W27" s="33">
        <v>33</v>
      </c>
      <c r="X27" s="33">
        <v>22</v>
      </c>
      <c r="Y27" s="33">
        <v>11</v>
      </c>
      <c r="Z27" s="33">
        <v>11</v>
      </c>
      <c r="AA27" s="19">
        <f t="shared" si="0"/>
        <v>341</v>
      </c>
    </row>
    <row r="28" spans="1:27" x14ac:dyDescent="0.35">
      <c r="A28" s="18">
        <v>25</v>
      </c>
      <c r="B28" s="18" t="s">
        <v>115</v>
      </c>
      <c r="C28" s="18" t="s">
        <v>110</v>
      </c>
      <c r="D28" s="7" t="s">
        <v>608</v>
      </c>
      <c r="E28" s="7" t="s">
        <v>294</v>
      </c>
      <c r="F28" s="7"/>
      <c r="G28" s="7" t="s">
        <v>119</v>
      </c>
      <c r="H28" s="7"/>
      <c r="I28" s="7"/>
      <c r="J28" s="7"/>
      <c r="K28" s="7" t="s">
        <v>172</v>
      </c>
      <c r="L28" s="7" t="s">
        <v>469</v>
      </c>
      <c r="M28" s="7" t="s">
        <v>1</v>
      </c>
      <c r="N28" s="7"/>
      <c r="O28" s="47">
        <v>0</v>
      </c>
      <c r="P28" s="47">
        <v>0</v>
      </c>
      <c r="Q28" s="47">
        <v>0</v>
      </c>
      <c r="R28" s="47">
        <v>105</v>
      </c>
      <c r="S28" s="47">
        <v>105</v>
      </c>
      <c r="T28" s="47">
        <v>0</v>
      </c>
      <c r="U28" s="47">
        <v>0</v>
      </c>
      <c r="V28" s="47">
        <v>0</v>
      </c>
      <c r="W28" s="33"/>
      <c r="X28" s="33"/>
      <c r="Y28" s="33">
        <v>63</v>
      </c>
      <c r="Z28" s="33">
        <v>63</v>
      </c>
      <c r="AA28" s="19">
        <f t="shared" si="0"/>
        <v>336</v>
      </c>
    </row>
    <row r="29" spans="1:27" x14ac:dyDescent="0.35">
      <c r="A29" s="18">
        <v>26</v>
      </c>
      <c r="B29" s="18" t="s">
        <v>95</v>
      </c>
      <c r="C29" s="18" t="s">
        <v>97</v>
      </c>
      <c r="D29" s="7" t="s">
        <v>609</v>
      </c>
      <c r="E29" s="7" t="s">
        <v>263</v>
      </c>
      <c r="F29" s="7"/>
      <c r="G29" s="7" t="s">
        <v>96</v>
      </c>
      <c r="H29" s="7"/>
      <c r="I29" s="7"/>
      <c r="J29" s="7"/>
      <c r="K29" s="7" t="s">
        <v>174</v>
      </c>
      <c r="L29" s="7" t="s">
        <v>468</v>
      </c>
      <c r="M29" s="7" t="s">
        <v>1</v>
      </c>
      <c r="N29" s="7"/>
      <c r="O29" s="47">
        <v>0</v>
      </c>
      <c r="P29" s="47">
        <v>0</v>
      </c>
      <c r="Q29" s="47">
        <v>0</v>
      </c>
      <c r="R29" s="47">
        <v>0</v>
      </c>
      <c r="S29" s="47">
        <v>0</v>
      </c>
      <c r="T29" s="47">
        <v>0</v>
      </c>
      <c r="U29" s="47">
        <v>330.85</v>
      </c>
      <c r="V29" s="47">
        <v>0</v>
      </c>
      <c r="W29" s="33"/>
      <c r="X29" s="33"/>
      <c r="Y29" s="33"/>
      <c r="Z29" s="33"/>
      <c r="AA29" s="19">
        <f t="shared" si="0"/>
        <v>330.85</v>
      </c>
    </row>
    <row r="30" spans="1:27" x14ac:dyDescent="0.35">
      <c r="A30" s="18">
        <v>27</v>
      </c>
      <c r="B30" s="18" t="s">
        <v>104</v>
      </c>
      <c r="C30" s="18" t="s">
        <v>110</v>
      </c>
      <c r="D30" s="7" t="s">
        <v>610</v>
      </c>
      <c r="E30" s="7" t="s">
        <v>44</v>
      </c>
      <c r="F30" s="7"/>
      <c r="G30" s="7" t="s">
        <v>96</v>
      </c>
      <c r="H30" s="7"/>
      <c r="I30" s="7"/>
      <c r="J30" s="7"/>
      <c r="K30" s="7" t="s">
        <v>186</v>
      </c>
      <c r="L30" s="7" t="s">
        <v>477</v>
      </c>
      <c r="M30" s="7" t="s">
        <v>3</v>
      </c>
      <c r="N30" s="7"/>
      <c r="O30" s="47">
        <v>22</v>
      </c>
      <c r="P30" s="47">
        <v>22</v>
      </c>
      <c r="Q30" s="47">
        <v>33</v>
      </c>
      <c r="R30" s="47">
        <v>33</v>
      </c>
      <c r="S30" s="47">
        <v>33</v>
      </c>
      <c r="T30" s="47">
        <v>33</v>
      </c>
      <c r="U30" s="47">
        <v>33</v>
      </c>
      <c r="V30" s="47">
        <v>33</v>
      </c>
      <c r="W30" s="33">
        <v>33</v>
      </c>
      <c r="X30" s="33">
        <v>44</v>
      </c>
      <c r="Y30" s="33"/>
      <c r="Z30" s="33"/>
      <c r="AA30" s="19">
        <f t="shared" si="0"/>
        <v>319</v>
      </c>
    </row>
    <row r="31" spans="1:27" x14ac:dyDescent="0.35">
      <c r="A31" s="18">
        <v>28</v>
      </c>
      <c r="B31" s="18" t="s">
        <v>95</v>
      </c>
      <c r="C31" s="18" t="s">
        <v>97</v>
      </c>
      <c r="D31" s="7" t="s">
        <v>593</v>
      </c>
      <c r="E31" s="7" t="s">
        <v>46</v>
      </c>
      <c r="F31" s="7"/>
      <c r="G31" s="7" t="s">
        <v>119</v>
      </c>
      <c r="H31" s="7"/>
      <c r="I31" s="7"/>
      <c r="J31" s="7"/>
      <c r="K31" s="7" t="s">
        <v>190</v>
      </c>
      <c r="L31" s="7" t="s">
        <v>504</v>
      </c>
      <c r="M31" s="7" t="s">
        <v>3</v>
      </c>
      <c r="N31" s="7"/>
      <c r="O31" s="47">
        <v>0</v>
      </c>
      <c r="P31" s="47">
        <v>0</v>
      </c>
      <c r="Q31" s="47">
        <v>99</v>
      </c>
      <c r="R31" s="47">
        <v>0</v>
      </c>
      <c r="S31" s="47">
        <v>0</v>
      </c>
      <c r="T31" s="47">
        <v>0</v>
      </c>
      <c r="U31" s="47">
        <v>0</v>
      </c>
      <c r="V31" s="47">
        <v>99</v>
      </c>
      <c r="W31" s="33"/>
      <c r="X31" s="33"/>
      <c r="Y31" s="33"/>
      <c r="Z31" s="33">
        <v>99</v>
      </c>
      <c r="AA31" s="19">
        <f t="shared" si="0"/>
        <v>297</v>
      </c>
    </row>
    <row r="32" spans="1:27" x14ac:dyDescent="0.35">
      <c r="A32" s="18">
        <v>29</v>
      </c>
      <c r="B32" s="18" t="s">
        <v>115</v>
      </c>
      <c r="C32" s="18" t="s">
        <v>110</v>
      </c>
      <c r="D32" s="7" t="s">
        <v>594</v>
      </c>
      <c r="E32" s="7" t="s">
        <v>267</v>
      </c>
      <c r="F32" s="7"/>
      <c r="G32" s="7" t="s">
        <v>96</v>
      </c>
      <c r="H32" s="7"/>
      <c r="I32" s="7"/>
      <c r="J32" s="7"/>
      <c r="K32" s="7" t="s">
        <v>183</v>
      </c>
      <c r="L32" s="7" t="s">
        <v>483</v>
      </c>
      <c r="M32" s="7" t="s">
        <v>10</v>
      </c>
      <c r="N32" s="7"/>
      <c r="O32" s="47">
        <v>0</v>
      </c>
      <c r="P32" s="47">
        <v>0</v>
      </c>
      <c r="Q32" s="47">
        <v>0</v>
      </c>
      <c r="R32" s="47">
        <v>0</v>
      </c>
      <c r="S32" s="47">
        <v>0</v>
      </c>
      <c r="T32" s="47">
        <v>0</v>
      </c>
      <c r="U32" s="47">
        <v>286.64999999999998</v>
      </c>
      <c r="V32" s="47">
        <v>0</v>
      </c>
      <c r="W32" s="33"/>
      <c r="X32" s="33"/>
      <c r="Y32" s="33"/>
      <c r="Z32" s="33"/>
      <c r="AA32" s="19">
        <f t="shared" si="0"/>
        <v>286.64999999999998</v>
      </c>
    </row>
    <row r="33" spans="1:27" x14ac:dyDescent="0.35">
      <c r="A33" s="18">
        <v>30</v>
      </c>
      <c r="B33" s="18" t="s">
        <v>104</v>
      </c>
      <c r="C33" s="18" t="s">
        <v>110</v>
      </c>
      <c r="D33" s="7" t="s">
        <v>611</v>
      </c>
      <c r="E33" s="7" t="s">
        <v>269</v>
      </c>
      <c r="F33" s="7"/>
      <c r="G33" s="7" t="s">
        <v>96</v>
      </c>
      <c r="H33" s="7"/>
      <c r="I33" s="7"/>
      <c r="J33" s="7"/>
      <c r="K33" s="7" t="s">
        <v>168</v>
      </c>
      <c r="L33" s="7" t="s">
        <v>467</v>
      </c>
      <c r="M33" s="7" t="s">
        <v>1</v>
      </c>
      <c r="N33" s="7"/>
      <c r="O33" s="47">
        <v>0</v>
      </c>
      <c r="P33" s="47">
        <v>0</v>
      </c>
      <c r="Q33" s="47">
        <v>88</v>
      </c>
      <c r="R33" s="47">
        <v>66</v>
      </c>
      <c r="S33" s="47">
        <v>0</v>
      </c>
      <c r="T33" s="47">
        <v>88</v>
      </c>
      <c r="U33" s="47">
        <v>0</v>
      </c>
      <c r="V33" s="47">
        <v>44</v>
      </c>
      <c r="W33" s="33"/>
      <c r="X33" s="33"/>
      <c r="Y33" s="33"/>
      <c r="Z33" s="33"/>
      <c r="AA33" s="19">
        <f t="shared" si="0"/>
        <v>286</v>
      </c>
    </row>
    <row r="34" spans="1:27" x14ac:dyDescent="0.35">
      <c r="A34" s="18">
        <v>31</v>
      </c>
      <c r="B34" s="18" t="s">
        <v>104</v>
      </c>
      <c r="C34" s="18" t="s">
        <v>110</v>
      </c>
      <c r="D34" s="7" t="s">
        <v>612</v>
      </c>
      <c r="E34" s="7" t="s">
        <v>321</v>
      </c>
      <c r="F34" s="7"/>
      <c r="G34" s="7" t="s">
        <v>96</v>
      </c>
      <c r="H34" s="7"/>
      <c r="I34" s="7"/>
      <c r="J34" s="7"/>
      <c r="K34" s="7" t="s">
        <v>168</v>
      </c>
      <c r="L34" s="7" t="s">
        <v>467</v>
      </c>
      <c r="M34" s="7" t="s">
        <v>1</v>
      </c>
      <c r="N34" s="7"/>
      <c r="O34" s="47">
        <v>0</v>
      </c>
      <c r="P34" s="47">
        <v>0</v>
      </c>
      <c r="Q34" s="47">
        <v>0</v>
      </c>
      <c r="R34" s="47">
        <v>0</v>
      </c>
      <c r="S34" s="47">
        <v>0</v>
      </c>
      <c r="T34" s="47">
        <v>0</v>
      </c>
      <c r="U34" s="47">
        <v>0</v>
      </c>
      <c r="V34" s="47">
        <v>88</v>
      </c>
      <c r="W34" s="47">
        <v>44</v>
      </c>
      <c r="X34" s="47">
        <v>44</v>
      </c>
      <c r="Y34" s="47">
        <v>44</v>
      </c>
      <c r="Z34" s="47">
        <v>44</v>
      </c>
      <c r="AA34" s="19">
        <f t="shared" si="0"/>
        <v>264</v>
      </c>
    </row>
    <row r="35" spans="1:27" x14ac:dyDescent="0.35">
      <c r="A35" s="18">
        <v>32</v>
      </c>
      <c r="B35" s="18" t="s">
        <v>104</v>
      </c>
      <c r="C35" s="18" t="s">
        <v>110</v>
      </c>
      <c r="D35" s="7" t="s">
        <v>613</v>
      </c>
      <c r="E35" s="7" t="s">
        <v>132</v>
      </c>
      <c r="F35" s="7"/>
      <c r="G35" s="7" t="s">
        <v>119</v>
      </c>
      <c r="H35" s="7"/>
      <c r="I35" s="7"/>
      <c r="J35" s="7"/>
      <c r="K35" s="7" t="s">
        <v>172</v>
      </c>
      <c r="L35" s="7" t="s">
        <v>469</v>
      </c>
      <c r="M35" s="7" t="s">
        <v>1</v>
      </c>
      <c r="N35" s="7"/>
      <c r="O35" s="47">
        <v>132</v>
      </c>
      <c r="P35" s="47">
        <v>0</v>
      </c>
      <c r="Q35" s="47">
        <v>44</v>
      </c>
      <c r="R35" s="47">
        <v>88</v>
      </c>
      <c r="S35" s="47">
        <v>0</v>
      </c>
      <c r="T35" s="47">
        <v>0</v>
      </c>
      <c r="U35" s="47">
        <v>0</v>
      </c>
      <c r="V35" s="47">
        <v>0</v>
      </c>
      <c r="W35" s="33"/>
      <c r="X35" s="33"/>
      <c r="Y35" s="33"/>
      <c r="Z35" s="33"/>
      <c r="AA35" s="19">
        <f t="shared" si="0"/>
        <v>264</v>
      </c>
    </row>
    <row r="36" spans="1:27" x14ac:dyDescent="0.35">
      <c r="A36" s="18">
        <v>33</v>
      </c>
      <c r="B36" s="18" t="s">
        <v>115</v>
      </c>
      <c r="C36" s="18" t="s">
        <v>110</v>
      </c>
      <c r="D36" s="7" t="s">
        <v>614</v>
      </c>
      <c r="E36" s="7" t="s">
        <v>304</v>
      </c>
      <c r="F36" s="7"/>
      <c r="G36" s="7" t="s">
        <v>119</v>
      </c>
      <c r="H36" s="7"/>
      <c r="I36" s="7"/>
      <c r="J36" s="7"/>
      <c r="K36" s="7" t="s">
        <v>171</v>
      </c>
      <c r="L36" s="7" t="s">
        <v>456</v>
      </c>
      <c r="M36" s="7" t="s">
        <v>1</v>
      </c>
      <c r="N36" s="7"/>
      <c r="O36" s="47">
        <v>0</v>
      </c>
      <c r="P36" s="47">
        <v>0</v>
      </c>
      <c r="Q36" s="47">
        <v>0</v>
      </c>
      <c r="R36" s="47">
        <v>0</v>
      </c>
      <c r="S36" s="47">
        <v>22</v>
      </c>
      <c r="T36" s="47">
        <v>0</v>
      </c>
      <c r="U36" s="47">
        <v>0</v>
      </c>
      <c r="V36" s="47">
        <v>44</v>
      </c>
      <c r="W36" s="33">
        <v>65</v>
      </c>
      <c r="X36" s="33">
        <v>44</v>
      </c>
      <c r="Y36" s="33">
        <v>44</v>
      </c>
      <c r="Z36" s="33">
        <v>44</v>
      </c>
      <c r="AA36" s="19">
        <f t="shared" si="0"/>
        <v>263</v>
      </c>
    </row>
    <row r="37" spans="1:27" x14ac:dyDescent="0.35">
      <c r="A37" s="18">
        <v>34</v>
      </c>
      <c r="B37" s="18" t="s">
        <v>104</v>
      </c>
      <c r="C37" s="18" t="s">
        <v>110</v>
      </c>
      <c r="D37" s="7" t="s">
        <v>615</v>
      </c>
      <c r="E37" s="7" t="s">
        <v>320</v>
      </c>
      <c r="F37" s="7"/>
      <c r="G37" s="7" t="s">
        <v>96</v>
      </c>
      <c r="H37" s="7"/>
      <c r="I37" s="7"/>
      <c r="J37" s="7"/>
      <c r="K37" s="7" t="s">
        <v>168</v>
      </c>
      <c r="L37" s="7" t="s">
        <v>467</v>
      </c>
      <c r="M37" s="7" t="s">
        <v>1</v>
      </c>
      <c r="N37" s="7"/>
      <c r="O37" s="47">
        <v>88</v>
      </c>
      <c r="P37" s="47">
        <v>88</v>
      </c>
      <c r="Q37" s="47">
        <v>66</v>
      </c>
      <c r="R37" s="47">
        <v>0</v>
      </c>
      <c r="S37" s="47">
        <v>0</v>
      </c>
      <c r="T37" s="47">
        <v>0</v>
      </c>
      <c r="U37" s="47">
        <v>0</v>
      </c>
      <c r="V37" s="47">
        <v>0</v>
      </c>
      <c r="W37" s="33"/>
      <c r="X37" s="33"/>
      <c r="Y37" s="33"/>
      <c r="Z37" s="33"/>
      <c r="AA37" s="19">
        <f t="shared" si="0"/>
        <v>242</v>
      </c>
    </row>
    <row r="38" spans="1:27" x14ac:dyDescent="0.35">
      <c r="A38" s="18">
        <v>35</v>
      </c>
      <c r="B38" s="18" t="s">
        <v>115</v>
      </c>
      <c r="C38" s="18" t="s">
        <v>110</v>
      </c>
      <c r="D38" s="7" t="s">
        <v>616</v>
      </c>
      <c r="E38" s="7" t="s">
        <v>128</v>
      </c>
      <c r="F38" s="7"/>
      <c r="G38" s="7" t="s">
        <v>119</v>
      </c>
      <c r="H38" s="7"/>
      <c r="I38" s="7"/>
      <c r="J38" s="7"/>
      <c r="K38" s="7" t="s">
        <v>174</v>
      </c>
      <c r="L38" s="7" t="s">
        <v>468</v>
      </c>
      <c r="M38" s="7" t="s">
        <v>1</v>
      </c>
      <c r="N38" s="7"/>
      <c r="O38" s="47">
        <v>0</v>
      </c>
      <c r="P38" s="47">
        <v>22</v>
      </c>
      <c r="Q38" s="47">
        <v>0</v>
      </c>
      <c r="R38" s="47">
        <v>44</v>
      </c>
      <c r="S38" s="47">
        <v>0</v>
      </c>
      <c r="T38" s="47">
        <v>22</v>
      </c>
      <c r="U38" s="47">
        <v>0</v>
      </c>
      <c r="V38" s="47">
        <v>0</v>
      </c>
      <c r="W38" s="33">
        <v>66</v>
      </c>
      <c r="X38" s="33"/>
      <c r="Y38" s="33">
        <v>44</v>
      </c>
      <c r="Z38" s="33">
        <v>44</v>
      </c>
      <c r="AA38" s="19">
        <f t="shared" si="0"/>
        <v>242</v>
      </c>
    </row>
    <row r="39" spans="1:27" x14ac:dyDescent="0.35">
      <c r="A39" s="18">
        <v>36</v>
      </c>
      <c r="B39" s="18" t="s">
        <v>104</v>
      </c>
      <c r="C39" s="18" t="s">
        <v>110</v>
      </c>
      <c r="D39" s="7" t="s">
        <v>617</v>
      </c>
      <c r="E39" s="7" t="s">
        <v>144</v>
      </c>
      <c r="F39" s="7"/>
      <c r="G39" s="7" t="s">
        <v>119</v>
      </c>
      <c r="H39" s="7"/>
      <c r="I39" s="7"/>
      <c r="J39" s="7"/>
      <c r="K39" s="7" t="s">
        <v>172</v>
      </c>
      <c r="L39" s="7" t="s">
        <v>469</v>
      </c>
      <c r="M39" s="7" t="s">
        <v>1</v>
      </c>
      <c r="N39" s="7"/>
      <c r="O39" s="47">
        <v>0</v>
      </c>
      <c r="P39" s="47">
        <v>220</v>
      </c>
      <c r="Q39" s="47">
        <v>0</v>
      </c>
      <c r="R39" s="47">
        <v>0</v>
      </c>
      <c r="S39" s="47">
        <v>0</v>
      </c>
      <c r="T39" s="47">
        <v>0</v>
      </c>
      <c r="U39" s="47">
        <v>0</v>
      </c>
      <c r="V39" s="47">
        <v>0</v>
      </c>
      <c r="W39" s="33"/>
      <c r="X39" s="33"/>
      <c r="Y39" s="33"/>
      <c r="Z39" s="33"/>
      <c r="AA39" s="19">
        <f t="shared" si="0"/>
        <v>220</v>
      </c>
    </row>
    <row r="40" spans="1:27" x14ac:dyDescent="0.35">
      <c r="A40" s="18">
        <v>37</v>
      </c>
      <c r="B40" s="18" t="s">
        <v>95</v>
      </c>
      <c r="C40" s="18" t="s">
        <v>97</v>
      </c>
      <c r="D40" s="7" t="s">
        <v>618</v>
      </c>
      <c r="E40" s="7" t="s">
        <v>143</v>
      </c>
      <c r="F40" s="7"/>
      <c r="G40" s="7" t="s">
        <v>119</v>
      </c>
      <c r="H40" s="7"/>
      <c r="I40" s="7"/>
      <c r="J40" s="7"/>
      <c r="K40" s="7" t="s">
        <v>174</v>
      </c>
      <c r="L40" s="7" t="s">
        <v>468</v>
      </c>
      <c r="M40" s="7" t="s">
        <v>1</v>
      </c>
      <c r="N40" s="7"/>
      <c r="O40" s="47">
        <v>0</v>
      </c>
      <c r="P40" s="47">
        <v>0</v>
      </c>
      <c r="Q40" s="47">
        <v>220</v>
      </c>
      <c r="R40" s="47">
        <v>0</v>
      </c>
      <c r="S40" s="47">
        <v>0</v>
      </c>
      <c r="T40" s="47">
        <v>0</v>
      </c>
      <c r="U40" s="47">
        <v>0</v>
      </c>
      <c r="V40" s="47">
        <v>0</v>
      </c>
      <c r="W40" s="33"/>
      <c r="X40" s="33"/>
      <c r="Y40" s="33"/>
      <c r="Z40" s="33"/>
      <c r="AA40" s="19">
        <f t="shared" si="0"/>
        <v>220</v>
      </c>
    </row>
    <row r="41" spans="1:27" x14ac:dyDescent="0.35">
      <c r="A41" s="18">
        <v>38</v>
      </c>
      <c r="B41" s="18" t="s">
        <v>120</v>
      </c>
      <c r="C41" s="18" t="s">
        <v>97</v>
      </c>
      <c r="D41" s="7" t="s">
        <v>619</v>
      </c>
      <c r="E41" s="7" t="s">
        <v>146</v>
      </c>
      <c r="F41" s="7"/>
      <c r="G41" s="7" t="s">
        <v>119</v>
      </c>
      <c r="H41" s="7"/>
      <c r="I41" s="7"/>
      <c r="J41" s="7"/>
      <c r="K41" s="7" t="s">
        <v>178</v>
      </c>
      <c r="L41" s="7" t="s">
        <v>494</v>
      </c>
      <c r="M41" s="7" t="s">
        <v>1</v>
      </c>
      <c r="N41" s="7"/>
      <c r="O41" s="47">
        <v>0</v>
      </c>
      <c r="P41" s="47">
        <v>0</v>
      </c>
      <c r="Q41" s="47">
        <v>0</v>
      </c>
      <c r="R41" s="47">
        <v>0</v>
      </c>
      <c r="S41" s="47">
        <v>0</v>
      </c>
      <c r="T41" s="47">
        <v>0</v>
      </c>
      <c r="U41" s="47">
        <v>21.5</v>
      </c>
      <c r="V41" s="47">
        <v>0</v>
      </c>
      <c r="W41" s="33"/>
      <c r="X41" s="33">
        <v>44</v>
      </c>
      <c r="Y41" s="33">
        <v>44</v>
      </c>
      <c r="Z41" s="33">
        <v>88</v>
      </c>
      <c r="AA41" s="19">
        <f t="shared" si="0"/>
        <v>197.5</v>
      </c>
    </row>
    <row r="42" spans="1:27" x14ac:dyDescent="0.35">
      <c r="A42" s="18">
        <v>39</v>
      </c>
      <c r="B42" s="18" t="s">
        <v>97</v>
      </c>
      <c r="C42" s="18" t="s">
        <v>97</v>
      </c>
      <c r="D42" s="7" t="s">
        <v>620</v>
      </c>
      <c r="E42" s="7" t="s">
        <v>324</v>
      </c>
      <c r="F42" s="7"/>
      <c r="G42" s="7" t="s">
        <v>96</v>
      </c>
      <c r="H42" s="7"/>
      <c r="I42" s="7"/>
      <c r="J42" s="7"/>
      <c r="K42" s="7" t="s">
        <v>168</v>
      </c>
      <c r="L42" s="7" t="s">
        <v>467</v>
      </c>
      <c r="M42" s="7" t="s">
        <v>1</v>
      </c>
      <c r="N42" s="7"/>
      <c r="O42" s="47">
        <v>-13.7507</v>
      </c>
      <c r="P42" s="47">
        <v>22</v>
      </c>
      <c r="Q42" s="47">
        <v>88</v>
      </c>
      <c r="R42" s="47">
        <v>44</v>
      </c>
      <c r="S42" s="47">
        <v>-40.039699999999996</v>
      </c>
      <c r="T42" s="47">
        <v>0</v>
      </c>
      <c r="U42" s="47">
        <v>50.969099999999997</v>
      </c>
      <c r="V42" s="47">
        <v>43.292999999999999</v>
      </c>
      <c r="W42" s="33"/>
      <c r="X42" s="33"/>
      <c r="Y42" s="33"/>
      <c r="Z42" s="33"/>
      <c r="AA42" s="19">
        <f t="shared" si="0"/>
        <v>194.4717</v>
      </c>
    </row>
    <row r="43" spans="1:27" x14ac:dyDescent="0.35">
      <c r="A43" s="18">
        <v>40</v>
      </c>
      <c r="B43" s="18" t="s">
        <v>101</v>
      </c>
      <c r="C43" s="18" t="s">
        <v>97</v>
      </c>
      <c r="D43" s="7" t="s">
        <v>621</v>
      </c>
      <c r="E43" s="7" t="s">
        <v>257</v>
      </c>
      <c r="F43" s="7"/>
      <c r="G43" s="7" t="s">
        <v>96</v>
      </c>
      <c r="H43" s="7"/>
      <c r="I43" s="7"/>
      <c r="J43" s="7"/>
      <c r="K43" s="7" t="s">
        <v>180</v>
      </c>
      <c r="L43" s="7" t="s">
        <v>497</v>
      </c>
      <c r="M43" s="7" t="s">
        <v>1</v>
      </c>
      <c r="N43" s="7"/>
      <c r="O43" s="47">
        <v>0</v>
      </c>
      <c r="P43" s="47">
        <v>0</v>
      </c>
      <c r="Q43" s="47">
        <v>0</v>
      </c>
      <c r="R43" s="47">
        <v>0</v>
      </c>
      <c r="S43" s="47">
        <v>0</v>
      </c>
      <c r="T43" s="47">
        <v>0</v>
      </c>
      <c r="U43" s="47">
        <v>0</v>
      </c>
      <c r="V43" s="47">
        <v>184.8</v>
      </c>
      <c r="W43" s="33"/>
      <c r="X43" s="33"/>
      <c r="Y43" s="33"/>
      <c r="Z43" s="33"/>
      <c r="AA43" s="19">
        <f t="shared" si="0"/>
        <v>184.8</v>
      </c>
    </row>
    <row r="44" spans="1:27" x14ac:dyDescent="0.35">
      <c r="A44" s="18">
        <v>41</v>
      </c>
      <c r="B44" s="18" t="s">
        <v>115</v>
      </c>
      <c r="C44" s="18" t="s">
        <v>110</v>
      </c>
      <c r="D44" s="7" t="s">
        <v>622</v>
      </c>
      <c r="E44" s="7" t="s">
        <v>53</v>
      </c>
      <c r="F44" s="7"/>
      <c r="G44" s="7" t="s">
        <v>96</v>
      </c>
      <c r="H44" s="7"/>
      <c r="I44" s="7"/>
      <c r="J44" s="7"/>
      <c r="K44" s="7" t="s">
        <v>185</v>
      </c>
      <c r="L44" s="7" t="s">
        <v>486</v>
      </c>
      <c r="M44" s="7" t="s">
        <v>3</v>
      </c>
      <c r="N44" s="7"/>
      <c r="O44" s="47">
        <v>0</v>
      </c>
      <c r="P44" s="47">
        <v>11</v>
      </c>
      <c r="Q44" s="47">
        <v>11</v>
      </c>
      <c r="R44" s="47">
        <v>28</v>
      </c>
      <c r="S44" s="47">
        <v>0</v>
      </c>
      <c r="T44" s="47">
        <v>0</v>
      </c>
      <c r="U44" s="47">
        <v>0</v>
      </c>
      <c r="V44" s="47">
        <v>0</v>
      </c>
      <c r="W44" s="33">
        <v>1</v>
      </c>
      <c r="X44" s="33">
        <v>44</v>
      </c>
      <c r="Y44" s="33">
        <v>44</v>
      </c>
      <c r="Z44" s="33">
        <v>44</v>
      </c>
      <c r="AA44" s="19">
        <f t="shared" si="0"/>
        <v>183</v>
      </c>
    </row>
    <row r="45" spans="1:27" x14ac:dyDescent="0.35">
      <c r="A45" s="18">
        <v>42</v>
      </c>
      <c r="B45" s="18" t="s">
        <v>95</v>
      </c>
      <c r="C45" s="18" t="s">
        <v>97</v>
      </c>
      <c r="D45" s="7" t="s">
        <v>623</v>
      </c>
      <c r="E45" s="7" t="s">
        <v>137</v>
      </c>
      <c r="F45" s="7"/>
      <c r="G45" s="7" t="s">
        <v>119</v>
      </c>
      <c r="H45" s="7"/>
      <c r="I45" s="7"/>
      <c r="J45" s="7"/>
      <c r="K45" s="7" t="s">
        <v>172</v>
      </c>
      <c r="L45" s="7" t="s">
        <v>469</v>
      </c>
      <c r="M45" s="7" t="s">
        <v>1</v>
      </c>
      <c r="N45" s="7"/>
      <c r="O45" s="47">
        <v>0</v>
      </c>
      <c r="P45" s="47">
        <v>110</v>
      </c>
      <c r="Q45" s="47">
        <v>0</v>
      </c>
      <c r="R45" s="47">
        <v>22</v>
      </c>
      <c r="S45" s="47">
        <v>0</v>
      </c>
      <c r="T45" s="47">
        <v>0</v>
      </c>
      <c r="U45" s="47">
        <v>44</v>
      </c>
      <c r="V45" s="47">
        <v>0</v>
      </c>
      <c r="W45" s="33"/>
      <c r="X45" s="33"/>
      <c r="Y45" s="33"/>
      <c r="Z45" s="33"/>
      <c r="AA45" s="19">
        <f t="shared" si="0"/>
        <v>176</v>
      </c>
    </row>
    <row r="46" spans="1:27" x14ac:dyDescent="0.35">
      <c r="A46" s="18">
        <v>43</v>
      </c>
      <c r="B46" s="18" t="s">
        <v>115</v>
      </c>
      <c r="C46" s="18" t="s">
        <v>110</v>
      </c>
      <c r="D46" s="7" t="s">
        <v>624</v>
      </c>
      <c r="E46" s="7" t="s">
        <v>272</v>
      </c>
      <c r="F46" s="7"/>
      <c r="G46" s="7" t="s">
        <v>96</v>
      </c>
      <c r="H46" s="7"/>
      <c r="I46" s="7"/>
      <c r="J46" s="7"/>
      <c r="K46" s="7" t="s">
        <v>172</v>
      </c>
      <c r="L46" s="7" t="s">
        <v>469</v>
      </c>
      <c r="M46" s="7" t="s">
        <v>1</v>
      </c>
      <c r="N46" s="7"/>
      <c r="O46" s="47">
        <v>0</v>
      </c>
      <c r="P46" s="47">
        <v>4.4000000000000004</v>
      </c>
      <c r="Q46" s="47">
        <v>12.1</v>
      </c>
      <c r="R46" s="47">
        <v>6.6</v>
      </c>
      <c r="S46" s="47">
        <v>11</v>
      </c>
      <c r="T46" s="47">
        <v>44</v>
      </c>
      <c r="U46" s="47">
        <v>33</v>
      </c>
      <c r="V46" s="47">
        <v>11</v>
      </c>
      <c r="W46" s="33"/>
      <c r="X46" s="33"/>
      <c r="Y46" s="33">
        <v>22</v>
      </c>
      <c r="Z46" s="33">
        <v>22</v>
      </c>
      <c r="AA46" s="19">
        <f t="shared" si="0"/>
        <v>166.1</v>
      </c>
    </row>
    <row r="47" spans="1:27" x14ac:dyDescent="0.35">
      <c r="A47" s="18">
        <v>44</v>
      </c>
      <c r="B47" s="18" t="s">
        <v>97</v>
      </c>
      <c r="C47" s="18" t="s">
        <v>97</v>
      </c>
      <c r="D47" s="7" t="s">
        <v>625</v>
      </c>
      <c r="E47" s="7" t="s">
        <v>271</v>
      </c>
      <c r="F47" s="7"/>
      <c r="G47" s="7" t="s">
        <v>96</v>
      </c>
      <c r="H47" s="7"/>
      <c r="I47" s="7"/>
      <c r="J47" s="7"/>
      <c r="K47" s="7" t="s">
        <v>194</v>
      </c>
      <c r="L47" s="7" t="s">
        <v>457</v>
      </c>
      <c r="M47" s="7" t="s">
        <v>2</v>
      </c>
      <c r="N47" s="7"/>
      <c r="O47" s="47">
        <v>0</v>
      </c>
      <c r="P47" s="47">
        <v>11</v>
      </c>
      <c r="Q47" s="47">
        <v>16.5</v>
      </c>
      <c r="R47" s="47">
        <v>16.5</v>
      </c>
      <c r="S47" s="47">
        <v>16.5</v>
      </c>
      <c r="T47" s="47">
        <v>16.5</v>
      </c>
      <c r="U47" s="47">
        <v>11</v>
      </c>
      <c r="V47" s="47">
        <v>16.5</v>
      </c>
      <c r="W47" s="33">
        <v>11</v>
      </c>
      <c r="X47" s="33">
        <v>16.5</v>
      </c>
      <c r="Y47" s="33">
        <v>16.5</v>
      </c>
      <c r="Z47" s="33">
        <v>16.5</v>
      </c>
      <c r="AA47" s="19">
        <f t="shared" si="0"/>
        <v>165</v>
      </c>
    </row>
    <row r="48" spans="1:27" x14ac:dyDescent="0.35">
      <c r="A48" s="18">
        <v>45</v>
      </c>
      <c r="B48" s="18" t="s">
        <v>97</v>
      </c>
      <c r="C48" s="18" t="s">
        <v>97</v>
      </c>
      <c r="D48" s="7" t="s">
        <v>590</v>
      </c>
      <c r="E48" s="7" t="s">
        <v>500</v>
      </c>
      <c r="F48" s="7"/>
      <c r="G48" s="7" t="s">
        <v>96</v>
      </c>
      <c r="H48" s="7"/>
      <c r="I48" s="7"/>
      <c r="J48" s="7"/>
      <c r="K48" s="7" t="s">
        <v>172</v>
      </c>
      <c r="L48" s="7" t="s">
        <v>469</v>
      </c>
      <c r="M48" s="7" t="s">
        <v>1</v>
      </c>
      <c r="N48" s="7"/>
      <c r="O48" s="47">
        <v>4.4000000000000004</v>
      </c>
      <c r="P48" s="47">
        <v>154</v>
      </c>
      <c r="Q48" s="47">
        <v>-1.1000000000000001</v>
      </c>
      <c r="R48" s="47">
        <v>0</v>
      </c>
      <c r="S48" s="47">
        <v>0</v>
      </c>
      <c r="T48" s="47">
        <v>0</v>
      </c>
      <c r="U48" s="47">
        <v>0</v>
      </c>
      <c r="V48" s="47">
        <v>0</v>
      </c>
      <c r="W48" s="33"/>
      <c r="X48" s="33"/>
      <c r="Y48" s="33"/>
      <c r="Z48" s="33"/>
      <c r="AA48" s="19">
        <f t="shared" si="0"/>
        <v>157.30000000000001</v>
      </c>
    </row>
    <row r="49" spans="1:27" x14ac:dyDescent="0.35">
      <c r="A49" s="18">
        <v>46</v>
      </c>
      <c r="B49" s="18" t="s">
        <v>95</v>
      </c>
      <c r="C49" s="18" t="s">
        <v>97</v>
      </c>
      <c r="D49" s="7" t="s">
        <v>607</v>
      </c>
      <c r="E49" s="7" t="s">
        <v>126</v>
      </c>
      <c r="F49" s="7"/>
      <c r="G49" s="7" t="s">
        <v>119</v>
      </c>
      <c r="H49" s="7"/>
      <c r="I49" s="7"/>
      <c r="J49" s="7"/>
      <c r="K49" s="7" t="s">
        <v>172</v>
      </c>
      <c r="L49" s="7" t="s">
        <v>469</v>
      </c>
      <c r="M49" s="7" t="s">
        <v>1</v>
      </c>
      <c r="N49" s="7"/>
      <c r="O49" s="47">
        <v>0</v>
      </c>
      <c r="P49" s="47">
        <v>0</v>
      </c>
      <c r="Q49" s="47">
        <v>0</v>
      </c>
      <c r="R49" s="47">
        <v>0</v>
      </c>
      <c r="S49" s="47">
        <v>22</v>
      </c>
      <c r="T49" s="47">
        <v>0</v>
      </c>
      <c r="U49" s="47">
        <v>0</v>
      </c>
      <c r="V49" s="47">
        <v>44</v>
      </c>
      <c r="W49" s="33"/>
      <c r="X49" s="33">
        <v>44</v>
      </c>
      <c r="Y49" s="33"/>
      <c r="Z49" s="33">
        <v>44</v>
      </c>
      <c r="AA49" s="19">
        <f t="shared" si="0"/>
        <v>154</v>
      </c>
    </row>
    <row r="50" spans="1:27" x14ac:dyDescent="0.35">
      <c r="A50" s="18">
        <v>47</v>
      </c>
      <c r="B50" s="18" t="s">
        <v>115</v>
      </c>
      <c r="C50" s="18" t="s">
        <v>110</v>
      </c>
      <c r="D50" s="7" t="s">
        <v>626</v>
      </c>
      <c r="E50" s="7" t="s">
        <v>152</v>
      </c>
      <c r="F50" s="7"/>
      <c r="G50" s="7" t="s">
        <v>96</v>
      </c>
      <c r="H50" s="7"/>
      <c r="I50" s="7"/>
      <c r="J50" s="7"/>
      <c r="K50" s="7" t="s">
        <v>185</v>
      </c>
      <c r="L50" s="7" t="s">
        <v>486</v>
      </c>
      <c r="M50" s="7" t="s">
        <v>3</v>
      </c>
      <c r="N50" s="7"/>
      <c r="O50" s="47">
        <v>0</v>
      </c>
      <c r="P50" s="47">
        <v>0</v>
      </c>
      <c r="Q50" s="47">
        <v>0.1</v>
      </c>
      <c r="R50" s="47">
        <v>1</v>
      </c>
      <c r="S50" s="47">
        <v>0</v>
      </c>
      <c r="T50" s="47">
        <v>0</v>
      </c>
      <c r="U50" s="47">
        <v>0</v>
      </c>
      <c r="V50" s="47">
        <v>0</v>
      </c>
      <c r="W50" s="33">
        <v>48</v>
      </c>
      <c r="X50" s="33">
        <v>33</v>
      </c>
      <c r="Y50" s="33">
        <v>33</v>
      </c>
      <c r="Z50" s="33">
        <v>33</v>
      </c>
      <c r="AA50" s="19">
        <f t="shared" si="0"/>
        <v>148.1</v>
      </c>
    </row>
    <row r="51" spans="1:27" x14ac:dyDescent="0.35">
      <c r="A51" s="18">
        <v>48</v>
      </c>
      <c r="B51" s="18" t="s">
        <v>115</v>
      </c>
      <c r="C51" s="18" t="s">
        <v>110</v>
      </c>
      <c r="D51" s="7" t="s">
        <v>627</v>
      </c>
      <c r="E51" s="7" t="s">
        <v>58</v>
      </c>
      <c r="F51" s="7"/>
      <c r="G51" s="7" t="s">
        <v>96</v>
      </c>
      <c r="H51" s="7"/>
      <c r="I51" s="7"/>
      <c r="J51" s="7"/>
      <c r="K51" s="7" t="s">
        <v>200</v>
      </c>
      <c r="L51" s="7" t="s">
        <v>470</v>
      </c>
      <c r="M51" s="7" t="s">
        <v>12</v>
      </c>
      <c r="N51" s="7"/>
      <c r="O51" s="47">
        <v>6</v>
      </c>
      <c r="P51" s="47">
        <v>9.75</v>
      </c>
      <c r="Q51" s="47">
        <v>14.25</v>
      </c>
      <c r="R51" s="47">
        <v>23.25</v>
      </c>
      <c r="S51" s="47">
        <v>14.25</v>
      </c>
      <c r="T51" s="47">
        <v>12</v>
      </c>
      <c r="U51" s="47">
        <v>9</v>
      </c>
      <c r="V51" s="47">
        <v>23.25</v>
      </c>
      <c r="W51" s="33">
        <v>9.75</v>
      </c>
      <c r="X51" s="33">
        <v>24</v>
      </c>
      <c r="Y51" s="33"/>
      <c r="Z51" s="33"/>
      <c r="AA51" s="19">
        <f t="shared" si="0"/>
        <v>145.5</v>
      </c>
    </row>
    <row r="52" spans="1:27" x14ac:dyDescent="0.35">
      <c r="A52" s="18">
        <v>49</v>
      </c>
      <c r="B52" s="18" t="s">
        <v>115</v>
      </c>
      <c r="C52" s="18" t="s">
        <v>110</v>
      </c>
      <c r="D52" s="7" t="s">
        <v>628</v>
      </c>
      <c r="E52" s="7" t="s">
        <v>57</v>
      </c>
      <c r="F52" s="7"/>
      <c r="G52" s="7" t="s">
        <v>96</v>
      </c>
      <c r="H52" s="7"/>
      <c r="I52" s="7"/>
      <c r="J52" s="7"/>
      <c r="K52" s="7" t="s">
        <v>199</v>
      </c>
      <c r="L52" s="7" t="s">
        <v>461</v>
      </c>
      <c r="M52" s="7" t="s">
        <v>2</v>
      </c>
      <c r="N52" s="7"/>
      <c r="O52" s="47">
        <v>0</v>
      </c>
      <c r="P52" s="47">
        <v>0</v>
      </c>
      <c r="Q52" s="47">
        <v>0</v>
      </c>
      <c r="R52" s="47">
        <v>26.875</v>
      </c>
      <c r="S52" s="47">
        <v>35.75</v>
      </c>
      <c r="T52" s="47">
        <v>33</v>
      </c>
      <c r="U52" s="47">
        <v>0</v>
      </c>
      <c r="V52" s="47">
        <v>22</v>
      </c>
      <c r="W52" s="33">
        <v>11</v>
      </c>
      <c r="X52" s="33">
        <v>16.5</v>
      </c>
      <c r="Y52" s="33"/>
      <c r="Z52" s="33"/>
      <c r="AA52" s="19">
        <f t="shared" si="0"/>
        <v>145.125</v>
      </c>
    </row>
    <row r="53" spans="1:27" x14ac:dyDescent="0.35">
      <c r="A53" s="18">
        <v>50</v>
      </c>
      <c r="B53" s="18" t="s">
        <v>95</v>
      </c>
      <c r="C53" s="18" t="s">
        <v>97</v>
      </c>
      <c r="D53" s="7" t="s">
        <v>595</v>
      </c>
      <c r="E53" s="7" t="s">
        <v>478</v>
      </c>
      <c r="F53" s="7"/>
      <c r="G53" s="7" t="s">
        <v>96</v>
      </c>
      <c r="H53" s="7"/>
      <c r="I53" s="7"/>
      <c r="J53" s="7"/>
      <c r="K53" s="7" t="s">
        <v>171</v>
      </c>
      <c r="L53" s="7" t="s">
        <v>456</v>
      </c>
      <c r="M53" s="7" t="s">
        <v>1</v>
      </c>
      <c r="N53" s="7"/>
      <c r="O53" s="47">
        <v>11</v>
      </c>
      <c r="P53" s="47">
        <v>11</v>
      </c>
      <c r="Q53" s="47">
        <v>22</v>
      </c>
      <c r="R53" s="47">
        <v>0</v>
      </c>
      <c r="S53" s="47">
        <v>22</v>
      </c>
      <c r="T53" s="47">
        <v>11</v>
      </c>
      <c r="U53" s="47">
        <v>0</v>
      </c>
      <c r="V53" s="47">
        <v>16.5</v>
      </c>
      <c r="W53" s="33"/>
      <c r="X53" s="33">
        <v>11</v>
      </c>
      <c r="Y53" s="33">
        <v>11</v>
      </c>
      <c r="Z53" s="33">
        <v>11</v>
      </c>
      <c r="AA53" s="19">
        <f t="shared" si="0"/>
        <v>126.5</v>
      </c>
    </row>
    <row r="54" spans="1:27" x14ac:dyDescent="0.35">
      <c r="A54" s="18">
        <v>51</v>
      </c>
      <c r="B54" s="18" t="s">
        <v>104</v>
      </c>
      <c r="C54" s="18" t="s">
        <v>110</v>
      </c>
      <c r="D54" s="7" t="s">
        <v>629</v>
      </c>
      <c r="E54" s="7" t="s">
        <v>60</v>
      </c>
      <c r="F54" s="7"/>
      <c r="G54" s="7" t="s">
        <v>119</v>
      </c>
      <c r="H54" s="7"/>
      <c r="I54" s="7"/>
      <c r="J54" s="7"/>
      <c r="K54" s="7" t="s">
        <v>195</v>
      </c>
      <c r="L54" s="7" t="s">
        <v>458</v>
      </c>
      <c r="M54" s="7" t="s">
        <v>2</v>
      </c>
      <c r="N54" s="7"/>
      <c r="O54" s="47">
        <v>0</v>
      </c>
      <c r="P54" s="47">
        <v>25</v>
      </c>
      <c r="Q54" s="47">
        <v>0</v>
      </c>
      <c r="R54" s="47">
        <v>0</v>
      </c>
      <c r="S54" s="47">
        <v>0</v>
      </c>
      <c r="T54" s="47">
        <v>0</v>
      </c>
      <c r="U54" s="47">
        <v>0</v>
      </c>
      <c r="V54" s="47">
        <v>0</v>
      </c>
      <c r="W54" s="33">
        <v>25</v>
      </c>
      <c r="X54" s="33">
        <v>25</v>
      </c>
      <c r="Y54" s="33">
        <v>25</v>
      </c>
      <c r="Z54" s="33">
        <v>25</v>
      </c>
      <c r="AA54" s="19">
        <f t="shared" si="0"/>
        <v>125</v>
      </c>
    </row>
    <row r="55" spans="1:27" x14ac:dyDescent="0.35">
      <c r="A55" s="18">
        <v>52</v>
      </c>
      <c r="B55" s="18" t="s">
        <v>97</v>
      </c>
      <c r="C55" s="18" t="s">
        <v>97</v>
      </c>
      <c r="D55" s="7" t="s">
        <v>625</v>
      </c>
      <c r="E55" s="7" t="s">
        <v>271</v>
      </c>
      <c r="F55" s="7"/>
      <c r="G55" s="7" t="s">
        <v>96</v>
      </c>
      <c r="H55" s="7"/>
      <c r="I55" s="7"/>
      <c r="J55" s="7"/>
      <c r="K55" s="7" t="s">
        <v>171</v>
      </c>
      <c r="L55" s="7" t="s">
        <v>456</v>
      </c>
      <c r="M55" s="7" t="s">
        <v>1</v>
      </c>
      <c r="N55" s="7"/>
      <c r="O55" s="47">
        <v>11</v>
      </c>
      <c r="P55" s="47">
        <v>23.1</v>
      </c>
      <c r="Q55" s="47">
        <v>11</v>
      </c>
      <c r="R55" s="47">
        <v>0</v>
      </c>
      <c r="S55" s="47">
        <v>11</v>
      </c>
      <c r="T55" s="47">
        <v>22</v>
      </c>
      <c r="U55" s="47">
        <v>0</v>
      </c>
      <c r="V55" s="47">
        <v>5.5</v>
      </c>
      <c r="W55" s="33">
        <v>17</v>
      </c>
      <c r="X55" s="33">
        <v>11</v>
      </c>
      <c r="Y55" s="33"/>
      <c r="Z55" s="33"/>
      <c r="AA55" s="19">
        <f t="shared" si="0"/>
        <v>111.6</v>
      </c>
    </row>
    <row r="56" spans="1:27" x14ac:dyDescent="0.35">
      <c r="A56" s="18">
        <v>53</v>
      </c>
      <c r="B56" s="18" t="s">
        <v>115</v>
      </c>
      <c r="C56" s="18" t="s">
        <v>110</v>
      </c>
      <c r="D56" s="7" t="s">
        <v>630</v>
      </c>
      <c r="E56" s="7" t="s">
        <v>328</v>
      </c>
      <c r="F56" s="7"/>
      <c r="G56" s="7" t="s">
        <v>119</v>
      </c>
      <c r="H56" s="7"/>
      <c r="I56" s="7"/>
      <c r="J56" s="7"/>
      <c r="K56" s="7" t="s">
        <v>174</v>
      </c>
      <c r="L56" s="7" t="s">
        <v>468</v>
      </c>
      <c r="M56" s="7" t="s">
        <v>1</v>
      </c>
      <c r="N56" s="7"/>
      <c r="O56" s="47">
        <v>0</v>
      </c>
      <c r="P56" s="47">
        <v>0</v>
      </c>
      <c r="Q56" s="47">
        <v>0</v>
      </c>
      <c r="R56" s="47">
        <v>0</v>
      </c>
      <c r="S56" s="47">
        <v>0</v>
      </c>
      <c r="T56" s="47">
        <v>22</v>
      </c>
      <c r="U56" s="47">
        <v>0</v>
      </c>
      <c r="V56" s="47">
        <v>44</v>
      </c>
      <c r="W56" s="33"/>
      <c r="X56" s="33">
        <v>22</v>
      </c>
      <c r="Y56" s="33"/>
      <c r="Z56" s="33">
        <v>22</v>
      </c>
      <c r="AA56" s="19">
        <f t="shared" si="0"/>
        <v>110</v>
      </c>
    </row>
    <row r="57" spans="1:27" x14ac:dyDescent="0.35">
      <c r="A57" s="18">
        <v>54</v>
      </c>
      <c r="B57" s="18" t="s">
        <v>95</v>
      </c>
      <c r="C57" s="18" t="s">
        <v>97</v>
      </c>
      <c r="D57" s="7" t="s">
        <v>631</v>
      </c>
      <c r="E57" s="7" t="s">
        <v>129</v>
      </c>
      <c r="F57" s="7"/>
      <c r="G57" s="7" t="s">
        <v>119</v>
      </c>
      <c r="H57" s="7"/>
      <c r="I57" s="7"/>
      <c r="J57" s="7"/>
      <c r="K57" s="7" t="s">
        <v>168</v>
      </c>
      <c r="L57" s="7" t="s">
        <v>467</v>
      </c>
      <c r="M57" s="7" t="s">
        <v>1</v>
      </c>
      <c r="N57" s="7"/>
      <c r="O57" s="47">
        <v>0</v>
      </c>
      <c r="P57" s="47">
        <v>0</v>
      </c>
      <c r="Q57" s="47">
        <v>0</v>
      </c>
      <c r="R57" s="47">
        <v>0</v>
      </c>
      <c r="S57" s="47">
        <v>0</v>
      </c>
      <c r="T57" s="47">
        <v>22</v>
      </c>
      <c r="U57" s="47">
        <v>0</v>
      </c>
      <c r="V57" s="47">
        <v>0</v>
      </c>
      <c r="W57" s="33"/>
      <c r="X57" s="33">
        <v>44</v>
      </c>
      <c r="Y57" s="33"/>
      <c r="Z57" s="33">
        <v>44</v>
      </c>
      <c r="AA57" s="19">
        <f t="shared" si="0"/>
        <v>110</v>
      </c>
    </row>
    <row r="58" spans="1:27" x14ac:dyDescent="0.35">
      <c r="A58" s="18">
        <v>55</v>
      </c>
      <c r="B58" s="18" t="s">
        <v>115</v>
      </c>
      <c r="C58" s="18" t="s">
        <v>110</v>
      </c>
      <c r="D58" s="7" t="s">
        <v>632</v>
      </c>
      <c r="E58" s="7" t="s">
        <v>131</v>
      </c>
      <c r="F58" s="7"/>
      <c r="G58" s="7" t="s">
        <v>119</v>
      </c>
      <c r="H58" s="7"/>
      <c r="I58" s="7"/>
      <c r="J58" s="7"/>
      <c r="K58" s="7" t="s">
        <v>174</v>
      </c>
      <c r="L58" s="7" t="s">
        <v>468</v>
      </c>
      <c r="M58" s="7" t="s">
        <v>1</v>
      </c>
      <c r="N58" s="7"/>
      <c r="O58" s="47">
        <v>0</v>
      </c>
      <c r="P58" s="47">
        <v>0</v>
      </c>
      <c r="Q58" s="47">
        <v>0</v>
      </c>
      <c r="R58" s="47">
        <v>110</v>
      </c>
      <c r="S58" s="47">
        <v>0</v>
      </c>
      <c r="T58" s="47">
        <v>0</v>
      </c>
      <c r="U58" s="47">
        <v>0</v>
      </c>
      <c r="V58" s="47">
        <v>0</v>
      </c>
      <c r="W58" s="33"/>
      <c r="X58" s="33"/>
      <c r="Y58" s="33"/>
      <c r="Z58" s="33"/>
      <c r="AA58" s="19">
        <f t="shared" si="0"/>
        <v>110</v>
      </c>
    </row>
    <row r="59" spans="1:27" x14ac:dyDescent="0.35">
      <c r="A59" s="18">
        <v>56</v>
      </c>
      <c r="B59" s="18" t="s">
        <v>115</v>
      </c>
      <c r="C59" s="18" t="s">
        <v>110</v>
      </c>
      <c r="D59" s="7" t="s">
        <v>633</v>
      </c>
      <c r="E59" s="7" t="s">
        <v>27</v>
      </c>
      <c r="F59" s="7"/>
      <c r="G59" s="7" t="s">
        <v>119</v>
      </c>
      <c r="H59" s="7"/>
      <c r="I59" s="7"/>
      <c r="J59" s="7"/>
      <c r="K59" s="7" t="s">
        <v>182</v>
      </c>
      <c r="L59" s="7" t="s">
        <v>484</v>
      </c>
      <c r="M59" s="7" t="s">
        <v>10</v>
      </c>
      <c r="N59" s="7"/>
      <c r="O59" s="47">
        <v>0</v>
      </c>
      <c r="P59" s="47">
        <v>0</v>
      </c>
      <c r="Q59" s="47">
        <v>0</v>
      </c>
      <c r="R59" s="47">
        <v>0</v>
      </c>
      <c r="S59" s="47">
        <v>0</v>
      </c>
      <c r="T59" s="47">
        <v>21</v>
      </c>
      <c r="U59" s="47">
        <v>0</v>
      </c>
      <c r="V59" s="47">
        <v>0</v>
      </c>
      <c r="W59" s="33">
        <v>21</v>
      </c>
      <c r="X59" s="33">
        <v>21</v>
      </c>
      <c r="Y59" s="33">
        <v>21</v>
      </c>
      <c r="Z59" s="33">
        <v>21</v>
      </c>
      <c r="AA59" s="19">
        <f t="shared" si="0"/>
        <v>105</v>
      </c>
    </row>
    <row r="60" spans="1:27" x14ac:dyDescent="0.35">
      <c r="A60" s="18">
        <v>57</v>
      </c>
      <c r="B60" s="18" t="s">
        <v>115</v>
      </c>
      <c r="C60" s="18" t="s">
        <v>110</v>
      </c>
      <c r="D60" s="7" t="s">
        <v>634</v>
      </c>
      <c r="E60" s="7" t="s">
        <v>148</v>
      </c>
      <c r="F60" s="7"/>
      <c r="G60" s="7" t="s">
        <v>96</v>
      </c>
      <c r="H60" s="7"/>
      <c r="I60" s="7"/>
      <c r="J60" s="7"/>
      <c r="K60" s="7" t="s">
        <v>183</v>
      </c>
      <c r="L60" s="7" t="s">
        <v>483</v>
      </c>
      <c r="M60" s="7" t="s">
        <v>10</v>
      </c>
      <c r="N60" s="7"/>
      <c r="O60" s="47">
        <v>11</v>
      </c>
      <c r="P60" s="47">
        <v>11</v>
      </c>
      <c r="Q60" s="47">
        <v>33</v>
      </c>
      <c r="R60" s="47">
        <v>0</v>
      </c>
      <c r="S60" s="47">
        <v>0</v>
      </c>
      <c r="T60" s="47">
        <v>10.5</v>
      </c>
      <c r="U60" s="47">
        <v>31.6</v>
      </c>
      <c r="V60" s="47">
        <v>0</v>
      </c>
      <c r="W60" s="33"/>
      <c r="X60" s="33"/>
      <c r="Y60" s="33"/>
      <c r="Z60" s="33"/>
      <c r="AA60" s="19">
        <f t="shared" si="0"/>
        <v>97.1</v>
      </c>
    </row>
    <row r="61" spans="1:27" x14ac:dyDescent="0.35">
      <c r="A61" s="18">
        <v>58</v>
      </c>
      <c r="B61" s="18" t="s">
        <v>115</v>
      </c>
      <c r="C61" s="18" t="s">
        <v>110</v>
      </c>
      <c r="D61" s="7" t="s">
        <v>628</v>
      </c>
      <c r="E61" s="7" t="s">
        <v>57</v>
      </c>
      <c r="F61" s="7"/>
      <c r="G61" s="7" t="s">
        <v>96</v>
      </c>
      <c r="H61" s="7"/>
      <c r="I61" s="7"/>
      <c r="J61" s="7"/>
      <c r="K61" s="7" t="s">
        <v>197</v>
      </c>
      <c r="L61" s="7" t="s">
        <v>460</v>
      </c>
      <c r="M61" s="7" t="s">
        <v>2</v>
      </c>
      <c r="N61" s="7"/>
      <c r="O61" s="47">
        <v>0</v>
      </c>
      <c r="P61" s="47">
        <v>0</v>
      </c>
      <c r="Q61" s="47">
        <v>0</v>
      </c>
      <c r="R61" s="47">
        <v>1.5</v>
      </c>
      <c r="S61" s="47">
        <v>0</v>
      </c>
      <c r="T61" s="47">
        <v>0</v>
      </c>
      <c r="U61" s="47">
        <v>0</v>
      </c>
      <c r="V61" s="47">
        <v>37.125</v>
      </c>
      <c r="W61" s="33">
        <v>28.88</v>
      </c>
      <c r="X61" s="33">
        <v>6.9</v>
      </c>
      <c r="Y61" s="33">
        <v>11</v>
      </c>
      <c r="Z61" s="33">
        <v>11</v>
      </c>
      <c r="AA61" s="19">
        <f t="shared" si="0"/>
        <v>96.405000000000001</v>
      </c>
    </row>
    <row r="62" spans="1:27" x14ac:dyDescent="0.35">
      <c r="A62" s="18">
        <v>59</v>
      </c>
      <c r="B62" s="18" t="s">
        <v>115</v>
      </c>
      <c r="C62" s="18" t="s">
        <v>110</v>
      </c>
      <c r="D62" s="7" t="s">
        <v>635</v>
      </c>
      <c r="E62" s="7" t="s">
        <v>62</v>
      </c>
      <c r="F62" s="7"/>
      <c r="G62" s="7" t="s">
        <v>96</v>
      </c>
      <c r="H62" s="7"/>
      <c r="I62" s="7"/>
      <c r="J62" s="7"/>
      <c r="K62" s="7" t="s">
        <v>209</v>
      </c>
      <c r="L62" s="7" t="s">
        <v>480</v>
      </c>
      <c r="M62" s="7" t="s">
        <v>7</v>
      </c>
      <c r="N62" s="7"/>
      <c r="O62" s="47">
        <v>0</v>
      </c>
      <c r="P62" s="47">
        <v>0</v>
      </c>
      <c r="Q62" s="47">
        <v>23.625</v>
      </c>
      <c r="R62" s="47">
        <v>6.375</v>
      </c>
      <c r="S62" s="47">
        <v>0</v>
      </c>
      <c r="T62" s="47">
        <v>0</v>
      </c>
      <c r="U62" s="47">
        <v>11</v>
      </c>
      <c r="V62" s="47">
        <v>16.5</v>
      </c>
      <c r="W62" s="33">
        <v>11</v>
      </c>
      <c r="X62" s="33">
        <v>23</v>
      </c>
      <c r="Y62" s="33"/>
      <c r="Z62" s="33"/>
      <c r="AA62" s="19">
        <f t="shared" si="0"/>
        <v>91.5</v>
      </c>
    </row>
    <row r="63" spans="1:27" x14ac:dyDescent="0.35">
      <c r="A63" s="18">
        <v>60</v>
      </c>
      <c r="B63" s="18" t="s">
        <v>115</v>
      </c>
      <c r="C63" s="18" t="s">
        <v>110</v>
      </c>
      <c r="D63" s="7" t="s">
        <v>603</v>
      </c>
      <c r="E63" s="7" t="s">
        <v>56</v>
      </c>
      <c r="F63" s="7"/>
      <c r="G63" s="7" t="s">
        <v>96</v>
      </c>
      <c r="H63" s="7"/>
      <c r="I63" s="7"/>
      <c r="J63" s="7"/>
      <c r="K63" s="7" t="s">
        <v>203</v>
      </c>
      <c r="L63" s="7" t="s">
        <v>472</v>
      </c>
      <c r="M63" s="7" t="s">
        <v>12</v>
      </c>
      <c r="N63" s="7"/>
      <c r="O63" s="47">
        <v>0</v>
      </c>
      <c r="P63" s="47">
        <v>0.75</v>
      </c>
      <c r="Q63" s="47">
        <v>24</v>
      </c>
      <c r="R63" s="47">
        <v>9</v>
      </c>
      <c r="S63" s="47">
        <v>15.75</v>
      </c>
      <c r="T63" s="47">
        <v>26.25</v>
      </c>
      <c r="U63" s="47">
        <v>10.5</v>
      </c>
      <c r="V63" s="47">
        <v>2.25</v>
      </c>
      <c r="W63" s="33"/>
      <c r="X63" s="33"/>
      <c r="Y63" s="33"/>
      <c r="Z63" s="33"/>
      <c r="AA63" s="19">
        <f t="shared" si="0"/>
        <v>88.5</v>
      </c>
    </row>
    <row r="64" spans="1:27" x14ac:dyDescent="0.35">
      <c r="A64" s="18">
        <v>61</v>
      </c>
      <c r="B64" s="18" t="s">
        <v>95</v>
      </c>
      <c r="C64" s="18" t="s">
        <v>97</v>
      </c>
      <c r="D64" s="7" t="s">
        <v>636</v>
      </c>
      <c r="E64" s="7" t="s">
        <v>270</v>
      </c>
      <c r="F64" s="7"/>
      <c r="G64" s="7" t="s">
        <v>96</v>
      </c>
      <c r="H64" s="7"/>
      <c r="I64" s="7"/>
      <c r="J64" s="7"/>
      <c r="K64" s="7" t="s">
        <v>171</v>
      </c>
      <c r="L64" s="7" t="s">
        <v>456</v>
      </c>
      <c r="M64" s="7" t="s">
        <v>1</v>
      </c>
      <c r="N64" s="7"/>
      <c r="O64" s="47">
        <v>22</v>
      </c>
      <c r="P64" s="47">
        <v>0</v>
      </c>
      <c r="Q64" s="47">
        <v>22</v>
      </c>
      <c r="R64" s="47">
        <v>0</v>
      </c>
      <c r="S64" s="47">
        <v>0</v>
      </c>
      <c r="T64" s="47">
        <v>22</v>
      </c>
      <c r="U64" s="47">
        <v>11</v>
      </c>
      <c r="V64" s="47">
        <v>11</v>
      </c>
      <c r="W64" s="33"/>
      <c r="X64" s="33"/>
      <c r="Y64" s="33"/>
      <c r="Z64" s="33"/>
      <c r="AA64" s="19">
        <f t="shared" si="0"/>
        <v>88</v>
      </c>
    </row>
    <row r="65" spans="1:27" x14ac:dyDescent="0.35">
      <c r="A65" s="18">
        <v>62</v>
      </c>
      <c r="B65" s="18" t="s">
        <v>115</v>
      </c>
      <c r="C65" s="18" t="s">
        <v>110</v>
      </c>
      <c r="D65" s="7" t="s">
        <v>637</v>
      </c>
      <c r="E65" s="7" t="s">
        <v>64</v>
      </c>
      <c r="F65" s="7"/>
      <c r="G65" s="7" t="s">
        <v>119</v>
      </c>
      <c r="H65" s="7"/>
      <c r="I65" s="7"/>
      <c r="J65" s="7"/>
      <c r="K65" s="7" t="s">
        <v>216</v>
      </c>
      <c r="L65" s="7" t="s">
        <v>503</v>
      </c>
      <c r="M65" s="7" t="s">
        <v>7</v>
      </c>
      <c r="N65" s="7"/>
      <c r="O65" s="47">
        <v>0</v>
      </c>
      <c r="P65" s="47">
        <v>0</v>
      </c>
      <c r="Q65" s="47">
        <v>19</v>
      </c>
      <c r="R65" s="47">
        <v>0</v>
      </c>
      <c r="S65" s="47">
        <v>0</v>
      </c>
      <c r="T65" s="47">
        <v>20</v>
      </c>
      <c r="U65" s="47">
        <v>12</v>
      </c>
      <c r="V65" s="47">
        <v>0</v>
      </c>
      <c r="W65" s="33">
        <v>16</v>
      </c>
      <c r="X65" s="33"/>
      <c r="Y65" s="33">
        <v>18</v>
      </c>
      <c r="Z65" s="33"/>
      <c r="AA65" s="19">
        <f t="shared" si="0"/>
        <v>85</v>
      </c>
    </row>
    <row r="66" spans="1:27" x14ac:dyDescent="0.35">
      <c r="A66" s="18">
        <v>63</v>
      </c>
      <c r="B66" s="18" t="s">
        <v>115</v>
      </c>
      <c r="C66" s="18" t="s">
        <v>110</v>
      </c>
      <c r="D66" s="7" t="s">
        <v>638</v>
      </c>
      <c r="E66" s="7" t="s">
        <v>52</v>
      </c>
      <c r="F66" s="7"/>
      <c r="G66" s="7" t="s">
        <v>96</v>
      </c>
      <c r="H66" s="7"/>
      <c r="I66" s="7"/>
      <c r="J66" s="7"/>
      <c r="K66" s="7" t="s">
        <v>185</v>
      </c>
      <c r="L66" s="7" t="s">
        <v>486</v>
      </c>
      <c r="M66" s="7" t="s">
        <v>3</v>
      </c>
      <c r="N66" s="7"/>
      <c r="O66" s="47">
        <v>0</v>
      </c>
      <c r="P66" s="47">
        <v>0</v>
      </c>
      <c r="Q66" s="47">
        <v>0</v>
      </c>
      <c r="R66" s="47">
        <v>1</v>
      </c>
      <c r="S66" s="47">
        <v>0</v>
      </c>
      <c r="T66" s="47">
        <v>28.125</v>
      </c>
      <c r="U66" s="47">
        <v>22</v>
      </c>
      <c r="V66" s="47">
        <v>23.375</v>
      </c>
      <c r="W66" s="33"/>
      <c r="X66" s="33"/>
      <c r="Y66" s="33"/>
      <c r="Z66" s="33"/>
      <c r="AA66" s="19">
        <f t="shared" si="0"/>
        <v>74.5</v>
      </c>
    </row>
    <row r="67" spans="1:27" x14ac:dyDescent="0.35">
      <c r="A67" s="18">
        <v>64</v>
      </c>
      <c r="B67" s="18" t="s">
        <v>115</v>
      </c>
      <c r="C67" s="18" t="s">
        <v>110</v>
      </c>
      <c r="D67" s="7" t="s">
        <v>639</v>
      </c>
      <c r="E67" s="7" t="s">
        <v>25</v>
      </c>
      <c r="F67" s="7"/>
      <c r="G67" s="7" t="s">
        <v>96</v>
      </c>
      <c r="H67" s="7"/>
      <c r="I67" s="7"/>
      <c r="J67" s="7"/>
      <c r="K67" s="7" t="s">
        <v>182</v>
      </c>
      <c r="L67" s="7" t="s">
        <v>484</v>
      </c>
      <c r="M67" s="7" t="s">
        <v>10</v>
      </c>
      <c r="N67" s="7"/>
      <c r="O67" s="47">
        <v>0</v>
      </c>
      <c r="P67" s="47">
        <v>0</v>
      </c>
      <c r="Q67" s="47">
        <v>0</v>
      </c>
      <c r="R67" s="47">
        <v>0</v>
      </c>
      <c r="S67" s="47">
        <v>0</v>
      </c>
      <c r="T67" s="47">
        <v>0</v>
      </c>
      <c r="U67" s="47">
        <v>0</v>
      </c>
      <c r="V67" s="47">
        <v>10.5</v>
      </c>
      <c r="W67" s="33">
        <v>25.2</v>
      </c>
      <c r="X67" s="33">
        <v>12.6</v>
      </c>
      <c r="Y67" s="33">
        <v>12.6</v>
      </c>
      <c r="Z67" s="33">
        <v>12.6</v>
      </c>
      <c r="AA67" s="19">
        <f t="shared" si="0"/>
        <v>73.5</v>
      </c>
    </row>
    <row r="68" spans="1:27" x14ac:dyDescent="0.35">
      <c r="A68" s="18">
        <v>65</v>
      </c>
      <c r="B68" s="18" t="s">
        <v>115</v>
      </c>
      <c r="C68" s="18" t="s">
        <v>110</v>
      </c>
      <c r="D68" s="7" t="s">
        <v>628</v>
      </c>
      <c r="E68" s="7" t="s">
        <v>57</v>
      </c>
      <c r="F68" s="7"/>
      <c r="G68" s="7" t="s">
        <v>96</v>
      </c>
      <c r="H68" s="7"/>
      <c r="I68" s="7"/>
      <c r="J68" s="7"/>
      <c r="K68" s="7" t="s">
        <v>200</v>
      </c>
      <c r="L68" s="7" t="s">
        <v>470</v>
      </c>
      <c r="M68" s="7" t="s">
        <v>12</v>
      </c>
      <c r="N68" s="7"/>
      <c r="O68" s="47">
        <v>0</v>
      </c>
      <c r="P68" s="47">
        <v>0</v>
      </c>
      <c r="Q68" s="47">
        <v>0.05</v>
      </c>
      <c r="R68" s="47">
        <v>6</v>
      </c>
      <c r="S68" s="47">
        <v>15</v>
      </c>
      <c r="T68" s="47">
        <v>6</v>
      </c>
      <c r="U68" s="47">
        <v>7.5</v>
      </c>
      <c r="V68" s="47">
        <v>5.25</v>
      </c>
      <c r="W68" s="33"/>
      <c r="X68" s="33">
        <v>11</v>
      </c>
      <c r="Y68" s="33">
        <v>11</v>
      </c>
      <c r="Z68" s="33">
        <v>11</v>
      </c>
      <c r="AA68" s="19">
        <f t="shared" si="0"/>
        <v>72.8</v>
      </c>
    </row>
    <row r="69" spans="1:27" x14ac:dyDescent="0.35">
      <c r="A69" s="18">
        <v>66</v>
      </c>
      <c r="B69" s="18" t="s">
        <v>104</v>
      </c>
      <c r="C69" s="18" t="s">
        <v>110</v>
      </c>
      <c r="D69" s="7" t="s">
        <v>640</v>
      </c>
      <c r="E69" s="7" t="s">
        <v>552</v>
      </c>
      <c r="F69" s="7"/>
      <c r="G69" s="7" t="s">
        <v>96</v>
      </c>
      <c r="H69" s="7"/>
      <c r="I69" s="7"/>
      <c r="J69" s="7"/>
      <c r="K69" s="7" t="s">
        <v>168</v>
      </c>
      <c r="L69" s="7" t="s">
        <v>467</v>
      </c>
      <c r="M69" s="7" t="s">
        <v>1</v>
      </c>
      <c r="N69" s="7"/>
      <c r="O69" s="47">
        <v>72.599999999999994</v>
      </c>
      <c r="P69" s="47">
        <v>0</v>
      </c>
      <c r="Q69" s="47">
        <v>0</v>
      </c>
      <c r="R69" s="47">
        <v>0</v>
      </c>
      <c r="S69" s="47">
        <v>0</v>
      </c>
      <c r="T69" s="47">
        <v>0</v>
      </c>
      <c r="U69" s="47">
        <v>0</v>
      </c>
      <c r="V69" s="47">
        <v>0</v>
      </c>
      <c r="W69" s="33"/>
      <c r="X69" s="33"/>
      <c r="Y69" s="33"/>
      <c r="Z69" s="33"/>
      <c r="AA69" s="19">
        <f t="shared" ref="AA69:AA132" si="1">SUM(O69:Z69)</f>
        <v>72.599999999999994</v>
      </c>
    </row>
    <row r="70" spans="1:27" x14ac:dyDescent="0.35">
      <c r="A70" s="18">
        <v>67</v>
      </c>
      <c r="B70" s="18" t="s">
        <v>97</v>
      </c>
      <c r="C70" s="18" t="s">
        <v>97</v>
      </c>
      <c r="D70" s="7" t="s">
        <v>625</v>
      </c>
      <c r="E70" s="7" t="s">
        <v>271</v>
      </c>
      <c r="F70" s="7"/>
      <c r="G70" s="7" t="s">
        <v>96</v>
      </c>
      <c r="H70" s="7"/>
      <c r="I70" s="7"/>
      <c r="J70" s="7"/>
      <c r="K70" s="7" t="s">
        <v>195</v>
      </c>
      <c r="L70" s="7" t="s">
        <v>458</v>
      </c>
      <c r="M70" s="7" t="s">
        <v>2</v>
      </c>
      <c r="N70" s="7"/>
      <c r="O70" s="47">
        <v>0</v>
      </c>
      <c r="P70" s="47">
        <v>16.5</v>
      </c>
      <c r="Q70" s="47">
        <v>0</v>
      </c>
      <c r="R70" s="47">
        <v>11</v>
      </c>
      <c r="S70" s="47">
        <v>5.5</v>
      </c>
      <c r="T70" s="47">
        <v>0</v>
      </c>
      <c r="U70" s="47">
        <v>11</v>
      </c>
      <c r="V70" s="47">
        <v>5.5</v>
      </c>
      <c r="W70" s="33">
        <v>5.5</v>
      </c>
      <c r="X70" s="33">
        <v>5.5</v>
      </c>
      <c r="Y70" s="33">
        <v>5.5</v>
      </c>
      <c r="Z70" s="33">
        <v>5.5</v>
      </c>
      <c r="AA70" s="19">
        <f t="shared" si="1"/>
        <v>71.5</v>
      </c>
    </row>
    <row r="71" spans="1:27" x14ac:dyDescent="0.35">
      <c r="A71" s="18">
        <v>68</v>
      </c>
      <c r="B71" s="18" t="s">
        <v>115</v>
      </c>
      <c r="C71" s="18" t="s">
        <v>110</v>
      </c>
      <c r="D71" s="7" t="s">
        <v>603</v>
      </c>
      <c r="E71" s="7" t="s">
        <v>56</v>
      </c>
      <c r="F71" s="7"/>
      <c r="G71" s="7" t="s">
        <v>96</v>
      </c>
      <c r="H71" s="7"/>
      <c r="I71" s="7"/>
      <c r="J71" s="7"/>
      <c r="K71" s="72" t="s">
        <v>221</v>
      </c>
      <c r="L71" s="7" t="s">
        <v>508</v>
      </c>
      <c r="M71" s="7" t="s">
        <v>17</v>
      </c>
      <c r="N71" s="7"/>
      <c r="O71" s="47"/>
      <c r="P71" s="47"/>
      <c r="Q71" s="47"/>
      <c r="R71" s="47"/>
      <c r="S71" s="47"/>
      <c r="T71" s="47"/>
      <c r="U71" s="47"/>
      <c r="V71" s="47">
        <v>61.828000000000003</v>
      </c>
      <c r="W71" s="33"/>
      <c r="X71" s="33">
        <v>8.1720000000000006</v>
      </c>
      <c r="Y71" s="33"/>
      <c r="Z71" s="33"/>
      <c r="AA71" s="19">
        <f t="shared" si="1"/>
        <v>70</v>
      </c>
    </row>
    <row r="72" spans="1:27" x14ac:dyDescent="0.35">
      <c r="A72" s="18">
        <v>69</v>
      </c>
      <c r="B72" s="18" t="s">
        <v>115</v>
      </c>
      <c r="C72" s="18" t="s">
        <v>110</v>
      </c>
      <c r="D72" s="7" t="s">
        <v>628</v>
      </c>
      <c r="E72" s="7" t="s">
        <v>57</v>
      </c>
      <c r="F72" s="7"/>
      <c r="G72" s="7" t="s">
        <v>96</v>
      </c>
      <c r="H72" s="7"/>
      <c r="I72" s="7"/>
      <c r="J72" s="7"/>
      <c r="K72" s="7" t="s">
        <v>195</v>
      </c>
      <c r="L72" s="7" t="s">
        <v>458</v>
      </c>
      <c r="M72" s="7" t="s">
        <v>2</v>
      </c>
      <c r="N72" s="7"/>
      <c r="O72" s="47">
        <v>0</v>
      </c>
      <c r="P72" s="47">
        <v>0</v>
      </c>
      <c r="Q72" s="47">
        <v>0</v>
      </c>
      <c r="R72" s="47">
        <v>1.5</v>
      </c>
      <c r="S72" s="47">
        <v>0</v>
      </c>
      <c r="T72" s="47">
        <v>0</v>
      </c>
      <c r="U72" s="47">
        <v>0</v>
      </c>
      <c r="V72" s="47">
        <v>9.625</v>
      </c>
      <c r="W72" s="33">
        <v>22</v>
      </c>
      <c r="X72" s="33">
        <v>11</v>
      </c>
      <c r="Y72" s="33">
        <v>11</v>
      </c>
      <c r="Z72" s="33">
        <v>11</v>
      </c>
      <c r="AA72" s="19">
        <f t="shared" si="1"/>
        <v>66.125</v>
      </c>
    </row>
    <row r="73" spans="1:27" x14ac:dyDescent="0.35">
      <c r="A73" s="18">
        <v>70</v>
      </c>
      <c r="B73" s="18" t="s">
        <v>115</v>
      </c>
      <c r="C73" s="18" t="s">
        <v>110</v>
      </c>
      <c r="D73" s="7" t="s">
        <v>641</v>
      </c>
      <c r="E73" s="7" t="s">
        <v>125</v>
      </c>
      <c r="F73" s="7"/>
      <c r="G73" s="7" t="s">
        <v>119</v>
      </c>
      <c r="H73" s="7"/>
      <c r="I73" s="7"/>
      <c r="J73" s="7"/>
      <c r="K73" s="7" t="s">
        <v>172</v>
      </c>
      <c r="L73" s="7" t="s">
        <v>469</v>
      </c>
      <c r="M73" s="7" t="s">
        <v>1</v>
      </c>
      <c r="N73" s="7"/>
      <c r="O73" s="47">
        <v>0</v>
      </c>
      <c r="P73" s="47">
        <v>0</v>
      </c>
      <c r="Q73" s="47">
        <v>0</v>
      </c>
      <c r="R73" s="47">
        <v>0</v>
      </c>
      <c r="S73" s="47">
        <v>0</v>
      </c>
      <c r="T73" s="47">
        <v>0</v>
      </c>
      <c r="U73" s="47">
        <v>0</v>
      </c>
      <c r="V73" s="47">
        <v>22</v>
      </c>
      <c r="W73" s="33"/>
      <c r="X73" s="33">
        <v>44</v>
      </c>
      <c r="Y73" s="33"/>
      <c r="Z73" s="33"/>
      <c r="AA73" s="19">
        <f t="shared" si="1"/>
        <v>66</v>
      </c>
    </row>
    <row r="74" spans="1:27" x14ac:dyDescent="0.35">
      <c r="A74" s="18">
        <v>71</v>
      </c>
      <c r="B74" s="18" t="s">
        <v>115</v>
      </c>
      <c r="C74" s="18" t="s">
        <v>110</v>
      </c>
      <c r="D74" s="7" t="s">
        <v>641</v>
      </c>
      <c r="E74" s="7" t="s">
        <v>125</v>
      </c>
      <c r="F74" s="7"/>
      <c r="G74" s="7" t="s">
        <v>119</v>
      </c>
      <c r="H74" s="7"/>
      <c r="I74" s="7"/>
      <c r="J74" s="7"/>
      <c r="K74" s="7" t="s">
        <v>174</v>
      </c>
      <c r="L74" s="7" t="s">
        <v>468</v>
      </c>
      <c r="M74" s="7" t="s">
        <v>1</v>
      </c>
      <c r="N74" s="7"/>
      <c r="O74" s="47">
        <v>0</v>
      </c>
      <c r="P74" s="47">
        <v>22</v>
      </c>
      <c r="Q74" s="47">
        <v>0</v>
      </c>
      <c r="R74" s="47">
        <v>0</v>
      </c>
      <c r="S74" s="47">
        <v>0</v>
      </c>
      <c r="T74" s="47">
        <v>0</v>
      </c>
      <c r="U74" s="47">
        <v>44</v>
      </c>
      <c r="V74" s="47">
        <v>0</v>
      </c>
      <c r="W74" s="33"/>
      <c r="X74" s="33"/>
      <c r="Y74" s="33"/>
      <c r="Z74" s="33"/>
      <c r="AA74" s="19">
        <f t="shared" si="1"/>
        <v>66</v>
      </c>
    </row>
    <row r="75" spans="1:27" x14ac:dyDescent="0.35">
      <c r="A75" s="18">
        <v>72</v>
      </c>
      <c r="B75" s="18" t="s">
        <v>95</v>
      </c>
      <c r="C75" s="18" t="s">
        <v>97</v>
      </c>
      <c r="D75" s="7" t="s">
        <v>642</v>
      </c>
      <c r="E75" s="7" t="s">
        <v>133</v>
      </c>
      <c r="F75" s="7"/>
      <c r="G75" s="7" t="s">
        <v>119</v>
      </c>
      <c r="H75" s="7"/>
      <c r="I75" s="7"/>
      <c r="J75" s="7"/>
      <c r="K75" s="7" t="s">
        <v>172</v>
      </c>
      <c r="L75" s="7" t="s">
        <v>469</v>
      </c>
      <c r="M75" s="7" t="s">
        <v>1</v>
      </c>
      <c r="N75" s="7"/>
      <c r="O75" s="47">
        <v>0</v>
      </c>
      <c r="P75" s="47">
        <v>66</v>
      </c>
      <c r="Q75" s="47">
        <v>0</v>
      </c>
      <c r="R75" s="47">
        <v>0</v>
      </c>
      <c r="S75" s="47">
        <v>0</v>
      </c>
      <c r="T75" s="47">
        <v>0</v>
      </c>
      <c r="U75" s="47">
        <v>0</v>
      </c>
      <c r="V75" s="47">
        <v>0</v>
      </c>
      <c r="W75" s="33"/>
      <c r="X75" s="33"/>
      <c r="Y75" s="33"/>
      <c r="Z75" s="33"/>
      <c r="AA75" s="19">
        <f t="shared" si="1"/>
        <v>66</v>
      </c>
    </row>
    <row r="76" spans="1:27" x14ac:dyDescent="0.35">
      <c r="A76" s="18">
        <v>73</v>
      </c>
      <c r="B76" s="18" t="s">
        <v>115</v>
      </c>
      <c r="C76" s="18" t="s">
        <v>110</v>
      </c>
      <c r="D76" s="7" t="s">
        <v>643</v>
      </c>
      <c r="E76" s="7" t="s">
        <v>138</v>
      </c>
      <c r="F76" s="7"/>
      <c r="G76" s="7" t="s">
        <v>119</v>
      </c>
      <c r="H76" s="7"/>
      <c r="I76" s="7"/>
      <c r="J76" s="7"/>
      <c r="K76" s="7" t="s">
        <v>168</v>
      </c>
      <c r="L76" s="7" t="s">
        <v>467</v>
      </c>
      <c r="M76" s="7" t="s">
        <v>1</v>
      </c>
      <c r="N76" s="7"/>
      <c r="O76" s="47">
        <v>0</v>
      </c>
      <c r="P76" s="47">
        <v>66</v>
      </c>
      <c r="Q76" s="47">
        <v>0</v>
      </c>
      <c r="R76" s="47">
        <v>0</v>
      </c>
      <c r="S76" s="47">
        <v>0</v>
      </c>
      <c r="T76" s="47">
        <v>0</v>
      </c>
      <c r="U76" s="47">
        <v>0</v>
      </c>
      <c r="V76" s="47">
        <v>0</v>
      </c>
      <c r="W76" s="33"/>
      <c r="X76" s="33"/>
      <c r="Y76" s="33"/>
      <c r="Z76" s="33"/>
      <c r="AA76" s="19">
        <f t="shared" si="1"/>
        <v>66</v>
      </c>
    </row>
    <row r="77" spans="1:27" x14ac:dyDescent="0.35">
      <c r="A77" s="18">
        <v>74</v>
      </c>
      <c r="B77" s="18" t="s">
        <v>115</v>
      </c>
      <c r="C77" s="18" t="s">
        <v>110</v>
      </c>
      <c r="D77" s="7" t="s">
        <v>628</v>
      </c>
      <c r="E77" s="7" t="s">
        <v>57</v>
      </c>
      <c r="F77" s="7"/>
      <c r="G77" s="7" t="s">
        <v>96</v>
      </c>
      <c r="H77" s="7"/>
      <c r="I77" s="7"/>
      <c r="J77" s="7"/>
      <c r="K77" s="7" t="s">
        <v>202</v>
      </c>
      <c r="L77" s="7" t="s">
        <v>473</v>
      </c>
      <c r="M77" s="7" t="s">
        <v>12</v>
      </c>
      <c r="N77" s="7"/>
      <c r="O77" s="47">
        <v>0</v>
      </c>
      <c r="P77" s="47">
        <v>0</v>
      </c>
      <c r="Q77" s="47">
        <v>0.05</v>
      </c>
      <c r="R77" s="47">
        <v>0</v>
      </c>
      <c r="S77" s="47">
        <v>25.5</v>
      </c>
      <c r="T77" s="47">
        <v>0</v>
      </c>
      <c r="U77" s="47">
        <v>0</v>
      </c>
      <c r="V77" s="47">
        <v>5.25</v>
      </c>
      <c r="W77" s="33"/>
      <c r="X77" s="33">
        <v>11</v>
      </c>
      <c r="Y77" s="33">
        <v>11</v>
      </c>
      <c r="Z77" s="33">
        <v>11</v>
      </c>
      <c r="AA77" s="19">
        <f t="shared" si="1"/>
        <v>63.8</v>
      </c>
    </row>
    <row r="78" spans="1:27" x14ac:dyDescent="0.35">
      <c r="A78" s="18">
        <v>75</v>
      </c>
      <c r="B78" s="18" t="s">
        <v>101</v>
      </c>
      <c r="C78" s="18" t="s">
        <v>97</v>
      </c>
      <c r="D78" s="7" t="s">
        <v>644</v>
      </c>
      <c r="E78" s="7" t="s">
        <v>150</v>
      </c>
      <c r="F78" s="7"/>
      <c r="G78" s="7" t="s">
        <v>119</v>
      </c>
      <c r="H78" s="7"/>
      <c r="I78" s="7"/>
      <c r="J78" s="7"/>
      <c r="K78" s="7" t="s">
        <v>183</v>
      </c>
      <c r="L78" s="7" t="s">
        <v>483</v>
      </c>
      <c r="M78" s="7" t="s">
        <v>10</v>
      </c>
      <c r="N78" s="7"/>
      <c r="O78" s="47">
        <v>0</v>
      </c>
      <c r="P78" s="47">
        <v>0</v>
      </c>
      <c r="Q78" s="47">
        <v>0</v>
      </c>
      <c r="R78" s="47">
        <v>0</v>
      </c>
      <c r="S78" s="47">
        <v>0</v>
      </c>
      <c r="T78" s="47">
        <v>63</v>
      </c>
      <c r="U78" s="47">
        <v>0</v>
      </c>
      <c r="V78" s="47">
        <v>0</v>
      </c>
      <c r="W78" s="33"/>
      <c r="X78" s="33"/>
      <c r="Y78" s="33"/>
      <c r="Z78" s="33"/>
      <c r="AA78" s="19">
        <f t="shared" si="1"/>
        <v>63</v>
      </c>
    </row>
    <row r="79" spans="1:27" x14ac:dyDescent="0.35">
      <c r="A79" s="18">
        <v>76</v>
      </c>
      <c r="B79" s="18" t="s">
        <v>97</v>
      </c>
      <c r="C79" s="18" t="s">
        <v>97</v>
      </c>
      <c r="D79" s="7" t="s">
        <v>625</v>
      </c>
      <c r="E79" s="7" t="s">
        <v>271</v>
      </c>
      <c r="F79" s="7"/>
      <c r="G79" s="7" t="s">
        <v>96</v>
      </c>
      <c r="H79" s="7"/>
      <c r="I79" s="7"/>
      <c r="J79" s="7"/>
      <c r="K79" s="7" t="s">
        <v>187</v>
      </c>
      <c r="L79" s="7" t="s">
        <v>462</v>
      </c>
      <c r="M79" s="7" t="s">
        <v>3</v>
      </c>
      <c r="N79" s="7"/>
      <c r="O79" s="47">
        <v>0</v>
      </c>
      <c r="P79" s="47">
        <v>0</v>
      </c>
      <c r="Q79" s="47">
        <v>0</v>
      </c>
      <c r="R79" s="47">
        <v>0</v>
      </c>
      <c r="S79" s="47">
        <v>2.5000000000000001E-2</v>
      </c>
      <c r="T79" s="47">
        <v>5.5</v>
      </c>
      <c r="U79" s="47">
        <v>0</v>
      </c>
      <c r="V79" s="47">
        <v>0</v>
      </c>
      <c r="W79" s="33">
        <v>5.5</v>
      </c>
      <c r="X79" s="33">
        <v>22</v>
      </c>
      <c r="Y79" s="33">
        <v>11</v>
      </c>
      <c r="Z79" s="33">
        <v>11</v>
      </c>
      <c r="AA79" s="19">
        <f t="shared" si="1"/>
        <v>55.024999999999999</v>
      </c>
    </row>
    <row r="80" spans="1:27" x14ac:dyDescent="0.35">
      <c r="A80" s="18">
        <v>77</v>
      </c>
      <c r="B80" s="18" t="s">
        <v>115</v>
      </c>
      <c r="C80" s="18" t="s">
        <v>110</v>
      </c>
      <c r="D80" s="7" t="s">
        <v>628</v>
      </c>
      <c r="E80" s="7" t="s">
        <v>57</v>
      </c>
      <c r="F80" s="7"/>
      <c r="G80" s="7" t="s">
        <v>96</v>
      </c>
      <c r="H80" s="7"/>
      <c r="I80" s="7"/>
      <c r="J80" s="7"/>
      <c r="K80" s="7" t="s">
        <v>204</v>
      </c>
      <c r="L80" s="7" t="s">
        <v>474</v>
      </c>
      <c r="M80" s="7" t="s">
        <v>12</v>
      </c>
      <c r="N80" s="7"/>
      <c r="O80" s="47">
        <v>0</v>
      </c>
      <c r="P80" s="47">
        <v>0</v>
      </c>
      <c r="Q80" s="47">
        <v>10.55</v>
      </c>
      <c r="R80" s="47">
        <v>0</v>
      </c>
      <c r="S80" s="47">
        <v>5.25</v>
      </c>
      <c r="T80" s="47">
        <v>0</v>
      </c>
      <c r="U80" s="47">
        <v>0</v>
      </c>
      <c r="V80" s="47">
        <v>0</v>
      </c>
      <c r="W80" s="33"/>
      <c r="X80" s="33">
        <v>11</v>
      </c>
      <c r="Y80" s="33">
        <v>11</v>
      </c>
      <c r="Z80" s="33">
        <v>11</v>
      </c>
      <c r="AA80" s="19">
        <f t="shared" si="1"/>
        <v>48.8</v>
      </c>
    </row>
    <row r="81" spans="1:27" x14ac:dyDescent="0.35">
      <c r="A81" s="18">
        <v>78</v>
      </c>
      <c r="B81" s="18" t="s">
        <v>97</v>
      </c>
      <c r="C81" s="18" t="s">
        <v>97</v>
      </c>
      <c r="D81" s="7" t="s">
        <v>625</v>
      </c>
      <c r="E81" s="7" t="s">
        <v>271</v>
      </c>
      <c r="F81" s="7"/>
      <c r="G81" s="7" t="s">
        <v>96</v>
      </c>
      <c r="H81" s="7"/>
      <c r="I81" s="7"/>
      <c r="J81" s="7"/>
      <c r="K81" s="7" t="s">
        <v>197</v>
      </c>
      <c r="L81" s="7" t="s">
        <v>460</v>
      </c>
      <c r="M81" s="7" t="s">
        <v>2</v>
      </c>
      <c r="N81" s="7"/>
      <c r="O81" s="47">
        <v>0</v>
      </c>
      <c r="P81" s="47">
        <v>5.5</v>
      </c>
      <c r="Q81" s="47">
        <v>11</v>
      </c>
      <c r="R81" s="47">
        <v>0</v>
      </c>
      <c r="S81" s="47">
        <v>5.5</v>
      </c>
      <c r="T81" s="47">
        <v>0</v>
      </c>
      <c r="U81" s="47">
        <v>5.5</v>
      </c>
      <c r="V81" s="47">
        <v>0</v>
      </c>
      <c r="W81" s="33">
        <v>4.0999999999999996</v>
      </c>
      <c r="X81" s="33">
        <v>4.125</v>
      </c>
      <c r="Y81" s="33">
        <v>4.125</v>
      </c>
      <c r="Z81" s="33">
        <v>4.125</v>
      </c>
      <c r="AA81" s="19">
        <f t="shared" si="1"/>
        <v>43.975000000000001</v>
      </c>
    </row>
    <row r="82" spans="1:27" x14ac:dyDescent="0.35">
      <c r="A82" s="18">
        <v>79</v>
      </c>
      <c r="B82" s="18" t="s">
        <v>115</v>
      </c>
      <c r="C82" s="18" t="s">
        <v>110</v>
      </c>
      <c r="D82" s="7" t="s">
        <v>627</v>
      </c>
      <c r="E82" s="7" t="s">
        <v>58</v>
      </c>
      <c r="F82" s="7"/>
      <c r="G82" s="7" t="s">
        <v>96</v>
      </c>
      <c r="H82" s="7"/>
      <c r="I82" s="7"/>
      <c r="J82" s="7"/>
      <c r="K82" s="7" t="s">
        <v>202</v>
      </c>
      <c r="L82" s="7" t="s">
        <v>473</v>
      </c>
      <c r="M82" s="7" t="s">
        <v>12</v>
      </c>
      <c r="N82" s="7"/>
      <c r="O82" s="47">
        <v>1.5</v>
      </c>
      <c r="P82" s="47">
        <v>1.5</v>
      </c>
      <c r="Q82" s="47">
        <v>7.5</v>
      </c>
      <c r="R82" s="47">
        <v>9.75</v>
      </c>
      <c r="S82" s="47">
        <v>3</v>
      </c>
      <c r="T82" s="47">
        <v>0</v>
      </c>
      <c r="U82" s="47">
        <v>0</v>
      </c>
      <c r="V82" s="47">
        <v>7.5</v>
      </c>
      <c r="W82" s="33">
        <v>9</v>
      </c>
      <c r="X82" s="33">
        <v>3</v>
      </c>
      <c r="Y82" s="33"/>
      <c r="Z82" s="33"/>
      <c r="AA82" s="19">
        <f t="shared" si="1"/>
        <v>42.75</v>
      </c>
    </row>
    <row r="83" spans="1:27" x14ac:dyDescent="0.35">
      <c r="A83" s="18">
        <v>80</v>
      </c>
      <c r="B83" s="18" t="s">
        <v>115</v>
      </c>
      <c r="C83" s="18" t="s">
        <v>110</v>
      </c>
      <c r="D83" s="7" t="s">
        <v>603</v>
      </c>
      <c r="E83" s="7" t="s">
        <v>56</v>
      </c>
      <c r="F83" s="7"/>
      <c r="G83" s="7" t="s">
        <v>96</v>
      </c>
      <c r="H83" s="7"/>
      <c r="I83" s="7"/>
      <c r="J83" s="7"/>
      <c r="K83" s="7" t="s">
        <v>204</v>
      </c>
      <c r="L83" s="7" t="s">
        <v>474</v>
      </c>
      <c r="M83" s="7" t="s">
        <v>12</v>
      </c>
      <c r="N83" s="7"/>
      <c r="O83" s="47">
        <v>0</v>
      </c>
      <c r="P83" s="47">
        <v>0.75</v>
      </c>
      <c r="Q83" s="47">
        <v>0</v>
      </c>
      <c r="R83" s="47">
        <v>3</v>
      </c>
      <c r="S83" s="47">
        <v>10.5</v>
      </c>
      <c r="T83" s="47">
        <v>5.25</v>
      </c>
      <c r="U83" s="47">
        <v>0</v>
      </c>
      <c r="V83" s="47">
        <v>5.25</v>
      </c>
      <c r="W83" s="33"/>
      <c r="X83" s="33">
        <v>5.25</v>
      </c>
      <c r="Y83" s="33">
        <v>5.25</v>
      </c>
      <c r="Z83" s="33">
        <v>5.25</v>
      </c>
      <c r="AA83" s="19">
        <f t="shared" si="1"/>
        <v>40.5</v>
      </c>
    </row>
    <row r="84" spans="1:27" x14ac:dyDescent="0.35">
      <c r="A84" s="18">
        <v>81</v>
      </c>
      <c r="B84" s="18" t="s">
        <v>115</v>
      </c>
      <c r="C84" s="18" t="s">
        <v>110</v>
      </c>
      <c r="D84" s="7" t="s">
        <v>635</v>
      </c>
      <c r="E84" s="7" t="s">
        <v>62</v>
      </c>
      <c r="F84" s="7"/>
      <c r="G84" s="7" t="s">
        <v>96</v>
      </c>
      <c r="H84" s="7"/>
      <c r="I84" s="7"/>
      <c r="J84" s="7"/>
      <c r="K84" s="7" t="s">
        <v>212</v>
      </c>
      <c r="L84" s="7" t="s">
        <v>481</v>
      </c>
      <c r="M84" s="7" t="s">
        <v>19</v>
      </c>
      <c r="N84" s="7"/>
      <c r="O84" s="47">
        <v>0</v>
      </c>
      <c r="P84" s="47">
        <v>0</v>
      </c>
      <c r="Q84" s="47">
        <v>5.25</v>
      </c>
      <c r="R84" s="47">
        <v>0</v>
      </c>
      <c r="S84" s="47">
        <v>20.25</v>
      </c>
      <c r="T84" s="47">
        <v>0</v>
      </c>
      <c r="U84" s="47">
        <v>9.75</v>
      </c>
      <c r="V84" s="47">
        <v>0</v>
      </c>
      <c r="W84" s="33"/>
      <c r="X84" s="33"/>
      <c r="Y84" s="33"/>
      <c r="Z84" s="33"/>
      <c r="AA84" s="19">
        <f t="shared" si="1"/>
        <v>35.25</v>
      </c>
    </row>
    <row r="85" spans="1:27" x14ac:dyDescent="0.35">
      <c r="A85" s="18">
        <v>82</v>
      </c>
      <c r="B85" s="18" t="s">
        <v>115</v>
      </c>
      <c r="C85" s="18" t="s">
        <v>110</v>
      </c>
      <c r="D85" s="7" t="s">
        <v>637</v>
      </c>
      <c r="E85" s="7" t="s">
        <v>64</v>
      </c>
      <c r="F85" s="7"/>
      <c r="G85" s="7" t="s">
        <v>119</v>
      </c>
      <c r="H85" s="7"/>
      <c r="I85" s="7"/>
      <c r="J85" s="7"/>
      <c r="K85" s="7" t="s">
        <v>217</v>
      </c>
      <c r="L85" s="7" t="s">
        <v>490</v>
      </c>
      <c r="M85" s="7" t="s">
        <v>7</v>
      </c>
      <c r="N85" s="7"/>
      <c r="O85" s="47">
        <v>0</v>
      </c>
      <c r="P85" s="47">
        <v>0</v>
      </c>
      <c r="Q85" s="47">
        <v>5</v>
      </c>
      <c r="R85" s="47">
        <v>0</v>
      </c>
      <c r="S85" s="47">
        <v>0</v>
      </c>
      <c r="T85" s="47">
        <v>4</v>
      </c>
      <c r="U85" s="47">
        <v>12</v>
      </c>
      <c r="V85" s="47">
        <v>0</v>
      </c>
      <c r="W85" s="33">
        <v>8</v>
      </c>
      <c r="X85" s="33"/>
      <c r="Y85" s="33">
        <v>6</v>
      </c>
      <c r="Z85" s="33"/>
      <c r="AA85" s="19">
        <f t="shared" si="1"/>
        <v>35</v>
      </c>
    </row>
    <row r="86" spans="1:27" x14ac:dyDescent="0.35">
      <c r="A86" s="18">
        <v>83</v>
      </c>
      <c r="B86" s="18" t="s">
        <v>115</v>
      </c>
      <c r="C86" s="18" t="s">
        <v>110</v>
      </c>
      <c r="D86" s="7" t="s">
        <v>635</v>
      </c>
      <c r="E86" s="7" t="s">
        <v>62</v>
      </c>
      <c r="F86" s="7"/>
      <c r="G86" s="7" t="s">
        <v>96</v>
      </c>
      <c r="H86" s="7"/>
      <c r="I86" s="7"/>
      <c r="J86" s="7"/>
      <c r="K86" s="7" t="s">
        <v>200</v>
      </c>
      <c r="L86" s="7" t="s">
        <v>470</v>
      </c>
      <c r="M86" s="7" t="s">
        <v>12</v>
      </c>
      <c r="N86" s="7"/>
      <c r="O86" s="47">
        <v>0</v>
      </c>
      <c r="P86" s="47">
        <v>0</v>
      </c>
      <c r="Q86" s="47">
        <v>0</v>
      </c>
      <c r="R86" s="47">
        <v>0</v>
      </c>
      <c r="S86" s="47">
        <v>5.25</v>
      </c>
      <c r="T86" s="47">
        <v>4.5</v>
      </c>
      <c r="U86" s="47">
        <v>0</v>
      </c>
      <c r="V86" s="47">
        <v>0</v>
      </c>
      <c r="W86" s="33">
        <v>10.5</v>
      </c>
      <c r="X86" s="33">
        <v>14</v>
      </c>
      <c r="Y86" s="33"/>
      <c r="Z86" s="33"/>
      <c r="AA86" s="19">
        <f t="shared" si="1"/>
        <v>34.25</v>
      </c>
    </row>
    <row r="87" spans="1:27" x14ac:dyDescent="0.35">
      <c r="A87" s="18">
        <v>84</v>
      </c>
      <c r="B87" s="18" t="s">
        <v>101</v>
      </c>
      <c r="C87" s="18" t="s">
        <v>97</v>
      </c>
      <c r="D87" s="7" t="s">
        <v>645</v>
      </c>
      <c r="E87" s="7" t="s">
        <v>117</v>
      </c>
      <c r="F87" s="7"/>
      <c r="G87" s="7" t="s">
        <v>96</v>
      </c>
      <c r="H87" s="7"/>
      <c r="I87" s="7"/>
      <c r="J87" s="7"/>
      <c r="K87" s="7" t="s">
        <v>174</v>
      </c>
      <c r="L87" s="7" t="s">
        <v>468</v>
      </c>
      <c r="M87" s="7" t="s">
        <v>1</v>
      </c>
      <c r="N87" s="7"/>
      <c r="O87" s="47">
        <v>0</v>
      </c>
      <c r="P87" s="47">
        <v>0</v>
      </c>
      <c r="Q87" s="47">
        <v>11</v>
      </c>
      <c r="R87" s="47">
        <v>0</v>
      </c>
      <c r="S87" s="47">
        <v>11</v>
      </c>
      <c r="T87" s="47">
        <v>0</v>
      </c>
      <c r="U87" s="47">
        <v>0</v>
      </c>
      <c r="V87" s="47">
        <v>0</v>
      </c>
      <c r="W87" s="33"/>
      <c r="X87" s="33"/>
      <c r="Y87" s="33">
        <v>11</v>
      </c>
      <c r="Z87" s="33"/>
      <c r="AA87" s="19">
        <f t="shared" si="1"/>
        <v>33</v>
      </c>
    </row>
    <row r="88" spans="1:27" x14ac:dyDescent="0.35">
      <c r="A88" s="18">
        <v>85</v>
      </c>
      <c r="B88" s="18" t="s">
        <v>95</v>
      </c>
      <c r="C88" s="18" t="s">
        <v>97</v>
      </c>
      <c r="D88" s="7" t="s">
        <v>595</v>
      </c>
      <c r="E88" s="7" t="s">
        <v>478</v>
      </c>
      <c r="F88" s="7"/>
      <c r="G88" s="7" t="s">
        <v>96</v>
      </c>
      <c r="H88" s="7"/>
      <c r="I88" s="7"/>
      <c r="J88" s="7"/>
      <c r="K88" s="7" t="s">
        <v>187</v>
      </c>
      <c r="L88" s="7" t="s">
        <v>462</v>
      </c>
      <c r="M88" s="7" t="s">
        <v>3</v>
      </c>
      <c r="N88" s="7"/>
      <c r="O88" s="47">
        <v>5.5</v>
      </c>
      <c r="P88" s="47">
        <v>5.5</v>
      </c>
      <c r="Q88" s="47">
        <v>5.5</v>
      </c>
      <c r="R88" s="47">
        <v>0</v>
      </c>
      <c r="S88" s="47">
        <v>5.5</v>
      </c>
      <c r="T88" s="47">
        <v>0</v>
      </c>
      <c r="U88" s="47">
        <v>9.625</v>
      </c>
      <c r="V88" s="47">
        <v>0</v>
      </c>
      <c r="W88" s="33"/>
      <c r="X88" s="33"/>
      <c r="Y88" s="33"/>
      <c r="Z88" s="33"/>
      <c r="AA88" s="19">
        <f t="shared" si="1"/>
        <v>31.625</v>
      </c>
    </row>
    <row r="89" spans="1:27" x14ac:dyDescent="0.35">
      <c r="A89" s="18">
        <v>86</v>
      </c>
      <c r="B89" s="18" t="s">
        <v>115</v>
      </c>
      <c r="C89" s="18" t="s">
        <v>110</v>
      </c>
      <c r="D89" s="7" t="s">
        <v>628</v>
      </c>
      <c r="E89" s="7" t="s">
        <v>57</v>
      </c>
      <c r="F89" s="7"/>
      <c r="G89" s="7" t="s">
        <v>96</v>
      </c>
      <c r="H89" s="7"/>
      <c r="I89" s="7"/>
      <c r="J89" s="7"/>
      <c r="K89" s="7" t="s">
        <v>205</v>
      </c>
      <c r="L89" s="7" t="s">
        <v>475</v>
      </c>
      <c r="M89" s="7" t="s">
        <v>12</v>
      </c>
      <c r="N89" s="7"/>
      <c r="O89" s="47">
        <v>0</v>
      </c>
      <c r="P89" s="47">
        <v>0</v>
      </c>
      <c r="Q89" s="47">
        <v>0</v>
      </c>
      <c r="R89" s="47">
        <v>0</v>
      </c>
      <c r="S89" s="47">
        <v>0</v>
      </c>
      <c r="T89" s="47">
        <v>28</v>
      </c>
      <c r="U89" s="47">
        <v>0</v>
      </c>
      <c r="V89" s="47"/>
      <c r="W89" s="33"/>
      <c r="X89" s="33"/>
      <c r="Y89" s="33"/>
      <c r="Z89" s="33"/>
      <c r="AA89" s="19">
        <f t="shared" si="1"/>
        <v>28</v>
      </c>
    </row>
    <row r="90" spans="1:27" x14ac:dyDescent="0.35">
      <c r="A90" s="18">
        <v>87</v>
      </c>
      <c r="B90" s="18" t="s">
        <v>110</v>
      </c>
      <c r="C90" s="18" t="s">
        <v>110</v>
      </c>
      <c r="D90" s="7" t="s">
        <v>646</v>
      </c>
      <c r="E90" s="7" t="s">
        <v>50</v>
      </c>
      <c r="F90" s="7"/>
      <c r="G90" s="7" t="s">
        <v>119</v>
      </c>
      <c r="H90" s="7"/>
      <c r="I90" s="7"/>
      <c r="J90" s="7"/>
      <c r="K90" s="7" t="s">
        <v>185</v>
      </c>
      <c r="L90" s="7" t="s">
        <v>486</v>
      </c>
      <c r="M90" s="7" t="s">
        <v>3</v>
      </c>
      <c r="N90" s="7"/>
      <c r="O90" s="47">
        <v>0</v>
      </c>
      <c r="P90" s="47">
        <v>0</v>
      </c>
      <c r="Q90" s="47">
        <v>0</v>
      </c>
      <c r="R90" s="47">
        <v>0</v>
      </c>
      <c r="S90" s="47">
        <v>0</v>
      </c>
      <c r="T90" s="47">
        <v>0</v>
      </c>
      <c r="U90" s="47">
        <v>0</v>
      </c>
      <c r="V90" s="47">
        <v>27</v>
      </c>
      <c r="W90" s="33"/>
      <c r="X90" s="33"/>
      <c r="Y90" s="33"/>
      <c r="Z90" s="33"/>
      <c r="AA90" s="19">
        <f t="shared" si="1"/>
        <v>27</v>
      </c>
    </row>
    <row r="91" spans="1:27" x14ac:dyDescent="0.35">
      <c r="A91" s="18">
        <v>88</v>
      </c>
      <c r="B91" s="18" t="s">
        <v>115</v>
      </c>
      <c r="C91" s="18" t="s">
        <v>110</v>
      </c>
      <c r="D91" s="7" t="s">
        <v>627</v>
      </c>
      <c r="E91" s="7" t="s">
        <v>58</v>
      </c>
      <c r="F91" s="7"/>
      <c r="G91" s="7" t="s">
        <v>96</v>
      </c>
      <c r="H91" s="7"/>
      <c r="I91" s="7"/>
      <c r="J91" s="7"/>
      <c r="K91" s="7" t="s">
        <v>201</v>
      </c>
      <c r="L91" s="7" t="s">
        <v>471</v>
      </c>
      <c r="M91" s="7" t="s">
        <v>12</v>
      </c>
      <c r="N91" s="7"/>
      <c r="O91" s="47">
        <v>0</v>
      </c>
      <c r="P91" s="47">
        <v>0</v>
      </c>
      <c r="Q91" s="47">
        <v>0</v>
      </c>
      <c r="R91" s="47">
        <v>4.5</v>
      </c>
      <c r="S91" s="47">
        <v>0</v>
      </c>
      <c r="T91" s="47">
        <v>0</v>
      </c>
      <c r="U91" s="47">
        <v>0.75</v>
      </c>
      <c r="V91" s="47">
        <v>3.7749999999999999</v>
      </c>
      <c r="W91" s="33">
        <v>17.25</v>
      </c>
      <c r="X91" s="33"/>
      <c r="Y91" s="33"/>
      <c r="Z91" s="33"/>
      <c r="AA91" s="19">
        <f t="shared" si="1"/>
        <v>26.274999999999999</v>
      </c>
    </row>
    <row r="92" spans="1:27" x14ac:dyDescent="0.35">
      <c r="A92" s="18">
        <v>89</v>
      </c>
      <c r="B92" s="18" t="s">
        <v>104</v>
      </c>
      <c r="C92" s="18" t="s">
        <v>110</v>
      </c>
      <c r="D92" s="7" t="s">
        <v>588</v>
      </c>
      <c r="E92" s="7" t="s">
        <v>9</v>
      </c>
      <c r="F92" s="7"/>
      <c r="G92" s="7" t="s">
        <v>119</v>
      </c>
      <c r="H92" s="7"/>
      <c r="I92" s="7"/>
      <c r="J92" s="7"/>
      <c r="K92" s="7" t="s">
        <v>207</v>
      </c>
      <c r="L92" s="7" t="s">
        <v>499</v>
      </c>
      <c r="M92" s="7" t="s">
        <v>2</v>
      </c>
      <c r="N92" s="7"/>
      <c r="O92" s="47">
        <v>0</v>
      </c>
      <c r="P92" s="47">
        <v>25</v>
      </c>
      <c r="Q92" s="47">
        <v>0</v>
      </c>
      <c r="R92" s="47">
        <v>0</v>
      </c>
      <c r="S92" s="47">
        <v>0</v>
      </c>
      <c r="T92" s="47">
        <v>0</v>
      </c>
      <c r="U92" s="47">
        <v>0</v>
      </c>
      <c r="V92" s="47">
        <v>0</v>
      </c>
      <c r="W92" s="33"/>
      <c r="X92" s="33"/>
      <c r="Y92" s="33"/>
      <c r="Z92" s="33"/>
      <c r="AA92" s="19">
        <f t="shared" si="1"/>
        <v>25</v>
      </c>
    </row>
    <row r="93" spans="1:27" x14ac:dyDescent="0.35">
      <c r="A93" s="18">
        <v>90</v>
      </c>
      <c r="B93" s="18" t="s">
        <v>95</v>
      </c>
      <c r="C93" s="18" t="s">
        <v>97</v>
      </c>
      <c r="D93" s="7" t="s">
        <v>593</v>
      </c>
      <c r="E93" s="7" t="s">
        <v>46</v>
      </c>
      <c r="F93" s="7"/>
      <c r="G93" s="7" t="s">
        <v>119</v>
      </c>
      <c r="H93" s="7"/>
      <c r="I93" s="7"/>
      <c r="J93" s="7"/>
      <c r="K93" s="7" t="s">
        <v>168</v>
      </c>
      <c r="L93" s="7" t="s">
        <v>467</v>
      </c>
      <c r="M93" s="7" t="s">
        <v>1</v>
      </c>
      <c r="N93" s="7"/>
      <c r="O93" s="47">
        <v>0</v>
      </c>
      <c r="P93" s="47">
        <v>0</v>
      </c>
      <c r="Q93" s="47">
        <v>0</v>
      </c>
      <c r="R93" s="47">
        <v>22</v>
      </c>
      <c r="S93" s="47">
        <v>0</v>
      </c>
      <c r="T93" s="47">
        <v>0</v>
      </c>
      <c r="U93" s="47">
        <v>0</v>
      </c>
      <c r="V93" s="47">
        <v>0</v>
      </c>
      <c r="W93" s="33"/>
      <c r="X93" s="33"/>
      <c r="Y93" s="33"/>
      <c r="Z93" s="33"/>
      <c r="AA93" s="19">
        <f t="shared" si="1"/>
        <v>22</v>
      </c>
    </row>
    <row r="94" spans="1:27" x14ac:dyDescent="0.35">
      <c r="A94" s="18">
        <v>91</v>
      </c>
      <c r="B94" s="18" t="s">
        <v>95</v>
      </c>
      <c r="C94" s="18" t="s">
        <v>97</v>
      </c>
      <c r="D94" s="7" t="s">
        <v>647</v>
      </c>
      <c r="E94" s="7" t="s">
        <v>136</v>
      </c>
      <c r="F94" s="7"/>
      <c r="G94" s="7" t="s">
        <v>119</v>
      </c>
      <c r="H94" s="7"/>
      <c r="I94" s="7"/>
      <c r="J94" s="7"/>
      <c r="K94" s="7" t="s">
        <v>172</v>
      </c>
      <c r="L94" s="7" t="s">
        <v>469</v>
      </c>
      <c r="M94" s="7" t="s">
        <v>1</v>
      </c>
      <c r="N94" s="7"/>
      <c r="O94" s="47">
        <v>0</v>
      </c>
      <c r="P94" s="47">
        <v>0</v>
      </c>
      <c r="Q94" s="47">
        <v>0</v>
      </c>
      <c r="R94" s="47">
        <v>0</v>
      </c>
      <c r="S94" s="47">
        <v>22</v>
      </c>
      <c r="T94" s="47">
        <v>0</v>
      </c>
      <c r="U94" s="47">
        <v>0</v>
      </c>
      <c r="V94" s="47">
        <v>0</v>
      </c>
      <c r="W94" s="33"/>
      <c r="X94" s="33"/>
      <c r="Y94" s="33"/>
      <c r="Z94" s="33"/>
      <c r="AA94" s="19">
        <f t="shared" si="1"/>
        <v>22</v>
      </c>
    </row>
    <row r="95" spans="1:27" x14ac:dyDescent="0.35">
      <c r="A95" s="18">
        <v>92</v>
      </c>
      <c r="B95" s="18" t="s">
        <v>101</v>
      </c>
      <c r="C95" s="18" t="s">
        <v>97</v>
      </c>
      <c r="D95" s="7" t="s">
        <v>596</v>
      </c>
      <c r="E95" s="7" t="s">
        <v>266</v>
      </c>
      <c r="F95" s="7"/>
      <c r="G95" s="7" t="s">
        <v>96</v>
      </c>
      <c r="H95" s="7"/>
      <c r="I95" s="7"/>
      <c r="J95" s="7"/>
      <c r="K95" s="7" t="s">
        <v>167</v>
      </c>
      <c r="L95" s="7" t="s">
        <v>495</v>
      </c>
      <c r="M95" s="7" t="s">
        <v>1</v>
      </c>
      <c r="N95" s="7"/>
      <c r="O95" s="47">
        <v>22</v>
      </c>
      <c r="P95" s="47">
        <v>0</v>
      </c>
      <c r="Q95" s="47">
        <v>0</v>
      </c>
      <c r="R95" s="47">
        <v>0</v>
      </c>
      <c r="S95" s="47">
        <v>0</v>
      </c>
      <c r="T95" s="47">
        <v>0</v>
      </c>
      <c r="U95" s="47">
        <v>0</v>
      </c>
      <c r="V95" s="47">
        <v>0</v>
      </c>
      <c r="W95" s="33"/>
      <c r="X95" s="33"/>
      <c r="Y95" s="33"/>
      <c r="Z95" s="33"/>
      <c r="AA95" s="19">
        <f t="shared" si="1"/>
        <v>22</v>
      </c>
    </row>
    <row r="96" spans="1:27" x14ac:dyDescent="0.35">
      <c r="A96" s="18">
        <v>93</v>
      </c>
      <c r="B96" s="18" t="s">
        <v>115</v>
      </c>
      <c r="C96" s="18" t="s">
        <v>110</v>
      </c>
      <c r="D96" s="7" t="s">
        <v>616</v>
      </c>
      <c r="E96" s="7" t="s">
        <v>128</v>
      </c>
      <c r="F96" s="7"/>
      <c r="G96" s="7" t="s">
        <v>119</v>
      </c>
      <c r="H96" s="7"/>
      <c r="I96" s="7"/>
      <c r="J96" s="7"/>
      <c r="K96" s="7" t="s">
        <v>172</v>
      </c>
      <c r="L96" s="7" t="s">
        <v>469</v>
      </c>
      <c r="M96" s="7" t="s">
        <v>1</v>
      </c>
      <c r="N96" s="7"/>
      <c r="O96" s="47">
        <v>0</v>
      </c>
      <c r="P96" s="47">
        <v>22</v>
      </c>
      <c r="Q96" s="47">
        <v>0</v>
      </c>
      <c r="R96" s="47">
        <v>0</v>
      </c>
      <c r="S96" s="47">
        <v>0</v>
      </c>
      <c r="T96" s="47">
        <v>0</v>
      </c>
      <c r="U96" s="47">
        <v>0</v>
      </c>
      <c r="V96" s="47">
        <v>0</v>
      </c>
      <c r="W96" s="33"/>
      <c r="X96" s="33"/>
      <c r="Y96" s="33"/>
      <c r="Z96" s="33"/>
      <c r="AA96" s="19">
        <f t="shared" si="1"/>
        <v>22</v>
      </c>
    </row>
    <row r="97" spans="1:27" x14ac:dyDescent="0.35">
      <c r="A97" s="18">
        <v>94</v>
      </c>
      <c r="B97" s="18" t="s">
        <v>104</v>
      </c>
      <c r="C97" s="18" t="s">
        <v>110</v>
      </c>
      <c r="D97" s="7" t="s">
        <v>648</v>
      </c>
      <c r="E97" s="7" t="s">
        <v>140</v>
      </c>
      <c r="F97" s="7"/>
      <c r="G97" s="7" t="s">
        <v>119</v>
      </c>
      <c r="H97" s="7"/>
      <c r="I97" s="7"/>
      <c r="J97" s="7"/>
      <c r="K97" s="7" t="s">
        <v>172</v>
      </c>
      <c r="L97" s="7" t="s">
        <v>469</v>
      </c>
      <c r="M97" s="7" t="s">
        <v>1</v>
      </c>
      <c r="N97" s="7"/>
      <c r="O97" s="47">
        <v>0</v>
      </c>
      <c r="P97" s="47">
        <v>22</v>
      </c>
      <c r="Q97" s="47">
        <v>0</v>
      </c>
      <c r="R97" s="47">
        <v>0</v>
      </c>
      <c r="S97" s="47">
        <v>0</v>
      </c>
      <c r="T97" s="47">
        <v>0</v>
      </c>
      <c r="U97" s="47">
        <v>0</v>
      </c>
      <c r="V97" s="47">
        <v>0</v>
      </c>
      <c r="W97" s="33"/>
      <c r="X97" s="33"/>
      <c r="Y97" s="33"/>
      <c r="Z97" s="33"/>
      <c r="AA97" s="19">
        <f t="shared" si="1"/>
        <v>22</v>
      </c>
    </row>
    <row r="98" spans="1:27" x14ac:dyDescent="0.35">
      <c r="A98" s="18">
        <v>95</v>
      </c>
      <c r="B98" s="18" t="s">
        <v>115</v>
      </c>
      <c r="C98" s="18" t="s">
        <v>110</v>
      </c>
      <c r="D98" s="7" t="s">
        <v>649</v>
      </c>
      <c r="E98" s="7" t="s">
        <v>135</v>
      </c>
      <c r="F98" s="7"/>
      <c r="G98" s="7" t="s">
        <v>119</v>
      </c>
      <c r="H98" s="7"/>
      <c r="I98" s="7"/>
      <c r="J98" s="7"/>
      <c r="K98" s="7" t="s">
        <v>172</v>
      </c>
      <c r="L98" s="7" t="s">
        <v>469</v>
      </c>
      <c r="M98" s="7" t="s">
        <v>1</v>
      </c>
      <c r="N98" s="7"/>
      <c r="O98" s="47">
        <v>0</v>
      </c>
      <c r="P98" s="47">
        <v>22</v>
      </c>
      <c r="Q98" s="47">
        <v>0</v>
      </c>
      <c r="R98" s="47">
        <v>0</v>
      </c>
      <c r="S98" s="47">
        <v>0</v>
      </c>
      <c r="T98" s="47">
        <v>0</v>
      </c>
      <c r="U98" s="47">
        <v>0</v>
      </c>
      <c r="V98" s="47">
        <v>0</v>
      </c>
      <c r="W98" s="33"/>
      <c r="X98" s="33"/>
      <c r="Y98" s="33"/>
      <c r="Z98" s="33"/>
      <c r="AA98" s="19">
        <f t="shared" si="1"/>
        <v>22</v>
      </c>
    </row>
    <row r="99" spans="1:27" x14ac:dyDescent="0.35">
      <c r="A99" s="18">
        <v>96</v>
      </c>
      <c r="B99" s="18" t="s">
        <v>104</v>
      </c>
      <c r="C99" s="18" t="s">
        <v>110</v>
      </c>
      <c r="D99" s="7" t="s">
        <v>650</v>
      </c>
      <c r="E99" s="7" t="s">
        <v>134</v>
      </c>
      <c r="F99" s="7"/>
      <c r="G99" s="7" t="s">
        <v>119</v>
      </c>
      <c r="H99" s="7"/>
      <c r="I99" s="7"/>
      <c r="J99" s="7"/>
      <c r="K99" s="7" t="s">
        <v>171</v>
      </c>
      <c r="L99" s="7" t="s">
        <v>456</v>
      </c>
      <c r="M99" s="7" t="s">
        <v>1</v>
      </c>
      <c r="N99" s="7"/>
      <c r="O99" s="47">
        <v>0</v>
      </c>
      <c r="P99" s="47">
        <v>0</v>
      </c>
      <c r="Q99" s="47">
        <v>0</v>
      </c>
      <c r="R99" s="47">
        <v>0</v>
      </c>
      <c r="S99" s="47">
        <v>0</v>
      </c>
      <c r="T99" s="47">
        <v>22</v>
      </c>
      <c r="U99" s="47">
        <v>0</v>
      </c>
      <c r="V99" s="47">
        <v>0</v>
      </c>
      <c r="W99" s="33"/>
      <c r="X99" s="33"/>
      <c r="Y99" s="33"/>
      <c r="Z99" s="33"/>
      <c r="AA99" s="19">
        <f t="shared" si="1"/>
        <v>22</v>
      </c>
    </row>
    <row r="100" spans="1:27" x14ac:dyDescent="0.35">
      <c r="A100" s="18">
        <v>97</v>
      </c>
      <c r="B100" s="18" t="s">
        <v>95</v>
      </c>
      <c r="C100" s="18" t="s">
        <v>97</v>
      </c>
      <c r="D100" s="7" t="s">
        <v>651</v>
      </c>
      <c r="E100" s="7" t="s">
        <v>464</v>
      </c>
      <c r="F100" s="7"/>
      <c r="G100" s="7" t="s">
        <v>96</v>
      </c>
      <c r="H100" s="7"/>
      <c r="I100" s="7"/>
      <c r="J100" s="7"/>
      <c r="K100" s="7" t="s">
        <v>184</v>
      </c>
      <c r="L100" s="7" t="s">
        <v>465</v>
      </c>
      <c r="M100" s="7" t="s">
        <v>3</v>
      </c>
      <c r="N100" s="7"/>
      <c r="O100" s="47">
        <v>0</v>
      </c>
      <c r="P100" s="47">
        <v>2.75</v>
      </c>
      <c r="Q100" s="47">
        <v>9.625</v>
      </c>
      <c r="R100" s="47">
        <v>0</v>
      </c>
      <c r="S100" s="47">
        <v>9.6</v>
      </c>
      <c r="T100" s="47">
        <v>0</v>
      </c>
      <c r="U100" s="47">
        <v>0</v>
      </c>
      <c r="V100" s="47">
        <v>0</v>
      </c>
      <c r="W100" s="33"/>
      <c r="X100" s="33"/>
      <c r="Y100" s="33"/>
      <c r="Z100" s="33"/>
      <c r="AA100" s="19">
        <f t="shared" si="1"/>
        <v>21.975000000000001</v>
      </c>
    </row>
    <row r="101" spans="1:27" x14ac:dyDescent="0.35">
      <c r="A101" s="18">
        <v>98</v>
      </c>
      <c r="B101" s="18" t="s">
        <v>115</v>
      </c>
      <c r="C101" s="18" t="s">
        <v>110</v>
      </c>
      <c r="D101" s="7" t="s">
        <v>652</v>
      </c>
      <c r="E101" s="7" t="s">
        <v>71</v>
      </c>
      <c r="F101" s="7"/>
      <c r="G101" s="7" t="s">
        <v>96</v>
      </c>
      <c r="H101" s="7"/>
      <c r="I101" s="7"/>
      <c r="J101" s="7"/>
      <c r="K101" s="7" t="s">
        <v>171</v>
      </c>
      <c r="L101" s="7" t="s">
        <v>456</v>
      </c>
      <c r="M101" s="7" t="s">
        <v>1</v>
      </c>
      <c r="N101" s="7"/>
      <c r="O101" s="47">
        <v>3.3</v>
      </c>
      <c r="P101" s="47">
        <v>3.3</v>
      </c>
      <c r="Q101" s="47">
        <v>0</v>
      </c>
      <c r="R101" s="47">
        <v>4.4000000000000004</v>
      </c>
      <c r="S101" s="47">
        <v>5.5</v>
      </c>
      <c r="T101" s="47">
        <v>4.4000000000000004</v>
      </c>
      <c r="U101" s="47">
        <v>0</v>
      </c>
      <c r="V101" s="47">
        <v>0</v>
      </c>
      <c r="W101" s="33"/>
      <c r="X101" s="33"/>
      <c r="Y101" s="33"/>
      <c r="Z101" s="33"/>
      <c r="AA101" s="19">
        <f t="shared" si="1"/>
        <v>20.9</v>
      </c>
    </row>
    <row r="102" spans="1:27" x14ac:dyDescent="0.35">
      <c r="A102" s="18">
        <v>99</v>
      </c>
      <c r="B102" s="18" t="s">
        <v>97</v>
      </c>
      <c r="C102" s="18" t="s">
        <v>97</v>
      </c>
      <c r="D102" s="7" t="s">
        <v>625</v>
      </c>
      <c r="E102" s="7" t="s">
        <v>271</v>
      </c>
      <c r="F102" s="7"/>
      <c r="G102" s="7" t="s">
        <v>96</v>
      </c>
      <c r="H102" s="7"/>
      <c r="I102" s="7"/>
      <c r="J102" s="7"/>
      <c r="K102" s="7" t="s">
        <v>192</v>
      </c>
      <c r="L102" s="7" t="s">
        <v>463</v>
      </c>
      <c r="M102" s="7" t="s">
        <v>3</v>
      </c>
      <c r="N102" s="7"/>
      <c r="O102" s="47">
        <v>0</v>
      </c>
      <c r="P102" s="47">
        <v>0</v>
      </c>
      <c r="Q102" s="47">
        <v>0.5</v>
      </c>
      <c r="R102" s="47">
        <v>0</v>
      </c>
      <c r="S102" s="47">
        <v>0</v>
      </c>
      <c r="T102" s="47">
        <v>0.35</v>
      </c>
      <c r="U102" s="47">
        <v>0</v>
      </c>
      <c r="V102" s="47">
        <v>0</v>
      </c>
      <c r="W102" s="33">
        <v>5</v>
      </c>
      <c r="X102" s="33">
        <v>5</v>
      </c>
      <c r="Y102" s="33">
        <v>5</v>
      </c>
      <c r="Z102" s="33">
        <v>5</v>
      </c>
      <c r="AA102" s="19">
        <f t="shared" si="1"/>
        <v>20.85</v>
      </c>
    </row>
    <row r="103" spans="1:27" x14ac:dyDescent="0.35">
      <c r="A103" s="18">
        <v>100</v>
      </c>
      <c r="B103" s="18" t="s">
        <v>101</v>
      </c>
      <c r="C103" s="18" t="s">
        <v>97</v>
      </c>
      <c r="D103" s="7" t="s">
        <v>653</v>
      </c>
      <c r="E103" s="7" t="s">
        <v>108</v>
      </c>
      <c r="F103" s="7"/>
      <c r="G103" s="7" t="s">
        <v>96</v>
      </c>
      <c r="H103" s="7"/>
      <c r="I103" s="7"/>
      <c r="J103" s="7"/>
      <c r="K103" s="7" t="s">
        <v>175</v>
      </c>
      <c r="L103" s="7" t="s">
        <v>505</v>
      </c>
      <c r="M103" s="7" t="s">
        <v>1</v>
      </c>
      <c r="N103" s="7"/>
      <c r="O103" s="47">
        <v>0</v>
      </c>
      <c r="P103" s="47">
        <v>0</v>
      </c>
      <c r="Q103" s="47">
        <v>0</v>
      </c>
      <c r="R103" s="47">
        <v>0</v>
      </c>
      <c r="S103" s="47">
        <v>0</v>
      </c>
      <c r="T103" s="47">
        <v>0.5</v>
      </c>
      <c r="U103" s="47">
        <v>0</v>
      </c>
      <c r="V103" s="47">
        <v>2.2000000000000002</v>
      </c>
      <c r="W103" s="33"/>
      <c r="X103" s="33">
        <v>5</v>
      </c>
      <c r="Y103" s="33">
        <v>5</v>
      </c>
      <c r="Z103" s="33">
        <v>5</v>
      </c>
      <c r="AA103" s="19">
        <f t="shared" si="1"/>
        <v>17.7</v>
      </c>
    </row>
    <row r="104" spans="1:27" x14ac:dyDescent="0.35">
      <c r="A104" s="18">
        <v>101</v>
      </c>
      <c r="B104" s="18" t="s">
        <v>115</v>
      </c>
      <c r="C104" s="18" t="s">
        <v>110</v>
      </c>
      <c r="D104" s="7" t="s">
        <v>654</v>
      </c>
      <c r="E104" s="7" t="s">
        <v>118</v>
      </c>
      <c r="F104" s="7"/>
      <c r="G104" s="7" t="s">
        <v>96</v>
      </c>
      <c r="H104" s="7"/>
      <c r="I104" s="7"/>
      <c r="J104" s="7"/>
      <c r="K104" s="7" t="s">
        <v>171</v>
      </c>
      <c r="L104" s="7" t="s">
        <v>456</v>
      </c>
      <c r="M104" s="7" t="s">
        <v>1</v>
      </c>
      <c r="N104" s="7"/>
      <c r="O104" s="47">
        <v>5.5</v>
      </c>
      <c r="P104" s="47">
        <v>1.1000000000000001</v>
      </c>
      <c r="Q104" s="47">
        <v>0</v>
      </c>
      <c r="R104" s="47">
        <v>0</v>
      </c>
      <c r="S104" s="47">
        <v>0</v>
      </c>
      <c r="T104" s="47">
        <v>3.3</v>
      </c>
      <c r="U104" s="47">
        <v>0</v>
      </c>
      <c r="V104" s="47">
        <v>0</v>
      </c>
      <c r="W104" s="33"/>
      <c r="X104" s="33">
        <v>6.6</v>
      </c>
      <c r="Y104" s="33"/>
      <c r="Z104" s="33"/>
      <c r="AA104" s="19">
        <f t="shared" si="1"/>
        <v>16.5</v>
      </c>
    </row>
    <row r="105" spans="1:27" x14ac:dyDescent="0.35">
      <c r="A105" s="18">
        <v>102</v>
      </c>
      <c r="B105" s="18" t="s">
        <v>115</v>
      </c>
      <c r="C105" s="18" t="s">
        <v>110</v>
      </c>
      <c r="D105" s="7" t="s">
        <v>655</v>
      </c>
      <c r="E105" s="7" t="s">
        <v>65</v>
      </c>
      <c r="F105" s="7"/>
      <c r="G105" s="7" t="s">
        <v>96</v>
      </c>
      <c r="H105" s="7"/>
      <c r="I105" s="7"/>
      <c r="J105" s="7"/>
      <c r="K105" s="7" t="s">
        <v>212</v>
      </c>
      <c r="L105" s="7" t="s">
        <v>481</v>
      </c>
      <c r="M105" s="7" t="s">
        <v>19</v>
      </c>
      <c r="N105" s="7"/>
      <c r="O105" s="47">
        <v>0</v>
      </c>
      <c r="P105" s="47">
        <v>0</v>
      </c>
      <c r="Q105" s="47">
        <v>0</v>
      </c>
      <c r="R105" s="47">
        <v>0</v>
      </c>
      <c r="S105" s="47">
        <v>0</v>
      </c>
      <c r="T105" s="47">
        <v>0</v>
      </c>
      <c r="U105" s="47">
        <v>6</v>
      </c>
      <c r="V105" s="47">
        <v>0</v>
      </c>
      <c r="W105" s="33">
        <v>6</v>
      </c>
      <c r="X105" s="33"/>
      <c r="Y105" s="33"/>
      <c r="Z105" s="33"/>
      <c r="AA105" s="19">
        <f t="shared" si="1"/>
        <v>12</v>
      </c>
    </row>
    <row r="106" spans="1:27" x14ac:dyDescent="0.35">
      <c r="A106" s="18">
        <v>103</v>
      </c>
      <c r="B106" s="18" t="s">
        <v>101</v>
      </c>
      <c r="C106" s="18" t="s">
        <v>97</v>
      </c>
      <c r="D106" s="7" t="s">
        <v>656</v>
      </c>
      <c r="E106" s="7" t="s">
        <v>141</v>
      </c>
      <c r="F106" s="7"/>
      <c r="G106" s="7" t="s">
        <v>119</v>
      </c>
      <c r="H106" s="7"/>
      <c r="I106" s="7"/>
      <c r="J106" s="7"/>
      <c r="K106" s="7" t="s">
        <v>171</v>
      </c>
      <c r="L106" s="7" t="s">
        <v>456</v>
      </c>
      <c r="M106" s="7" t="s">
        <v>1</v>
      </c>
      <c r="N106" s="7"/>
      <c r="O106" s="47">
        <v>0</v>
      </c>
      <c r="P106" s="47">
        <v>0</v>
      </c>
      <c r="Q106" s="47">
        <v>11</v>
      </c>
      <c r="R106" s="47">
        <v>0</v>
      </c>
      <c r="S106" s="47">
        <v>0</v>
      </c>
      <c r="T106" s="47">
        <v>0</v>
      </c>
      <c r="U106" s="47">
        <v>0</v>
      </c>
      <c r="V106" s="47">
        <v>0</v>
      </c>
      <c r="W106" s="33"/>
      <c r="X106" s="33"/>
      <c r="Y106" s="33"/>
      <c r="Z106" s="33"/>
      <c r="AA106" s="19">
        <f t="shared" si="1"/>
        <v>11</v>
      </c>
    </row>
    <row r="107" spans="1:27" x14ac:dyDescent="0.35">
      <c r="A107" s="18">
        <v>104</v>
      </c>
      <c r="B107" s="18" t="s">
        <v>115</v>
      </c>
      <c r="C107" s="18" t="s">
        <v>110</v>
      </c>
      <c r="D107" s="7" t="s">
        <v>657</v>
      </c>
      <c r="E107" s="7" t="s">
        <v>26</v>
      </c>
      <c r="F107" s="7"/>
      <c r="G107" s="7" t="s">
        <v>96</v>
      </c>
      <c r="H107" s="7"/>
      <c r="I107" s="7"/>
      <c r="J107" s="7"/>
      <c r="K107" s="7" t="s">
        <v>182</v>
      </c>
      <c r="L107" s="7" t="s">
        <v>484</v>
      </c>
      <c r="M107" s="7" t="s">
        <v>10</v>
      </c>
      <c r="N107" s="7"/>
      <c r="O107" s="47">
        <v>0</v>
      </c>
      <c r="P107" s="47">
        <v>5.5</v>
      </c>
      <c r="Q107" s="47">
        <v>0</v>
      </c>
      <c r="R107" s="47">
        <v>0</v>
      </c>
      <c r="S107" s="47">
        <v>0</v>
      </c>
      <c r="T107" s="47">
        <v>5.5</v>
      </c>
      <c r="U107" s="47">
        <v>0</v>
      </c>
      <c r="V107" s="47">
        <v>0</v>
      </c>
      <c r="W107" s="33"/>
      <c r="X107" s="33"/>
      <c r="Y107" s="33"/>
      <c r="Z107" s="33"/>
      <c r="AA107" s="19">
        <f t="shared" si="1"/>
        <v>11</v>
      </c>
    </row>
    <row r="108" spans="1:27" x14ac:dyDescent="0.35">
      <c r="A108" s="18">
        <v>105</v>
      </c>
      <c r="B108" s="18" t="s">
        <v>101</v>
      </c>
      <c r="C108" s="18" t="s">
        <v>97</v>
      </c>
      <c r="D108" s="7" t="s">
        <v>658</v>
      </c>
      <c r="E108" s="7" t="s">
        <v>147</v>
      </c>
      <c r="F108" s="7"/>
      <c r="G108" s="7" t="s">
        <v>119</v>
      </c>
      <c r="H108" s="7"/>
      <c r="I108" s="7"/>
      <c r="J108" s="7"/>
      <c r="K108" s="7" t="s">
        <v>171</v>
      </c>
      <c r="L108" s="7" t="s">
        <v>456</v>
      </c>
      <c r="M108" s="7" t="s">
        <v>1</v>
      </c>
      <c r="N108" s="7"/>
      <c r="O108" s="47">
        <v>0</v>
      </c>
      <c r="P108" s="47">
        <v>0</v>
      </c>
      <c r="Q108" s="47">
        <v>11</v>
      </c>
      <c r="R108" s="47">
        <v>0</v>
      </c>
      <c r="S108" s="47">
        <v>0</v>
      </c>
      <c r="T108" s="47">
        <v>0</v>
      </c>
      <c r="U108" s="47">
        <v>0</v>
      </c>
      <c r="V108" s="47">
        <v>0</v>
      </c>
      <c r="W108" s="33"/>
      <c r="X108" s="33"/>
      <c r="Y108" s="33"/>
      <c r="Z108" s="33"/>
      <c r="AA108" s="19">
        <f t="shared" si="1"/>
        <v>11</v>
      </c>
    </row>
    <row r="109" spans="1:27" x14ac:dyDescent="0.35">
      <c r="A109" s="18">
        <v>106</v>
      </c>
      <c r="B109" s="18" t="s">
        <v>104</v>
      </c>
      <c r="C109" s="18" t="s">
        <v>110</v>
      </c>
      <c r="D109" s="7" t="s">
        <v>659</v>
      </c>
      <c r="E109" s="7" t="s">
        <v>487</v>
      </c>
      <c r="F109" s="7"/>
      <c r="G109" s="7" t="s">
        <v>96</v>
      </c>
      <c r="H109" s="7"/>
      <c r="I109" s="7"/>
      <c r="J109" s="7"/>
      <c r="K109" s="7" t="s">
        <v>198</v>
      </c>
      <c r="L109" s="7" t="s">
        <v>488</v>
      </c>
      <c r="M109" s="7" t="s">
        <v>2</v>
      </c>
      <c r="N109" s="7"/>
      <c r="O109" s="47">
        <v>3</v>
      </c>
      <c r="P109" s="47">
        <v>0</v>
      </c>
      <c r="Q109" s="47">
        <v>5</v>
      </c>
      <c r="R109" s="47">
        <v>0</v>
      </c>
      <c r="S109" s="47">
        <v>0</v>
      </c>
      <c r="T109" s="47">
        <v>0</v>
      </c>
      <c r="U109" s="47">
        <v>0</v>
      </c>
      <c r="V109" s="47">
        <v>3</v>
      </c>
      <c r="W109" s="33"/>
      <c r="X109" s="33"/>
      <c r="Y109" s="33"/>
      <c r="Z109" s="33"/>
      <c r="AA109" s="19">
        <f t="shared" si="1"/>
        <v>11</v>
      </c>
    </row>
    <row r="110" spans="1:27" x14ac:dyDescent="0.35">
      <c r="A110" s="18">
        <v>107</v>
      </c>
      <c r="B110" s="18" t="s">
        <v>115</v>
      </c>
      <c r="C110" s="18" t="s">
        <v>110</v>
      </c>
      <c r="D110" s="7" t="s">
        <v>660</v>
      </c>
      <c r="E110" s="7" t="s">
        <v>158</v>
      </c>
      <c r="F110" s="7"/>
      <c r="G110" s="7" t="s">
        <v>96</v>
      </c>
      <c r="H110" s="7"/>
      <c r="I110" s="7"/>
      <c r="J110" s="7"/>
      <c r="K110" s="7" t="s">
        <v>202</v>
      </c>
      <c r="L110" s="7" t="s">
        <v>473</v>
      </c>
      <c r="M110" s="7" t="s">
        <v>12</v>
      </c>
      <c r="N110" s="7"/>
      <c r="O110" s="47">
        <v>0</v>
      </c>
      <c r="P110" s="47">
        <v>0</v>
      </c>
      <c r="Q110" s="47">
        <v>10</v>
      </c>
      <c r="R110" s="47">
        <v>0</v>
      </c>
      <c r="S110" s="47">
        <v>0</v>
      </c>
      <c r="T110" s="47">
        <v>0</v>
      </c>
      <c r="U110" s="47">
        <v>0</v>
      </c>
      <c r="V110" s="47">
        <v>0</v>
      </c>
      <c r="W110" s="33"/>
      <c r="X110" s="33"/>
      <c r="Y110" s="33"/>
      <c r="Z110" s="33"/>
      <c r="AA110" s="19">
        <f t="shared" si="1"/>
        <v>10</v>
      </c>
    </row>
    <row r="111" spans="1:27" x14ac:dyDescent="0.35">
      <c r="A111" s="18">
        <v>108</v>
      </c>
      <c r="B111" s="18" t="s">
        <v>115</v>
      </c>
      <c r="C111" s="18" t="s">
        <v>110</v>
      </c>
      <c r="D111" s="7" t="s">
        <v>660</v>
      </c>
      <c r="E111" s="7" t="s">
        <v>158</v>
      </c>
      <c r="F111" s="7"/>
      <c r="G111" s="7" t="s">
        <v>96</v>
      </c>
      <c r="H111" s="7"/>
      <c r="I111" s="7"/>
      <c r="J111" s="7"/>
      <c r="K111" s="7" t="s">
        <v>204</v>
      </c>
      <c r="L111" s="7" t="s">
        <v>474</v>
      </c>
      <c r="M111" s="7" t="s">
        <v>12</v>
      </c>
      <c r="N111" s="7"/>
      <c r="O111" s="47">
        <v>0</v>
      </c>
      <c r="P111" s="47">
        <v>0</v>
      </c>
      <c r="Q111" s="47">
        <v>10</v>
      </c>
      <c r="R111" s="47">
        <v>0</v>
      </c>
      <c r="S111" s="47">
        <v>0</v>
      </c>
      <c r="T111" s="47">
        <v>0</v>
      </c>
      <c r="U111" s="47">
        <v>0</v>
      </c>
      <c r="V111" s="47">
        <v>0</v>
      </c>
      <c r="W111" s="33"/>
      <c r="X111" s="33"/>
      <c r="Y111" s="33"/>
      <c r="Z111" s="33"/>
      <c r="AA111" s="19">
        <f t="shared" si="1"/>
        <v>10</v>
      </c>
    </row>
    <row r="112" spans="1:27" x14ac:dyDescent="0.35">
      <c r="A112" s="18">
        <v>109</v>
      </c>
      <c r="B112" s="18" t="s">
        <v>101</v>
      </c>
      <c r="C112" s="18" t="s">
        <v>97</v>
      </c>
      <c r="D112" s="7" t="s">
        <v>656</v>
      </c>
      <c r="E112" s="7" t="s">
        <v>141</v>
      </c>
      <c r="F112" s="7"/>
      <c r="G112" s="7" t="s">
        <v>119</v>
      </c>
      <c r="H112" s="7"/>
      <c r="I112" s="7"/>
      <c r="J112" s="7"/>
      <c r="K112" s="7" t="s">
        <v>172</v>
      </c>
      <c r="L112" s="7" t="s">
        <v>469</v>
      </c>
      <c r="M112" s="7" t="s">
        <v>1</v>
      </c>
      <c r="N112" s="7"/>
      <c r="O112" s="47">
        <v>0</v>
      </c>
      <c r="P112" s="47">
        <v>0</v>
      </c>
      <c r="Q112" s="47">
        <v>9.9</v>
      </c>
      <c r="R112" s="47">
        <v>0</v>
      </c>
      <c r="S112" s="47">
        <v>0</v>
      </c>
      <c r="T112" s="47">
        <v>0</v>
      </c>
      <c r="U112" s="47">
        <v>0</v>
      </c>
      <c r="V112" s="47">
        <v>0</v>
      </c>
      <c r="W112" s="33"/>
      <c r="X112" s="33"/>
      <c r="Y112" s="33"/>
      <c r="Z112" s="33"/>
      <c r="AA112" s="19">
        <f t="shared" si="1"/>
        <v>9.9</v>
      </c>
    </row>
    <row r="113" spans="1:27" x14ac:dyDescent="0.35">
      <c r="A113" s="18">
        <v>110</v>
      </c>
      <c r="B113" s="18" t="s">
        <v>115</v>
      </c>
      <c r="C113" s="18" t="s">
        <v>110</v>
      </c>
      <c r="D113" s="7" t="s">
        <v>655</v>
      </c>
      <c r="E113" s="7" t="s">
        <v>65</v>
      </c>
      <c r="F113" s="7"/>
      <c r="G113" s="7" t="s">
        <v>96</v>
      </c>
      <c r="H113" s="7"/>
      <c r="I113" s="7"/>
      <c r="J113" s="7"/>
      <c r="K113" s="7" t="s">
        <v>201</v>
      </c>
      <c r="L113" s="7" t="s">
        <v>471</v>
      </c>
      <c r="M113" s="7" t="s">
        <v>12</v>
      </c>
      <c r="N113" s="7"/>
      <c r="O113" s="47">
        <v>0</v>
      </c>
      <c r="P113" s="47">
        <v>0</v>
      </c>
      <c r="Q113" s="47">
        <v>0</v>
      </c>
      <c r="R113" s="47">
        <v>0</v>
      </c>
      <c r="S113" s="47">
        <v>0</v>
      </c>
      <c r="T113" s="47">
        <v>0</v>
      </c>
      <c r="U113" s="47">
        <v>0</v>
      </c>
      <c r="V113" s="47">
        <v>3</v>
      </c>
      <c r="W113" s="33">
        <v>6</v>
      </c>
      <c r="X113" s="33"/>
      <c r="Y113" s="33"/>
      <c r="Z113" s="33"/>
      <c r="AA113" s="19">
        <f t="shared" si="1"/>
        <v>9</v>
      </c>
    </row>
    <row r="114" spans="1:27" x14ac:dyDescent="0.35">
      <c r="A114" s="18">
        <v>111</v>
      </c>
      <c r="B114" s="18" t="s">
        <v>115</v>
      </c>
      <c r="C114" s="18" t="s">
        <v>110</v>
      </c>
      <c r="D114" s="7" t="s">
        <v>635</v>
      </c>
      <c r="E114" s="7" t="s">
        <v>62</v>
      </c>
      <c r="F114" s="7"/>
      <c r="G114" s="7" t="s">
        <v>96</v>
      </c>
      <c r="H114" s="7"/>
      <c r="I114" s="7"/>
      <c r="J114" s="7"/>
      <c r="K114" s="7" t="s">
        <v>202</v>
      </c>
      <c r="L114" s="7" t="s">
        <v>473</v>
      </c>
      <c r="M114" s="7" t="s">
        <v>12</v>
      </c>
      <c r="N114" s="7"/>
      <c r="O114" s="47"/>
      <c r="P114" s="47"/>
      <c r="Q114" s="47"/>
      <c r="R114" s="47"/>
      <c r="S114" s="47"/>
      <c r="T114" s="47"/>
      <c r="U114" s="47"/>
      <c r="V114" s="47"/>
      <c r="W114" s="33">
        <v>8.25</v>
      </c>
      <c r="X114" s="33"/>
      <c r="Y114" s="33"/>
      <c r="Z114" s="33"/>
      <c r="AA114" s="19">
        <f t="shared" si="1"/>
        <v>8.25</v>
      </c>
    </row>
    <row r="115" spans="1:27" x14ac:dyDescent="0.35">
      <c r="A115" s="18">
        <v>112</v>
      </c>
      <c r="B115" s="18" t="s">
        <v>101</v>
      </c>
      <c r="C115" s="18" t="s">
        <v>97</v>
      </c>
      <c r="D115" s="7" t="s">
        <v>621</v>
      </c>
      <c r="E115" s="7" t="s">
        <v>257</v>
      </c>
      <c r="F115" s="7"/>
      <c r="G115" s="7" t="s">
        <v>96</v>
      </c>
      <c r="H115" s="7"/>
      <c r="I115" s="7"/>
      <c r="J115" s="7"/>
      <c r="K115" s="7" t="s">
        <v>176</v>
      </c>
      <c r="L115" s="7" t="s">
        <v>496</v>
      </c>
      <c r="M115" s="7" t="s">
        <v>1</v>
      </c>
      <c r="N115" s="7"/>
      <c r="O115" s="47">
        <v>2.2000000000000002</v>
      </c>
      <c r="P115" s="47">
        <v>0</v>
      </c>
      <c r="Q115" s="47">
        <v>0</v>
      </c>
      <c r="R115" s="47">
        <v>0</v>
      </c>
      <c r="S115" s="47">
        <v>3.85</v>
      </c>
      <c r="T115" s="47">
        <v>0</v>
      </c>
      <c r="U115" s="47">
        <v>0</v>
      </c>
      <c r="V115" s="47">
        <v>0</v>
      </c>
      <c r="W115" s="33"/>
      <c r="X115" s="33"/>
      <c r="Y115" s="33"/>
      <c r="Z115" s="33"/>
      <c r="AA115" s="19">
        <f t="shared" si="1"/>
        <v>6.0500000000000007</v>
      </c>
    </row>
    <row r="116" spans="1:27" x14ac:dyDescent="0.35">
      <c r="A116" s="18">
        <v>113</v>
      </c>
      <c r="B116" s="18" t="s">
        <v>115</v>
      </c>
      <c r="C116" s="18" t="s">
        <v>110</v>
      </c>
      <c r="D116" s="7" t="s">
        <v>627</v>
      </c>
      <c r="E116" s="7" t="s">
        <v>58</v>
      </c>
      <c r="F116" s="7"/>
      <c r="G116" s="7" t="s">
        <v>96</v>
      </c>
      <c r="H116" s="7"/>
      <c r="I116" s="7"/>
      <c r="J116" s="7"/>
      <c r="K116" s="7" t="s">
        <v>205</v>
      </c>
      <c r="L116" s="7" t="s">
        <v>475</v>
      </c>
      <c r="M116" s="7" t="s">
        <v>12</v>
      </c>
      <c r="N116" s="7"/>
      <c r="O116" s="47">
        <v>0</v>
      </c>
      <c r="P116" s="47">
        <v>0</v>
      </c>
      <c r="Q116" s="47">
        <v>6</v>
      </c>
      <c r="R116" s="47">
        <v>0</v>
      </c>
      <c r="S116" s="47">
        <v>0</v>
      </c>
      <c r="T116" s="47">
        <v>0</v>
      </c>
      <c r="U116" s="47">
        <v>0</v>
      </c>
      <c r="V116" s="47">
        <v>0</v>
      </c>
      <c r="W116" s="33"/>
      <c r="X116" s="33"/>
      <c r="Y116" s="33"/>
      <c r="Z116" s="33"/>
      <c r="AA116" s="19">
        <f t="shared" si="1"/>
        <v>6</v>
      </c>
    </row>
    <row r="117" spans="1:27" x14ac:dyDescent="0.35">
      <c r="A117" s="18">
        <v>114</v>
      </c>
      <c r="B117" s="18" t="s">
        <v>115</v>
      </c>
      <c r="C117" s="18" t="s">
        <v>110</v>
      </c>
      <c r="D117" s="7" t="s">
        <v>635</v>
      </c>
      <c r="E117" s="7" t="s">
        <v>62</v>
      </c>
      <c r="F117" s="7"/>
      <c r="G117" s="7" t="s">
        <v>96</v>
      </c>
      <c r="H117" s="7"/>
      <c r="I117" s="7"/>
      <c r="J117" s="7"/>
      <c r="K117" s="7" t="s">
        <v>197</v>
      </c>
      <c r="L117" s="7" t="s">
        <v>460</v>
      </c>
      <c r="M117" s="7" t="s">
        <v>2</v>
      </c>
      <c r="N117" s="7"/>
      <c r="O117" s="47">
        <v>0</v>
      </c>
      <c r="P117" s="47">
        <v>0</v>
      </c>
      <c r="Q117" s="47">
        <v>0</v>
      </c>
      <c r="R117" s="47">
        <v>0</v>
      </c>
      <c r="S117" s="47">
        <v>0</v>
      </c>
      <c r="T117" s="47">
        <v>5.5</v>
      </c>
      <c r="U117" s="47">
        <v>0</v>
      </c>
      <c r="V117" s="47">
        <v>0</v>
      </c>
      <c r="W117" s="33"/>
      <c r="X117" s="33"/>
      <c r="Y117" s="33"/>
      <c r="Z117" s="33"/>
      <c r="AA117" s="19">
        <f t="shared" si="1"/>
        <v>5.5</v>
      </c>
    </row>
    <row r="118" spans="1:27" x14ac:dyDescent="0.35">
      <c r="A118" s="18">
        <v>115</v>
      </c>
      <c r="B118" s="18" t="s">
        <v>95</v>
      </c>
      <c r="C118" s="18" t="s">
        <v>97</v>
      </c>
      <c r="D118" s="7" t="s">
        <v>595</v>
      </c>
      <c r="E118" s="7" t="s">
        <v>478</v>
      </c>
      <c r="F118" s="7"/>
      <c r="G118" s="7" t="s">
        <v>96</v>
      </c>
      <c r="H118" s="7"/>
      <c r="I118" s="7"/>
      <c r="J118" s="7"/>
      <c r="K118" s="7" t="s">
        <v>194</v>
      </c>
      <c r="L118" s="7" t="s">
        <v>457</v>
      </c>
      <c r="M118" s="7" t="s">
        <v>2</v>
      </c>
      <c r="N118" s="7"/>
      <c r="O118" s="47">
        <v>5.5</v>
      </c>
      <c r="P118" s="47">
        <v>0</v>
      </c>
      <c r="Q118" s="47">
        <v>0</v>
      </c>
      <c r="R118" s="47">
        <v>0</v>
      </c>
      <c r="S118" s="47">
        <v>0</v>
      </c>
      <c r="T118" s="47">
        <v>0</v>
      </c>
      <c r="U118" s="47">
        <v>0</v>
      </c>
      <c r="V118" s="47">
        <v>0</v>
      </c>
      <c r="W118" s="33"/>
      <c r="X118" s="33"/>
      <c r="Y118" s="33"/>
      <c r="Z118" s="33"/>
      <c r="AA118" s="19">
        <f t="shared" si="1"/>
        <v>5.5</v>
      </c>
    </row>
    <row r="119" spans="1:27" x14ac:dyDescent="0.35">
      <c r="A119" s="18">
        <v>116</v>
      </c>
      <c r="B119" s="18" t="s">
        <v>115</v>
      </c>
      <c r="C119" s="18" t="s">
        <v>110</v>
      </c>
      <c r="D119" s="7" t="s">
        <v>661</v>
      </c>
      <c r="E119" s="7" t="s">
        <v>106</v>
      </c>
      <c r="F119" s="7"/>
      <c r="G119" s="7" t="s">
        <v>96</v>
      </c>
      <c r="H119" s="7"/>
      <c r="I119" s="7"/>
      <c r="J119" s="7"/>
      <c r="K119" s="7" t="s">
        <v>172</v>
      </c>
      <c r="L119" s="7" t="s">
        <v>469</v>
      </c>
      <c r="M119" s="7" t="s">
        <v>1</v>
      </c>
      <c r="N119" s="7"/>
      <c r="O119" s="47">
        <v>0</v>
      </c>
      <c r="P119" s="47">
        <v>0</v>
      </c>
      <c r="Q119" s="47">
        <v>5.5</v>
      </c>
      <c r="R119" s="47">
        <v>0</v>
      </c>
      <c r="S119" s="47">
        <v>0</v>
      </c>
      <c r="T119" s="47">
        <v>0</v>
      </c>
      <c r="U119" s="47">
        <v>0</v>
      </c>
      <c r="V119" s="47">
        <v>0</v>
      </c>
      <c r="W119" s="33"/>
      <c r="X119" s="33"/>
      <c r="Y119" s="33"/>
      <c r="Z119" s="33"/>
      <c r="AA119" s="19">
        <f t="shared" si="1"/>
        <v>5.5</v>
      </c>
    </row>
    <row r="120" spans="1:27" x14ac:dyDescent="0.35">
      <c r="A120" s="18">
        <v>117</v>
      </c>
      <c r="B120" s="18" t="s">
        <v>115</v>
      </c>
      <c r="C120" s="18" t="s">
        <v>110</v>
      </c>
      <c r="D120" s="7" t="s">
        <v>635</v>
      </c>
      <c r="E120" s="7" t="s">
        <v>62</v>
      </c>
      <c r="F120" s="7"/>
      <c r="G120" s="7" t="s">
        <v>96</v>
      </c>
      <c r="H120" s="7"/>
      <c r="I120" s="7"/>
      <c r="J120" s="7"/>
      <c r="K120" s="7" t="s">
        <v>203</v>
      </c>
      <c r="L120" s="7" t="s">
        <v>472</v>
      </c>
      <c r="M120" s="7" t="s">
        <v>12</v>
      </c>
      <c r="N120" s="7"/>
      <c r="O120" s="47"/>
      <c r="P120" s="47"/>
      <c r="Q120" s="47"/>
      <c r="R120" s="47"/>
      <c r="S120" s="47"/>
      <c r="T120" s="47"/>
      <c r="U120" s="47"/>
      <c r="V120" s="47"/>
      <c r="W120" s="33">
        <v>5.25</v>
      </c>
      <c r="X120" s="33"/>
      <c r="Y120" s="33"/>
      <c r="Z120" s="33"/>
      <c r="AA120" s="19">
        <f t="shared" si="1"/>
        <v>5.25</v>
      </c>
    </row>
    <row r="121" spans="1:27" x14ac:dyDescent="0.35">
      <c r="A121" s="18">
        <v>118</v>
      </c>
      <c r="B121" s="18" t="s">
        <v>115</v>
      </c>
      <c r="C121" s="18" t="s">
        <v>110</v>
      </c>
      <c r="D121" s="7" t="s">
        <v>635</v>
      </c>
      <c r="E121" s="7" t="s">
        <v>62</v>
      </c>
      <c r="F121" s="7"/>
      <c r="G121" s="7" t="s">
        <v>96</v>
      </c>
      <c r="H121" s="7"/>
      <c r="I121" s="7"/>
      <c r="J121" s="7"/>
      <c r="K121" s="7" t="s">
        <v>204</v>
      </c>
      <c r="L121" s="7" t="s">
        <v>474</v>
      </c>
      <c r="M121" s="7" t="s">
        <v>12</v>
      </c>
      <c r="N121" s="7"/>
      <c r="O121" s="47"/>
      <c r="P121" s="47"/>
      <c r="Q121" s="47"/>
      <c r="R121" s="47"/>
      <c r="S121" s="47"/>
      <c r="T121" s="47"/>
      <c r="U121" s="47"/>
      <c r="V121" s="47"/>
      <c r="W121" s="33">
        <v>5.25</v>
      </c>
      <c r="X121" s="33"/>
      <c r="Y121" s="33"/>
      <c r="Z121" s="33"/>
      <c r="AA121" s="19">
        <f t="shared" si="1"/>
        <v>5.25</v>
      </c>
    </row>
    <row r="122" spans="1:27" x14ac:dyDescent="0.35">
      <c r="A122" s="18">
        <v>119</v>
      </c>
      <c r="B122" s="18" t="s">
        <v>95</v>
      </c>
      <c r="C122" s="18" t="s">
        <v>97</v>
      </c>
      <c r="D122" s="7" t="s">
        <v>662</v>
      </c>
      <c r="E122" s="7" t="s">
        <v>42</v>
      </c>
      <c r="F122" s="7"/>
      <c r="G122" s="7" t="s">
        <v>119</v>
      </c>
      <c r="H122" s="7"/>
      <c r="I122" s="7"/>
      <c r="J122" s="7"/>
      <c r="K122" s="7" t="s">
        <v>190</v>
      </c>
      <c r="L122" s="7" t="s">
        <v>504</v>
      </c>
      <c r="M122" s="7" t="s">
        <v>3</v>
      </c>
      <c r="N122" s="7"/>
      <c r="O122" s="47">
        <v>0</v>
      </c>
      <c r="P122" s="47">
        <v>0</v>
      </c>
      <c r="Q122" s="47">
        <v>0</v>
      </c>
      <c r="R122" s="47">
        <v>0</v>
      </c>
      <c r="S122" s="47">
        <v>0</v>
      </c>
      <c r="T122" s="47">
        <v>4.125</v>
      </c>
      <c r="U122" s="47">
        <v>0</v>
      </c>
      <c r="V122" s="47">
        <v>0</v>
      </c>
      <c r="W122" s="33"/>
      <c r="X122" s="33"/>
      <c r="Y122" s="33"/>
      <c r="Z122" s="33"/>
      <c r="AA122" s="19">
        <f t="shared" si="1"/>
        <v>4.125</v>
      </c>
    </row>
    <row r="123" spans="1:27" x14ac:dyDescent="0.35">
      <c r="A123" s="18">
        <v>120</v>
      </c>
      <c r="B123" s="18" t="s">
        <v>97</v>
      </c>
      <c r="C123" s="18" t="s">
        <v>97</v>
      </c>
      <c r="D123" s="7" t="s">
        <v>625</v>
      </c>
      <c r="E123" s="7" t="s">
        <v>271</v>
      </c>
      <c r="F123" s="7"/>
      <c r="G123" s="7" t="s">
        <v>96</v>
      </c>
      <c r="H123" s="7"/>
      <c r="I123" s="7"/>
      <c r="J123" s="7"/>
      <c r="K123" s="7" t="s">
        <v>196</v>
      </c>
      <c r="L123" s="7" t="s">
        <v>459</v>
      </c>
      <c r="M123" s="7" t="s">
        <v>2</v>
      </c>
      <c r="N123" s="7"/>
      <c r="O123" s="47">
        <v>0</v>
      </c>
      <c r="P123" s="47">
        <v>1</v>
      </c>
      <c r="Q123" s="47">
        <v>0</v>
      </c>
      <c r="R123" s="47">
        <v>0</v>
      </c>
      <c r="S123" s="47">
        <v>0</v>
      </c>
      <c r="T123" s="47">
        <v>1.375</v>
      </c>
      <c r="U123" s="47">
        <v>1.375</v>
      </c>
      <c r="V123" s="47">
        <v>0</v>
      </c>
      <c r="W123" s="33"/>
      <c r="X123" s="33"/>
      <c r="Y123" s="33"/>
      <c r="Z123" s="33"/>
      <c r="AA123" s="19">
        <f t="shared" si="1"/>
        <v>3.75</v>
      </c>
    </row>
    <row r="124" spans="1:27" x14ac:dyDescent="0.35">
      <c r="A124" s="18">
        <v>121</v>
      </c>
      <c r="B124" s="18" t="s">
        <v>115</v>
      </c>
      <c r="C124" s="18" t="s">
        <v>110</v>
      </c>
      <c r="D124" s="7" t="s">
        <v>663</v>
      </c>
      <c r="E124" s="7" t="s">
        <v>105</v>
      </c>
      <c r="F124" s="7"/>
      <c r="G124" s="7" t="s">
        <v>96</v>
      </c>
      <c r="H124" s="7"/>
      <c r="I124" s="7"/>
      <c r="J124" s="7"/>
      <c r="K124" s="7" t="s">
        <v>171</v>
      </c>
      <c r="L124" s="7" t="s">
        <v>456</v>
      </c>
      <c r="M124" s="7" t="s">
        <v>1</v>
      </c>
      <c r="N124" s="7"/>
      <c r="O124" s="47">
        <v>0</v>
      </c>
      <c r="P124" s="47">
        <v>0</v>
      </c>
      <c r="Q124" s="47">
        <v>0</v>
      </c>
      <c r="R124" s="47">
        <v>0</v>
      </c>
      <c r="S124" s="47">
        <v>3.3</v>
      </c>
      <c r="T124" s="47">
        <v>0</v>
      </c>
      <c r="U124" s="47">
        <v>0</v>
      </c>
      <c r="V124" s="47">
        <v>0</v>
      </c>
      <c r="W124" s="33"/>
      <c r="X124" s="33"/>
      <c r="Y124" s="33"/>
      <c r="Z124" s="33"/>
      <c r="AA124" s="19">
        <f t="shared" si="1"/>
        <v>3.3</v>
      </c>
    </row>
    <row r="125" spans="1:27" x14ac:dyDescent="0.35">
      <c r="A125" s="18">
        <v>122</v>
      </c>
      <c r="B125" s="18" t="s">
        <v>115</v>
      </c>
      <c r="C125" s="18" t="s">
        <v>110</v>
      </c>
      <c r="D125" s="7" t="s">
        <v>664</v>
      </c>
      <c r="E125" s="7" t="s">
        <v>326</v>
      </c>
      <c r="F125" s="7"/>
      <c r="G125" s="7" t="s">
        <v>96</v>
      </c>
      <c r="H125" s="7"/>
      <c r="I125" s="7"/>
      <c r="J125" s="7"/>
      <c r="K125" s="7" t="s">
        <v>168</v>
      </c>
      <c r="L125" s="7" t="s">
        <v>467</v>
      </c>
      <c r="M125" s="7" t="s">
        <v>1</v>
      </c>
      <c r="N125" s="7"/>
      <c r="O125" s="47">
        <v>0</v>
      </c>
      <c r="P125" s="47">
        <v>0</v>
      </c>
      <c r="Q125" s="47">
        <v>0</v>
      </c>
      <c r="R125" s="47">
        <v>3.3</v>
      </c>
      <c r="S125" s="47">
        <v>0</v>
      </c>
      <c r="T125" s="47">
        <v>0</v>
      </c>
      <c r="U125" s="47">
        <v>0</v>
      </c>
      <c r="V125" s="47">
        <v>0</v>
      </c>
      <c r="W125" s="33"/>
      <c r="X125" s="33"/>
      <c r="Y125" s="33"/>
      <c r="Z125" s="33"/>
      <c r="AA125" s="19">
        <f t="shared" si="1"/>
        <v>3.3</v>
      </c>
    </row>
    <row r="126" spans="1:27" x14ac:dyDescent="0.35">
      <c r="A126" s="18">
        <v>123</v>
      </c>
      <c r="B126" s="18" t="s">
        <v>97</v>
      </c>
      <c r="C126" s="18" t="s">
        <v>97</v>
      </c>
      <c r="D126" s="7" t="s">
        <v>606</v>
      </c>
      <c r="E126" s="7" t="s">
        <v>325</v>
      </c>
      <c r="F126" s="7"/>
      <c r="G126" s="7" t="s">
        <v>96</v>
      </c>
      <c r="H126" s="7"/>
      <c r="I126" s="7"/>
      <c r="J126" s="7"/>
      <c r="K126" s="7" t="s">
        <v>172</v>
      </c>
      <c r="L126" s="7" t="s">
        <v>469</v>
      </c>
      <c r="M126" s="7" t="s">
        <v>1</v>
      </c>
      <c r="N126" s="7"/>
      <c r="O126" s="47">
        <v>3.3</v>
      </c>
      <c r="P126" s="47">
        <v>0</v>
      </c>
      <c r="Q126" s="47">
        <v>0</v>
      </c>
      <c r="R126" s="47">
        <v>0</v>
      </c>
      <c r="S126" s="47">
        <v>0</v>
      </c>
      <c r="T126" s="47">
        <v>0</v>
      </c>
      <c r="U126" s="47">
        <v>0</v>
      </c>
      <c r="V126" s="47">
        <v>0</v>
      </c>
      <c r="W126" s="33"/>
      <c r="X126" s="33"/>
      <c r="Y126" s="33"/>
      <c r="Z126" s="33"/>
      <c r="AA126" s="19">
        <f t="shared" si="1"/>
        <v>3.3</v>
      </c>
    </row>
    <row r="127" spans="1:27" x14ac:dyDescent="0.35">
      <c r="A127" s="18">
        <v>124</v>
      </c>
      <c r="B127" s="18" t="s">
        <v>97</v>
      </c>
      <c r="C127" s="18" t="s">
        <v>97</v>
      </c>
      <c r="D127" s="7" t="s">
        <v>665</v>
      </c>
      <c r="E127" s="7" t="s">
        <v>498</v>
      </c>
      <c r="F127" s="7"/>
      <c r="G127" s="7" t="s">
        <v>96</v>
      </c>
      <c r="H127" s="7"/>
      <c r="I127" s="7"/>
      <c r="J127" s="7"/>
      <c r="K127" s="7" t="s">
        <v>168</v>
      </c>
      <c r="L127" s="7" t="s">
        <v>467</v>
      </c>
      <c r="M127" s="7" t="s">
        <v>1</v>
      </c>
      <c r="N127" s="7"/>
      <c r="O127" s="47">
        <v>0</v>
      </c>
      <c r="P127" s="47">
        <v>0</v>
      </c>
      <c r="Q127" s="47">
        <v>0</v>
      </c>
      <c r="R127" s="47">
        <v>0</v>
      </c>
      <c r="S127" s="47">
        <v>0</v>
      </c>
      <c r="T127" s="47">
        <v>2.7891999999999997</v>
      </c>
      <c r="U127" s="47">
        <v>0</v>
      </c>
      <c r="V127" s="47">
        <v>0</v>
      </c>
      <c r="W127" s="33"/>
      <c r="X127" s="33"/>
      <c r="Y127" s="33"/>
      <c r="Z127" s="33"/>
      <c r="AA127" s="19">
        <f t="shared" si="1"/>
        <v>2.7891999999999997</v>
      </c>
    </row>
    <row r="128" spans="1:27" x14ac:dyDescent="0.35">
      <c r="A128" s="18">
        <v>125</v>
      </c>
      <c r="B128" s="18" t="s">
        <v>97</v>
      </c>
      <c r="C128" s="18" t="s">
        <v>97</v>
      </c>
      <c r="D128" s="7" t="s">
        <v>625</v>
      </c>
      <c r="E128" s="7" t="s">
        <v>271</v>
      </c>
      <c r="F128" s="7"/>
      <c r="G128" s="7" t="s">
        <v>96</v>
      </c>
      <c r="H128" s="7"/>
      <c r="I128" s="7"/>
      <c r="J128" s="7"/>
      <c r="K128" s="7" t="s">
        <v>199</v>
      </c>
      <c r="L128" s="7" t="s">
        <v>461</v>
      </c>
      <c r="M128" s="7" t="s">
        <v>2</v>
      </c>
      <c r="N128" s="7"/>
      <c r="O128" s="47">
        <v>0</v>
      </c>
      <c r="P128" s="47">
        <v>0</v>
      </c>
      <c r="Q128" s="47">
        <v>0</v>
      </c>
      <c r="R128" s="47">
        <v>0</v>
      </c>
      <c r="S128" s="47">
        <v>0</v>
      </c>
      <c r="T128" s="47">
        <v>0</v>
      </c>
      <c r="U128" s="47">
        <v>2.75</v>
      </c>
      <c r="V128" s="47">
        <v>0</v>
      </c>
      <c r="W128" s="33"/>
      <c r="X128" s="33"/>
      <c r="Y128" s="33"/>
      <c r="Z128" s="33"/>
      <c r="AA128" s="19">
        <f t="shared" si="1"/>
        <v>2.75</v>
      </c>
    </row>
    <row r="129" spans="1:27" x14ac:dyDescent="0.35">
      <c r="A129" s="18">
        <v>126</v>
      </c>
      <c r="B129" s="18" t="s">
        <v>97</v>
      </c>
      <c r="C129" s="18" t="s">
        <v>97</v>
      </c>
      <c r="D129" s="7" t="s">
        <v>665</v>
      </c>
      <c r="E129" s="7" t="s">
        <v>498</v>
      </c>
      <c r="F129" s="7"/>
      <c r="G129" s="7" t="s">
        <v>96</v>
      </c>
      <c r="H129" s="7"/>
      <c r="I129" s="7"/>
      <c r="J129" s="7"/>
      <c r="K129" s="7" t="s">
        <v>172</v>
      </c>
      <c r="L129" s="7" t="s">
        <v>469</v>
      </c>
      <c r="M129" s="7" t="s">
        <v>1</v>
      </c>
      <c r="N129" s="7"/>
      <c r="O129" s="47">
        <v>3.3</v>
      </c>
      <c r="P129" s="47">
        <v>0</v>
      </c>
      <c r="Q129" s="47">
        <v>0</v>
      </c>
      <c r="R129" s="47">
        <v>0</v>
      </c>
      <c r="S129" s="47">
        <v>0</v>
      </c>
      <c r="T129" s="47">
        <v>-0.58920000000000006</v>
      </c>
      <c r="U129" s="47">
        <v>0</v>
      </c>
      <c r="V129" s="47">
        <v>0</v>
      </c>
      <c r="W129" s="33"/>
      <c r="X129" s="33"/>
      <c r="Y129" s="33"/>
      <c r="Z129" s="33"/>
      <c r="AA129" s="19">
        <f t="shared" si="1"/>
        <v>2.7107999999999999</v>
      </c>
    </row>
    <row r="130" spans="1:27" x14ac:dyDescent="0.35">
      <c r="A130" s="18">
        <v>127</v>
      </c>
      <c r="B130" s="18" t="s">
        <v>97</v>
      </c>
      <c r="C130" s="18" t="s">
        <v>97</v>
      </c>
      <c r="D130" s="7" t="s">
        <v>601</v>
      </c>
      <c r="E130" s="7" t="s">
        <v>501</v>
      </c>
      <c r="F130" s="7"/>
      <c r="G130" s="7" t="s">
        <v>96</v>
      </c>
      <c r="H130" s="7"/>
      <c r="I130" s="7"/>
      <c r="J130" s="7"/>
      <c r="K130" s="7" t="s">
        <v>168</v>
      </c>
      <c r="L130" s="7" t="s">
        <v>467</v>
      </c>
      <c r="M130" s="7" t="s">
        <v>1</v>
      </c>
      <c r="N130" s="7"/>
      <c r="O130" s="47">
        <v>0</v>
      </c>
      <c r="P130" s="47">
        <v>0</v>
      </c>
      <c r="Q130" s="47">
        <v>0</v>
      </c>
      <c r="R130" s="47">
        <v>0</v>
      </c>
      <c r="S130" s="47">
        <v>2.2000000000000002</v>
      </c>
      <c r="T130" s="47">
        <v>0</v>
      </c>
      <c r="U130" s="47">
        <v>0</v>
      </c>
      <c r="V130" s="47">
        <v>0</v>
      </c>
      <c r="W130" s="33"/>
      <c r="X130" s="33"/>
      <c r="Y130" s="33"/>
      <c r="Z130" s="33"/>
      <c r="AA130" s="19">
        <f t="shared" si="1"/>
        <v>2.2000000000000002</v>
      </c>
    </row>
    <row r="131" spans="1:27" x14ac:dyDescent="0.35">
      <c r="A131" s="18">
        <v>128</v>
      </c>
      <c r="B131" s="18" t="s">
        <v>115</v>
      </c>
      <c r="C131" s="18" t="s">
        <v>110</v>
      </c>
      <c r="D131" s="7" t="s">
        <v>666</v>
      </c>
      <c r="E131" s="7" t="s">
        <v>54</v>
      </c>
      <c r="F131" s="7"/>
      <c r="G131" s="7" t="s">
        <v>96</v>
      </c>
      <c r="H131" s="7"/>
      <c r="I131" s="7"/>
      <c r="J131" s="7"/>
      <c r="K131" s="7" t="s">
        <v>185</v>
      </c>
      <c r="L131" s="7" t="s">
        <v>486</v>
      </c>
      <c r="M131" s="7" t="s">
        <v>3</v>
      </c>
      <c r="N131" s="7"/>
      <c r="O131" s="47">
        <v>0</v>
      </c>
      <c r="P131" s="47">
        <v>0</v>
      </c>
      <c r="Q131" s="47">
        <v>0</v>
      </c>
      <c r="R131" s="47">
        <v>0</v>
      </c>
      <c r="S131" s="47">
        <v>0</v>
      </c>
      <c r="T131" s="47">
        <v>0</v>
      </c>
      <c r="U131" s="47">
        <v>1.375</v>
      </c>
      <c r="V131" s="47">
        <v>0</v>
      </c>
      <c r="W131" s="33"/>
      <c r="X131" s="33"/>
      <c r="Y131" s="33"/>
      <c r="Z131" s="33"/>
      <c r="AA131" s="19">
        <f t="shared" si="1"/>
        <v>1.375</v>
      </c>
    </row>
    <row r="132" spans="1:27" x14ac:dyDescent="0.35">
      <c r="A132" s="18">
        <v>129</v>
      </c>
      <c r="B132" s="18" t="s">
        <v>101</v>
      </c>
      <c r="C132" s="18" t="s">
        <v>97</v>
      </c>
      <c r="D132" s="7" t="s">
        <v>667</v>
      </c>
      <c r="E132" s="7" t="s">
        <v>114</v>
      </c>
      <c r="F132" s="7"/>
      <c r="G132" s="7" t="s">
        <v>96</v>
      </c>
      <c r="H132" s="7"/>
      <c r="I132" s="7"/>
      <c r="J132" s="7"/>
      <c r="K132" s="7" t="s">
        <v>171</v>
      </c>
      <c r="L132" s="7" t="s">
        <v>456</v>
      </c>
      <c r="M132" s="7" t="s">
        <v>1</v>
      </c>
      <c r="N132" s="7"/>
      <c r="O132" s="47">
        <v>0</v>
      </c>
      <c r="P132" s="47">
        <v>0</v>
      </c>
      <c r="Q132" s="47">
        <v>0</v>
      </c>
      <c r="R132" s="47">
        <v>0</v>
      </c>
      <c r="S132" s="47">
        <v>0</v>
      </c>
      <c r="T132" s="47">
        <v>2.5000000000000001E-2</v>
      </c>
      <c r="U132" s="47">
        <v>1.1000000000000001</v>
      </c>
      <c r="V132" s="47">
        <v>0</v>
      </c>
      <c r="W132" s="33"/>
      <c r="X132" s="33"/>
      <c r="Y132" s="33"/>
      <c r="Z132" s="33"/>
      <c r="AA132" s="19">
        <f t="shared" si="1"/>
        <v>1.125</v>
      </c>
    </row>
    <row r="133" spans="1:27" x14ac:dyDescent="0.35">
      <c r="A133" s="18">
        <v>130</v>
      </c>
      <c r="B133" s="18" t="s">
        <v>120</v>
      </c>
      <c r="C133" s="18" t="s">
        <v>97</v>
      </c>
      <c r="D133" s="7" t="s">
        <v>619</v>
      </c>
      <c r="E133" s="7" t="s">
        <v>146</v>
      </c>
      <c r="F133" s="7"/>
      <c r="G133" s="7" t="s">
        <v>119</v>
      </c>
      <c r="H133" s="7"/>
      <c r="I133" s="7"/>
      <c r="J133" s="7"/>
      <c r="K133" s="7" t="s">
        <v>177</v>
      </c>
      <c r="L133" s="7" t="s">
        <v>506</v>
      </c>
      <c r="M133" s="7" t="s">
        <v>1</v>
      </c>
      <c r="N133" s="7"/>
      <c r="O133" s="47">
        <v>0</v>
      </c>
      <c r="P133" s="47">
        <v>0</v>
      </c>
      <c r="Q133" s="47">
        <v>1.1000000000000001</v>
      </c>
      <c r="R133" s="47">
        <v>0</v>
      </c>
      <c r="S133" s="47">
        <v>0</v>
      </c>
      <c r="T133" s="47">
        <v>0</v>
      </c>
      <c r="U133" s="47">
        <v>0</v>
      </c>
      <c r="V133" s="47">
        <v>0</v>
      </c>
      <c r="W133" s="33"/>
      <c r="X133" s="33"/>
      <c r="Y133" s="33"/>
      <c r="Z133" s="33"/>
      <c r="AA133" s="19">
        <f t="shared" ref="AA133:AA174" si="2">SUM(O133:Z133)</f>
        <v>1.1000000000000001</v>
      </c>
    </row>
    <row r="134" spans="1:27" x14ac:dyDescent="0.35">
      <c r="A134" s="18">
        <v>131</v>
      </c>
      <c r="B134" s="18" t="s">
        <v>101</v>
      </c>
      <c r="C134" s="18" t="s">
        <v>97</v>
      </c>
      <c r="D134" s="7" t="s">
        <v>656</v>
      </c>
      <c r="E134" s="7" t="s">
        <v>141</v>
      </c>
      <c r="F134" s="7"/>
      <c r="G134" s="7" t="s">
        <v>119</v>
      </c>
      <c r="H134" s="7"/>
      <c r="I134" s="7"/>
      <c r="J134" s="7"/>
      <c r="K134" s="7" t="s">
        <v>168</v>
      </c>
      <c r="L134" s="7" t="s">
        <v>467</v>
      </c>
      <c r="M134" s="7" t="s">
        <v>1</v>
      </c>
      <c r="N134" s="7"/>
      <c r="O134" s="47">
        <v>0</v>
      </c>
      <c r="P134" s="47">
        <v>0</v>
      </c>
      <c r="Q134" s="47">
        <v>1.1000000000000001</v>
      </c>
      <c r="R134" s="47">
        <v>0</v>
      </c>
      <c r="S134" s="47">
        <v>0</v>
      </c>
      <c r="T134" s="47">
        <v>0</v>
      </c>
      <c r="U134" s="47">
        <v>0</v>
      </c>
      <c r="V134" s="47">
        <v>0</v>
      </c>
      <c r="W134" s="33"/>
      <c r="X134" s="33"/>
      <c r="Y134" s="33"/>
      <c r="Z134" s="33"/>
      <c r="AA134" s="19">
        <f t="shared" si="2"/>
        <v>1.1000000000000001</v>
      </c>
    </row>
    <row r="135" spans="1:27" x14ac:dyDescent="0.35">
      <c r="A135" s="18">
        <v>132</v>
      </c>
      <c r="B135" s="18" t="s">
        <v>95</v>
      </c>
      <c r="C135" s="18" t="s">
        <v>97</v>
      </c>
      <c r="D135" s="7" t="s">
        <v>668</v>
      </c>
      <c r="E135" s="7" t="s">
        <v>142</v>
      </c>
      <c r="F135" s="7"/>
      <c r="G135" s="7" t="s">
        <v>119</v>
      </c>
      <c r="H135" s="7"/>
      <c r="I135" s="7"/>
      <c r="J135" s="7"/>
      <c r="K135" s="7" t="s">
        <v>171</v>
      </c>
      <c r="L135" s="7" t="s">
        <v>456</v>
      </c>
      <c r="M135" s="7" t="s">
        <v>1</v>
      </c>
      <c r="N135" s="7"/>
      <c r="O135" s="47">
        <v>1.1000000000000001</v>
      </c>
      <c r="P135" s="47">
        <v>0</v>
      </c>
      <c r="Q135" s="47">
        <v>0</v>
      </c>
      <c r="R135" s="47">
        <v>0</v>
      </c>
      <c r="S135" s="47">
        <v>0</v>
      </c>
      <c r="T135" s="47">
        <v>0</v>
      </c>
      <c r="U135" s="47">
        <v>0</v>
      </c>
      <c r="V135" s="47">
        <v>0</v>
      </c>
      <c r="W135" s="33"/>
      <c r="X135" s="33"/>
      <c r="Y135" s="33"/>
      <c r="Z135" s="33"/>
      <c r="AA135" s="19">
        <f t="shared" si="2"/>
        <v>1.1000000000000001</v>
      </c>
    </row>
    <row r="136" spans="1:27" x14ac:dyDescent="0.35">
      <c r="A136" s="18">
        <v>133</v>
      </c>
      <c r="B136" s="18" t="s">
        <v>115</v>
      </c>
      <c r="C136" s="18" t="s">
        <v>110</v>
      </c>
      <c r="D136" s="7" t="s">
        <v>661</v>
      </c>
      <c r="E136" s="7" t="s">
        <v>106</v>
      </c>
      <c r="F136" s="7"/>
      <c r="G136" s="7" t="s">
        <v>96</v>
      </c>
      <c r="H136" s="7"/>
      <c r="I136" s="7"/>
      <c r="J136" s="7"/>
      <c r="K136" s="7" t="s">
        <v>174</v>
      </c>
      <c r="L136" s="7" t="s">
        <v>468</v>
      </c>
      <c r="M136" s="7" t="s">
        <v>1</v>
      </c>
      <c r="N136" s="7"/>
      <c r="O136" s="47">
        <v>0</v>
      </c>
      <c r="P136" s="47">
        <v>1.1000000000000001</v>
      </c>
      <c r="Q136" s="47">
        <v>0</v>
      </c>
      <c r="R136" s="47">
        <v>0</v>
      </c>
      <c r="S136" s="47">
        <v>0</v>
      </c>
      <c r="T136" s="47">
        <v>0</v>
      </c>
      <c r="U136" s="47">
        <v>0</v>
      </c>
      <c r="V136" s="47">
        <v>0</v>
      </c>
      <c r="W136" s="33"/>
      <c r="X136" s="33"/>
      <c r="Y136" s="33"/>
      <c r="Z136" s="33"/>
      <c r="AA136" s="19">
        <f t="shared" si="2"/>
        <v>1.1000000000000001</v>
      </c>
    </row>
    <row r="137" spans="1:27" x14ac:dyDescent="0.35">
      <c r="A137" s="18">
        <v>134</v>
      </c>
      <c r="B137" s="18" t="s">
        <v>115</v>
      </c>
      <c r="C137" s="18" t="s">
        <v>110</v>
      </c>
      <c r="D137" s="7" t="s">
        <v>669</v>
      </c>
      <c r="E137" s="7" t="s">
        <v>149</v>
      </c>
      <c r="F137" s="7"/>
      <c r="G137" s="7" t="s">
        <v>96</v>
      </c>
      <c r="H137" s="7"/>
      <c r="I137" s="7"/>
      <c r="J137" s="7"/>
      <c r="K137" s="7" t="s">
        <v>181</v>
      </c>
      <c r="L137" s="7" t="s">
        <v>492</v>
      </c>
      <c r="M137" s="7" t="s">
        <v>10</v>
      </c>
      <c r="N137" s="7"/>
      <c r="O137" s="47">
        <v>0</v>
      </c>
      <c r="P137" s="47">
        <v>0</v>
      </c>
      <c r="Q137" s="47">
        <v>0</v>
      </c>
      <c r="R137" s="47">
        <v>1</v>
      </c>
      <c r="S137" s="47">
        <v>0</v>
      </c>
      <c r="T137" s="47">
        <v>0</v>
      </c>
      <c r="U137" s="47">
        <v>0</v>
      </c>
      <c r="V137" s="47">
        <v>0</v>
      </c>
      <c r="W137" s="33"/>
      <c r="X137" s="33"/>
      <c r="Y137" s="33"/>
      <c r="Z137" s="33"/>
      <c r="AA137" s="19">
        <f t="shared" si="2"/>
        <v>1</v>
      </c>
    </row>
    <row r="138" spans="1:27" x14ac:dyDescent="0.35">
      <c r="A138" s="18">
        <v>135</v>
      </c>
      <c r="B138" s="18" t="s">
        <v>104</v>
      </c>
      <c r="C138" s="18" t="s">
        <v>110</v>
      </c>
      <c r="D138" s="7" t="s">
        <v>670</v>
      </c>
      <c r="E138" s="7" t="s">
        <v>66</v>
      </c>
      <c r="F138" s="7"/>
      <c r="G138" s="7" t="s">
        <v>96</v>
      </c>
      <c r="H138" s="7"/>
      <c r="I138" s="7"/>
      <c r="J138" s="7"/>
      <c r="K138" s="7" t="s">
        <v>218</v>
      </c>
      <c r="L138" s="7" t="s">
        <v>491</v>
      </c>
      <c r="M138" s="7" t="s">
        <v>7</v>
      </c>
      <c r="N138" s="7"/>
      <c r="O138" s="47">
        <v>0</v>
      </c>
      <c r="P138" s="47">
        <v>0</v>
      </c>
      <c r="Q138" s="47">
        <v>0</v>
      </c>
      <c r="R138" s="47">
        <v>0</v>
      </c>
      <c r="S138" s="47">
        <v>0</v>
      </c>
      <c r="T138" s="47">
        <v>0</v>
      </c>
      <c r="U138" s="47">
        <v>0.1</v>
      </c>
      <c r="V138" s="47">
        <v>0</v>
      </c>
      <c r="W138" s="33">
        <v>0.9</v>
      </c>
      <c r="X138" s="33"/>
      <c r="Y138" s="33"/>
      <c r="Z138" s="33"/>
      <c r="AA138" s="19">
        <f t="shared" si="2"/>
        <v>1</v>
      </c>
    </row>
    <row r="139" spans="1:27" x14ac:dyDescent="0.35">
      <c r="A139" s="18">
        <v>136</v>
      </c>
      <c r="B139" s="18" t="s">
        <v>115</v>
      </c>
      <c r="C139" s="18" t="s">
        <v>110</v>
      </c>
      <c r="D139" s="7" t="s">
        <v>671</v>
      </c>
      <c r="E139" s="7" t="s">
        <v>273</v>
      </c>
      <c r="F139" s="7"/>
      <c r="G139" s="7" t="s">
        <v>96</v>
      </c>
      <c r="H139" s="7"/>
      <c r="I139" s="7"/>
      <c r="J139" s="7"/>
      <c r="K139" s="7" t="s">
        <v>200</v>
      </c>
      <c r="L139" s="7" t="s">
        <v>470</v>
      </c>
      <c r="M139" s="7" t="s">
        <v>12</v>
      </c>
      <c r="N139" s="7"/>
      <c r="O139" s="47">
        <v>0</v>
      </c>
      <c r="P139" s="47">
        <v>0.75</v>
      </c>
      <c r="Q139" s="47">
        <v>0</v>
      </c>
      <c r="R139" s="47">
        <v>0</v>
      </c>
      <c r="S139" s="47">
        <v>0</v>
      </c>
      <c r="T139" s="47">
        <v>0</v>
      </c>
      <c r="U139" s="47">
        <v>0</v>
      </c>
      <c r="V139" s="47">
        <v>0</v>
      </c>
      <c r="W139" s="33"/>
      <c r="X139" s="33"/>
      <c r="Y139" s="33"/>
      <c r="Z139" s="33"/>
      <c r="AA139" s="19">
        <f t="shared" si="2"/>
        <v>0.75</v>
      </c>
    </row>
    <row r="140" spans="1:27" x14ac:dyDescent="0.35">
      <c r="A140" s="18">
        <v>137</v>
      </c>
      <c r="B140" s="18" t="s">
        <v>115</v>
      </c>
      <c r="C140" s="18" t="s">
        <v>110</v>
      </c>
      <c r="D140" s="7" t="s">
        <v>671</v>
      </c>
      <c r="E140" s="7" t="s">
        <v>273</v>
      </c>
      <c r="F140" s="7"/>
      <c r="G140" s="7" t="s">
        <v>96</v>
      </c>
      <c r="H140" s="7"/>
      <c r="I140" s="7"/>
      <c r="J140" s="7"/>
      <c r="K140" s="7" t="s">
        <v>201</v>
      </c>
      <c r="L140" s="7" t="s">
        <v>471</v>
      </c>
      <c r="M140" s="7" t="s">
        <v>12</v>
      </c>
      <c r="N140" s="7"/>
      <c r="O140" s="47">
        <v>0</v>
      </c>
      <c r="P140" s="47">
        <v>0.75</v>
      </c>
      <c r="Q140" s="47">
        <v>0</v>
      </c>
      <c r="R140" s="47">
        <v>0</v>
      </c>
      <c r="S140" s="47">
        <v>0</v>
      </c>
      <c r="T140" s="47">
        <v>0</v>
      </c>
      <c r="U140" s="47">
        <v>0</v>
      </c>
      <c r="V140" s="47">
        <v>0</v>
      </c>
      <c r="W140" s="33"/>
      <c r="X140" s="33"/>
      <c r="Y140" s="33"/>
      <c r="Z140" s="33"/>
      <c r="AA140" s="19">
        <f t="shared" si="2"/>
        <v>0.75</v>
      </c>
    </row>
    <row r="141" spans="1:27" x14ac:dyDescent="0.35">
      <c r="A141" s="18">
        <v>138</v>
      </c>
      <c r="B141" s="18" t="s">
        <v>115</v>
      </c>
      <c r="C141" s="18" t="s">
        <v>110</v>
      </c>
      <c r="D141" s="7" t="s">
        <v>671</v>
      </c>
      <c r="E141" s="7" t="s">
        <v>273</v>
      </c>
      <c r="F141" s="7"/>
      <c r="G141" s="7" t="s">
        <v>96</v>
      </c>
      <c r="H141" s="7"/>
      <c r="I141" s="7"/>
      <c r="J141" s="7"/>
      <c r="K141" s="7" t="s">
        <v>203</v>
      </c>
      <c r="L141" s="7" t="s">
        <v>472</v>
      </c>
      <c r="M141" s="7" t="s">
        <v>12</v>
      </c>
      <c r="N141" s="7"/>
      <c r="O141" s="47">
        <v>0</v>
      </c>
      <c r="P141" s="47">
        <v>0.75</v>
      </c>
      <c r="Q141" s="47">
        <v>0</v>
      </c>
      <c r="R141" s="47">
        <v>0</v>
      </c>
      <c r="S141" s="47">
        <v>0</v>
      </c>
      <c r="T141" s="47">
        <v>0</v>
      </c>
      <c r="U141" s="47">
        <v>0</v>
      </c>
      <c r="V141" s="47">
        <v>0</v>
      </c>
      <c r="W141" s="33"/>
      <c r="X141" s="33"/>
      <c r="Y141" s="33"/>
      <c r="Z141" s="33"/>
      <c r="AA141" s="19">
        <f t="shared" si="2"/>
        <v>0.75</v>
      </c>
    </row>
    <row r="142" spans="1:27" x14ac:dyDescent="0.35">
      <c r="A142" s="18">
        <v>139</v>
      </c>
      <c r="B142" s="18" t="s">
        <v>115</v>
      </c>
      <c r="C142" s="18" t="s">
        <v>110</v>
      </c>
      <c r="D142" s="7" t="s">
        <v>627</v>
      </c>
      <c r="E142" s="7" t="s">
        <v>58</v>
      </c>
      <c r="F142" s="7"/>
      <c r="G142" s="7" t="s">
        <v>96</v>
      </c>
      <c r="H142" s="7"/>
      <c r="I142" s="7"/>
      <c r="J142" s="7"/>
      <c r="K142" s="7" t="s">
        <v>204</v>
      </c>
      <c r="L142" s="7" t="s">
        <v>474</v>
      </c>
      <c r="M142" s="7" t="s">
        <v>12</v>
      </c>
      <c r="N142" s="7"/>
      <c r="O142" s="47">
        <v>0</v>
      </c>
      <c r="P142" s="47">
        <v>0.75</v>
      </c>
      <c r="Q142" s="47">
        <v>0</v>
      </c>
      <c r="R142" s="47">
        <v>0</v>
      </c>
      <c r="S142" s="47">
        <v>0</v>
      </c>
      <c r="T142" s="47">
        <v>0</v>
      </c>
      <c r="U142" s="47">
        <v>0</v>
      </c>
      <c r="V142" s="47">
        <v>0</v>
      </c>
      <c r="W142" s="33"/>
      <c r="X142" s="33"/>
      <c r="Y142" s="33"/>
      <c r="Z142" s="33"/>
      <c r="AA142" s="19">
        <f t="shared" si="2"/>
        <v>0.75</v>
      </c>
    </row>
    <row r="143" spans="1:27" x14ac:dyDescent="0.35">
      <c r="A143" s="18">
        <v>140</v>
      </c>
      <c r="B143" s="18" t="s">
        <v>115</v>
      </c>
      <c r="C143" s="18" t="s">
        <v>110</v>
      </c>
      <c r="D143" s="7" t="s">
        <v>672</v>
      </c>
      <c r="E143" s="7" t="s">
        <v>155</v>
      </c>
      <c r="F143" s="7"/>
      <c r="G143" s="7" t="s">
        <v>96</v>
      </c>
      <c r="H143" s="7"/>
      <c r="I143" s="7"/>
      <c r="J143" s="7"/>
      <c r="K143" s="7" t="s">
        <v>202</v>
      </c>
      <c r="L143" s="7" t="s">
        <v>473</v>
      </c>
      <c r="M143" s="7" t="s">
        <v>12</v>
      </c>
      <c r="N143" s="7"/>
      <c r="O143" s="47">
        <v>0</v>
      </c>
      <c r="P143" s="47">
        <v>0</v>
      </c>
      <c r="Q143" s="47">
        <v>0</v>
      </c>
      <c r="R143" s="47">
        <v>0.75</v>
      </c>
      <c r="S143" s="47">
        <v>0</v>
      </c>
      <c r="T143" s="47">
        <v>0</v>
      </c>
      <c r="U143" s="47">
        <v>0</v>
      </c>
      <c r="V143" s="47">
        <v>0</v>
      </c>
      <c r="W143" s="33"/>
      <c r="X143" s="33"/>
      <c r="Y143" s="33"/>
      <c r="Z143" s="33"/>
      <c r="AA143" s="19">
        <f t="shared" si="2"/>
        <v>0.75</v>
      </c>
    </row>
    <row r="144" spans="1:27" x14ac:dyDescent="0.35">
      <c r="A144" s="18">
        <v>141</v>
      </c>
      <c r="B144" s="18" t="s">
        <v>115</v>
      </c>
      <c r="C144" s="18" t="s">
        <v>110</v>
      </c>
      <c r="D144" s="7" t="s">
        <v>672</v>
      </c>
      <c r="E144" s="7" t="s">
        <v>155</v>
      </c>
      <c r="F144" s="7"/>
      <c r="G144" s="7" t="s">
        <v>96</v>
      </c>
      <c r="H144" s="7"/>
      <c r="I144" s="7"/>
      <c r="J144" s="7"/>
      <c r="K144" s="7" t="s">
        <v>203</v>
      </c>
      <c r="L144" s="7" t="s">
        <v>472</v>
      </c>
      <c r="M144" s="7" t="s">
        <v>12</v>
      </c>
      <c r="N144" s="7"/>
      <c r="O144" s="47">
        <v>0</v>
      </c>
      <c r="P144" s="47">
        <v>0</v>
      </c>
      <c r="Q144" s="47">
        <v>0</v>
      </c>
      <c r="R144" s="47">
        <v>0.75</v>
      </c>
      <c r="S144" s="47">
        <v>0</v>
      </c>
      <c r="T144" s="47">
        <v>0</v>
      </c>
      <c r="U144" s="47">
        <v>0</v>
      </c>
      <c r="V144" s="47">
        <v>0</v>
      </c>
      <c r="W144" s="33"/>
      <c r="X144" s="33"/>
      <c r="Y144" s="33"/>
      <c r="Z144" s="33"/>
      <c r="AA144" s="19">
        <f t="shared" si="2"/>
        <v>0.75</v>
      </c>
    </row>
    <row r="145" spans="1:27" x14ac:dyDescent="0.35">
      <c r="A145" s="18">
        <v>142</v>
      </c>
      <c r="B145" s="18" t="s">
        <v>115</v>
      </c>
      <c r="C145" s="18" t="s">
        <v>110</v>
      </c>
      <c r="D145" s="7" t="s">
        <v>652</v>
      </c>
      <c r="E145" s="7" t="s">
        <v>71</v>
      </c>
      <c r="F145" s="7"/>
      <c r="G145" s="7" t="s">
        <v>96</v>
      </c>
      <c r="H145" s="7"/>
      <c r="I145" s="7"/>
      <c r="J145" s="7"/>
      <c r="K145" s="7" t="s">
        <v>210</v>
      </c>
      <c r="L145" s="7" t="s">
        <v>485</v>
      </c>
      <c r="M145" s="7" t="s">
        <v>7</v>
      </c>
      <c r="N145" s="7"/>
      <c r="O145" s="47">
        <v>0</v>
      </c>
      <c r="P145" s="47">
        <v>0.5</v>
      </c>
      <c r="Q145" s="47">
        <v>0</v>
      </c>
      <c r="R145" s="47">
        <v>0</v>
      </c>
      <c r="S145" s="47">
        <v>0</v>
      </c>
      <c r="T145" s="47">
        <v>0</v>
      </c>
      <c r="U145" s="47">
        <v>0</v>
      </c>
      <c r="V145" s="47">
        <v>0</v>
      </c>
      <c r="W145" s="33"/>
      <c r="X145" s="33"/>
      <c r="Y145" s="33"/>
      <c r="Z145" s="33"/>
      <c r="AA145" s="19">
        <f t="shared" si="2"/>
        <v>0.5</v>
      </c>
    </row>
    <row r="146" spans="1:27" x14ac:dyDescent="0.35">
      <c r="A146" s="18">
        <v>143</v>
      </c>
      <c r="B146" s="18" t="s">
        <v>115</v>
      </c>
      <c r="C146" s="18" t="s">
        <v>110</v>
      </c>
      <c r="D146" s="7" t="s">
        <v>673</v>
      </c>
      <c r="E146" s="7" t="s">
        <v>151</v>
      </c>
      <c r="F146" s="7"/>
      <c r="G146" s="7" t="s">
        <v>96</v>
      </c>
      <c r="H146" s="7"/>
      <c r="I146" s="7"/>
      <c r="J146" s="7"/>
      <c r="K146" s="7" t="s">
        <v>190</v>
      </c>
      <c r="L146" s="7" t="s">
        <v>504</v>
      </c>
      <c r="M146" s="7" t="s">
        <v>3</v>
      </c>
      <c r="N146" s="7"/>
      <c r="O146" s="47">
        <v>0</v>
      </c>
      <c r="P146" s="47">
        <v>0</v>
      </c>
      <c r="Q146" s="47">
        <v>0</v>
      </c>
      <c r="R146" s="47">
        <v>0.5</v>
      </c>
      <c r="S146" s="47">
        <v>0</v>
      </c>
      <c r="T146" s="47">
        <v>0</v>
      </c>
      <c r="U146" s="47">
        <v>0</v>
      </c>
      <c r="V146" s="47">
        <v>0</v>
      </c>
      <c r="W146" s="33"/>
      <c r="X146" s="33"/>
      <c r="Y146" s="33"/>
      <c r="Z146" s="33"/>
      <c r="AA146" s="19">
        <f t="shared" si="2"/>
        <v>0.5</v>
      </c>
    </row>
    <row r="147" spans="1:27" x14ac:dyDescent="0.35">
      <c r="A147" s="18">
        <v>144</v>
      </c>
      <c r="B147" s="18" t="s">
        <v>115</v>
      </c>
      <c r="C147" s="18" t="s">
        <v>110</v>
      </c>
      <c r="D147" s="7" t="s">
        <v>674</v>
      </c>
      <c r="E147" s="7" t="s">
        <v>48</v>
      </c>
      <c r="F147" s="7"/>
      <c r="G147" s="7" t="s">
        <v>96</v>
      </c>
      <c r="H147" s="7"/>
      <c r="I147" s="7"/>
      <c r="J147" s="7"/>
      <c r="K147" s="7" t="s">
        <v>186</v>
      </c>
      <c r="L147" s="7" t="s">
        <v>477</v>
      </c>
      <c r="M147" s="7" t="s">
        <v>3</v>
      </c>
      <c r="N147" s="7"/>
      <c r="O147" s="47">
        <v>0</v>
      </c>
      <c r="P147" s="47">
        <v>0</v>
      </c>
      <c r="Q147" s="47">
        <v>0.3</v>
      </c>
      <c r="R147" s="47">
        <v>0</v>
      </c>
      <c r="S147" s="47">
        <v>0</v>
      </c>
      <c r="T147" s="47">
        <v>0</v>
      </c>
      <c r="U147" s="47">
        <v>0</v>
      </c>
      <c r="V147" s="47">
        <v>0</v>
      </c>
      <c r="W147" s="33"/>
      <c r="X147" s="33"/>
      <c r="Y147" s="33"/>
      <c r="Z147" s="33"/>
      <c r="AA147" s="19">
        <f t="shared" si="2"/>
        <v>0.3</v>
      </c>
    </row>
    <row r="148" spans="1:27" x14ac:dyDescent="0.35">
      <c r="A148" s="18">
        <v>145</v>
      </c>
      <c r="B148" s="18" t="s">
        <v>115</v>
      </c>
      <c r="C148" s="18" t="s">
        <v>110</v>
      </c>
      <c r="D148" s="7" t="s">
        <v>628</v>
      </c>
      <c r="E148" s="7" t="s">
        <v>57</v>
      </c>
      <c r="F148" s="7"/>
      <c r="G148" s="7" t="s">
        <v>96</v>
      </c>
      <c r="H148" s="7"/>
      <c r="I148" s="7"/>
      <c r="J148" s="7"/>
      <c r="K148" s="7" t="s">
        <v>196</v>
      </c>
      <c r="L148" s="7" t="s">
        <v>459</v>
      </c>
      <c r="M148" s="7" t="s">
        <v>2</v>
      </c>
      <c r="N148" s="7"/>
      <c r="O148" s="47">
        <v>0</v>
      </c>
      <c r="P148" s="47">
        <v>0</v>
      </c>
      <c r="Q148" s="47">
        <v>0</v>
      </c>
      <c r="R148" s="47">
        <v>0</v>
      </c>
      <c r="S148" s="47">
        <v>0</v>
      </c>
      <c r="T148" s="47">
        <v>0</v>
      </c>
      <c r="U148" s="47">
        <v>0.3</v>
      </c>
      <c r="V148" s="47">
        <v>0</v>
      </c>
      <c r="W148" s="33"/>
      <c r="X148" s="33"/>
      <c r="Y148" s="33"/>
      <c r="Z148" s="33"/>
      <c r="AA148" s="19">
        <f t="shared" si="2"/>
        <v>0.3</v>
      </c>
    </row>
    <row r="149" spans="1:27" x14ac:dyDescent="0.35">
      <c r="A149" s="18">
        <v>146</v>
      </c>
      <c r="B149" s="18" t="s">
        <v>101</v>
      </c>
      <c r="C149" s="18" t="s">
        <v>97</v>
      </c>
      <c r="D149" s="7" t="s">
        <v>675</v>
      </c>
      <c r="E149" s="7" t="s">
        <v>139</v>
      </c>
      <c r="F149" s="7"/>
      <c r="G149" s="7" t="s">
        <v>119</v>
      </c>
      <c r="H149" s="7"/>
      <c r="I149" s="7"/>
      <c r="J149" s="7"/>
      <c r="K149" s="7" t="s">
        <v>171</v>
      </c>
      <c r="L149" s="7" t="s">
        <v>456</v>
      </c>
      <c r="M149" s="7" t="s">
        <v>1</v>
      </c>
      <c r="N149" s="7"/>
      <c r="O149" s="47">
        <v>0</v>
      </c>
      <c r="P149" s="47">
        <v>0</v>
      </c>
      <c r="Q149" s="47">
        <v>0</v>
      </c>
      <c r="R149" s="47">
        <v>0</v>
      </c>
      <c r="S149" s="47">
        <v>0</v>
      </c>
      <c r="T149" s="47">
        <v>0</v>
      </c>
      <c r="U149" s="47">
        <v>0</v>
      </c>
      <c r="V149" s="47">
        <v>0.3</v>
      </c>
      <c r="W149" s="33"/>
      <c r="X149" s="33"/>
      <c r="Y149" s="33"/>
      <c r="Z149" s="33"/>
      <c r="AA149" s="19">
        <f t="shared" si="2"/>
        <v>0.3</v>
      </c>
    </row>
    <row r="150" spans="1:27" x14ac:dyDescent="0.35">
      <c r="A150" s="18">
        <v>147</v>
      </c>
      <c r="B150" s="18" t="s">
        <v>115</v>
      </c>
      <c r="C150" s="18" t="s">
        <v>110</v>
      </c>
      <c r="D150" s="7" t="s">
        <v>676</v>
      </c>
      <c r="E150" s="7" t="s">
        <v>69</v>
      </c>
      <c r="F150" s="7"/>
      <c r="G150" s="7" t="s">
        <v>96</v>
      </c>
      <c r="H150" s="7"/>
      <c r="I150" s="7"/>
      <c r="J150" s="7"/>
      <c r="K150" s="7" t="s">
        <v>210</v>
      </c>
      <c r="L150" s="7" t="s">
        <v>485</v>
      </c>
      <c r="M150" s="7" t="s">
        <v>7</v>
      </c>
      <c r="N150" s="7"/>
      <c r="O150" s="47">
        <v>0</v>
      </c>
      <c r="P150" s="47">
        <v>0.1</v>
      </c>
      <c r="Q150" s="47">
        <v>0</v>
      </c>
      <c r="R150" s="47">
        <v>0</v>
      </c>
      <c r="S150" s="47">
        <v>0</v>
      </c>
      <c r="T150" s="47">
        <v>0</v>
      </c>
      <c r="U150" s="47">
        <v>0</v>
      </c>
      <c r="V150" s="47">
        <v>0</v>
      </c>
      <c r="W150" s="33"/>
      <c r="X150" s="33"/>
      <c r="Y150" s="33"/>
      <c r="Z150" s="33"/>
      <c r="AA150" s="19">
        <f t="shared" si="2"/>
        <v>0.1</v>
      </c>
    </row>
    <row r="151" spans="1:27" x14ac:dyDescent="0.35">
      <c r="A151" s="18">
        <v>148</v>
      </c>
      <c r="B151" s="18" t="s">
        <v>115</v>
      </c>
      <c r="C151" s="18" t="s">
        <v>110</v>
      </c>
      <c r="D151" s="7" t="s">
        <v>677</v>
      </c>
      <c r="E151" s="7" t="s">
        <v>70</v>
      </c>
      <c r="F151" s="7"/>
      <c r="G151" s="7" t="s">
        <v>96</v>
      </c>
      <c r="H151" s="7"/>
      <c r="I151" s="7"/>
      <c r="J151" s="7"/>
      <c r="K151" s="7" t="s">
        <v>210</v>
      </c>
      <c r="L151" s="7" t="s">
        <v>485</v>
      </c>
      <c r="M151" s="7" t="s">
        <v>7</v>
      </c>
      <c r="N151" s="7"/>
      <c r="O151" s="47">
        <v>0</v>
      </c>
      <c r="P151" s="47">
        <v>0</v>
      </c>
      <c r="Q151" s="47">
        <v>0</v>
      </c>
      <c r="R151" s="47">
        <v>0.1</v>
      </c>
      <c r="S151" s="47">
        <v>0</v>
      </c>
      <c r="T151" s="47">
        <v>0</v>
      </c>
      <c r="U151" s="47">
        <v>0</v>
      </c>
      <c r="V151" s="47">
        <v>0</v>
      </c>
      <c r="W151" s="33"/>
      <c r="X151" s="33"/>
      <c r="Y151" s="33"/>
      <c r="Z151" s="33"/>
      <c r="AA151" s="19">
        <f t="shared" si="2"/>
        <v>0.1</v>
      </c>
    </row>
    <row r="152" spans="1:27" x14ac:dyDescent="0.35">
      <c r="A152" s="18">
        <v>149</v>
      </c>
      <c r="B152" s="18" t="s">
        <v>115</v>
      </c>
      <c r="C152" s="18" t="s">
        <v>110</v>
      </c>
      <c r="D152" s="7" t="s">
        <v>677</v>
      </c>
      <c r="E152" s="7" t="s">
        <v>70</v>
      </c>
      <c r="F152" s="7"/>
      <c r="G152" s="7" t="s">
        <v>96</v>
      </c>
      <c r="H152" s="7"/>
      <c r="I152" s="7"/>
      <c r="J152" s="7"/>
      <c r="K152" s="7" t="s">
        <v>212</v>
      </c>
      <c r="L152" s="7" t="s">
        <v>481</v>
      </c>
      <c r="M152" s="7" t="s">
        <v>19</v>
      </c>
      <c r="N152" s="7"/>
      <c r="O152" s="47">
        <v>0</v>
      </c>
      <c r="P152" s="47">
        <v>0</v>
      </c>
      <c r="Q152" s="47">
        <v>0</v>
      </c>
      <c r="R152" s="47">
        <v>0.1</v>
      </c>
      <c r="S152" s="47">
        <v>0</v>
      </c>
      <c r="T152" s="47">
        <v>0</v>
      </c>
      <c r="U152" s="47">
        <v>0</v>
      </c>
      <c r="V152" s="47">
        <v>0</v>
      </c>
      <c r="W152" s="33"/>
      <c r="X152" s="33"/>
      <c r="Y152" s="33"/>
      <c r="Z152" s="33"/>
      <c r="AA152" s="19">
        <f t="shared" si="2"/>
        <v>0.1</v>
      </c>
    </row>
    <row r="153" spans="1:27" x14ac:dyDescent="0.35">
      <c r="A153" s="18">
        <v>150</v>
      </c>
      <c r="B153" s="18" t="s">
        <v>115</v>
      </c>
      <c r="C153" s="18" t="s">
        <v>110</v>
      </c>
      <c r="D153" s="7" t="s">
        <v>677</v>
      </c>
      <c r="E153" s="7" t="s">
        <v>70</v>
      </c>
      <c r="F153" s="7"/>
      <c r="G153" s="7" t="s">
        <v>96</v>
      </c>
      <c r="H153" s="7"/>
      <c r="I153" s="7"/>
      <c r="J153" s="7"/>
      <c r="K153" s="7" t="s">
        <v>213</v>
      </c>
      <c r="L153" s="7" t="s">
        <v>493</v>
      </c>
      <c r="M153" s="7" t="s">
        <v>19</v>
      </c>
      <c r="N153" s="7"/>
      <c r="O153" s="47">
        <v>0</v>
      </c>
      <c r="P153" s="47">
        <v>0</v>
      </c>
      <c r="Q153" s="47">
        <v>0</v>
      </c>
      <c r="R153" s="47">
        <v>0.1</v>
      </c>
      <c r="S153" s="47">
        <v>0</v>
      </c>
      <c r="T153" s="47">
        <v>0</v>
      </c>
      <c r="U153" s="47">
        <v>0</v>
      </c>
      <c r="V153" s="47">
        <v>0</v>
      </c>
      <c r="W153" s="33"/>
      <c r="X153" s="33"/>
      <c r="Y153" s="33"/>
      <c r="Z153" s="33"/>
      <c r="AA153" s="19">
        <f t="shared" si="2"/>
        <v>0.1</v>
      </c>
    </row>
    <row r="154" spans="1:27" x14ac:dyDescent="0.35">
      <c r="A154" s="18">
        <v>151</v>
      </c>
      <c r="B154" s="18" t="s">
        <v>115</v>
      </c>
      <c r="C154" s="18" t="s">
        <v>110</v>
      </c>
      <c r="D154" s="7" t="s">
        <v>628</v>
      </c>
      <c r="E154" s="7" t="s">
        <v>57</v>
      </c>
      <c r="F154" s="7"/>
      <c r="G154" s="7" t="s">
        <v>96</v>
      </c>
      <c r="H154" s="7"/>
      <c r="I154" s="7"/>
      <c r="J154" s="7"/>
      <c r="K154" s="7" t="s">
        <v>201</v>
      </c>
      <c r="L154" s="7" t="s">
        <v>471</v>
      </c>
      <c r="M154" s="7" t="s">
        <v>12</v>
      </c>
      <c r="N154" s="7"/>
      <c r="O154" s="47">
        <v>0</v>
      </c>
      <c r="P154" s="47">
        <v>0</v>
      </c>
      <c r="Q154" s="47">
        <v>0.05</v>
      </c>
      <c r="R154" s="47">
        <v>0</v>
      </c>
      <c r="S154" s="47">
        <v>0</v>
      </c>
      <c r="T154" s="47">
        <v>0</v>
      </c>
      <c r="U154" s="47">
        <v>0</v>
      </c>
      <c r="V154" s="47">
        <v>0</v>
      </c>
      <c r="W154" s="33"/>
      <c r="X154" s="33"/>
      <c r="Y154" s="33"/>
      <c r="Z154" s="33"/>
      <c r="AA154" s="19">
        <f t="shared" si="2"/>
        <v>0.05</v>
      </c>
    </row>
    <row r="155" spans="1:27" x14ac:dyDescent="0.35">
      <c r="A155" s="18">
        <v>152</v>
      </c>
      <c r="B155" s="18" t="s">
        <v>115</v>
      </c>
      <c r="C155" s="18" t="s">
        <v>110</v>
      </c>
      <c r="D155" s="7" t="s">
        <v>628</v>
      </c>
      <c r="E155" s="7" t="s">
        <v>57</v>
      </c>
      <c r="F155" s="7"/>
      <c r="G155" s="7" t="s">
        <v>96</v>
      </c>
      <c r="H155" s="7"/>
      <c r="I155" s="7"/>
      <c r="J155" s="7"/>
      <c r="K155" s="7" t="s">
        <v>203</v>
      </c>
      <c r="L155" s="7" t="s">
        <v>472</v>
      </c>
      <c r="M155" s="7" t="s">
        <v>12</v>
      </c>
      <c r="N155" s="7"/>
      <c r="O155" s="47">
        <v>0</v>
      </c>
      <c r="P155" s="47">
        <v>0</v>
      </c>
      <c r="Q155" s="47">
        <v>0.05</v>
      </c>
      <c r="R155" s="47">
        <v>0</v>
      </c>
      <c r="S155" s="47">
        <v>0</v>
      </c>
      <c r="T155" s="47">
        <v>0</v>
      </c>
      <c r="U155" s="47">
        <v>0</v>
      </c>
      <c r="V155" s="47">
        <v>0</v>
      </c>
      <c r="W155" s="33"/>
      <c r="X155" s="33"/>
      <c r="Y155" s="33"/>
      <c r="Z155" s="33"/>
      <c r="AA155" s="19">
        <f t="shared" si="2"/>
        <v>0.05</v>
      </c>
    </row>
    <row r="156" spans="1:27" x14ac:dyDescent="0.35">
      <c r="A156" s="18">
        <v>153</v>
      </c>
      <c r="B156" s="18" t="s">
        <v>115</v>
      </c>
      <c r="C156" s="18" t="s">
        <v>110</v>
      </c>
      <c r="D156" s="7" t="s">
        <v>628</v>
      </c>
      <c r="E156" s="7" t="s">
        <v>57</v>
      </c>
      <c r="F156" s="7"/>
      <c r="G156" s="7" t="s">
        <v>96</v>
      </c>
      <c r="H156" s="7"/>
      <c r="I156" s="7"/>
      <c r="J156" s="7"/>
      <c r="K156" s="7" t="s">
        <v>206</v>
      </c>
      <c r="L156" s="7" t="s">
        <v>476</v>
      </c>
      <c r="M156" s="7" t="s">
        <v>12</v>
      </c>
      <c r="N156" s="7"/>
      <c r="O156" s="47">
        <v>0</v>
      </c>
      <c r="P156" s="47">
        <v>0</v>
      </c>
      <c r="Q156" s="47">
        <v>0.05</v>
      </c>
      <c r="R156" s="47">
        <v>0</v>
      </c>
      <c r="S156" s="47">
        <v>0</v>
      </c>
      <c r="T156" s="47">
        <v>0</v>
      </c>
      <c r="U156" s="47">
        <v>0</v>
      </c>
      <c r="V156" s="47">
        <v>0</v>
      </c>
      <c r="W156" s="33"/>
      <c r="X156" s="33"/>
      <c r="Y156" s="33"/>
      <c r="Z156" s="33"/>
      <c r="AA156" s="19">
        <f t="shared" si="2"/>
        <v>0.05</v>
      </c>
    </row>
    <row r="157" spans="1:27" x14ac:dyDescent="0.35">
      <c r="A157" s="18">
        <v>154</v>
      </c>
      <c r="B157" s="18" t="s">
        <v>115</v>
      </c>
      <c r="C157" s="18" t="s">
        <v>110</v>
      </c>
      <c r="D157" s="7" t="s">
        <v>678</v>
      </c>
      <c r="E157" s="7" t="s">
        <v>157</v>
      </c>
      <c r="F157" s="7"/>
      <c r="G157" s="7" t="s">
        <v>96</v>
      </c>
      <c r="H157" s="7"/>
      <c r="I157" s="7"/>
      <c r="J157" s="7"/>
      <c r="K157" s="7" t="s">
        <v>203</v>
      </c>
      <c r="L157" s="7" t="s">
        <v>472</v>
      </c>
      <c r="M157" s="7" t="s">
        <v>12</v>
      </c>
      <c r="N157" s="7"/>
      <c r="O157" s="47">
        <v>0</v>
      </c>
      <c r="P157" s="47">
        <v>0</v>
      </c>
      <c r="Q157" s="47">
        <v>0</v>
      </c>
      <c r="R157" s="47">
        <v>0.05</v>
      </c>
      <c r="S157" s="47">
        <v>0</v>
      </c>
      <c r="T157" s="47">
        <v>0</v>
      </c>
      <c r="U157" s="47">
        <v>0</v>
      </c>
      <c r="V157" s="47">
        <v>0</v>
      </c>
      <c r="W157" s="33"/>
      <c r="X157" s="33"/>
      <c r="Y157" s="33"/>
      <c r="Z157" s="33"/>
      <c r="AA157" s="19">
        <f t="shared" si="2"/>
        <v>0.05</v>
      </c>
    </row>
    <row r="158" spans="1:27" x14ac:dyDescent="0.35">
      <c r="A158" s="18">
        <v>155</v>
      </c>
      <c r="B158" s="18" t="s">
        <v>115</v>
      </c>
      <c r="C158" s="18" t="s">
        <v>110</v>
      </c>
      <c r="D158" s="7" t="s">
        <v>679</v>
      </c>
      <c r="E158" s="7" t="s">
        <v>68</v>
      </c>
      <c r="F158" s="7"/>
      <c r="G158" s="7" t="s">
        <v>96</v>
      </c>
      <c r="H158" s="7"/>
      <c r="I158" s="7"/>
      <c r="J158" s="7"/>
      <c r="K158" s="7" t="s">
        <v>217</v>
      </c>
      <c r="L158" s="7" t="s">
        <v>490</v>
      </c>
      <c r="M158" s="7" t="s">
        <v>7</v>
      </c>
      <c r="N158" s="7"/>
      <c r="O158" s="47">
        <v>0</v>
      </c>
      <c r="P158" s="47">
        <v>0.05</v>
      </c>
      <c r="Q158" s="47">
        <v>0</v>
      </c>
      <c r="R158" s="47">
        <v>0</v>
      </c>
      <c r="S158" s="47">
        <v>0</v>
      </c>
      <c r="T158" s="47">
        <v>0</v>
      </c>
      <c r="U158" s="47">
        <v>0</v>
      </c>
      <c r="V158" s="47">
        <v>0</v>
      </c>
      <c r="W158" s="33"/>
      <c r="X158" s="33"/>
      <c r="Y158" s="33"/>
      <c r="Z158" s="33"/>
      <c r="AA158" s="19">
        <f t="shared" si="2"/>
        <v>0.05</v>
      </c>
    </row>
    <row r="159" spans="1:27" x14ac:dyDescent="0.35">
      <c r="A159" s="18">
        <v>156</v>
      </c>
      <c r="B159" s="18" t="s">
        <v>104</v>
      </c>
      <c r="C159" s="18" t="s">
        <v>110</v>
      </c>
      <c r="D159" s="7" t="s">
        <v>680</v>
      </c>
      <c r="E159" s="7" t="s">
        <v>67</v>
      </c>
      <c r="F159" s="7"/>
      <c r="G159" s="7" t="s">
        <v>96</v>
      </c>
      <c r="H159" s="7"/>
      <c r="I159" s="7"/>
      <c r="J159" s="7"/>
      <c r="K159" s="7" t="s">
        <v>218</v>
      </c>
      <c r="L159" s="7" t="s">
        <v>491</v>
      </c>
      <c r="M159" s="7" t="s">
        <v>7</v>
      </c>
      <c r="N159" s="7"/>
      <c r="O159" s="47">
        <v>0</v>
      </c>
      <c r="P159" s="47">
        <v>0</v>
      </c>
      <c r="Q159" s="47">
        <v>0</v>
      </c>
      <c r="R159" s="47">
        <v>0</v>
      </c>
      <c r="S159" s="47">
        <v>0</v>
      </c>
      <c r="T159" s="47">
        <v>0</v>
      </c>
      <c r="U159" s="47">
        <v>0</v>
      </c>
      <c r="V159" s="47">
        <v>0.05</v>
      </c>
      <c r="W159" s="33"/>
      <c r="X159" s="33"/>
      <c r="Y159" s="33"/>
      <c r="Z159" s="33"/>
      <c r="AA159" s="19">
        <f t="shared" si="2"/>
        <v>0.05</v>
      </c>
    </row>
    <row r="160" spans="1:27" x14ac:dyDescent="0.35">
      <c r="A160" s="18">
        <v>157</v>
      </c>
      <c r="B160" s="18" t="s">
        <v>115</v>
      </c>
      <c r="C160" s="18" t="s">
        <v>110</v>
      </c>
      <c r="D160" s="7" t="s">
        <v>637</v>
      </c>
      <c r="E160" s="7" t="s">
        <v>64</v>
      </c>
      <c r="F160" s="7"/>
      <c r="G160" s="7" t="s">
        <v>119</v>
      </c>
      <c r="H160" s="7"/>
      <c r="I160" s="7"/>
      <c r="J160" s="7"/>
      <c r="K160" s="7" t="s">
        <v>215</v>
      </c>
      <c r="L160" s="7" t="s">
        <v>502</v>
      </c>
      <c r="M160" s="7" t="s">
        <v>7</v>
      </c>
      <c r="N160" s="7"/>
      <c r="O160" s="47">
        <v>0</v>
      </c>
      <c r="P160" s="47">
        <v>0</v>
      </c>
      <c r="Q160" s="47">
        <v>0.05</v>
      </c>
      <c r="R160" s="47">
        <v>0</v>
      </c>
      <c r="S160" s="47">
        <v>0</v>
      </c>
      <c r="T160" s="47">
        <v>0</v>
      </c>
      <c r="U160" s="47">
        <v>0</v>
      </c>
      <c r="V160" s="47">
        <v>0</v>
      </c>
      <c r="W160" s="33"/>
      <c r="X160" s="33"/>
      <c r="Y160" s="33"/>
      <c r="Z160" s="33"/>
      <c r="AA160" s="19">
        <f t="shared" si="2"/>
        <v>0.05</v>
      </c>
    </row>
    <row r="161" spans="1:27" x14ac:dyDescent="0.35">
      <c r="A161" s="18">
        <v>158</v>
      </c>
      <c r="B161" s="18" t="s">
        <v>101</v>
      </c>
      <c r="C161" s="18" t="s">
        <v>97</v>
      </c>
      <c r="D161" s="7" t="s">
        <v>681</v>
      </c>
      <c r="E161" s="7" t="s">
        <v>111</v>
      </c>
      <c r="F161" s="7"/>
      <c r="G161" s="7" t="s">
        <v>96</v>
      </c>
      <c r="H161" s="7"/>
      <c r="I161" s="7"/>
      <c r="J161" s="7"/>
      <c r="K161" s="7" t="s">
        <v>175</v>
      </c>
      <c r="L161" s="7" t="s">
        <v>505</v>
      </c>
      <c r="M161" s="7" t="s">
        <v>1</v>
      </c>
      <c r="N161" s="7"/>
      <c r="O161" s="47">
        <v>0</v>
      </c>
      <c r="P161" s="47">
        <v>0</v>
      </c>
      <c r="Q161" s="47">
        <v>0</v>
      </c>
      <c r="R161" s="47">
        <v>0</v>
      </c>
      <c r="S161" s="47">
        <v>0</v>
      </c>
      <c r="T161" s="47">
        <v>0</v>
      </c>
      <c r="U161" s="47">
        <v>0.03</v>
      </c>
      <c r="V161" s="47">
        <v>0</v>
      </c>
      <c r="W161" s="33"/>
      <c r="X161" s="33"/>
      <c r="Y161" s="33"/>
      <c r="Z161" s="33"/>
      <c r="AA161" s="19">
        <f t="shared" si="2"/>
        <v>0.03</v>
      </c>
    </row>
    <row r="162" spans="1:27" x14ac:dyDescent="0.35">
      <c r="A162" s="18">
        <v>159</v>
      </c>
      <c r="B162" s="18" t="s">
        <v>115</v>
      </c>
      <c r="C162" s="18" t="s">
        <v>110</v>
      </c>
      <c r="D162" s="7" t="s">
        <v>682</v>
      </c>
      <c r="E162" s="7" t="s">
        <v>156</v>
      </c>
      <c r="F162" s="7"/>
      <c r="G162" s="7" t="s">
        <v>96</v>
      </c>
      <c r="H162" s="7"/>
      <c r="I162" s="7"/>
      <c r="J162" s="7"/>
      <c r="K162" s="7" t="s">
        <v>200</v>
      </c>
      <c r="L162" s="7" t="s">
        <v>470</v>
      </c>
      <c r="M162" s="7" t="s">
        <v>12</v>
      </c>
      <c r="N162" s="7"/>
      <c r="O162" s="47">
        <v>0</v>
      </c>
      <c r="P162" s="47">
        <v>0</v>
      </c>
      <c r="Q162" s="47">
        <v>0</v>
      </c>
      <c r="R162" s="47">
        <v>2.5000000000000001E-2</v>
      </c>
      <c r="S162" s="47">
        <v>0</v>
      </c>
      <c r="T162" s="47">
        <v>0</v>
      </c>
      <c r="U162" s="47">
        <v>0</v>
      </c>
      <c r="V162" s="47">
        <v>0</v>
      </c>
      <c r="W162" s="33"/>
      <c r="X162" s="33"/>
      <c r="Y162" s="33"/>
      <c r="Z162" s="33"/>
      <c r="AA162" s="19">
        <f t="shared" si="2"/>
        <v>2.5000000000000001E-2</v>
      </c>
    </row>
    <row r="163" spans="1:27" x14ac:dyDescent="0.35">
      <c r="A163" s="18">
        <v>160</v>
      </c>
      <c r="B163" s="18" t="s">
        <v>115</v>
      </c>
      <c r="C163" s="18" t="s">
        <v>110</v>
      </c>
      <c r="D163" s="7" t="s">
        <v>682</v>
      </c>
      <c r="E163" s="7" t="s">
        <v>156</v>
      </c>
      <c r="F163" s="7"/>
      <c r="G163" s="7" t="s">
        <v>96</v>
      </c>
      <c r="H163" s="7"/>
      <c r="I163" s="7"/>
      <c r="J163" s="7"/>
      <c r="K163" s="7" t="s">
        <v>201</v>
      </c>
      <c r="L163" s="7" t="s">
        <v>471</v>
      </c>
      <c r="M163" s="7" t="s">
        <v>12</v>
      </c>
      <c r="N163" s="7"/>
      <c r="O163" s="47">
        <v>0</v>
      </c>
      <c r="P163" s="47">
        <v>0</v>
      </c>
      <c r="Q163" s="47">
        <v>0</v>
      </c>
      <c r="R163" s="47">
        <v>2.5000000000000001E-2</v>
      </c>
      <c r="S163" s="47">
        <v>0</v>
      </c>
      <c r="T163" s="47">
        <v>0</v>
      </c>
      <c r="U163" s="47">
        <v>0</v>
      </c>
      <c r="V163" s="47">
        <v>0</v>
      </c>
      <c r="W163" s="33"/>
      <c r="X163" s="33"/>
      <c r="Y163" s="33"/>
      <c r="Z163" s="33"/>
      <c r="AA163" s="19">
        <f t="shared" si="2"/>
        <v>2.5000000000000001E-2</v>
      </c>
    </row>
    <row r="164" spans="1:27" x14ac:dyDescent="0.35">
      <c r="A164" s="18">
        <v>161</v>
      </c>
      <c r="B164" s="18" t="s">
        <v>115</v>
      </c>
      <c r="C164" s="18" t="s">
        <v>110</v>
      </c>
      <c r="D164" s="7" t="s">
        <v>682</v>
      </c>
      <c r="E164" s="7" t="s">
        <v>156</v>
      </c>
      <c r="F164" s="7"/>
      <c r="G164" s="7" t="s">
        <v>96</v>
      </c>
      <c r="H164" s="7"/>
      <c r="I164" s="7"/>
      <c r="J164" s="7"/>
      <c r="K164" s="7" t="s">
        <v>202</v>
      </c>
      <c r="L164" s="7" t="s">
        <v>473</v>
      </c>
      <c r="M164" s="7" t="s">
        <v>12</v>
      </c>
      <c r="N164" s="7"/>
      <c r="O164" s="47">
        <v>0</v>
      </c>
      <c r="P164" s="47">
        <v>0</v>
      </c>
      <c r="Q164" s="47">
        <v>0</v>
      </c>
      <c r="R164" s="47">
        <v>2.5000000000000001E-2</v>
      </c>
      <c r="S164" s="47">
        <v>0</v>
      </c>
      <c r="T164" s="47">
        <v>0</v>
      </c>
      <c r="U164" s="47">
        <v>0</v>
      </c>
      <c r="V164" s="47">
        <v>0</v>
      </c>
      <c r="W164" s="33"/>
      <c r="X164" s="33"/>
      <c r="Y164" s="33"/>
      <c r="Z164" s="33"/>
      <c r="AA164" s="19">
        <f t="shared" si="2"/>
        <v>2.5000000000000001E-2</v>
      </c>
    </row>
    <row r="165" spans="1:27" x14ac:dyDescent="0.35">
      <c r="A165" s="18">
        <v>162</v>
      </c>
      <c r="B165" s="18" t="s">
        <v>115</v>
      </c>
      <c r="C165" s="18" t="s">
        <v>110</v>
      </c>
      <c r="D165" s="7" t="s">
        <v>682</v>
      </c>
      <c r="E165" s="7" t="s">
        <v>156</v>
      </c>
      <c r="F165" s="7"/>
      <c r="G165" s="7" t="s">
        <v>96</v>
      </c>
      <c r="H165" s="7"/>
      <c r="I165" s="7"/>
      <c r="J165" s="7"/>
      <c r="K165" s="7" t="s">
        <v>203</v>
      </c>
      <c r="L165" s="7" t="s">
        <v>472</v>
      </c>
      <c r="M165" s="7" t="s">
        <v>12</v>
      </c>
      <c r="N165" s="7"/>
      <c r="O165" s="47">
        <v>0</v>
      </c>
      <c r="P165" s="47">
        <v>0</v>
      </c>
      <c r="Q165" s="47">
        <v>0</v>
      </c>
      <c r="R165" s="47">
        <v>2.5000000000000001E-2</v>
      </c>
      <c r="S165" s="47">
        <v>0</v>
      </c>
      <c r="T165" s="47">
        <v>0</v>
      </c>
      <c r="U165" s="47">
        <v>0</v>
      </c>
      <c r="V165" s="47">
        <v>0</v>
      </c>
      <c r="W165" s="33"/>
      <c r="X165" s="33"/>
      <c r="Y165" s="33"/>
      <c r="Z165" s="33"/>
      <c r="AA165" s="19">
        <f t="shared" si="2"/>
        <v>2.5000000000000001E-2</v>
      </c>
    </row>
    <row r="166" spans="1:27" x14ac:dyDescent="0.35">
      <c r="A166" s="18">
        <v>163</v>
      </c>
      <c r="B166" s="18" t="s">
        <v>115</v>
      </c>
      <c r="C166" s="18" t="s">
        <v>110</v>
      </c>
      <c r="D166" s="7" t="s">
        <v>682</v>
      </c>
      <c r="E166" s="7" t="s">
        <v>156</v>
      </c>
      <c r="F166" s="7"/>
      <c r="G166" s="7" t="s">
        <v>96</v>
      </c>
      <c r="H166" s="7"/>
      <c r="I166" s="7"/>
      <c r="J166" s="7"/>
      <c r="K166" s="7" t="s">
        <v>204</v>
      </c>
      <c r="L166" s="7" t="s">
        <v>474</v>
      </c>
      <c r="M166" s="7" t="s">
        <v>12</v>
      </c>
      <c r="N166" s="7"/>
      <c r="O166" s="47">
        <v>0</v>
      </c>
      <c r="P166" s="47">
        <v>0</v>
      </c>
      <c r="Q166" s="47">
        <v>0</v>
      </c>
      <c r="R166" s="47">
        <v>2.5000000000000001E-2</v>
      </c>
      <c r="S166" s="47">
        <v>0</v>
      </c>
      <c r="T166" s="47">
        <v>0</v>
      </c>
      <c r="U166" s="47">
        <v>0</v>
      </c>
      <c r="V166" s="47">
        <v>0</v>
      </c>
      <c r="W166" s="33"/>
      <c r="X166" s="33"/>
      <c r="Y166" s="33"/>
      <c r="Z166" s="33"/>
      <c r="AA166" s="19">
        <f t="shared" si="2"/>
        <v>2.5000000000000001E-2</v>
      </c>
    </row>
    <row r="167" spans="1:27" x14ac:dyDescent="0.35">
      <c r="A167" s="18">
        <v>164</v>
      </c>
      <c r="B167" s="18" t="s">
        <v>115</v>
      </c>
      <c r="C167" s="18" t="s">
        <v>110</v>
      </c>
      <c r="D167" s="7" t="s">
        <v>682</v>
      </c>
      <c r="E167" s="7" t="s">
        <v>156</v>
      </c>
      <c r="F167" s="7"/>
      <c r="G167" s="7" t="s">
        <v>96</v>
      </c>
      <c r="H167" s="7"/>
      <c r="I167" s="7"/>
      <c r="J167" s="7"/>
      <c r="K167" s="7" t="s">
        <v>205</v>
      </c>
      <c r="L167" s="7" t="s">
        <v>475</v>
      </c>
      <c r="M167" s="7" t="s">
        <v>12</v>
      </c>
      <c r="N167" s="7"/>
      <c r="O167" s="47">
        <v>0</v>
      </c>
      <c r="P167" s="47">
        <v>0</v>
      </c>
      <c r="Q167" s="47">
        <v>0</v>
      </c>
      <c r="R167" s="47">
        <v>2.5000000000000001E-2</v>
      </c>
      <c r="S167" s="47">
        <v>0</v>
      </c>
      <c r="T167" s="47">
        <v>0</v>
      </c>
      <c r="U167" s="47">
        <v>0</v>
      </c>
      <c r="V167" s="47">
        <v>0</v>
      </c>
      <c r="W167" s="33"/>
      <c r="X167" s="33"/>
      <c r="Y167" s="33"/>
      <c r="Z167" s="33"/>
      <c r="AA167" s="19">
        <f t="shared" si="2"/>
        <v>2.5000000000000001E-2</v>
      </c>
    </row>
    <row r="168" spans="1:27" x14ac:dyDescent="0.35">
      <c r="A168" s="18">
        <v>165</v>
      </c>
      <c r="B168" s="18" t="s">
        <v>115</v>
      </c>
      <c r="C168" s="18" t="s">
        <v>110</v>
      </c>
      <c r="D168" s="7" t="s">
        <v>682</v>
      </c>
      <c r="E168" s="7" t="s">
        <v>156</v>
      </c>
      <c r="F168" s="7"/>
      <c r="G168" s="7" t="s">
        <v>96</v>
      </c>
      <c r="H168" s="7"/>
      <c r="I168" s="7"/>
      <c r="J168" s="7"/>
      <c r="K168" s="7" t="s">
        <v>206</v>
      </c>
      <c r="L168" s="7" t="s">
        <v>476</v>
      </c>
      <c r="M168" s="7" t="s">
        <v>12</v>
      </c>
      <c r="N168" s="7"/>
      <c r="O168" s="47">
        <v>0</v>
      </c>
      <c r="P168" s="47">
        <v>0</v>
      </c>
      <c r="Q168" s="47">
        <v>0</v>
      </c>
      <c r="R168" s="47">
        <v>2.5000000000000001E-2</v>
      </c>
      <c r="S168" s="47">
        <v>0</v>
      </c>
      <c r="T168" s="47">
        <v>0</v>
      </c>
      <c r="U168" s="47">
        <v>0</v>
      </c>
      <c r="V168" s="47">
        <v>0</v>
      </c>
      <c r="W168" s="33"/>
      <c r="X168" s="33"/>
      <c r="Y168" s="33"/>
      <c r="Z168" s="33"/>
      <c r="AA168" s="19">
        <f t="shared" si="2"/>
        <v>2.5000000000000001E-2</v>
      </c>
    </row>
    <row r="169" spans="1:27" x14ac:dyDescent="0.35">
      <c r="A169" s="18">
        <v>166</v>
      </c>
      <c r="B169" s="18" t="s">
        <v>101</v>
      </c>
      <c r="C169" s="18" t="s">
        <v>97</v>
      </c>
      <c r="D169" s="7" t="s">
        <v>667</v>
      </c>
      <c r="E169" s="7" t="s">
        <v>114</v>
      </c>
      <c r="F169" s="7"/>
      <c r="G169" s="7" t="s">
        <v>96</v>
      </c>
      <c r="H169" s="7"/>
      <c r="I169" s="7"/>
      <c r="J169" s="7"/>
      <c r="K169" s="7" t="s">
        <v>172</v>
      </c>
      <c r="L169" s="7" t="s">
        <v>469</v>
      </c>
      <c r="M169" s="7" t="s">
        <v>1</v>
      </c>
      <c r="N169" s="7"/>
      <c r="O169" s="47">
        <v>0</v>
      </c>
      <c r="P169" s="47">
        <v>0</v>
      </c>
      <c r="Q169" s="47">
        <v>0</v>
      </c>
      <c r="R169" s="47">
        <v>0</v>
      </c>
      <c r="S169" s="47">
        <v>0</v>
      </c>
      <c r="T169" s="47">
        <v>2.5000000000000001E-2</v>
      </c>
      <c r="U169" s="47">
        <v>0</v>
      </c>
      <c r="V169" s="47">
        <v>0</v>
      </c>
      <c r="W169" s="33"/>
      <c r="X169" s="33"/>
      <c r="Y169" s="33"/>
      <c r="Z169" s="33"/>
      <c r="AA169" s="19">
        <f t="shared" si="2"/>
        <v>2.5000000000000001E-2</v>
      </c>
    </row>
    <row r="170" spans="1:27" x14ac:dyDescent="0.35">
      <c r="A170" s="18">
        <v>167</v>
      </c>
      <c r="B170" s="18" t="s">
        <v>115</v>
      </c>
      <c r="C170" s="18" t="s">
        <v>110</v>
      </c>
      <c r="D170" s="7" t="s">
        <v>683</v>
      </c>
      <c r="E170" s="7" t="s">
        <v>72</v>
      </c>
      <c r="F170" s="7"/>
      <c r="G170" s="7" t="s">
        <v>96</v>
      </c>
      <c r="H170" s="7"/>
      <c r="I170" s="7"/>
      <c r="J170" s="7"/>
      <c r="K170" s="7" t="s">
        <v>209</v>
      </c>
      <c r="L170" s="7" t="s">
        <v>480</v>
      </c>
      <c r="M170" s="7" t="s">
        <v>7</v>
      </c>
      <c r="N170" s="7"/>
      <c r="O170" s="47">
        <v>0</v>
      </c>
      <c r="P170" s="47">
        <v>5.0000000000000001E-3</v>
      </c>
      <c r="Q170" s="47">
        <v>0</v>
      </c>
      <c r="R170" s="47">
        <v>0</v>
      </c>
      <c r="S170" s="47">
        <v>0</v>
      </c>
      <c r="T170" s="47">
        <v>0</v>
      </c>
      <c r="U170" s="47">
        <v>0</v>
      </c>
      <c r="V170" s="47">
        <v>0</v>
      </c>
      <c r="W170" s="33"/>
      <c r="X170" s="33"/>
      <c r="Y170" s="33"/>
      <c r="Z170" s="33"/>
      <c r="AA170" s="19">
        <f t="shared" si="2"/>
        <v>5.0000000000000001E-3</v>
      </c>
    </row>
    <row r="171" spans="1:27" x14ac:dyDescent="0.35">
      <c r="A171" s="18">
        <v>168</v>
      </c>
      <c r="B171" s="18" t="s">
        <v>115</v>
      </c>
      <c r="C171" s="18" t="s">
        <v>110</v>
      </c>
      <c r="D171" s="7" t="s">
        <v>683</v>
      </c>
      <c r="E171" s="7" t="s">
        <v>72</v>
      </c>
      <c r="F171" s="7"/>
      <c r="G171" s="7" t="s">
        <v>96</v>
      </c>
      <c r="H171" s="7"/>
      <c r="I171" s="7"/>
      <c r="J171" s="7"/>
      <c r="K171" s="7" t="s">
        <v>210</v>
      </c>
      <c r="L171" s="7" t="s">
        <v>485</v>
      </c>
      <c r="M171" s="7" t="s">
        <v>7</v>
      </c>
      <c r="N171" s="7"/>
      <c r="O171" s="47">
        <v>0</v>
      </c>
      <c r="P171" s="47">
        <v>5.0000000000000001E-3</v>
      </c>
      <c r="Q171" s="47">
        <v>0</v>
      </c>
      <c r="R171" s="47">
        <v>0</v>
      </c>
      <c r="S171" s="47">
        <v>0</v>
      </c>
      <c r="T171" s="47">
        <v>0</v>
      </c>
      <c r="U171" s="47">
        <v>0</v>
      </c>
      <c r="V171" s="47">
        <v>0</v>
      </c>
      <c r="W171" s="33"/>
      <c r="X171" s="33"/>
      <c r="Y171" s="33"/>
      <c r="Z171" s="33"/>
      <c r="AA171" s="19">
        <f t="shared" si="2"/>
        <v>5.0000000000000001E-3</v>
      </c>
    </row>
    <row r="172" spans="1:27" x14ac:dyDescent="0.35">
      <c r="A172" s="18">
        <v>169</v>
      </c>
      <c r="B172" s="18" t="s">
        <v>115</v>
      </c>
      <c r="C172" s="18" t="s">
        <v>110</v>
      </c>
      <c r="D172" s="7" t="s">
        <v>683</v>
      </c>
      <c r="E172" s="7" t="s">
        <v>72</v>
      </c>
      <c r="F172" s="7"/>
      <c r="G172" s="7" t="s">
        <v>96</v>
      </c>
      <c r="H172" s="7"/>
      <c r="I172" s="7"/>
      <c r="J172" s="7"/>
      <c r="K172" s="7" t="s">
        <v>214</v>
      </c>
      <c r="L172" s="7" t="s">
        <v>489</v>
      </c>
      <c r="M172" s="7" t="s">
        <v>7</v>
      </c>
      <c r="N172" s="7"/>
      <c r="O172" s="47">
        <v>0</v>
      </c>
      <c r="P172" s="47">
        <v>5.0000000000000001E-3</v>
      </c>
      <c r="Q172" s="47">
        <v>0</v>
      </c>
      <c r="R172" s="47">
        <v>0</v>
      </c>
      <c r="S172" s="47">
        <v>0</v>
      </c>
      <c r="T172" s="47">
        <v>0</v>
      </c>
      <c r="U172" s="47">
        <v>0</v>
      </c>
      <c r="V172" s="47">
        <v>0</v>
      </c>
      <c r="W172" s="33"/>
      <c r="X172" s="33"/>
      <c r="Y172" s="33"/>
      <c r="Z172" s="33"/>
      <c r="AA172" s="19">
        <f t="shared" si="2"/>
        <v>5.0000000000000001E-3</v>
      </c>
    </row>
    <row r="173" spans="1:27" x14ac:dyDescent="0.35">
      <c r="A173" s="18">
        <v>170</v>
      </c>
      <c r="B173" s="18" t="s">
        <v>115</v>
      </c>
      <c r="C173" s="18" t="s">
        <v>110</v>
      </c>
      <c r="D173" s="7" t="s">
        <v>683</v>
      </c>
      <c r="E173" s="7" t="s">
        <v>72</v>
      </c>
      <c r="F173" s="7"/>
      <c r="G173" s="7" t="s">
        <v>96</v>
      </c>
      <c r="H173" s="7"/>
      <c r="I173" s="7"/>
      <c r="J173" s="7"/>
      <c r="K173" s="7" t="s">
        <v>217</v>
      </c>
      <c r="L173" s="7" t="s">
        <v>490</v>
      </c>
      <c r="M173" s="7" t="s">
        <v>7</v>
      </c>
      <c r="N173" s="7"/>
      <c r="O173" s="47">
        <v>0</v>
      </c>
      <c r="P173" s="47">
        <v>5.0000000000000001E-3</v>
      </c>
      <c r="Q173" s="47">
        <v>0</v>
      </c>
      <c r="R173" s="47">
        <v>0</v>
      </c>
      <c r="S173" s="47">
        <v>0</v>
      </c>
      <c r="T173" s="47">
        <v>0</v>
      </c>
      <c r="U173" s="47">
        <v>0</v>
      </c>
      <c r="V173" s="47">
        <v>0</v>
      </c>
      <c r="W173" s="33"/>
      <c r="X173" s="33"/>
      <c r="Y173" s="33"/>
      <c r="Z173" s="33"/>
      <c r="AA173" s="19">
        <f t="shared" si="2"/>
        <v>5.0000000000000001E-3</v>
      </c>
    </row>
    <row r="174" spans="1:27" x14ac:dyDescent="0.35">
      <c r="A174" s="18">
        <v>171</v>
      </c>
      <c r="B174" s="18" t="s">
        <v>115</v>
      </c>
      <c r="C174" s="18" t="s">
        <v>110</v>
      </c>
      <c r="D174" s="7" t="s">
        <v>683</v>
      </c>
      <c r="E174" s="7" t="s">
        <v>72</v>
      </c>
      <c r="F174" s="7"/>
      <c r="G174" s="7" t="s">
        <v>96</v>
      </c>
      <c r="H174" s="7"/>
      <c r="I174" s="7"/>
      <c r="J174" s="7"/>
      <c r="K174" s="7" t="s">
        <v>218</v>
      </c>
      <c r="L174" s="7" t="s">
        <v>491</v>
      </c>
      <c r="M174" s="7" t="s">
        <v>7</v>
      </c>
      <c r="N174" s="7"/>
      <c r="O174" s="47">
        <v>0</v>
      </c>
      <c r="P174" s="47">
        <v>5.0000000000000001E-3</v>
      </c>
      <c r="Q174" s="47">
        <v>0</v>
      </c>
      <c r="R174" s="47">
        <v>0</v>
      </c>
      <c r="S174" s="47">
        <v>0</v>
      </c>
      <c r="T174" s="47">
        <v>0</v>
      </c>
      <c r="U174" s="47">
        <v>0</v>
      </c>
      <c r="V174" s="47">
        <v>0</v>
      </c>
      <c r="W174" s="33"/>
      <c r="X174" s="33"/>
      <c r="Y174" s="33"/>
      <c r="Z174" s="33"/>
      <c r="AA174" s="19">
        <f t="shared" si="2"/>
        <v>5.0000000000000001E-3</v>
      </c>
    </row>
  </sheetData>
  <mergeCells count="16">
    <mergeCell ref="M1:M2"/>
    <mergeCell ref="N1:N2"/>
    <mergeCell ref="O1:Z1"/>
    <mergeCell ref="AA1:AA2"/>
    <mergeCell ref="G1:G2"/>
    <mergeCell ref="H1:H2"/>
    <mergeCell ref="I1:I2"/>
    <mergeCell ref="J1:J2"/>
    <mergeCell ref="K1:K2"/>
    <mergeCell ref="L1:L2"/>
    <mergeCell ref="F1:F2"/>
    <mergeCell ref="A1:A2"/>
    <mergeCell ref="B1:B2"/>
    <mergeCell ref="C1:C2"/>
    <mergeCell ref="D1:D2"/>
    <mergeCell ref="E1:E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DC9B3-D838-43D3-BC10-52BB267D74FE}">
  <dimension ref="A1:G97"/>
  <sheetViews>
    <sheetView workbookViewId="0"/>
  </sheetViews>
  <sheetFormatPr defaultRowHeight="14.5" x14ac:dyDescent="0.35"/>
  <cols>
    <col min="1" max="1" width="9.75" bestFit="1" customWidth="1"/>
    <col min="2" max="2" width="32.25" bestFit="1" customWidth="1"/>
    <col min="3" max="3" width="10.75" bestFit="1" customWidth="1"/>
    <col min="5" max="5" width="9.75" bestFit="1" customWidth="1"/>
    <col min="6" max="6" width="32.25" bestFit="1" customWidth="1"/>
    <col min="7" max="7" width="10.75" bestFit="1" customWidth="1"/>
  </cols>
  <sheetData>
    <row r="1" spans="1:7" s="30" customFormat="1" ht="19.5" x14ac:dyDescent="0.45">
      <c r="A1" s="30" t="s">
        <v>687</v>
      </c>
    </row>
    <row r="2" spans="1:7" x14ac:dyDescent="0.35">
      <c r="A2" t="s">
        <v>688</v>
      </c>
      <c r="E2" t="s">
        <v>689</v>
      </c>
    </row>
    <row r="3" spans="1:7" x14ac:dyDescent="0.35">
      <c r="A3" s="74" t="s">
        <v>690</v>
      </c>
      <c r="B3" s="74" t="s">
        <v>691</v>
      </c>
      <c r="C3" s="74" t="s">
        <v>692</v>
      </c>
      <c r="E3" s="74" t="s">
        <v>690</v>
      </c>
      <c r="F3" s="74" t="s">
        <v>691</v>
      </c>
      <c r="G3" s="74" t="s">
        <v>692</v>
      </c>
    </row>
    <row r="4" spans="1:7" x14ac:dyDescent="0.35">
      <c r="A4" t="s">
        <v>167</v>
      </c>
      <c r="B4" t="s">
        <v>693</v>
      </c>
      <c r="C4" s="46">
        <v>244215.3</v>
      </c>
      <c r="E4" t="s">
        <v>694</v>
      </c>
      <c r="F4" t="s">
        <v>695</v>
      </c>
      <c r="G4" s="46">
        <v>9500</v>
      </c>
    </row>
    <row r="5" spans="1:7" x14ac:dyDescent="0.35">
      <c r="A5" t="s">
        <v>696</v>
      </c>
      <c r="B5" t="s">
        <v>697</v>
      </c>
      <c r="C5" s="46">
        <v>1100</v>
      </c>
      <c r="E5" t="s">
        <v>698</v>
      </c>
      <c r="F5" t="s">
        <v>699</v>
      </c>
      <c r="G5" s="46">
        <v>2500</v>
      </c>
    </row>
    <row r="6" spans="1:7" x14ac:dyDescent="0.35">
      <c r="A6" t="s">
        <v>168</v>
      </c>
      <c r="B6" t="s">
        <v>700</v>
      </c>
      <c r="C6" s="46">
        <v>899603.8</v>
      </c>
      <c r="E6" t="s">
        <v>701</v>
      </c>
      <c r="F6" t="s">
        <v>702</v>
      </c>
      <c r="G6" s="46">
        <v>2609</v>
      </c>
    </row>
    <row r="7" spans="1:7" x14ac:dyDescent="0.35">
      <c r="A7" t="s">
        <v>169</v>
      </c>
      <c r="B7" t="s">
        <v>703</v>
      </c>
      <c r="C7" s="46">
        <v>40135</v>
      </c>
      <c r="E7" t="s">
        <v>704</v>
      </c>
      <c r="F7" t="s">
        <v>705</v>
      </c>
      <c r="G7" s="46">
        <v>359115</v>
      </c>
    </row>
    <row r="8" spans="1:7" x14ac:dyDescent="0.35">
      <c r="A8" t="s">
        <v>170</v>
      </c>
      <c r="B8" t="s">
        <v>706</v>
      </c>
      <c r="C8" s="46">
        <v>71220.7</v>
      </c>
      <c r="E8" t="s">
        <v>707</v>
      </c>
      <c r="F8" t="s">
        <v>708</v>
      </c>
      <c r="G8" s="46">
        <v>134400</v>
      </c>
    </row>
    <row r="9" spans="1:7" x14ac:dyDescent="0.35">
      <c r="A9" t="s">
        <v>709</v>
      </c>
      <c r="B9" t="s">
        <v>710</v>
      </c>
      <c r="C9" s="46">
        <v>13888.1</v>
      </c>
      <c r="E9" t="s">
        <v>711</v>
      </c>
      <c r="F9" t="s">
        <v>712</v>
      </c>
      <c r="G9" s="46">
        <v>39051.5</v>
      </c>
    </row>
    <row r="10" spans="1:7" x14ac:dyDescent="0.35">
      <c r="A10" t="s">
        <v>713</v>
      </c>
      <c r="B10" t="s">
        <v>714</v>
      </c>
      <c r="C10" s="46">
        <v>9199.7999999999993</v>
      </c>
      <c r="E10" t="s">
        <v>715</v>
      </c>
      <c r="F10" t="s">
        <v>716</v>
      </c>
      <c r="G10" s="46">
        <v>1.9</v>
      </c>
    </row>
    <row r="11" spans="1:7" x14ac:dyDescent="0.35">
      <c r="A11" t="s">
        <v>184</v>
      </c>
      <c r="B11" t="s">
        <v>717</v>
      </c>
      <c r="C11" s="46">
        <v>801631.6</v>
      </c>
      <c r="E11" t="s">
        <v>718</v>
      </c>
      <c r="F11" t="s">
        <v>719</v>
      </c>
      <c r="G11" s="46">
        <v>1118</v>
      </c>
    </row>
    <row r="12" spans="1:7" x14ac:dyDescent="0.35">
      <c r="A12" t="s">
        <v>185</v>
      </c>
      <c r="B12" t="s">
        <v>720</v>
      </c>
      <c r="C12" s="46">
        <v>110733.5</v>
      </c>
      <c r="E12" t="s">
        <v>721</v>
      </c>
      <c r="F12" t="s">
        <v>722</v>
      </c>
      <c r="G12" s="46">
        <v>60</v>
      </c>
    </row>
    <row r="13" spans="1:7" x14ac:dyDescent="0.35">
      <c r="A13" t="s">
        <v>723</v>
      </c>
      <c r="B13" t="s">
        <v>724</v>
      </c>
      <c r="C13" s="46">
        <v>15246</v>
      </c>
      <c r="E13" t="s">
        <v>725</v>
      </c>
      <c r="F13" t="s">
        <v>726</v>
      </c>
      <c r="G13" s="46">
        <v>291</v>
      </c>
    </row>
    <row r="14" spans="1:7" x14ac:dyDescent="0.35">
      <c r="A14" t="s">
        <v>727</v>
      </c>
      <c r="B14" t="s">
        <v>728</v>
      </c>
      <c r="C14" s="46">
        <v>39525</v>
      </c>
      <c r="E14" t="s">
        <v>729</v>
      </c>
      <c r="F14" t="s">
        <v>730</v>
      </c>
      <c r="G14" s="46">
        <v>66754</v>
      </c>
    </row>
    <row r="15" spans="1:7" x14ac:dyDescent="0.35">
      <c r="A15" t="s">
        <v>171</v>
      </c>
      <c r="B15" t="s">
        <v>731</v>
      </c>
      <c r="C15" s="46">
        <v>550557.80000000005</v>
      </c>
      <c r="E15" t="s">
        <v>732</v>
      </c>
      <c r="F15" t="s">
        <v>733</v>
      </c>
      <c r="G15" s="46">
        <v>77045</v>
      </c>
    </row>
    <row r="16" spans="1:7" x14ac:dyDescent="0.35">
      <c r="A16" t="s">
        <v>172</v>
      </c>
      <c r="B16" t="s">
        <v>734</v>
      </c>
      <c r="C16" s="46">
        <v>207736.3</v>
      </c>
      <c r="E16" t="s">
        <v>735</v>
      </c>
      <c r="F16" t="s">
        <v>736</v>
      </c>
      <c r="G16" s="46">
        <v>60588</v>
      </c>
    </row>
    <row r="17" spans="1:7" x14ac:dyDescent="0.35">
      <c r="A17" t="s">
        <v>173</v>
      </c>
      <c r="B17" t="s">
        <v>737</v>
      </c>
      <c r="C17" s="46">
        <v>42399.5</v>
      </c>
      <c r="E17" t="s">
        <v>738</v>
      </c>
      <c r="F17" t="s">
        <v>739</v>
      </c>
      <c r="G17" s="46">
        <v>38850</v>
      </c>
    </row>
    <row r="18" spans="1:7" x14ac:dyDescent="0.35">
      <c r="A18" t="s">
        <v>174</v>
      </c>
      <c r="B18" t="s">
        <v>740</v>
      </c>
      <c r="C18" s="46">
        <v>874115.25</v>
      </c>
      <c r="E18" t="s">
        <v>741</v>
      </c>
      <c r="F18" t="s">
        <v>742</v>
      </c>
      <c r="G18" s="46">
        <v>135752</v>
      </c>
    </row>
    <row r="19" spans="1:7" x14ac:dyDescent="0.35">
      <c r="A19" t="s">
        <v>194</v>
      </c>
      <c r="B19" t="s">
        <v>743</v>
      </c>
      <c r="C19" s="46">
        <v>11692.5</v>
      </c>
      <c r="E19" t="s">
        <v>744</v>
      </c>
      <c r="F19" t="s">
        <v>745</v>
      </c>
      <c r="G19" s="46">
        <v>9863</v>
      </c>
    </row>
    <row r="20" spans="1:7" x14ac:dyDescent="0.35">
      <c r="A20" t="s">
        <v>195</v>
      </c>
      <c r="B20" t="s">
        <v>746</v>
      </c>
      <c r="C20" s="46">
        <v>1140</v>
      </c>
      <c r="E20" t="s">
        <v>747</v>
      </c>
      <c r="F20" t="s">
        <v>748</v>
      </c>
      <c r="G20" s="46">
        <v>193977</v>
      </c>
    </row>
    <row r="21" spans="1:7" x14ac:dyDescent="0.35">
      <c r="A21" t="s">
        <v>196</v>
      </c>
      <c r="B21" t="s">
        <v>749</v>
      </c>
      <c r="C21" s="46">
        <v>248247.9</v>
      </c>
      <c r="E21" t="s">
        <v>750</v>
      </c>
      <c r="F21" t="s">
        <v>751</v>
      </c>
      <c r="G21" s="46">
        <v>12431.3</v>
      </c>
    </row>
    <row r="22" spans="1:7" x14ac:dyDescent="0.35">
      <c r="A22" t="s">
        <v>197</v>
      </c>
      <c r="B22" t="s">
        <v>752</v>
      </c>
      <c r="C22" s="46">
        <v>53925</v>
      </c>
      <c r="E22" t="s">
        <v>753</v>
      </c>
      <c r="F22" t="s">
        <v>754</v>
      </c>
      <c r="G22" s="46">
        <v>8143.1</v>
      </c>
    </row>
    <row r="23" spans="1:7" x14ac:dyDescent="0.35">
      <c r="A23" t="s">
        <v>198</v>
      </c>
      <c r="B23" t="s">
        <v>755</v>
      </c>
      <c r="C23" s="46">
        <v>61036.4</v>
      </c>
      <c r="E23" t="s">
        <v>756</v>
      </c>
      <c r="F23" t="s">
        <v>757</v>
      </c>
      <c r="G23" s="46">
        <v>73493</v>
      </c>
    </row>
    <row r="24" spans="1:7" x14ac:dyDescent="0.35">
      <c r="A24" t="s">
        <v>199</v>
      </c>
      <c r="B24" t="s">
        <v>758</v>
      </c>
      <c r="C24" s="46">
        <v>22997</v>
      </c>
      <c r="E24" t="s">
        <v>759</v>
      </c>
      <c r="F24" t="s">
        <v>760</v>
      </c>
      <c r="G24" s="46">
        <v>14220</v>
      </c>
    </row>
    <row r="25" spans="1:7" x14ac:dyDescent="0.35">
      <c r="A25" t="s">
        <v>761</v>
      </c>
      <c r="B25" t="s">
        <v>762</v>
      </c>
      <c r="C25" s="46">
        <v>719</v>
      </c>
      <c r="E25" t="s">
        <v>763</v>
      </c>
      <c r="F25" t="s">
        <v>764</v>
      </c>
      <c r="G25" s="46">
        <v>12607.5</v>
      </c>
    </row>
    <row r="26" spans="1:7" x14ac:dyDescent="0.35">
      <c r="A26" t="s">
        <v>765</v>
      </c>
      <c r="B26" t="s">
        <v>766</v>
      </c>
      <c r="C26" s="46">
        <v>2677.8</v>
      </c>
      <c r="E26" t="s">
        <v>767</v>
      </c>
      <c r="F26" t="s">
        <v>768</v>
      </c>
      <c r="G26" s="46">
        <v>397</v>
      </c>
    </row>
    <row r="27" spans="1:7" x14ac:dyDescent="0.35">
      <c r="A27" t="s">
        <v>769</v>
      </c>
      <c r="B27" t="s">
        <v>770</v>
      </c>
      <c r="C27" s="46">
        <v>2.5</v>
      </c>
      <c r="E27" t="s">
        <v>771</v>
      </c>
      <c r="F27" t="s">
        <v>772</v>
      </c>
      <c r="G27" s="46">
        <v>5405</v>
      </c>
    </row>
    <row r="28" spans="1:7" x14ac:dyDescent="0.35">
      <c r="A28" t="s">
        <v>773</v>
      </c>
      <c r="B28" t="s">
        <v>774</v>
      </c>
      <c r="C28" s="46">
        <v>0.25</v>
      </c>
      <c r="E28" t="s">
        <v>775</v>
      </c>
      <c r="F28" t="s">
        <v>776</v>
      </c>
      <c r="G28" s="46">
        <v>1827</v>
      </c>
    </row>
    <row r="29" spans="1:7" x14ac:dyDescent="0.35">
      <c r="A29" t="s">
        <v>777</v>
      </c>
      <c r="B29" t="s">
        <v>778</v>
      </c>
      <c r="C29" s="46">
        <v>4374.8999999999996</v>
      </c>
      <c r="E29" t="s">
        <v>779</v>
      </c>
      <c r="F29" t="s">
        <v>780</v>
      </c>
      <c r="G29" s="46">
        <v>11150</v>
      </c>
    </row>
    <row r="30" spans="1:7" x14ac:dyDescent="0.35">
      <c r="A30" t="s">
        <v>186</v>
      </c>
      <c r="B30" t="s">
        <v>781</v>
      </c>
      <c r="C30" s="46">
        <v>316338.7</v>
      </c>
      <c r="E30" t="s">
        <v>782</v>
      </c>
      <c r="F30" t="s">
        <v>783</v>
      </c>
      <c r="G30" s="46">
        <v>18698</v>
      </c>
    </row>
    <row r="31" spans="1:7" x14ac:dyDescent="0.35">
      <c r="A31" t="s">
        <v>784</v>
      </c>
      <c r="B31" t="s">
        <v>785</v>
      </c>
      <c r="C31" s="46">
        <v>2200</v>
      </c>
      <c r="E31" t="s">
        <v>786</v>
      </c>
      <c r="F31" t="s">
        <v>787</v>
      </c>
      <c r="G31" s="46">
        <v>9114</v>
      </c>
    </row>
    <row r="32" spans="1:7" x14ac:dyDescent="0.35">
      <c r="A32" t="s">
        <v>788</v>
      </c>
      <c r="B32" t="s">
        <v>789</v>
      </c>
      <c r="C32" s="46">
        <v>449900</v>
      </c>
      <c r="E32" t="s">
        <v>790</v>
      </c>
      <c r="F32" t="s">
        <v>791</v>
      </c>
      <c r="G32" s="46">
        <v>2450</v>
      </c>
    </row>
    <row r="33" spans="1:7" x14ac:dyDescent="0.35">
      <c r="A33" t="s">
        <v>792</v>
      </c>
      <c r="B33" t="s">
        <v>793</v>
      </c>
      <c r="C33" s="46">
        <v>904200</v>
      </c>
      <c r="E33" t="s">
        <v>794</v>
      </c>
      <c r="F33" t="s">
        <v>795</v>
      </c>
      <c r="G33" s="46">
        <v>43608</v>
      </c>
    </row>
    <row r="34" spans="1:7" x14ac:dyDescent="0.35">
      <c r="A34" t="s">
        <v>796</v>
      </c>
      <c r="B34" t="s">
        <v>797</v>
      </c>
      <c r="C34" s="46">
        <v>94962.3</v>
      </c>
      <c r="E34" t="s">
        <v>798</v>
      </c>
      <c r="F34" t="s">
        <v>799</v>
      </c>
      <c r="G34" s="46">
        <v>500</v>
      </c>
    </row>
    <row r="35" spans="1:7" x14ac:dyDescent="0.35">
      <c r="A35" t="s">
        <v>181</v>
      </c>
      <c r="B35" t="s">
        <v>800</v>
      </c>
      <c r="C35" s="46">
        <v>2530</v>
      </c>
      <c r="E35" t="s">
        <v>801</v>
      </c>
      <c r="F35" t="s">
        <v>802</v>
      </c>
      <c r="G35" s="46">
        <v>500</v>
      </c>
    </row>
    <row r="36" spans="1:7" x14ac:dyDescent="0.35">
      <c r="A36" t="s">
        <v>803</v>
      </c>
      <c r="B36" t="s">
        <v>804</v>
      </c>
      <c r="C36" s="46">
        <v>95700</v>
      </c>
      <c r="E36" t="s">
        <v>805</v>
      </c>
      <c r="F36" t="s">
        <v>806</v>
      </c>
      <c r="G36" s="46">
        <v>2995</v>
      </c>
    </row>
    <row r="37" spans="1:7" x14ac:dyDescent="0.35">
      <c r="A37" t="s">
        <v>807</v>
      </c>
      <c r="B37" t="s">
        <v>808</v>
      </c>
      <c r="C37" s="46">
        <v>198460.5</v>
      </c>
      <c r="E37" t="s">
        <v>809</v>
      </c>
      <c r="F37" t="s">
        <v>810</v>
      </c>
      <c r="G37" s="46">
        <v>255</v>
      </c>
    </row>
    <row r="38" spans="1:7" x14ac:dyDescent="0.35">
      <c r="A38" t="s">
        <v>811</v>
      </c>
      <c r="B38" t="s">
        <v>812</v>
      </c>
      <c r="C38" s="46">
        <v>66000</v>
      </c>
      <c r="E38" t="s">
        <v>813</v>
      </c>
      <c r="F38" t="s">
        <v>814</v>
      </c>
      <c r="G38" s="46">
        <v>255</v>
      </c>
    </row>
    <row r="39" spans="1:7" x14ac:dyDescent="0.35">
      <c r="A39" t="s">
        <v>815</v>
      </c>
      <c r="B39" t="s">
        <v>816</v>
      </c>
      <c r="C39" s="46">
        <v>21978.6</v>
      </c>
      <c r="E39" t="s">
        <v>817</v>
      </c>
      <c r="F39" t="s">
        <v>818</v>
      </c>
      <c r="G39" s="46">
        <v>114618.9</v>
      </c>
    </row>
    <row r="40" spans="1:7" x14ac:dyDescent="0.35">
      <c r="A40" t="s">
        <v>208</v>
      </c>
      <c r="B40" t="s">
        <v>819</v>
      </c>
      <c r="C40" s="46">
        <v>3570</v>
      </c>
      <c r="E40" t="s">
        <v>820</v>
      </c>
      <c r="F40" t="s">
        <v>821</v>
      </c>
      <c r="G40" s="46">
        <v>294955</v>
      </c>
    </row>
    <row r="41" spans="1:7" x14ac:dyDescent="0.35">
      <c r="A41" t="s">
        <v>209</v>
      </c>
      <c r="B41" t="s">
        <v>822</v>
      </c>
      <c r="C41" s="46">
        <v>46750</v>
      </c>
      <c r="E41" t="s">
        <v>823</v>
      </c>
      <c r="F41" t="s">
        <v>824</v>
      </c>
      <c r="G41" s="46">
        <v>730</v>
      </c>
    </row>
    <row r="42" spans="1:7" x14ac:dyDescent="0.35">
      <c r="A42" t="s">
        <v>825</v>
      </c>
      <c r="B42" t="s">
        <v>826</v>
      </c>
      <c r="C42" s="46">
        <v>2280</v>
      </c>
      <c r="E42" t="s">
        <v>827</v>
      </c>
      <c r="F42" t="s">
        <v>828</v>
      </c>
      <c r="G42" s="46">
        <v>600</v>
      </c>
    </row>
    <row r="43" spans="1:7" x14ac:dyDescent="0.35">
      <c r="A43" t="s">
        <v>829</v>
      </c>
      <c r="B43" t="s">
        <v>830</v>
      </c>
      <c r="C43" s="46">
        <v>2</v>
      </c>
      <c r="E43" t="s">
        <v>831</v>
      </c>
      <c r="F43" t="s">
        <v>832</v>
      </c>
      <c r="G43" s="46">
        <v>27794</v>
      </c>
    </row>
    <row r="44" spans="1:7" x14ac:dyDescent="0.35">
      <c r="A44" t="s">
        <v>210</v>
      </c>
      <c r="B44" t="s">
        <v>833</v>
      </c>
      <c r="C44" s="46">
        <v>69.400000000000006</v>
      </c>
      <c r="E44" t="s">
        <v>834</v>
      </c>
      <c r="F44" t="s">
        <v>835</v>
      </c>
      <c r="G44" s="46">
        <v>1667</v>
      </c>
    </row>
    <row r="45" spans="1:7" x14ac:dyDescent="0.35">
      <c r="A45" t="s">
        <v>211</v>
      </c>
      <c r="B45" t="s">
        <v>836</v>
      </c>
      <c r="C45" s="46">
        <v>3700</v>
      </c>
      <c r="E45" t="s">
        <v>837</v>
      </c>
      <c r="F45" t="s">
        <v>838</v>
      </c>
      <c r="G45" s="46">
        <v>325</v>
      </c>
    </row>
    <row r="46" spans="1:7" x14ac:dyDescent="0.35">
      <c r="A46" t="s">
        <v>839</v>
      </c>
      <c r="B46" t="s">
        <v>840</v>
      </c>
      <c r="C46" s="46">
        <v>299.5</v>
      </c>
      <c r="E46" t="s">
        <v>841</v>
      </c>
      <c r="F46" t="s">
        <v>842</v>
      </c>
      <c r="G46" s="46">
        <v>77075</v>
      </c>
    </row>
    <row r="47" spans="1:7" x14ac:dyDescent="0.35">
      <c r="A47" t="s">
        <v>200</v>
      </c>
      <c r="B47" t="s">
        <v>470</v>
      </c>
      <c r="C47" s="46">
        <v>198708</v>
      </c>
      <c r="E47" t="s">
        <v>843</v>
      </c>
      <c r="F47" t="s">
        <v>844</v>
      </c>
      <c r="G47" s="46">
        <v>10575</v>
      </c>
    </row>
    <row r="48" spans="1:7" x14ac:dyDescent="0.35">
      <c r="A48" t="s">
        <v>201</v>
      </c>
      <c r="B48" t="s">
        <v>471</v>
      </c>
      <c r="C48" s="46">
        <v>637944.19999999995</v>
      </c>
      <c r="E48" t="s">
        <v>845</v>
      </c>
      <c r="F48" t="s">
        <v>846</v>
      </c>
      <c r="G48" s="46">
        <v>7358.9</v>
      </c>
    </row>
    <row r="49" spans="1:7" x14ac:dyDescent="0.35">
      <c r="A49" t="s">
        <v>202</v>
      </c>
      <c r="B49" t="s">
        <v>473</v>
      </c>
      <c r="C49" s="46">
        <v>52530</v>
      </c>
      <c r="E49" t="s">
        <v>847</v>
      </c>
      <c r="F49" t="s">
        <v>848</v>
      </c>
      <c r="G49" s="46">
        <v>96531.5</v>
      </c>
    </row>
    <row r="50" spans="1:7" x14ac:dyDescent="0.35">
      <c r="A50" t="s">
        <v>203</v>
      </c>
      <c r="B50" t="s">
        <v>472</v>
      </c>
      <c r="C50" s="46">
        <v>28372.7</v>
      </c>
      <c r="E50" t="s">
        <v>849</v>
      </c>
      <c r="F50" t="s">
        <v>850</v>
      </c>
      <c r="G50" s="46">
        <v>4081</v>
      </c>
    </row>
    <row r="51" spans="1:7" x14ac:dyDescent="0.35">
      <c r="A51" t="s">
        <v>204</v>
      </c>
      <c r="B51" t="s">
        <v>474</v>
      </c>
      <c r="C51" s="46">
        <v>75674</v>
      </c>
      <c r="E51" t="s">
        <v>851</v>
      </c>
      <c r="F51" t="s">
        <v>852</v>
      </c>
      <c r="G51" s="46">
        <v>1110</v>
      </c>
    </row>
    <row r="52" spans="1:7" x14ac:dyDescent="0.35">
      <c r="A52" t="s">
        <v>205</v>
      </c>
      <c r="B52" t="s">
        <v>475</v>
      </c>
      <c r="C52" s="46">
        <v>41215</v>
      </c>
      <c r="E52" t="s">
        <v>853</v>
      </c>
      <c r="F52" t="s">
        <v>854</v>
      </c>
      <c r="G52" s="46">
        <v>980</v>
      </c>
    </row>
    <row r="53" spans="1:7" x14ac:dyDescent="0.35">
      <c r="A53" t="s">
        <v>206</v>
      </c>
      <c r="B53" t="s">
        <v>476</v>
      </c>
      <c r="C53" s="46">
        <v>133674.5</v>
      </c>
      <c r="E53" t="s">
        <v>855</v>
      </c>
      <c r="F53" t="s">
        <v>856</v>
      </c>
      <c r="G53" s="46">
        <v>11949</v>
      </c>
    </row>
    <row r="54" spans="1:7" x14ac:dyDescent="0.35">
      <c r="A54" t="s">
        <v>212</v>
      </c>
      <c r="B54" t="s">
        <v>481</v>
      </c>
      <c r="C54" s="46">
        <v>52440</v>
      </c>
      <c r="E54" t="s">
        <v>857</v>
      </c>
      <c r="F54" t="s">
        <v>858</v>
      </c>
      <c r="G54" s="46">
        <v>120</v>
      </c>
    </row>
    <row r="55" spans="1:7" x14ac:dyDescent="0.35">
      <c r="A55" t="s">
        <v>859</v>
      </c>
      <c r="B55" t="s">
        <v>860</v>
      </c>
      <c r="C55" s="46">
        <v>2250</v>
      </c>
      <c r="E55" t="s">
        <v>861</v>
      </c>
      <c r="F55" t="s">
        <v>862</v>
      </c>
      <c r="G55" s="46">
        <v>29566</v>
      </c>
    </row>
    <row r="56" spans="1:7" x14ac:dyDescent="0.35">
      <c r="A56" t="s">
        <v>213</v>
      </c>
      <c r="B56" t="s">
        <v>493</v>
      </c>
      <c r="C56" s="46">
        <v>141072</v>
      </c>
      <c r="E56" t="s">
        <v>863</v>
      </c>
      <c r="F56" t="s">
        <v>864</v>
      </c>
      <c r="G56" s="46">
        <v>715</v>
      </c>
    </row>
    <row r="57" spans="1:7" x14ac:dyDescent="0.35">
      <c r="A57" t="s">
        <v>865</v>
      </c>
      <c r="B57" t="s">
        <v>866</v>
      </c>
      <c r="C57" s="46">
        <v>750</v>
      </c>
      <c r="E57" t="s">
        <v>867</v>
      </c>
      <c r="F57" t="s">
        <v>868</v>
      </c>
      <c r="G57" s="46">
        <v>755</v>
      </c>
    </row>
    <row r="58" spans="1:7" x14ac:dyDescent="0.35">
      <c r="A58" t="s">
        <v>187</v>
      </c>
      <c r="B58" t="s">
        <v>869</v>
      </c>
      <c r="C58" s="46">
        <v>177509.5</v>
      </c>
      <c r="E58" t="s">
        <v>870</v>
      </c>
      <c r="F58" t="s">
        <v>871</v>
      </c>
      <c r="G58" s="46">
        <v>1244</v>
      </c>
    </row>
    <row r="59" spans="1:7" x14ac:dyDescent="0.35">
      <c r="A59" t="s">
        <v>188</v>
      </c>
      <c r="B59" t="s">
        <v>872</v>
      </c>
      <c r="C59" s="46">
        <v>20585</v>
      </c>
      <c r="E59" t="s">
        <v>873</v>
      </c>
      <c r="F59" t="s">
        <v>874</v>
      </c>
      <c r="G59" s="46">
        <v>9355</v>
      </c>
    </row>
    <row r="60" spans="1:7" x14ac:dyDescent="0.35">
      <c r="A60" t="s">
        <v>875</v>
      </c>
      <c r="B60" t="s">
        <v>876</v>
      </c>
      <c r="C60" s="46">
        <v>19324.5</v>
      </c>
      <c r="E60" t="s">
        <v>877</v>
      </c>
      <c r="F60" t="s">
        <v>878</v>
      </c>
      <c r="G60" s="46">
        <v>975</v>
      </c>
    </row>
    <row r="61" spans="1:7" x14ac:dyDescent="0.35">
      <c r="A61" t="s">
        <v>879</v>
      </c>
      <c r="B61" t="s">
        <v>880</v>
      </c>
      <c r="C61" s="46">
        <v>104180</v>
      </c>
      <c r="E61" t="s">
        <v>881</v>
      </c>
      <c r="F61" t="s">
        <v>882</v>
      </c>
      <c r="G61" s="46">
        <v>2500</v>
      </c>
    </row>
    <row r="62" spans="1:7" x14ac:dyDescent="0.35">
      <c r="A62" t="s">
        <v>883</v>
      </c>
      <c r="B62" t="s">
        <v>884</v>
      </c>
      <c r="C62" s="46">
        <v>1072.5</v>
      </c>
      <c r="E62" t="s">
        <v>885</v>
      </c>
      <c r="F62" t="s">
        <v>886</v>
      </c>
      <c r="G62" s="46">
        <v>3802</v>
      </c>
    </row>
    <row r="63" spans="1:7" x14ac:dyDescent="0.35">
      <c r="A63" t="s">
        <v>887</v>
      </c>
      <c r="B63" t="s">
        <v>888</v>
      </c>
      <c r="C63" s="46">
        <v>37400</v>
      </c>
      <c r="E63" t="s">
        <v>889</v>
      </c>
      <c r="F63" t="s">
        <v>890</v>
      </c>
      <c r="G63" s="46">
        <v>34062</v>
      </c>
    </row>
    <row r="64" spans="1:7" x14ac:dyDescent="0.35">
      <c r="A64" t="s">
        <v>891</v>
      </c>
      <c r="B64" t="s">
        <v>892</v>
      </c>
      <c r="C64" s="46">
        <v>1370</v>
      </c>
      <c r="E64" t="s">
        <v>893</v>
      </c>
      <c r="F64" t="s">
        <v>894</v>
      </c>
      <c r="G64" s="46">
        <v>5900</v>
      </c>
    </row>
    <row r="65" spans="1:7" x14ac:dyDescent="0.35">
      <c r="A65" t="s">
        <v>189</v>
      </c>
      <c r="B65" t="s">
        <v>895</v>
      </c>
      <c r="C65" s="46">
        <v>2</v>
      </c>
      <c r="E65" t="s">
        <v>896</v>
      </c>
      <c r="F65" t="s">
        <v>897</v>
      </c>
      <c r="G65" s="46">
        <v>7500</v>
      </c>
    </row>
    <row r="66" spans="1:7" x14ac:dyDescent="0.35">
      <c r="A66" t="s">
        <v>898</v>
      </c>
      <c r="B66" t="s">
        <v>899</v>
      </c>
      <c r="C66" s="46">
        <v>6875</v>
      </c>
      <c r="E66" t="s">
        <v>900</v>
      </c>
      <c r="F66" t="s">
        <v>901</v>
      </c>
      <c r="G66" s="46">
        <v>48394</v>
      </c>
    </row>
    <row r="67" spans="1:7" x14ac:dyDescent="0.35">
      <c r="A67" t="s">
        <v>214</v>
      </c>
      <c r="B67" t="s">
        <v>902</v>
      </c>
      <c r="C67" s="46">
        <v>2158.5</v>
      </c>
      <c r="E67" t="s">
        <v>903</v>
      </c>
      <c r="F67" t="s">
        <v>904</v>
      </c>
      <c r="G67" s="46">
        <v>6341</v>
      </c>
    </row>
    <row r="68" spans="1:7" x14ac:dyDescent="0.35">
      <c r="A68" t="s">
        <v>182</v>
      </c>
      <c r="B68" t="s">
        <v>905</v>
      </c>
      <c r="C68" s="46">
        <v>488400.7</v>
      </c>
      <c r="E68" t="s">
        <v>906</v>
      </c>
      <c r="F68" t="s">
        <v>907</v>
      </c>
      <c r="G68" s="46">
        <v>8070</v>
      </c>
    </row>
    <row r="69" spans="1:7" x14ac:dyDescent="0.35">
      <c r="A69" t="s">
        <v>908</v>
      </c>
      <c r="B69" t="s">
        <v>909</v>
      </c>
      <c r="C69" s="46">
        <v>197</v>
      </c>
      <c r="E69" t="s">
        <v>910</v>
      </c>
      <c r="F69" t="s">
        <v>911</v>
      </c>
      <c r="G69" s="46">
        <v>247</v>
      </c>
    </row>
    <row r="70" spans="1:7" x14ac:dyDescent="0.35">
      <c r="A70" t="s">
        <v>912</v>
      </c>
      <c r="B70" t="s">
        <v>913</v>
      </c>
      <c r="C70" s="46">
        <v>158</v>
      </c>
      <c r="E70" t="s">
        <v>914</v>
      </c>
      <c r="F70" t="s">
        <v>915</v>
      </c>
      <c r="G70" s="46">
        <v>327</v>
      </c>
    </row>
    <row r="71" spans="1:7" x14ac:dyDescent="0.35">
      <c r="A71" t="s">
        <v>916</v>
      </c>
      <c r="B71" t="s">
        <v>917</v>
      </c>
      <c r="C71" s="46">
        <v>765.6</v>
      </c>
      <c r="E71" t="s">
        <v>918</v>
      </c>
      <c r="F71" t="s">
        <v>919</v>
      </c>
      <c r="G71" s="46">
        <v>558</v>
      </c>
    </row>
    <row r="72" spans="1:7" x14ac:dyDescent="0.35">
      <c r="A72" t="s">
        <v>920</v>
      </c>
      <c r="B72" t="s">
        <v>921</v>
      </c>
      <c r="C72" s="46">
        <v>37000</v>
      </c>
      <c r="E72" t="s">
        <v>922</v>
      </c>
      <c r="F72" t="s">
        <v>923</v>
      </c>
      <c r="G72" s="46">
        <v>862</v>
      </c>
    </row>
    <row r="73" spans="1:7" x14ac:dyDescent="0.35">
      <c r="A73" t="s">
        <v>183</v>
      </c>
      <c r="B73" t="s">
        <v>924</v>
      </c>
      <c r="C73" s="46">
        <v>23723.7</v>
      </c>
      <c r="E73" t="s">
        <v>925</v>
      </c>
      <c r="F73" t="s">
        <v>926</v>
      </c>
      <c r="G73" s="46">
        <v>582</v>
      </c>
    </row>
    <row r="74" spans="1:7" x14ac:dyDescent="0.35">
      <c r="A74" t="s">
        <v>927</v>
      </c>
      <c r="B74" t="s">
        <v>928</v>
      </c>
      <c r="C74" s="46">
        <v>31900</v>
      </c>
      <c r="E74" t="s">
        <v>929</v>
      </c>
      <c r="F74" t="s">
        <v>930</v>
      </c>
      <c r="G74" s="46">
        <v>5500</v>
      </c>
    </row>
    <row r="75" spans="1:7" x14ac:dyDescent="0.35">
      <c r="A75" t="s">
        <v>931</v>
      </c>
      <c r="B75" t="s">
        <v>932</v>
      </c>
      <c r="C75" s="46">
        <v>7200</v>
      </c>
      <c r="E75" t="s">
        <v>933</v>
      </c>
      <c r="F75" t="s">
        <v>934</v>
      </c>
      <c r="G75" s="46">
        <v>18134</v>
      </c>
    </row>
    <row r="76" spans="1:7" x14ac:dyDescent="0.35">
      <c r="A76" t="s">
        <v>216</v>
      </c>
      <c r="B76" t="s">
        <v>935</v>
      </c>
      <c r="C76" s="46">
        <v>26698</v>
      </c>
      <c r="E76" t="s">
        <v>936</v>
      </c>
      <c r="F76" t="s">
        <v>937</v>
      </c>
      <c r="G76" s="46">
        <v>500</v>
      </c>
    </row>
    <row r="77" spans="1:7" x14ac:dyDescent="0.35">
      <c r="A77" t="s">
        <v>217</v>
      </c>
      <c r="B77" t="s">
        <v>938</v>
      </c>
      <c r="C77" s="46">
        <v>14223.8</v>
      </c>
      <c r="E77" t="s">
        <v>939</v>
      </c>
      <c r="F77" t="s">
        <v>940</v>
      </c>
      <c r="G77" s="46">
        <v>1890</v>
      </c>
    </row>
    <row r="78" spans="1:7" x14ac:dyDescent="0.35">
      <c r="A78" t="s">
        <v>191</v>
      </c>
      <c r="B78" t="s">
        <v>941</v>
      </c>
      <c r="C78" s="46">
        <v>400987.5</v>
      </c>
      <c r="E78" t="s">
        <v>942</v>
      </c>
      <c r="F78" t="s">
        <v>943</v>
      </c>
      <c r="G78" s="46">
        <v>2730</v>
      </c>
    </row>
    <row r="79" spans="1:7" x14ac:dyDescent="0.35">
      <c r="A79" t="s">
        <v>218</v>
      </c>
      <c r="B79" t="s">
        <v>944</v>
      </c>
      <c r="C79" s="46">
        <v>5309.2</v>
      </c>
      <c r="E79" t="s">
        <v>945</v>
      </c>
      <c r="F79" t="s">
        <v>946</v>
      </c>
      <c r="G79" s="46">
        <v>13900</v>
      </c>
    </row>
    <row r="80" spans="1:7" x14ac:dyDescent="0.35">
      <c r="A80" t="s">
        <v>175</v>
      </c>
      <c r="B80" t="s">
        <v>947</v>
      </c>
      <c r="C80" s="46">
        <v>118270</v>
      </c>
      <c r="E80" t="s">
        <v>948</v>
      </c>
      <c r="F80" t="s">
        <v>949</v>
      </c>
      <c r="G80" s="46">
        <v>16587</v>
      </c>
    </row>
    <row r="81" spans="1:7" x14ac:dyDescent="0.35">
      <c r="A81" t="s">
        <v>950</v>
      </c>
      <c r="B81" t="s">
        <v>951</v>
      </c>
      <c r="C81" s="46">
        <v>147386.5</v>
      </c>
      <c r="E81" t="s">
        <v>952</v>
      </c>
      <c r="F81" t="s">
        <v>953</v>
      </c>
      <c r="G81" s="46">
        <v>1100</v>
      </c>
    </row>
    <row r="82" spans="1:7" x14ac:dyDescent="0.35">
      <c r="A82" t="s">
        <v>954</v>
      </c>
      <c r="B82" t="s">
        <v>955</v>
      </c>
      <c r="C82" s="46">
        <v>5500</v>
      </c>
      <c r="E82" t="s">
        <v>956</v>
      </c>
      <c r="F82" t="s">
        <v>957</v>
      </c>
      <c r="G82" s="46">
        <v>1100</v>
      </c>
    </row>
    <row r="83" spans="1:7" x14ac:dyDescent="0.35">
      <c r="A83" t="s">
        <v>958</v>
      </c>
      <c r="B83" t="s">
        <v>959</v>
      </c>
      <c r="C83" s="46">
        <v>11000</v>
      </c>
      <c r="E83" t="s">
        <v>960</v>
      </c>
      <c r="F83" t="s">
        <v>961</v>
      </c>
      <c r="G83" s="46">
        <v>80</v>
      </c>
    </row>
    <row r="84" spans="1:7" x14ac:dyDescent="0.35">
      <c r="A84" t="s">
        <v>962</v>
      </c>
      <c r="B84" t="s">
        <v>963</v>
      </c>
      <c r="C84" s="46">
        <v>29700</v>
      </c>
      <c r="E84" t="s">
        <v>221</v>
      </c>
      <c r="F84" t="s">
        <v>964</v>
      </c>
      <c r="G84" s="46">
        <v>18514</v>
      </c>
    </row>
    <row r="85" spans="1:7" x14ac:dyDescent="0.35">
      <c r="A85" t="s">
        <v>965</v>
      </c>
      <c r="B85" t="s">
        <v>966</v>
      </c>
      <c r="C85" s="46">
        <v>18704</v>
      </c>
    </row>
    <row r="86" spans="1:7" x14ac:dyDescent="0.35">
      <c r="A86" t="s">
        <v>967</v>
      </c>
      <c r="B86" t="s">
        <v>968</v>
      </c>
      <c r="C86" s="46">
        <v>1100</v>
      </c>
    </row>
    <row r="87" spans="1:7" x14ac:dyDescent="0.35">
      <c r="A87" t="s">
        <v>969</v>
      </c>
      <c r="B87" t="s">
        <v>970</v>
      </c>
      <c r="C87" s="46">
        <v>350951.5</v>
      </c>
    </row>
    <row r="88" spans="1:7" x14ac:dyDescent="0.35">
      <c r="A88" t="s">
        <v>971</v>
      </c>
      <c r="B88" t="s">
        <v>972</v>
      </c>
      <c r="C88" s="46">
        <v>23100</v>
      </c>
    </row>
    <row r="89" spans="1:7" x14ac:dyDescent="0.35">
      <c r="A89" t="s">
        <v>192</v>
      </c>
      <c r="B89" t="s">
        <v>973</v>
      </c>
      <c r="C89" s="46">
        <v>15282.5</v>
      </c>
    </row>
    <row r="90" spans="1:7" x14ac:dyDescent="0.35">
      <c r="A90" t="s">
        <v>207</v>
      </c>
      <c r="B90" t="s">
        <v>974</v>
      </c>
      <c r="C90" s="46">
        <v>1497</v>
      </c>
    </row>
    <row r="91" spans="1:7" x14ac:dyDescent="0.35">
      <c r="A91" t="s">
        <v>176</v>
      </c>
      <c r="B91" t="s">
        <v>975</v>
      </c>
      <c r="C91" s="46">
        <v>46749.9</v>
      </c>
    </row>
    <row r="92" spans="1:7" x14ac:dyDescent="0.35">
      <c r="A92" t="s">
        <v>177</v>
      </c>
      <c r="B92" t="s">
        <v>976</v>
      </c>
      <c r="C92" s="46">
        <v>34096.5</v>
      </c>
    </row>
    <row r="93" spans="1:7" x14ac:dyDescent="0.35">
      <c r="A93" t="s">
        <v>977</v>
      </c>
      <c r="B93" t="s">
        <v>978</v>
      </c>
      <c r="C93" s="46">
        <v>17597</v>
      </c>
    </row>
    <row r="94" spans="1:7" x14ac:dyDescent="0.35">
      <c r="A94" t="s">
        <v>979</v>
      </c>
      <c r="B94" t="s">
        <v>980</v>
      </c>
      <c r="C94" s="46">
        <v>5171</v>
      </c>
    </row>
    <row r="95" spans="1:7" x14ac:dyDescent="0.35">
      <c r="A95" t="s">
        <v>178</v>
      </c>
      <c r="B95" t="s">
        <v>981</v>
      </c>
      <c r="C95" s="46">
        <v>500</v>
      </c>
    </row>
    <row r="96" spans="1:7" x14ac:dyDescent="0.35">
      <c r="A96" t="s">
        <v>180</v>
      </c>
      <c r="B96" t="s">
        <v>982</v>
      </c>
      <c r="C96" s="46">
        <v>30157</v>
      </c>
    </row>
    <row r="97" spans="1:3" x14ac:dyDescent="0.35">
      <c r="A97" t="s">
        <v>219</v>
      </c>
      <c r="B97" t="s">
        <v>983</v>
      </c>
      <c r="C97" s="46">
        <v>5775</v>
      </c>
    </row>
  </sheetData>
  <autoFilter ref="A3:C97" xr:uid="{E83DC9B3-D838-43D3-BC10-52BB267D74FE}"/>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BBFB9-C8A7-4C2B-9CBD-7C7E677EFAE2}">
  <dimension ref="A1:AK144"/>
  <sheetViews>
    <sheetView showGridLines="0" workbookViewId="0">
      <pane ySplit="3" topLeftCell="A4" activePane="bottomLeft" state="frozen"/>
      <selection pane="bottomLeft" activeCell="G16" sqref="G16"/>
    </sheetView>
  </sheetViews>
  <sheetFormatPr defaultRowHeight="15" customHeight="1" x14ac:dyDescent="0.35"/>
  <cols>
    <col min="1" max="1" width="18" bestFit="1" customWidth="1"/>
    <col min="2" max="2" width="28.75" bestFit="1" customWidth="1"/>
    <col min="3" max="3" width="23.75" customWidth="1"/>
    <col min="4" max="4" width="9.33203125" bestFit="1" customWidth="1"/>
    <col min="5" max="5" width="14.33203125" customWidth="1"/>
    <col min="6" max="6" width="15.33203125" bestFit="1" customWidth="1"/>
    <col min="7" max="8" width="13" customWidth="1"/>
    <col min="9" max="11" width="14.25" customWidth="1"/>
    <col min="12" max="12" width="1.75" style="4" customWidth="1"/>
    <col min="13" max="13" width="17.5" bestFit="1" customWidth="1"/>
    <col min="14" max="14" width="1.75" style="4" customWidth="1"/>
    <col min="15" max="15" width="26.33203125" bestFit="1" customWidth="1"/>
    <col min="16" max="16" width="1.75" style="4" customWidth="1"/>
    <col min="17" max="17" width="17.5" style="62" customWidth="1"/>
    <col min="18" max="18" width="38.83203125" style="62" bestFit="1" customWidth="1"/>
    <col min="19" max="19" width="37.58203125" customWidth="1"/>
    <col min="20" max="20" width="35.08203125" bestFit="1" customWidth="1"/>
    <col min="21" max="21" width="12.75" customWidth="1"/>
    <col min="22" max="22" width="14.5" bestFit="1" customWidth="1"/>
    <col min="23" max="23" width="1.75" style="4" customWidth="1"/>
    <col min="24" max="24" width="10.75" customWidth="1"/>
    <col min="25" max="25" width="16" customWidth="1"/>
    <col min="26" max="26" width="9.75" customWidth="1"/>
    <col min="27" max="27" width="13.25" customWidth="1"/>
    <col min="28" max="28" width="1.75" style="4" customWidth="1"/>
    <col min="29" max="29" width="20.33203125" bestFit="1" customWidth="1"/>
    <col min="30" max="30" width="1.75" style="4" customWidth="1"/>
    <col min="31" max="31" width="16.08203125" customWidth="1"/>
    <col min="33" max="33" width="20.5" bestFit="1" customWidth="1"/>
  </cols>
  <sheetData>
    <row r="1" spans="1:37" s="67" customFormat="1" ht="19.5" x14ac:dyDescent="0.45">
      <c r="A1" s="67" t="s">
        <v>984</v>
      </c>
      <c r="L1" s="68"/>
      <c r="M1" s="67" t="s">
        <v>985</v>
      </c>
      <c r="N1" s="68"/>
      <c r="O1" s="67" t="s">
        <v>986</v>
      </c>
      <c r="P1" s="68"/>
      <c r="Q1" s="84" t="s">
        <v>987</v>
      </c>
      <c r="R1" s="84"/>
      <c r="W1" s="68"/>
      <c r="X1" s="67" t="s">
        <v>988</v>
      </c>
      <c r="AB1" s="68"/>
      <c r="AC1" s="67" t="s">
        <v>989</v>
      </c>
      <c r="AD1" s="68"/>
      <c r="AE1" s="67" t="s">
        <v>990</v>
      </c>
    </row>
    <row r="2" spans="1:37" s="63" customFormat="1" ht="14.5" x14ac:dyDescent="0.35">
      <c r="C2" s="63" t="s">
        <v>991</v>
      </c>
      <c r="L2" s="64"/>
      <c r="N2" s="64"/>
      <c r="P2" s="64"/>
      <c r="Q2" s="63" t="s">
        <v>991</v>
      </c>
      <c r="R2" s="85"/>
      <c r="T2" s="63" t="s">
        <v>991</v>
      </c>
      <c r="W2" s="64"/>
      <c r="AB2" s="64"/>
      <c r="AD2" s="64"/>
      <c r="AE2" s="63" t="s">
        <v>991</v>
      </c>
    </row>
    <row r="3" spans="1:37" ht="14.5" x14ac:dyDescent="0.35">
      <c r="A3" s="6" t="s">
        <v>992</v>
      </c>
      <c r="B3" s="6" t="s">
        <v>993</v>
      </c>
      <c r="C3" s="6" t="s">
        <v>994</v>
      </c>
      <c r="D3" s="6" t="s">
        <v>995</v>
      </c>
      <c r="E3" s="6" t="s">
        <v>94</v>
      </c>
      <c r="F3" s="6" t="s">
        <v>996</v>
      </c>
      <c r="G3" s="6" t="s">
        <v>107</v>
      </c>
      <c r="H3" s="6" t="s">
        <v>40</v>
      </c>
      <c r="I3" s="6" t="s">
        <v>997</v>
      </c>
      <c r="J3" s="6" t="s">
        <v>998</v>
      </c>
      <c r="K3" s="6" t="s">
        <v>999</v>
      </c>
      <c r="M3" s="3" t="s">
        <v>245</v>
      </c>
      <c r="O3" s="3" t="s">
        <v>248</v>
      </c>
      <c r="Q3" s="86" t="s">
        <v>335</v>
      </c>
      <c r="R3" s="86" t="s">
        <v>336</v>
      </c>
      <c r="S3" s="3" t="s">
        <v>431</v>
      </c>
      <c r="T3" s="3" t="s">
        <v>1000</v>
      </c>
      <c r="U3" s="3" t="s">
        <v>997</v>
      </c>
      <c r="V3" s="3" t="s">
        <v>245</v>
      </c>
      <c r="X3" s="3" t="s">
        <v>1001</v>
      </c>
      <c r="Y3" s="3" t="s">
        <v>333</v>
      </c>
      <c r="Z3" s="3" t="s">
        <v>1002</v>
      </c>
      <c r="AA3" s="3" t="s">
        <v>430</v>
      </c>
      <c r="AC3" s="3" t="s">
        <v>342</v>
      </c>
      <c r="AE3" s="3" t="s">
        <v>246</v>
      </c>
      <c r="AF3" s="3" t="s">
        <v>1003</v>
      </c>
      <c r="AG3" s="3" t="s">
        <v>1004</v>
      </c>
      <c r="AH3" s="3" t="s">
        <v>330</v>
      </c>
      <c r="AK3" t="s">
        <v>1005</v>
      </c>
    </row>
    <row r="4" spans="1:37" ht="14.5" x14ac:dyDescent="0.35">
      <c r="A4" s="72" t="s">
        <v>167</v>
      </c>
      <c r="B4" s="7" t="s">
        <v>693</v>
      </c>
      <c r="C4" s="7" t="s">
        <v>495</v>
      </c>
      <c r="D4" s="7" t="s">
        <v>1006</v>
      </c>
      <c r="E4" s="7" t="s">
        <v>4</v>
      </c>
      <c r="F4" s="7" t="s">
        <v>1</v>
      </c>
      <c r="G4" s="7" t="s">
        <v>28</v>
      </c>
      <c r="H4" s="7"/>
      <c r="I4" s="7" t="s">
        <v>93</v>
      </c>
      <c r="J4" s="9">
        <v>1</v>
      </c>
      <c r="K4" s="9">
        <v>1</v>
      </c>
      <c r="M4" s="7" t="s">
        <v>119</v>
      </c>
      <c r="O4" s="9" t="s">
        <v>260</v>
      </c>
      <c r="Q4" s="107" t="s">
        <v>625</v>
      </c>
      <c r="R4" s="87" t="s">
        <v>47</v>
      </c>
      <c r="S4" s="7" t="s">
        <v>271</v>
      </c>
      <c r="T4" s="7" t="s">
        <v>271</v>
      </c>
      <c r="U4" s="7" t="s">
        <v>36</v>
      </c>
      <c r="V4" s="7" t="s">
        <v>96</v>
      </c>
      <c r="X4" s="7" t="s">
        <v>1007</v>
      </c>
      <c r="Y4" s="7" t="s">
        <v>97</v>
      </c>
      <c r="Z4" s="7" t="s">
        <v>1007</v>
      </c>
      <c r="AA4" s="7" t="s">
        <v>97</v>
      </c>
      <c r="AC4" s="69">
        <v>0.2</v>
      </c>
      <c r="AE4" s="7" t="s">
        <v>1008</v>
      </c>
      <c r="AF4" s="9" t="s">
        <v>277</v>
      </c>
      <c r="AG4" s="9" t="s">
        <v>277</v>
      </c>
      <c r="AH4" s="9" t="s">
        <v>1009</v>
      </c>
    </row>
    <row r="5" spans="1:37" ht="14.5" x14ac:dyDescent="0.35">
      <c r="A5" s="72" t="s">
        <v>168</v>
      </c>
      <c r="B5" s="7" t="s">
        <v>1698</v>
      </c>
      <c r="C5" s="7" t="s">
        <v>1124</v>
      </c>
      <c r="D5" s="7" t="s">
        <v>1006</v>
      </c>
      <c r="E5" s="7" t="s">
        <v>4</v>
      </c>
      <c r="F5" s="7" t="s">
        <v>1</v>
      </c>
      <c r="G5" s="7" t="s">
        <v>29</v>
      </c>
      <c r="H5" s="7"/>
      <c r="I5" s="7" t="s">
        <v>93</v>
      </c>
      <c r="J5" s="7">
        <v>1</v>
      </c>
      <c r="K5" s="7">
        <v>1</v>
      </c>
      <c r="M5" s="7" t="s">
        <v>96</v>
      </c>
      <c r="O5" s="7" t="s">
        <v>262</v>
      </c>
      <c r="Q5" s="107" t="s">
        <v>651</v>
      </c>
      <c r="R5" s="87" t="s">
        <v>5</v>
      </c>
      <c r="S5" s="7" t="s">
        <v>464</v>
      </c>
      <c r="T5" s="7" t="s">
        <v>464</v>
      </c>
      <c r="U5" s="7" t="s">
        <v>36</v>
      </c>
      <c r="V5" s="7" t="s">
        <v>96</v>
      </c>
      <c r="X5" s="7" t="s">
        <v>1010</v>
      </c>
      <c r="Y5" s="7" t="s">
        <v>95</v>
      </c>
      <c r="Z5" s="7" t="s">
        <v>1007</v>
      </c>
      <c r="AA5" s="7" t="s">
        <v>97</v>
      </c>
      <c r="AC5" s="69">
        <v>0.5</v>
      </c>
      <c r="AE5" s="7" t="s">
        <v>1011</v>
      </c>
      <c r="AF5" s="7" t="s">
        <v>277</v>
      </c>
      <c r="AG5" s="9" t="s">
        <v>277</v>
      </c>
      <c r="AH5" s="9" t="s">
        <v>1009</v>
      </c>
    </row>
    <row r="6" spans="1:37" ht="14.5" x14ac:dyDescent="0.35">
      <c r="A6" s="72" t="s">
        <v>171</v>
      </c>
      <c r="B6" s="7" t="s">
        <v>731</v>
      </c>
      <c r="C6" s="7" t="s">
        <v>456</v>
      </c>
      <c r="D6" s="7" t="s">
        <v>1006</v>
      </c>
      <c r="E6" s="7" t="s">
        <v>4</v>
      </c>
      <c r="F6" s="7" t="s">
        <v>1</v>
      </c>
      <c r="G6" s="7" t="s">
        <v>28</v>
      </c>
      <c r="H6" s="7"/>
      <c r="I6" s="7" t="s">
        <v>93</v>
      </c>
      <c r="J6" s="9">
        <v>1</v>
      </c>
      <c r="K6" s="9">
        <v>1</v>
      </c>
      <c r="M6" s="7" t="s">
        <v>1012</v>
      </c>
      <c r="O6" s="7" t="s">
        <v>1013</v>
      </c>
      <c r="Q6" s="107" t="s">
        <v>640</v>
      </c>
      <c r="R6" s="87" t="s">
        <v>99</v>
      </c>
      <c r="S6" s="7" t="s">
        <v>552</v>
      </c>
      <c r="T6" s="7" t="s">
        <v>552</v>
      </c>
      <c r="U6" s="7" t="s">
        <v>36</v>
      </c>
      <c r="V6" s="7" t="s">
        <v>96</v>
      </c>
      <c r="X6" s="7" t="s">
        <v>1014</v>
      </c>
      <c r="Y6" s="7" t="s">
        <v>1015</v>
      </c>
      <c r="Z6" s="7" t="s">
        <v>1007</v>
      </c>
      <c r="AA6" s="7" t="s">
        <v>97</v>
      </c>
      <c r="AC6" s="69">
        <v>0.8</v>
      </c>
      <c r="AE6" s="7" t="s">
        <v>1016</v>
      </c>
      <c r="AF6" s="7"/>
      <c r="AG6" s="7"/>
      <c r="AH6" s="7"/>
    </row>
    <row r="7" spans="1:37" ht="14.5" x14ac:dyDescent="0.35">
      <c r="A7" s="72" t="s">
        <v>172</v>
      </c>
      <c r="B7" s="7" t="s">
        <v>734</v>
      </c>
      <c r="C7" s="7" t="s">
        <v>469</v>
      </c>
      <c r="D7" s="7" t="s">
        <v>1006</v>
      </c>
      <c r="E7" s="7" t="s">
        <v>4</v>
      </c>
      <c r="F7" s="7" t="s">
        <v>1</v>
      </c>
      <c r="G7" s="7" t="s">
        <v>30</v>
      </c>
      <c r="H7" s="7"/>
      <c r="I7" s="7" t="s">
        <v>93</v>
      </c>
      <c r="J7" s="7">
        <v>1</v>
      </c>
      <c r="K7" s="7">
        <v>1</v>
      </c>
      <c r="O7" s="7" t="s">
        <v>278</v>
      </c>
      <c r="Q7" s="107" t="s">
        <v>609</v>
      </c>
      <c r="R7" s="7" t="s">
        <v>15</v>
      </c>
      <c r="S7" s="7" t="s">
        <v>263</v>
      </c>
      <c r="T7" s="7" t="s">
        <v>263</v>
      </c>
      <c r="U7" s="7" t="s">
        <v>36</v>
      </c>
      <c r="V7" s="7" t="s">
        <v>96</v>
      </c>
      <c r="X7" s="7" t="s">
        <v>1017</v>
      </c>
      <c r="Y7" s="7" t="s">
        <v>110</v>
      </c>
      <c r="Z7" s="7" t="s">
        <v>1017</v>
      </c>
      <c r="AA7" s="7" t="s">
        <v>110</v>
      </c>
      <c r="AC7" s="69">
        <v>1</v>
      </c>
      <c r="AE7" s="7" t="s">
        <v>1018</v>
      </c>
      <c r="AF7" s="7"/>
      <c r="AG7" s="7"/>
      <c r="AH7" s="7"/>
    </row>
    <row r="8" spans="1:37" ht="14.5" x14ac:dyDescent="0.35">
      <c r="A8" s="72" t="s">
        <v>174</v>
      </c>
      <c r="B8" s="7" t="s">
        <v>740</v>
      </c>
      <c r="C8" s="7" t="s">
        <v>468</v>
      </c>
      <c r="D8" s="7" t="s">
        <v>1006</v>
      </c>
      <c r="E8" s="7" t="s">
        <v>4</v>
      </c>
      <c r="F8" s="7" t="s">
        <v>1</v>
      </c>
      <c r="G8" s="7" t="s">
        <v>31</v>
      </c>
      <c r="H8" s="7"/>
      <c r="I8" s="7" t="s">
        <v>93</v>
      </c>
      <c r="J8" s="9">
        <v>1</v>
      </c>
      <c r="K8" s="9">
        <v>1</v>
      </c>
      <c r="O8" s="7" t="s">
        <v>1019</v>
      </c>
      <c r="Q8" s="107" t="s">
        <v>589</v>
      </c>
      <c r="R8" s="87" t="s">
        <v>5</v>
      </c>
      <c r="S8" s="7" t="s">
        <v>322</v>
      </c>
      <c r="T8" s="7" t="s">
        <v>322</v>
      </c>
      <c r="U8" s="7" t="s">
        <v>36</v>
      </c>
      <c r="V8" s="7" t="s">
        <v>96</v>
      </c>
      <c r="X8" s="7" t="s">
        <v>1020</v>
      </c>
      <c r="Y8" s="7" t="s">
        <v>115</v>
      </c>
      <c r="Z8" s="7" t="s">
        <v>1017</v>
      </c>
      <c r="AA8" s="7" t="s">
        <v>110</v>
      </c>
      <c r="AE8" s="7" t="s">
        <v>1021</v>
      </c>
      <c r="AF8" s="7"/>
      <c r="AG8" s="7"/>
      <c r="AH8" s="7"/>
    </row>
    <row r="9" spans="1:37" ht="14.5" x14ac:dyDescent="0.35">
      <c r="A9" s="72" t="s">
        <v>784</v>
      </c>
      <c r="B9" s="7" t="s">
        <v>785</v>
      </c>
      <c r="C9" s="7" t="s">
        <v>1022</v>
      </c>
      <c r="D9" s="7" t="s">
        <v>1006</v>
      </c>
      <c r="E9" s="7" t="s">
        <v>4</v>
      </c>
      <c r="F9" s="7" t="s">
        <v>1</v>
      </c>
      <c r="G9" s="7" t="s">
        <v>30</v>
      </c>
      <c r="H9" s="7"/>
      <c r="I9" s="7" t="s">
        <v>93</v>
      </c>
      <c r="J9" s="7">
        <v>1</v>
      </c>
      <c r="K9" s="7">
        <v>1</v>
      </c>
      <c r="O9" s="7" t="s">
        <v>1023</v>
      </c>
      <c r="Q9" s="107" t="s">
        <v>621</v>
      </c>
      <c r="R9" s="87" t="s">
        <v>16</v>
      </c>
      <c r="S9" s="7" t="s">
        <v>257</v>
      </c>
      <c r="T9" s="7" t="s">
        <v>257</v>
      </c>
      <c r="U9" s="7" t="s">
        <v>36</v>
      </c>
      <c r="V9" s="7" t="s">
        <v>96</v>
      </c>
      <c r="X9" s="7" t="s">
        <v>1024</v>
      </c>
      <c r="Y9" s="7" t="s">
        <v>104</v>
      </c>
      <c r="Z9" s="7" t="s">
        <v>1017</v>
      </c>
      <c r="AA9" s="7" t="s">
        <v>110</v>
      </c>
      <c r="AE9" s="7" t="s">
        <v>1025</v>
      </c>
      <c r="AF9" s="7" t="s">
        <v>259</v>
      </c>
      <c r="AG9" s="7"/>
      <c r="AH9" s="7" t="s">
        <v>1026</v>
      </c>
    </row>
    <row r="10" spans="1:37" ht="14.5" x14ac:dyDescent="0.35">
      <c r="A10" s="72" t="s">
        <v>788</v>
      </c>
      <c r="B10" s="7" t="s">
        <v>789</v>
      </c>
      <c r="C10" s="7" t="s">
        <v>1027</v>
      </c>
      <c r="D10" s="7" t="s">
        <v>1006</v>
      </c>
      <c r="E10" s="7" t="s">
        <v>4</v>
      </c>
      <c r="F10" s="7" t="s">
        <v>1</v>
      </c>
      <c r="G10" s="7" t="s">
        <v>28</v>
      </c>
      <c r="H10" s="7"/>
      <c r="I10" s="7" t="s">
        <v>93</v>
      </c>
      <c r="J10" s="9">
        <v>1</v>
      </c>
      <c r="K10" s="9">
        <v>1</v>
      </c>
      <c r="O10" s="7" t="s">
        <v>293</v>
      </c>
      <c r="Q10" s="107" t="s">
        <v>665</v>
      </c>
      <c r="R10" s="87" t="s">
        <v>8</v>
      </c>
      <c r="S10" s="7" t="s">
        <v>498</v>
      </c>
      <c r="T10" s="7" t="s">
        <v>498</v>
      </c>
      <c r="U10" s="7" t="s">
        <v>36</v>
      </c>
      <c r="V10" s="7" t="s">
        <v>96</v>
      </c>
      <c r="X10" s="8" t="s">
        <v>1028</v>
      </c>
      <c r="Y10" s="8" t="s">
        <v>101</v>
      </c>
      <c r="Z10" s="7" t="s">
        <v>1007</v>
      </c>
      <c r="AA10" s="7" t="s">
        <v>97</v>
      </c>
      <c r="AE10" s="7" t="s">
        <v>535</v>
      </c>
      <c r="AF10" s="7" t="s">
        <v>259</v>
      </c>
      <c r="AG10" s="8" t="s">
        <v>535</v>
      </c>
      <c r="AH10" s="7" t="s">
        <v>1026</v>
      </c>
    </row>
    <row r="11" spans="1:37" ht="14.5" x14ac:dyDescent="0.35">
      <c r="A11" s="72" t="s">
        <v>792</v>
      </c>
      <c r="B11" s="7" t="s">
        <v>793</v>
      </c>
      <c r="C11" s="7" t="s">
        <v>1029</v>
      </c>
      <c r="D11" s="7" t="s">
        <v>1006</v>
      </c>
      <c r="E11" s="7" t="s">
        <v>4</v>
      </c>
      <c r="F11" s="7" t="s">
        <v>1</v>
      </c>
      <c r="G11" s="7" t="s">
        <v>30</v>
      </c>
      <c r="H11" s="7"/>
      <c r="I11" s="7" t="s">
        <v>93</v>
      </c>
      <c r="J11" s="7">
        <v>1</v>
      </c>
      <c r="K11" s="7">
        <v>1</v>
      </c>
      <c r="O11" s="8" t="s">
        <v>285</v>
      </c>
      <c r="Q11" s="107" t="s">
        <v>671</v>
      </c>
      <c r="R11" s="87" t="s">
        <v>154</v>
      </c>
      <c r="S11" s="7" t="s">
        <v>273</v>
      </c>
      <c r="T11" s="7" t="s">
        <v>273</v>
      </c>
      <c r="U11" s="7" t="s">
        <v>36</v>
      </c>
      <c r="V11" s="7" t="s">
        <v>96</v>
      </c>
      <c r="X11" s="8" t="s">
        <v>1030</v>
      </c>
      <c r="Y11" s="8" t="s">
        <v>120</v>
      </c>
      <c r="Z11" s="7" t="s">
        <v>1007</v>
      </c>
      <c r="AA11" s="7" t="s">
        <v>97</v>
      </c>
      <c r="AE11" s="7" t="s">
        <v>258</v>
      </c>
      <c r="AF11" s="7" t="s">
        <v>259</v>
      </c>
      <c r="AG11" s="8" t="s">
        <v>258</v>
      </c>
      <c r="AH11" s="7" t="s">
        <v>1026</v>
      </c>
    </row>
    <row r="12" spans="1:37" ht="14.5" x14ac:dyDescent="0.35">
      <c r="A12" s="72" t="s">
        <v>803</v>
      </c>
      <c r="B12" s="7" t="s">
        <v>804</v>
      </c>
      <c r="C12" s="7" t="s">
        <v>1031</v>
      </c>
      <c r="D12" s="7" t="s">
        <v>1006</v>
      </c>
      <c r="E12" s="7" t="s">
        <v>4</v>
      </c>
      <c r="F12" s="7" t="s">
        <v>1</v>
      </c>
      <c r="G12" s="7" t="s">
        <v>1032</v>
      </c>
      <c r="H12" s="7"/>
      <c r="I12" s="7" t="s">
        <v>93</v>
      </c>
      <c r="J12" s="9">
        <v>1</v>
      </c>
      <c r="K12" s="9">
        <v>1</v>
      </c>
      <c r="Q12" s="107" t="s">
        <v>590</v>
      </c>
      <c r="R12" s="87" t="s">
        <v>8</v>
      </c>
      <c r="S12" s="7" t="s">
        <v>500</v>
      </c>
      <c r="T12" s="7" t="s">
        <v>500</v>
      </c>
      <c r="U12" s="7" t="s">
        <v>36</v>
      </c>
      <c r="V12" s="7" t="s">
        <v>96</v>
      </c>
      <c r="X12" s="8" t="s">
        <v>1033</v>
      </c>
      <c r="Y12" s="8" t="s">
        <v>509</v>
      </c>
      <c r="Z12" s="8" t="s">
        <v>1007</v>
      </c>
      <c r="AA12" s="8" t="s">
        <v>97</v>
      </c>
      <c r="AE12" s="8" t="s">
        <v>1034</v>
      </c>
      <c r="AF12" s="8" t="s">
        <v>259</v>
      </c>
      <c r="AG12" s="8"/>
      <c r="AH12" s="7" t="s">
        <v>1026</v>
      </c>
    </row>
    <row r="13" spans="1:37" ht="14.5" x14ac:dyDescent="0.35">
      <c r="A13" s="72" t="s">
        <v>169</v>
      </c>
      <c r="B13" s="7" t="s">
        <v>703</v>
      </c>
      <c r="C13" s="7" t="s">
        <v>547</v>
      </c>
      <c r="D13" s="7" t="s">
        <v>1006</v>
      </c>
      <c r="E13" s="7" t="s">
        <v>4</v>
      </c>
      <c r="F13" s="7" t="s">
        <v>1</v>
      </c>
      <c r="G13" s="7" t="s">
        <v>31</v>
      </c>
      <c r="H13" s="7"/>
      <c r="I13" s="7" t="s">
        <v>93</v>
      </c>
      <c r="J13" s="7">
        <v>1</v>
      </c>
      <c r="K13" s="7">
        <v>1</v>
      </c>
      <c r="Q13" s="107" t="s">
        <v>601</v>
      </c>
      <c r="R13" s="87" t="s">
        <v>109</v>
      </c>
      <c r="S13" s="7" t="s">
        <v>501</v>
      </c>
      <c r="T13" s="7" t="s">
        <v>501</v>
      </c>
      <c r="U13" s="7" t="s">
        <v>36</v>
      </c>
      <c r="V13" s="7" t="s">
        <v>96</v>
      </c>
      <c r="AE13" s="8" t="s">
        <v>329</v>
      </c>
      <c r="AF13" s="8" t="s">
        <v>287</v>
      </c>
      <c r="AG13" s="8" t="s">
        <v>287</v>
      </c>
      <c r="AH13" s="8" t="s">
        <v>287</v>
      </c>
    </row>
    <row r="14" spans="1:37" ht="14.5" x14ac:dyDescent="0.35">
      <c r="A14" s="72" t="s">
        <v>173</v>
      </c>
      <c r="B14" s="7" t="s">
        <v>737</v>
      </c>
      <c r="C14" s="7" t="s">
        <v>1035</v>
      </c>
      <c r="D14" s="7" t="s">
        <v>1006</v>
      </c>
      <c r="E14" s="7" t="s">
        <v>4</v>
      </c>
      <c r="F14" s="7" t="s">
        <v>1</v>
      </c>
      <c r="G14" s="7" t="s">
        <v>113</v>
      </c>
      <c r="H14" s="7"/>
      <c r="I14" s="7" t="s">
        <v>93</v>
      </c>
      <c r="J14" s="9">
        <v>1</v>
      </c>
      <c r="K14" s="9">
        <v>1</v>
      </c>
      <c r="Q14" s="107" t="s">
        <v>620</v>
      </c>
      <c r="R14" s="87" t="s">
        <v>8</v>
      </c>
      <c r="S14" s="7" t="s">
        <v>324</v>
      </c>
      <c r="T14" s="7" t="s">
        <v>324</v>
      </c>
      <c r="U14" s="7" t="s">
        <v>36</v>
      </c>
      <c r="V14" s="7" t="s">
        <v>96</v>
      </c>
      <c r="AE14" s="8" t="s">
        <v>260</v>
      </c>
      <c r="AF14" s="8" t="s">
        <v>287</v>
      </c>
      <c r="AG14" s="8" t="s">
        <v>287</v>
      </c>
      <c r="AH14" s="8" t="s">
        <v>287</v>
      </c>
    </row>
    <row r="15" spans="1:37" ht="14.5" x14ac:dyDescent="0.35">
      <c r="A15" s="72" t="s">
        <v>887</v>
      </c>
      <c r="B15" s="7" t="s">
        <v>888</v>
      </c>
      <c r="C15" s="7" t="s">
        <v>1036</v>
      </c>
      <c r="D15" s="7" t="s">
        <v>1006</v>
      </c>
      <c r="E15" s="7" t="s">
        <v>4</v>
      </c>
      <c r="F15" s="7" t="s">
        <v>1</v>
      </c>
      <c r="G15" s="7"/>
      <c r="H15" s="7"/>
      <c r="I15" s="7" t="s">
        <v>93</v>
      </c>
      <c r="J15" s="7">
        <v>1</v>
      </c>
      <c r="K15" s="7">
        <v>1</v>
      </c>
      <c r="Q15" s="107" t="s">
        <v>682</v>
      </c>
      <c r="R15" s="7" t="s">
        <v>156</v>
      </c>
      <c r="S15" s="7" t="s">
        <v>156</v>
      </c>
      <c r="T15" s="7" t="s">
        <v>156</v>
      </c>
      <c r="U15" s="7" t="s">
        <v>36</v>
      </c>
      <c r="V15" s="7" t="s">
        <v>96</v>
      </c>
      <c r="AE15" s="8" t="s">
        <v>264</v>
      </c>
      <c r="AF15" s="8" t="s">
        <v>259</v>
      </c>
      <c r="AG15" s="8" t="s">
        <v>264</v>
      </c>
      <c r="AH15" s="7" t="s">
        <v>1026</v>
      </c>
    </row>
    <row r="16" spans="1:37" ht="14.5" x14ac:dyDescent="0.35">
      <c r="A16" s="72" t="s">
        <v>176</v>
      </c>
      <c r="B16" s="7" t="s">
        <v>975</v>
      </c>
      <c r="C16" s="7" t="s">
        <v>496</v>
      </c>
      <c r="D16" s="7" t="s">
        <v>1006</v>
      </c>
      <c r="E16" s="7" t="s">
        <v>4</v>
      </c>
      <c r="F16" s="7" t="s">
        <v>1</v>
      </c>
      <c r="G16" s="7" t="s">
        <v>28</v>
      </c>
      <c r="H16" s="7"/>
      <c r="I16" s="7" t="s">
        <v>93</v>
      </c>
      <c r="J16" s="9">
        <v>1</v>
      </c>
      <c r="K16" s="9">
        <v>1</v>
      </c>
      <c r="Q16" s="107" t="s">
        <v>674</v>
      </c>
      <c r="R16" s="7" t="s">
        <v>48</v>
      </c>
      <c r="S16" s="7" t="s">
        <v>48</v>
      </c>
      <c r="T16" s="7" t="s">
        <v>48</v>
      </c>
      <c r="U16" s="7" t="s">
        <v>38</v>
      </c>
      <c r="V16" s="7" t="s">
        <v>96</v>
      </c>
      <c r="AE16" s="8" t="s">
        <v>327</v>
      </c>
      <c r="AF16" s="8" t="s">
        <v>259</v>
      </c>
      <c r="AG16" s="8" t="s">
        <v>327</v>
      </c>
      <c r="AH16" s="8" t="s">
        <v>1026</v>
      </c>
    </row>
    <row r="17" spans="1:34" ht="14.5" x14ac:dyDescent="0.35">
      <c r="A17" s="72" t="s">
        <v>696</v>
      </c>
      <c r="B17" s="7" t="s">
        <v>697</v>
      </c>
      <c r="C17" s="7" t="s">
        <v>1037</v>
      </c>
      <c r="D17" s="7" t="s">
        <v>1006</v>
      </c>
      <c r="E17" s="7" t="s">
        <v>4</v>
      </c>
      <c r="F17" s="7" t="s">
        <v>1</v>
      </c>
      <c r="G17" s="7" t="s">
        <v>30</v>
      </c>
      <c r="H17" s="7"/>
      <c r="I17" s="7" t="s">
        <v>93</v>
      </c>
      <c r="J17" s="7">
        <v>1</v>
      </c>
      <c r="K17" s="7">
        <v>1</v>
      </c>
      <c r="Q17" s="107" t="s">
        <v>615</v>
      </c>
      <c r="R17" s="87" t="s">
        <v>99</v>
      </c>
      <c r="S17" s="7" t="s">
        <v>320</v>
      </c>
      <c r="T17" s="7" t="s">
        <v>320</v>
      </c>
      <c r="U17" s="7" t="s">
        <v>36</v>
      </c>
      <c r="V17" s="7" t="s">
        <v>96</v>
      </c>
      <c r="AE17" s="8" t="s">
        <v>268</v>
      </c>
      <c r="AF17" s="8" t="s">
        <v>259</v>
      </c>
      <c r="AG17" s="8" t="s">
        <v>327</v>
      </c>
      <c r="AH17" s="8" t="s">
        <v>1026</v>
      </c>
    </row>
    <row r="18" spans="1:34" ht="14.5" x14ac:dyDescent="0.35">
      <c r="A18" s="72" t="s">
        <v>1038</v>
      </c>
      <c r="B18" s="7" t="s">
        <v>1039</v>
      </c>
      <c r="C18" s="7" t="s">
        <v>1040</v>
      </c>
      <c r="D18" s="7" t="s">
        <v>1006</v>
      </c>
      <c r="E18" s="7" t="s">
        <v>4</v>
      </c>
      <c r="F18" s="7" t="s">
        <v>1</v>
      </c>
      <c r="G18" s="7" t="s">
        <v>113</v>
      </c>
      <c r="H18" s="7"/>
      <c r="I18" s="7" t="s">
        <v>93</v>
      </c>
      <c r="J18" s="9">
        <v>1</v>
      </c>
      <c r="K18" s="9">
        <v>1</v>
      </c>
      <c r="Q18" s="107" t="s">
        <v>605</v>
      </c>
      <c r="R18" s="87" t="s">
        <v>5</v>
      </c>
      <c r="S18" s="7" t="s">
        <v>479</v>
      </c>
      <c r="T18" s="7" t="s">
        <v>479</v>
      </c>
      <c r="U18" s="7" t="s">
        <v>36</v>
      </c>
      <c r="V18" s="7" t="s">
        <v>96</v>
      </c>
      <c r="AE18" s="8" t="s">
        <v>274</v>
      </c>
      <c r="AF18" s="8" t="s">
        <v>259</v>
      </c>
      <c r="AG18" s="8" t="s">
        <v>274</v>
      </c>
      <c r="AH18" s="8" t="s">
        <v>1026</v>
      </c>
    </row>
    <row r="19" spans="1:34" ht="14.5" x14ac:dyDescent="0.35">
      <c r="A19" s="72" t="s">
        <v>170</v>
      </c>
      <c r="B19" s="7" t="s">
        <v>706</v>
      </c>
      <c r="C19" s="7" t="s">
        <v>1041</v>
      </c>
      <c r="D19" s="7" t="s">
        <v>1006</v>
      </c>
      <c r="E19" s="7" t="s">
        <v>4</v>
      </c>
      <c r="F19" s="7" t="s">
        <v>1</v>
      </c>
      <c r="G19" s="7"/>
      <c r="H19" s="7"/>
      <c r="I19" s="7" t="s">
        <v>93</v>
      </c>
      <c r="J19" s="7">
        <v>1</v>
      </c>
      <c r="K19" s="7">
        <v>1</v>
      </c>
      <c r="Q19" s="107" t="s">
        <v>635</v>
      </c>
      <c r="R19" s="7" t="s">
        <v>62</v>
      </c>
      <c r="S19" s="7" t="s">
        <v>62</v>
      </c>
      <c r="T19" s="7" t="s">
        <v>62</v>
      </c>
      <c r="U19" s="7" t="s">
        <v>36</v>
      </c>
      <c r="V19" s="7" t="s">
        <v>96</v>
      </c>
      <c r="AE19" s="8" t="s">
        <v>276</v>
      </c>
      <c r="AF19" s="8" t="s">
        <v>259</v>
      </c>
      <c r="AG19" s="8" t="s">
        <v>276</v>
      </c>
      <c r="AH19" s="8" t="s">
        <v>1026</v>
      </c>
    </row>
    <row r="20" spans="1:34" ht="14.5" x14ac:dyDescent="0.35">
      <c r="A20" s="72" t="s">
        <v>1042</v>
      </c>
      <c r="B20" s="7" t="s">
        <v>1043</v>
      </c>
      <c r="C20" s="7" t="s">
        <v>1044</v>
      </c>
      <c r="D20" s="7" t="s">
        <v>1006</v>
      </c>
      <c r="E20" s="7" t="s">
        <v>4</v>
      </c>
      <c r="F20" s="7" t="s">
        <v>1</v>
      </c>
      <c r="G20" s="7"/>
      <c r="H20" s="7"/>
      <c r="I20" s="7" t="s">
        <v>93</v>
      </c>
      <c r="J20" s="9">
        <v>1</v>
      </c>
      <c r="K20" s="9">
        <v>1</v>
      </c>
      <c r="Q20" s="107" t="s">
        <v>595</v>
      </c>
      <c r="R20" s="87" t="s">
        <v>5</v>
      </c>
      <c r="S20" s="7" t="s">
        <v>478</v>
      </c>
      <c r="T20" s="7" t="s">
        <v>478</v>
      </c>
      <c r="U20" s="7" t="s">
        <v>36</v>
      </c>
      <c r="V20" s="7" t="s">
        <v>96</v>
      </c>
      <c r="AE20" s="8" t="s">
        <v>261</v>
      </c>
      <c r="AF20" s="8" t="s">
        <v>259</v>
      </c>
      <c r="AG20" s="8" t="s">
        <v>261</v>
      </c>
      <c r="AH20" s="8" t="s">
        <v>1026</v>
      </c>
    </row>
    <row r="21" spans="1:34" ht="14.5" x14ac:dyDescent="0.35">
      <c r="A21" s="72" t="s">
        <v>1045</v>
      </c>
      <c r="B21" s="7" t="s">
        <v>1046</v>
      </c>
      <c r="C21" s="7" t="s">
        <v>1047</v>
      </c>
      <c r="D21" s="7" t="s">
        <v>1006</v>
      </c>
      <c r="E21" s="7" t="s">
        <v>4</v>
      </c>
      <c r="F21" s="7" t="s">
        <v>1</v>
      </c>
      <c r="G21" s="7"/>
      <c r="H21" s="7"/>
      <c r="I21" s="7" t="s">
        <v>93</v>
      </c>
      <c r="J21" s="7">
        <v>1</v>
      </c>
      <c r="K21" s="7">
        <v>1</v>
      </c>
      <c r="Q21" s="107" t="s">
        <v>654</v>
      </c>
      <c r="R21" s="7" t="s">
        <v>118</v>
      </c>
      <c r="S21" s="7" t="s">
        <v>118</v>
      </c>
      <c r="T21" s="7" t="s">
        <v>118</v>
      </c>
      <c r="U21" s="7" t="s">
        <v>36</v>
      </c>
      <c r="V21" s="7" t="s">
        <v>96</v>
      </c>
      <c r="AE21" s="8" t="s">
        <v>305</v>
      </c>
      <c r="AF21" s="8" t="s">
        <v>306</v>
      </c>
      <c r="AG21" s="8" t="s">
        <v>305</v>
      </c>
      <c r="AH21" s="8" t="s">
        <v>1048</v>
      </c>
    </row>
    <row r="22" spans="1:34" ht="14.5" x14ac:dyDescent="0.35">
      <c r="A22" s="72" t="s">
        <v>1049</v>
      </c>
      <c r="B22" s="7" t="s">
        <v>1050</v>
      </c>
      <c r="C22" s="7" t="s">
        <v>1051</v>
      </c>
      <c r="D22" s="7" t="s">
        <v>1006</v>
      </c>
      <c r="E22" s="7" t="s">
        <v>4</v>
      </c>
      <c r="F22" s="7" t="s">
        <v>1</v>
      </c>
      <c r="G22" s="7" t="s">
        <v>30</v>
      </c>
      <c r="H22" s="7"/>
      <c r="I22" s="7" t="s">
        <v>93</v>
      </c>
      <c r="J22" s="9">
        <v>1</v>
      </c>
      <c r="K22" s="9">
        <v>1</v>
      </c>
      <c r="Q22" s="107" t="s">
        <v>606</v>
      </c>
      <c r="R22" s="87" t="s">
        <v>8</v>
      </c>
      <c r="S22" s="7" t="s">
        <v>325</v>
      </c>
      <c r="T22" s="7" t="s">
        <v>325</v>
      </c>
      <c r="U22" s="7" t="s">
        <v>36</v>
      </c>
      <c r="V22" s="7" t="s">
        <v>96</v>
      </c>
      <c r="AE22" s="8" t="s">
        <v>302</v>
      </c>
      <c r="AF22" s="8" t="s">
        <v>303</v>
      </c>
      <c r="AG22" s="8" t="s">
        <v>302</v>
      </c>
      <c r="AH22" s="8" t="s">
        <v>1026</v>
      </c>
    </row>
    <row r="23" spans="1:34" ht="14.5" x14ac:dyDescent="0.35">
      <c r="A23" s="72" t="s">
        <v>177</v>
      </c>
      <c r="B23" s="7" t="s">
        <v>976</v>
      </c>
      <c r="C23" s="7" t="s">
        <v>506</v>
      </c>
      <c r="D23" s="7" t="s">
        <v>1006</v>
      </c>
      <c r="E23" s="7" t="s">
        <v>4</v>
      </c>
      <c r="F23" s="7" t="s">
        <v>1</v>
      </c>
      <c r="G23" s="7" t="s">
        <v>28</v>
      </c>
      <c r="H23" s="7"/>
      <c r="I23" s="7" t="s">
        <v>93</v>
      </c>
      <c r="J23" s="7">
        <v>1</v>
      </c>
      <c r="K23" s="7">
        <v>1</v>
      </c>
      <c r="Q23" s="107" t="s">
        <v>634</v>
      </c>
      <c r="R23" s="7" t="s">
        <v>148</v>
      </c>
      <c r="S23" s="7" t="s">
        <v>148</v>
      </c>
      <c r="T23" s="7" t="s">
        <v>148</v>
      </c>
      <c r="U23" s="7" t="s">
        <v>36</v>
      </c>
      <c r="V23" s="7" t="s">
        <v>96</v>
      </c>
      <c r="AE23" s="8" t="s">
        <v>299</v>
      </c>
      <c r="AF23" s="8" t="s">
        <v>277</v>
      </c>
      <c r="AG23" s="8" t="s">
        <v>299</v>
      </c>
      <c r="AH23" s="8" t="s">
        <v>1009</v>
      </c>
    </row>
    <row r="24" spans="1:34" ht="14.5" x14ac:dyDescent="0.35">
      <c r="A24" s="72" t="s">
        <v>927</v>
      </c>
      <c r="B24" s="7" t="s">
        <v>928</v>
      </c>
      <c r="C24" s="7" t="s">
        <v>1052</v>
      </c>
      <c r="D24" s="7" t="s">
        <v>1006</v>
      </c>
      <c r="E24" s="7" t="s">
        <v>4</v>
      </c>
      <c r="F24" s="7" t="s">
        <v>1</v>
      </c>
      <c r="G24" s="7" t="s">
        <v>30</v>
      </c>
      <c r="H24" s="7"/>
      <c r="I24" s="7" t="s">
        <v>93</v>
      </c>
      <c r="J24" s="9">
        <v>1</v>
      </c>
      <c r="K24" s="9">
        <v>1</v>
      </c>
      <c r="Q24" s="107" t="s">
        <v>596</v>
      </c>
      <c r="R24" s="87" t="s">
        <v>100</v>
      </c>
      <c r="S24" s="7" t="s">
        <v>266</v>
      </c>
      <c r="T24" s="7" t="s">
        <v>266</v>
      </c>
      <c r="U24" s="7" t="s">
        <v>36</v>
      </c>
      <c r="V24" s="7" t="s">
        <v>96</v>
      </c>
      <c r="AE24" s="8" t="s">
        <v>1053</v>
      </c>
      <c r="AF24" s="8" t="s">
        <v>283</v>
      </c>
      <c r="AG24" s="8" t="s">
        <v>1053</v>
      </c>
      <c r="AH24" s="8" t="s">
        <v>533</v>
      </c>
    </row>
    <row r="25" spans="1:34" ht="14.5" x14ac:dyDescent="0.35">
      <c r="A25" s="72" t="s">
        <v>175</v>
      </c>
      <c r="B25" s="7" t="s">
        <v>947</v>
      </c>
      <c r="C25" s="7" t="s">
        <v>505</v>
      </c>
      <c r="D25" s="7" t="s">
        <v>1006</v>
      </c>
      <c r="E25" s="7" t="s">
        <v>4</v>
      </c>
      <c r="F25" s="7" t="s">
        <v>1</v>
      </c>
      <c r="G25" s="7" t="s">
        <v>30</v>
      </c>
      <c r="H25" s="7"/>
      <c r="I25" s="7" t="s">
        <v>93</v>
      </c>
      <c r="J25" s="7">
        <v>1</v>
      </c>
      <c r="K25" s="7">
        <v>1</v>
      </c>
      <c r="Q25" s="107" t="s">
        <v>610</v>
      </c>
      <c r="R25" s="7" t="s">
        <v>44</v>
      </c>
      <c r="S25" s="7" t="s">
        <v>44</v>
      </c>
      <c r="T25" s="7" t="s">
        <v>44</v>
      </c>
      <c r="U25" s="7" t="s">
        <v>36</v>
      </c>
      <c r="V25" s="7" t="s">
        <v>96</v>
      </c>
      <c r="AE25" s="8" t="s">
        <v>312</v>
      </c>
      <c r="AF25" s="8" t="s">
        <v>303</v>
      </c>
      <c r="AG25" s="8" t="s">
        <v>312</v>
      </c>
      <c r="AH25" s="8" t="s">
        <v>1026</v>
      </c>
    </row>
    <row r="26" spans="1:34" ht="14.5" x14ac:dyDescent="0.35">
      <c r="A26" s="178" t="s">
        <v>1695</v>
      </c>
      <c r="B26" s="7" t="s">
        <v>14</v>
      </c>
      <c r="C26" s="7" t="s">
        <v>14</v>
      </c>
      <c r="D26" s="7" t="s">
        <v>11</v>
      </c>
      <c r="E26" s="7" t="s">
        <v>4</v>
      </c>
      <c r="F26" s="7" t="s">
        <v>14</v>
      </c>
      <c r="G26" s="7"/>
      <c r="H26" s="7"/>
      <c r="I26" s="7" t="s">
        <v>93</v>
      </c>
      <c r="J26" s="9">
        <v>3</v>
      </c>
      <c r="K26" s="9">
        <v>1</v>
      </c>
      <c r="Q26" s="107" t="s">
        <v>624</v>
      </c>
      <c r="R26" s="87" t="s">
        <v>103</v>
      </c>
      <c r="S26" s="7" t="s">
        <v>272</v>
      </c>
      <c r="T26" s="7" t="s">
        <v>272</v>
      </c>
      <c r="U26" s="7" t="s">
        <v>36</v>
      </c>
      <c r="V26" s="7" t="s">
        <v>96</v>
      </c>
      <c r="AE26" s="8" t="s">
        <v>313</v>
      </c>
      <c r="AF26" s="8" t="s">
        <v>314</v>
      </c>
      <c r="AG26" s="8" t="s">
        <v>313</v>
      </c>
      <c r="AH26" s="8" t="s">
        <v>533</v>
      </c>
    </row>
    <row r="27" spans="1:34" ht="14.5" x14ac:dyDescent="0.35">
      <c r="A27" s="72" t="s">
        <v>178</v>
      </c>
      <c r="B27" s="7" t="s">
        <v>981</v>
      </c>
      <c r="C27" s="7" t="s">
        <v>494</v>
      </c>
      <c r="D27" s="7" t="s">
        <v>1006</v>
      </c>
      <c r="E27" s="7" t="s">
        <v>4</v>
      </c>
      <c r="F27" s="7" t="s">
        <v>1</v>
      </c>
      <c r="G27" s="7" t="s">
        <v>28</v>
      </c>
      <c r="H27" s="7"/>
      <c r="I27" s="7" t="s">
        <v>93</v>
      </c>
      <c r="J27" s="7">
        <v>1</v>
      </c>
      <c r="K27" s="7">
        <v>1</v>
      </c>
      <c r="Q27" s="107" t="s">
        <v>594</v>
      </c>
      <c r="R27" s="87" t="s">
        <v>22</v>
      </c>
      <c r="S27" s="7" t="s">
        <v>267</v>
      </c>
      <c r="T27" s="7" t="s">
        <v>267</v>
      </c>
      <c r="U27" s="7" t="s">
        <v>36</v>
      </c>
      <c r="V27" s="7" t="s">
        <v>96</v>
      </c>
      <c r="AE27" s="8" t="s">
        <v>288</v>
      </c>
      <c r="AF27" s="8" t="s">
        <v>289</v>
      </c>
      <c r="AG27" s="8" t="s">
        <v>288</v>
      </c>
      <c r="AH27" s="8" t="s">
        <v>1054</v>
      </c>
    </row>
    <row r="28" spans="1:34" ht="14.5" x14ac:dyDescent="0.35">
      <c r="A28" s="72" t="s">
        <v>180</v>
      </c>
      <c r="B28" s="7" t="s">
        <v>1055</v>
      </c>
      <c r="C28" s="7" t="s">
        <v>497</v>
      </c>
      <c r="D28" s="7" t="s">
        <v>1006</v>
      </c>
      <c r="E28" s="7" t="s">
        <v>4</v>
      </c>
      <c r="F28" s="7" t="s">
        <v>1</v>
      </c>
      <c r="G28" s="7" t="s">
        <v>28</v>
      </c>
      <c r="H28" s="7"/>
      <c r="I28" s="7" t="s">
        <v>93</v>
      </c>
      <c r="J28" s="9">
        <v>1</v>
      </c>
      <c r="K28" s="9">
        <v>1</v>
      </c>
      <c r="Q28" s="107" t="s">
        <v>652</v>
      </c>
      <c r="R28" s="7" t="s">
        <v>71</v>
      </c>
      <c r="S28" s="7" t="s">
        <v>71</v>
      </c>
      <c r="T28" s="7" t="s">
        <v>71</v>
      </c>
      <c r="U28" s="7" t="s">
        <v>36</v>
      </c>
      <c r="V28" s="7" t="s">
        <v>96</v>
      </c>
      <c r="AE28" s="8" t="s">
        <v>300</v>
      </c>
      <c r="AF28" s="8" t="s">
        <v>301</v>
      </c>
      <c r="AG28" s="8" t="s">
        <v>300</v>
      </c>
      <c r="AH28" s="8" t="s">
        <v>1009</v>
      </c>
    </row>
    <row r="29" spans="1:34" ht="14.5" x14ac:dyDescent="0.35">
      <c r="A29" s="72" t="s">
        <v>713</v>
      </c>
      <c r="B29" s="7" t="s">
        <v>714</v>
      </c>
      <c r="C29" s="7" t="s">
        <v>1056</v>
      </c>
      <c r="D29" s="7" t="s">
        <v>1006</v>
      </c>
      <c r="E29" s="7" t="s">
        <v>75</v>
      </c>
      <c r="F29" s="7" t="s">
        <v>3</v>
      </c>
      <c r="G29" s="7"/>
      <c r="H29" s="7" t="s">
        <v>41</v>
      </c>
      <c r="I29" s="7" t="s">
        <v>93</v>
      </c>
      <c r="J29" s="7">
        <v>4</v>
      </c>
      <c r="K29" s="7">
        <v>3</v>
      </c>
      <c r="Q29" s="107" t="s">
        <v>622</v>
      </c>
      <c r="R29" s="7" t="s">
        <v>53</v>
      </c>
      <c r="S29" s="7" t="s">
        <v>53</v>
      </c>
      <c r="T29" s="7" t="s">
        <v>53</v>
      </c>
      <c r="U29" s="7" t="s">
        <v>36</v>
      </c>
      <c r="V29" s="7" t="s">
        <v>96</v>
      </c>
      <c r="AE29" s="8" t="s">
        <v>297</v>
      </c>
      <c r="AF29" s="8" t="s">
        <v>298</v>
      </c>
      <c r="AG29" s="8" t="s">
        <v>297</v>
      </c>
      <c r="AH29" s="8" t="s">
        <v>533</v>
      </c>
    </row>
    <row r="30" spans="1:34" ht="14.5" x14ac:dyDescent="0.35">
      <c r="A30" s="72" t="s">
        <v>184</v>
      </c>
      <c r="B30" s="7" t="s">
        <v>717</v>
      </c>
      <c r="C30" s="7" t="s">
        <v>465</v>
      </c>
      <c r="D30" s="7" t="s">
        <v>1006</v>
      </c>
      <c r="E30" s="7" t="s">
        <v>75</v>
      </c>
      <c r="F30" s="7" t="s">
        <v>3</v>
      </c>
      <c r="G30" s="7"/>
      <c r="H30" s="7" t="s">
        <v>41</v>
      </c>
      <c r="I30" s="7" t="s">
        <v>93</v>
      </c>
      <c r="J30" s="7">
        <v>4</v>
      </c>
      <c r="K30" s="7">
        <v>3</v>
      </c>
      <c r="Q30" s="107" t="s">
        <v>645</v>
      </c>
      <c r="R30" s="7" t="s">
        <v>117</v>
      </c>
      <c r="S30" s="7" t="s">
        <v>117</v>
      </c>
      <c r="T30" s="7" t="s">
        <v>117</v>
      </c>
      <c r="U30" s="7" t="s">
        <v>36</v>
      </c>
      <c r="V30" s="7" t="s">
        <v>96</v>
      </c>
      <c r="AE30" s="8" t="s">
        <v>315</v>
      </c>
      <c r="AF30" s="8" t="s">
        <v>314</v>
      </c>
      <c r="AG30" s="8" t="s">
        <v>315</v>
      </c>
      <c r="AH30" s="8" t="s">
        <v>533</v>
      </c>
    </row>
    <row r="31" spans="1:34" ht="14.5" x14ac:dyDescent="0.35">
      <c r="A31" s="72" t="s">
        <v>723</v>
      </c>
      <c r="B31" s="7" t="s">
        <v>724</v>
      </c>
      <c r="C31" s="7" t="s">
        <v>1057</v>
      </c>
      <c r="D31" s="7" t="s">
        <v>1006</v>
      </c>
      <c r="E31" s="7" t="s">
        <v>75</v>
      </c>
      <c r="F31" s="7" t="s">
        <v>3</v>
      </c>
      <c r="G31" s="7"/>
      <c r="H31" s="7" t="s">
        <v>41</v>
      </c>
      <c r="I31" s="7" t="s">
        <v>93</v>
      </c>
      <c r="J31" s="7">
        <v>4</v>
      </c>
      <c r="K31" s="7">
        <v>3</v>
      </c>
      <c r="Q31" s="107" t="s">
        <v>636</v>
      </c>
      <c r="R31" s="87" t="s">
        <v>102</v>
      </c>
      <c r="S31" s="7" t="s">
        <v>270</v>
      </c>
      <c r="T31" s="7" t="s">
        <v>270</v>
      </c>
      <c r="U31" s="7" t="s">
        <v>36</v>
      </c>
      <c r="V31" s="7" t="s">
        <v>96</v>
      </c>
      <c r="AE31" s="8" t="s">
        <v>291</v>
      </c>
      <c r="AF31" s="8" t="s">
        <v>292</v>
      </c>
      <c r="AG31" s="8" t="s">
        <v>291</v>
      </c>
      <c r="AH31" s="8" t="s">
        <v>533</v>
      </c>
    </row>
    <row r="32" spans="1:34" ht="14.5" x14ac:dyDescent="0.35">
      <c r="A32" s="72" t="s">
        <v>727</v>
      </c>
      <c r="B32" s="7" t="s">
        <v>728</v>
      </c>
      <c r="C32" s="7" t="s">
        <v>1058</v>
      </c>
      <c r="D32" s="7" t="s">
        <v>1006</v>
      </c>
      <c r="E32" s="7" t="s">
        <v>75</v>
      </c>
      <c r="F32" s="7" t="s">
        <v>3</v>
      </c>
      <c r="G32" s="7"/>
      <c r="H32" s="7" t="s">
        <v>41</v>
      </c>
      <c r="I32" s="7" t="s">
        <v>93</v>
      </c>
      <c r="J32" s="7">
        <v>4</v>
      </c>
      <c r="K32" s="7">
        <v>3</v>
      </c>
      <c r="Q32" s="107" t="s">
        <v>612</v>
      </c>
      <c r="R32" s="87" t="s">
        <v>99</v>
      </c>
      <c r="S32" s="7" t="s">
        <v>321</v>
      </c>
      <c r="T32" s="7" t="s">
        <v>321</v>
      </c>
      <c r="U32" s="7" t="s">
        <v>36</v>
      </c>
      <c r="V32" s="7" t="s">
        <v>96</v>
      </c>
      <c r="AE32" s="8" t="s">
        <v>284</v>
      </c>
      <c r="AF32" s="8" t="s">
        <v>281</v>
      </c>
      <c r="AG32" s="8" t="s">
        <v>284</v>
      </c>
      <c r="AH32" s="8" t="s">
        <v>533</v>
      </c>
    </row>
    <row r="33" spans="1:34" ht="14.5" x14ac:dyDescent="0.35">
      <c r="A33" s="72" t="s">
        <v>187</v>
      </c>
      <c r="B33" s="7" t="s">
        <v>869</v>
      </c>
      <c r="C33" s="7" t="s">
        <v>462</v>
      </c>
      <c r="D33" s="7" t="s">
        <v>1006</v>
      </c>
      <c r="E33" s="7" t="s">
        <v>75</v>
      </c>
      <c r="F33" s="7" t="s">
        <v>3</v>
      </c>
      <c r="G33" s="7"/>
      <c r="H33" s="7" t="s">
        <v>41</v>
      </c>
      <c r="I33" s="7" t="s">
        <v>93</v>
      </c>
      <c r="J33" s="7">
        <v>4</v>
      </c>
      <c r="K33" s="7">
        <v>3</v>
      </c>
      <c r="Q33" s="107" t="s">
        <v>659</v>
      </c>
      <c r="R33" s="87" t="s">
        <v>99</v>
      </c>
      <c r="S33" s="7" t="s">
        <v>487</v>
      </c>
      <c r="T33" s="7" t="s">
        <v>487</v>
      </c>
      <c r="U33" s="7" t="s">
        <v>36</v>
      </c>
      <c r="V33" s="7" t="s">
        <v>96</v>
      </c>
      <c r="AE33" s="8" t="s">
        <v>307</v>
      </c>
      <c r="AF33" s="8" t="s">
        <v>308</v>
      </c>
      <c r="AG33" s="8" t="s">
        <v>307</v>
      </c>
      <c r="AH33" s="8" t="s">
        <v>1009</v>
      </c>
    </row>
    <row r="34" spans="1:34" ht="14.5" x14ac:dyDescent="0.35">
      <c r="A34" s="72" t="s">
        <v>188</v>
      </c>
      <c r="B34" s="7" t="s">
        <v>872</v>
      </c>
      <c r="C34" s="7" t="s">
        <v>482</v>
      </c>
      <c r="D34" s="7" t="s">
        <v>1006</v>
      </c>
      <c r="E34" s="7" t="s">
        <v>75</v>
      </c>
      <c r="F34" s="7" t="s">
        <v>3</v>
      </c>
      <c r="G34" s="7"/>
      <c r="H34" s="7" t="s">
        <v>41</v>
      </c>
      <c r="I34" s="7" t="s">
        <v>93</v>
      </c>
      <c r="J34" s="7">
        <v>4</v>
      </c>
      <c r="K34" s="7">
        <v>3</v>
      </c>
      <c r="Q34" s="107" t="s">
        <v>657</v>
      </c>
      <c r="R34" s="7" t="s">
        <v>26</v>
      </c>
      <c r="S34" s="7" t="s">
        <v>26</v>
      </c>
      <c r="T34" s="7" t="s">
        <v>26</v>
      </c>
      <c r="U34" s="7" t="s">
        <v>36</v>
      </c>
      <c r="V34" s="7" t="s">
        <v>96</v>
      </c>
      <c r="AE34" s="8" t="s">
        <v>316</v>
      </c>
      <c r="AF34" s="8" t="s">
        <v>317</v>
      </c>
      <c r="AG34" s="8" t="s">
        <v>316</v>
      </c>
      <c r="AH34" s="8" t="s">
        <v>533</v>
      </c>
    </row>
    <row r="35" spans="1:34" ht="14.5" x14ac:dyDescent="0.35">
      <c r="A35" s="72" t="s">
        <v>883</v>
      </c>
      <c r="B35" s="7" t="s">
        <v>884</v>
      </c>
      <c r="C35" s="7" t="s">
        <v>1059</v>
      </c>
      <c r="D35" s="7" t="s">
        <v>1006</v>
      </c>
      <c r="E35" s="7" t="s">
        <v>75</v>
      </c>
      <c r="F35" s="7" t="s">
        <v>3</v>
      </c>
      <c r="G35" s="7"/>
      <c r="H35" s="7" t="s">
        <v>41</v>
      </c>
      <c r="I35" s="7" t="s">
        <v>93</v>
      </c>
      <c r="J35" s="7">
        <v>4</v>
      </c>
      <c r="K35" s="7">
        <v>3</v>
      </c>
      <c r="Q35" s="107" t="s">
        <v>627</v>
      </c>
      <c r="R35" s="7" t="s">
        <v>58</v>
      </c>
      <c r="S35" s="7" t="s">
        <v>58</v>
      </c>
      <c r="T35" s="7" t="s">
        <v>58</v>
      </c>
      <c r="U35" s="7" t="s">
        <v>36</v>
      </c>
      <c r="V35" s="7" t="s">
        <v>96</v>
      </c>
      <c r="AE35" s="8" t="s">
        <v>282</v>
      </c>
      <c r="AF35" s="8" t="s">
        <v>283</v>
      </c>
      <c r="AG35" s="8" t="s">
        <v>282</v>
      </c>
      <c r="AH35" s="8" t="s">
        <v>533</v>
      </c>
    </row>
    <row r="36" spans="1:34" ht="14.5" x14ac:dyDescent="0.35">
      <c r="A36" s="72" t="s">
        <v>189</v>
      </c>
      <c r="B36" s="7" t="s">
        <v>895</v>
      </c>
      <c r="C36" s="7" t="s">
        <v>544</v>
      </c>
      <c r="D36" s="7" t="s">
        <v>1006</v>
      </c>
      <c r="E36" s="7" t="s">
        <v>75</v>
      </c>
      <c r="F36" s="7" t="s">
        <v>3</v>
      </c>
      <c r="G36" s="7"/>
      <c r="H36" s="7" t="s">
        <v>41</v>
      </c>
      <c r="I36" s="7" t="s">
        <v>93</v>
      </c>
      <c r="J36" s="7">
        <v>4</v>
      </c>
      <c r="K36" s="7">
        <v>3</v>
      </c>
      <c r="Q36" s="107" t="s">
        <v>1060</v>
      </c>
      <c r="R36" s="7" t="s">
        <v>1061</v>
      </c>
      <c r="S36" s="7" t="s">
        <v>1061</v>
      </c>
      <c r="T36" s="7" t="s">
        <v>1061</v>
      </c>
      <c r="U36" s="7" t="s">
        <v>36</v>
      </c>
      <c r="V36" s="7" t="s">
        <v>96</v>
      </c>
      <c r="AE36" s="8" t="s">
        <v>280</v>
      </c>
      <c r="AF36" s="8" t="s">
        <v>281</v>
      </c>
      <c r="AG36" s="8" t="s">
        <v>280</v>
      </c>
      <c r="AH36" s="8" t="s">
        <v>533</v>
      </c>
    </row>
    <row r="37" spans="1:34" ht="14.5" x14ac:dyDescent="0.35">
      <c r="A37" s="72" t="s">
        <v>1062</v>
      </c>
      <c r="B37" s="7" t="s">
        <v>1063</v>
      </c>
      <c r="C37" s="7" t="s">
        <v>1064</v>
      </c>
      <c r="D37" s="7" t="s">
        <v>1006</v>
      </c>
      <c r="E37" s="7" t="s">
        <v>75</v>
      </c>
      <c r="F37" s="7" t="s">
        <v>3</v>
      </c>
      <c r="G37" s="7"/>
      <c r="H37" s="7" t="s">
        <v>41</v>
      </c>
      <c r="I37" s="7" t="s">
        <v>93</v>
      </c>
      <c r="J37" s="7">
        <v>4</v>
      </c>
      <c r="K37" s="7">
        <v>3</v>
      </c>
      <c r="Q37" s="107" t="s">
        <v>683</v>
      </c>
      <c r="R37" s="7" t="s">
        <v>72</v>
      </c>
      <c r="S37" s="7" t="s">
        <v>72</v>
      </c>
      <c r="T37" s="7" t="s">
        <v>72</v>
      </c>
      <c r="U37" s="7" t="s">
        <v>38</v>
      </c>
      <c r="V37" s="7" t="s">
        <v>96</v>
      </c>
      <c r="AE37" s="8" t="s">
        <v>277</v>
      </c>
      <c r="AF37" s="8" t="s">
        <v>277</v>
      </c>
      <c r="AG37" s="8" t="s">
        <v>277</v>
      </c>
      <c r="AH37" s="8" t="s">
        <v>1009</v>
      </c>
    </row>
    <row r="38" spans="1:34" ht="14.5" x14ac:dyDescent="0.35">
      <c r="A38" s="72" t="s">
        <v>186</v>
      </c>
      <c r="B38" s="7" t="s">
        <v>781</v>
      </c>
      <c r="C38" s="7" t="s">
        <v>477</v>
      </c>
      <c r="D38" s="7" t="s">
        <v>1006</v>
      </c>
      <c r="E38" s="7" t="s">
        <v>75</v>
      </c>
      <c r="F38" s="7" t="s">
        <v>3</v>
      </c>
      <c r="G38" s="7"/>
      <c r="H38" s="7" t="s">
        <v>41</v>
      </c>
      <c r="I38" s="7" t="s">
        <v>93</v>
      </c>
      <c r="J38" s="7">
        <v>4</v>
      </c>
      <c r="K38" s="7">
        <v>3</v>
      </c>
      <c r="Q38" s="107" t="s">
        <v>611</v>
      </c>
      <c r="R38" s="87" t="s">
        <v>99</v>
      </c>
      <c r="S38" s="7" t="s">
        <v>269</v>
      </c>
      <c r="T38" s="7" t="s">
        <v>269</v>
      </c>
      <c r="U38" s="7" t="s">
        <v>36</v>
      </c>
      <c r="V38" s="7" t="s">
        <v>96</v>
      </c>
      <c r="AE38" s="8" t="s">
        <v>290</v>
      </c>
      <c r="AF38" s="8" t="s">
        <v>290</v>
      </c>
      <c r="AG38" s="8" t="s">
        <v>290</v>
      </c>
      <c r="AH38" s="8" t="s">
        <v>533</v>
      </c>
    </row>
    <row r="39" spans="1:34" ht="14.5" x14ac:dyDescent="0.35">
      <c r="A39" s="72" t="s">
        <v>191</v>
      </c>
      <c r="B39" s="7" t="s">
        <v>941</v>
      </c>
      <c r="C39" s="7" t="s">
        <v>466</v>
      </c>
      <c r="D39" s="7" t="s">
        <v>1006</v>
      </c>
      <c r="E39" s="7" t="s">
        <v>75</v>
      </c>
      <c r="F39" s="7" t="s">
        <v>3</v>
      </c>
      <c r="G39" s="7"/>
      <c r="H39" s="7" t="s">
        <v>41</v>
      </c>
      <c r="I39" s="7" t="s">
        <v>93</v>
      </c>
      <c r="J39" s="7">
        <v>4</v>
      </c>
      <c r="K39" s="7">
        <v>3</v>
      </c>
      <c r="Q39" s="107" t="s">
        <v>676</v>
      </c>
      <c r="R39" s="7" t="s">
        <v>69</v>
      </c>
      <c r="S39" s="7" t="s">
        <v>69</v>
      </c>
      <c r="T39" s="7" t="s">
        <v>69</v>
      </c>
      <c r="U39" s="7" t="s">
        <v>38</v>
      </c>
      <c r="V39" s="7" t="s">
        <v>96</v>
      </c>
      <c r="AE39" s="8" t="s">
        <v>295</v>
      </c>
      <c r="AF39" s="8" t="s">
        <v>296</v>
      </c>
      <c r="AG39" s="8" t="s">
        <v>295</v>
      </c>
      <c r="AH39" s="8" t="s">
        <v>1026</v>
      </c>
    </row>
    <row r="40" spans="1:34" ht="14.5" x14ac:dyDescent="0.35">
      <c r="A40" s="72" t="s">
        <v>185</v>
      </c>
      <c r="B40" s="7" t="s">
        <v>720</v>
      </c>
      <c r="C40" s="7" t="s">
        <v>486</v>
      </c>
      <c r="D40" s="7" t="s">
        <v>1006</v>
      </c>
      <c r="E40" s="7" t="s">
        <v>75</v>
      </c>
      <c r="F40" s="7" t="s">
        <v>3</v>
      </c>
      <c r="G40" s="7"/>
      <c r="H40" s="7" t="s">
        <v>49</v>
      </c>
      <c r="I40" s="7" t="s">
        <v>93</v>
      </c>
      <c r="J40" s="7">
        <v>4</v>
      </c>
      <c r="K40" s="7">
        <v>3</v>
      </c>
      <c r="Q40" s="107" t="s">
        <v>661</v>
      </c>
      <c r="R40" s="7" t="s">
        <v>106</v>
      </c>
      <c r="S40" s="7" t="s">
        <v>106</v>
      </c>
      <c r="T40" s="7" t="s">
        <v>106</v>
      </c>
      <c r="U40" s="7" t="s">
        <v>36</v>
      </c>
      <c r="V40" s="7" t="s">
        <v>96</v>
      </c>
      <c r="AE40" s="8" t="s">
        <v>259</v>
      </c>
      <c r="AF40" s="8" t="s">
        <v>259</v>
      </c>
      <c r="AG40" s="8" t="s">
        <v>259</v>
      </c>
      <c r="AH40" s="8" t="s">
        <v>1026</v>
      </c>
    </row>
    <row r="41" spans="1:34" ht="14.5" x14ac:dyDescent="0.35">
      <c r="A41" s="72" t="s">
        <v>811</v>
      </c>
      <c r="B41" s="7" t="s">
        <v>812</v>
      </c>
      <c r="C41" s="7" t="s">
        <v>1065</v>
      </c>
      <c r="D41" s="7" t="s">
        <v>1006</v>
      </c>
      <c r="E41" s="7" t="s">
        <v>75</v>
      </c>
      <c r="F41" s="7" t="s">
        <v>3</v>
      </c>
      <c r="G41" s="7"/>
      <c r="H41" s="7" t="s">
        <v>41</v>
      </c>
      <c r="I41" s="7" t="s">
        <v>93</v>
      </c>
      <c r="J41" s="7">
        <v>4</v>
      </c>
      <c r="K41" s="7">
        <v>3</v>
      </c>
      <c r="Q41" s="107" t="s">
        <v>603</v>
      </c>
      <c r="R41" s="7" t="s">
        <v>56</v>
      </c>
      <c r="S41" s="7" t="s">
        <v>56</v>
      </c>
      <c r="T41" s="7" t="s">
        <v>56</v>
      </c>
      <c r="U41" s="7" t="s">
        <v>36</v>
      </c>
      <c r="V41" s="7" t="s">
        <v>96</v>
      </c>
      <c r="AE41" s="8" t="s">
        <v>311</v>
      </c>
      <c r="AF41" s="8" t="s">
        <v>283</v>
      </c>
      <c r="AG41" s="8" t="s">
        <v>311</v>
      </c>
      <c r="AH41" s="8" t="s">
        <v>533</v>
      </c>
    </row>
    <row r="42" spans="1:34" ht="14.5" x14ac:dyDescent="0.35">
      <c r="A42" s="72" t="s">
        <v>190</v>
      </c>
      <c r="B42" s="7" t="s">
        <v>1066</v>
      </c>
      <c r="C42" s="7" t="s">
        <v>504</v>
      </c>
      <c r="D42" s="7" t="s">
        <v>1006</v>
      </c>
      <c r="E42" s="7" t="s">
        <v>75</v>
      </c>
      <c r="F42" s="7" t="s">
        <v>3</v>
      </c>
      <c r="G42" s="7"/>
      <c r="H42" s="7" t="s">
        <v>41</v>
      </c>
      <c r="I42" s="7" t="s">
        <v>93</v>
      </c>
      <c r="J42" s="7">
        <v>4</v>
      </c>
      <c r="K42" s="7">
        <v>3</v>
      </c>
      <c r="Q42" s="107" t="s">
        <v>679</v>
      </c>
      <c r="R42" s="7" t="s">
        <v>68</v>
      </c>
      <c r="S42" s="7" t="s">
        <v>68</v>
      </c>
      <c r="T42" s="7" t="s">
        <v>68</v>
      </c>
      <c r="U42" s="7" t="s">
        <v>38</v>
      </c>
      <c r="V42" s="7" t="s">
        <v>96</v>
      </c>
      <c r="AE42" s="8" t="s">
        <v>309</v>
      </c>
      <c r="AF42" s="8" t="s">
        <v>310</v>
      </c>
      <c r="AG42" s="8" t="s">
        <v>309</v>
      </c>
      <c r="AH42" s="8" t="s">
        <v>533</v>
      </c>
    </row>
    <row r="43" spans="1:34" ht="14.5" x14ac:dyDescent="0.35">
      <c r="A43" s="72" t="s">
        <v>192</v>
      </c>
      <c r="B43" s="7" t="s">
        <v>973</v>
      </c>
      <c r="C43" s="7" t="s">
        <v>463</v>
      </c>
      <c r="D43" s="7" t="s">
        <v>1006</v>
      </c>
      <c r="E43" s="7" t="s">
        <v>75</v>
      </c>
      <c r="F43" s="7" t="s">
        <v>3</v>
      </c>
      <c r="G43" s="7"/>
      <c r="H43" s="7" t="s">
        <v>41</v>
      </c>
      <c r="I43" s="7" t="s">
        <v>93</v>
      </c>
      <c r="J43" s="7">
        <v>4</v>
      </c>
      <c r="K43" s="7">
        <v>3</v>
      </c>
      <c r="Q43" s="107" t="s">
        <v>626</v>
      </c>
      <c r="R43" s="7" t="s">
        <v>152</v>
      </c>
      <c r="S43" s="7" t="s">
        <v>152</v>
      </c>
      <c r="T43" s="7" t="s">
        <v>152</v>
      </c>
      <c r="U43" s="7" t="s">
        <v>36</v>
      </c>
      <c r="V43" s="7" t="s">
        <v>96</v>
      </c>
      <c r="AE43" s="8" t="s">
        <v>318</v>
      </c>
      <c r="AF43" s="8" t="s">
        <v>301</v>
      </c>
      <c r="AG43" s="8" t="s">
        <v>318</v>
      </c>
      <c r="AH43" s="8" t="s">
        <v>1009</v>
      </c>
    </row>
    <row r="44" spans="1:34" ht="14.5" x14ac:dyDescent="0.35">
      <c r="A44" s="72" t="s">
        <v>875</v>
      </c>
      <c r="B44" s="7" t="s">
        <v>876</v>
      </c>
      <c r="C44" s="7" t="s">
        <v>1067</v>
      </c>
      <c r="D44" s="7" t="s">
        <v>1006</v>
      </c>
      <c r="E44" s="7" t="s">
        <v>75</v>
      </c>
      <c r="F44" s="7" t="s">
        <v>3</v>
      </c>
      <c r="G44" s="7"/>
      <c r="H44" s="7" t="s">
        <v>41</v>
      </c>
      <c r="I44" s="7" t="s">
        <v>93</v>
      </c>
      <c r="J44" s="7">
        <v>4</v>
      </c>
      <c r="K44" s="7">
        <v>3</v>
      </c>
      <c r="Q44" s="107" t="s">
        <v>669</v>
      </c>
      <c r="R44" s="7" t="s">
        <v>149</v>
      </c>
      <c r="S44" s="7" t="s">
        <v>149</v>
      </c>
      <c r="T44" s="7" t="s">
        <v>149</v>
      </c>
      <c r="U44" s="7" t="s">
        <v>36</v>
      </c>
      <c r="V44" s="7" t="s">
        <v>96</v>
      </c>
      <c r="AE44" s="8" t="s">
        <v>275</v>
      </c>
      <c r="AF44" s="8" t="s">
        <v>259</v>
      </c>
      <c r="AG44" s="8" t="s">
        <v>275</v>
      </c>
      <c r="AH44" s="8" t="s">
        <v>1026</v>
      </c>
    </row>
    <row r="45" spans="1:34" ht="14.5" x14ac:dyDescent="0.35">
      <c r="A45" s="72" t="s">
        <v>194</v>
      </c>
      <c r="B45" s="7" t="s">
        <v>743</v>
      </c>
      <c r="C45" s="7" t="s">
        <v>457</v>
      </c>
      <c r="D45" s="7" t="s">
        <v>1006</v>
      </c>
      <c r="E45" s="7" t="s">
        <v>76</v>
      </c>
      <c r="F45" s="7" t="s">
        <v>2</v>
      </c>
      <c r="G45" s="7"/>
      <c r="H45" s="7"/>
      <c r="I45" s="7" t="s">
        <v>93</v>
      </c>
      <c r="J45" s="7">
        <v>5</v>
      </c>
      <c r="K45" s="7">
        <v>4</v>
      </c>
      <c r="Q45" s="107" t="s">
        <v>628</v>
      </c>
      <c r="R45" s="7" t="s">
        <v>57</v>
      </c>
      <c r="S45" s="7" t="s">
        <v>57</v>
      </c>
      <c r="T45" s="7" t="s">
        <v>57</v>
      </c>
      <c r="U45" s="7" t="s">
        <v>36</v>
      </c>
      <c r="V45" s="7" t="s">
        <v>96</v>
      </c>
      <c r="AE45" s="8" t="s">
        <v>1068</v>
      </c>
      <c r="AF45" s="8" t="s">
        <v>1068</v>
      </c>
      <c r="AG45" s="8" t="s">
        <v>1068</v>
      </c>
      <c r="AH45" s="8" t="s">
        <v>1009</v>
      </c>
    </row>
    <row r="46" spans="1:34" ht="14.5" x14ac:dyDescent="0.35">
      <c r="A46" s="72" t="s">
        <v>195</v>
      </c>
      <c r="B46" s="7" t="s">
        <v>746</v>
      </c>
      <c r="C46" s="7" t="s">
        <v>458</v>
      </c>
      <c r="D46" s="7" t="s">
        <v>1006</v>
      </c>
      <c r="E46" s="7" t="s">
        <v>76</v>
      </c>
      <c r="F46" s="7" t="s">
        <v>2</v>
      </c>
      <c r="G46" s="7"/>
      <c r="H46" s="7"/>
      <c r="I46" s="7" t="s">
        <v>93</v>
      </c>
      <c r="J46" s="7">
        <v>5</v>
      </c>
      <c r="K46" s="7">
        <v>4</v>
      </c>
      <c r="Q46" s="107" t="s">
        <v>660</v>
      </c>
      <c r="R46" s="7" t="s">
        <v>158</v>
      </c>
      <c r="S46" s="7" t="s">
        <v>158</v>
      </c>
      <c r="T46" s="7" t="s">
        <v>158</v>
      </c>
      <c r="U46" s="8" t="s">
        <v>38</v>
      </c>
      <c r="V46" s="7" t="s">
        <v>96</v>
      </c>
      <c r="AE46" s="8" t="s">
        <v>1069</v>
      </c>
      <c r="AF46" s="8" t="s">
        <v>1070</v>
      </c>
      <c r="AG46" s="8" t="s">
        <v>1069</v>
      </c>
      <c r="AH46" s="8" t="s">
        <v>1026</v>
      </c>
    </row>
    <row r="47" spans="1:34" ht="14.5" x14ac:dyDescent="0.35">
      <c r="A47" s="72" t="s">
        <v>196</v>
      </c>
      <c r="B47" s="7" t="s">
        <v>749</v>
      </c>
      <c r="C47" s="7" t="s">
        <v>459</v>
      </c>
      <c r="D47" s="7" t="s">
        <v>1006</v>
      </c>
      <c r="E47" s="7" t="s">
        <v>76</v>
      </c>
      <c r="F47" s="7" t="s">
        <v>2</v>
      </c>
      <c r="G47" s="7"/>
      <c r="H47" s="7"/>
      <c r="I47" s="7" t="s">
        <v>93</v>
      </c>
      <c r="J47" s="7">
        <v>5</v>
      </c>
      <c r="K47" s="7">
        <v>4</v>
      </c>
      <c r="Q47" s="107" t="s">
        <v>672</v>
      </c>
      <c r="R47" s="7" t="s">
        <v>155</v>
      </c>
      <c r="S47" s="7" t="s">
        <v>155</v>
      </c>
      <c r="T47" s="7" t="s">
        <v>155</v>
      </c>
      <c r="U47" s="8" t="s">
        <v>38</v>
      </c>
      <c r="V47" s="7" t="s">
        <v>96</v>
      </c>
      <c r="AE47" s="8" t="s">
        <v>319</v>
      </c>
      <c r="AF47" s="8" t="s">
        <v>319</v>
      </c>
      <c r="AG47" s="8" t="s">
        <v>319</v>
      </c>
      <c r="AH47" s="8" t="s">
        <v>533</v>
      </c>
    </row>
    <row r="48" spans="1:34" ht="14.5" x14ac:dyDescent="0.35">
      <c r="A48" s="72" t="s">
        <v>197</v>
      </c>
      <c r="B48" s="7" t="s">
        <v>752</v>
      </c>
      <c r="C48" s="7" t="s">
        <v>460</v>
      </c>
      <c r="D48" s="7" t="s">
        <v>1006</v>
      </c>
      <c r="E48" s="7" t="s">
        <v>76</v>
      </c>
      <c r="F48" s="7" t="s">
        <v>2</v>
      </c>
      <c r="G48" s="7"/>
      <c r="H48" s="7"/>
      <c r="I48" s="7" t="s">
        <v>93</v>
      </c>
      <c r="J48" s="7">
        <v>5</v>
      </c>
      <c r="K48" s="7">
        <v>4</v>
      </c>
      <c r="Q48" s="107" t="s">
        <v>677</v>
      </c>
      <c r="R48" s="7" t="s">
        <v>70</v>
      </c>
      <c r="S48" s="7" t="s">
        <v>70</v>
      </c>
      <c r="T48" s="7" t="s">
        <v>70</v>
      </c>
      <c r="U48" s="8" t="s">
        <v>38</v>
      </c>
      <c r="V48" s="7" t="s">
        <v>96</v>
      </c>
      <c r="AE48" s="8" t="s">
        <v>281</v>
      </c>
      <c r="AF48" s="8" t="s">
        <v>281</v>
      </c>
      <c r="AG48" s="8" t="s">
        <v>281</v>
      </c>
      <c r="AH48" s="8" t="s">
        <v>533</v>
      </c>
    </row>
    <row r="49" spans="1:34" ht="14.5" x14ac:dyDescent="0.35">
      <c r="A49" s="72" t="s">
        <v>198</v>
      </c>
      <c r="B49" s="7" t="s">
        <v>755</v>
      </c>
      <c r="C49" s="7" t="s">
        <v>488</v>
      </c>
      <c r="D49" s="7" t="s">
        <v>1006</v>
      </c>
      <c r="E49" s="7" t="s">
        <v>76</v>
      </c>
      <c r="F49" s="7" t="s">
        <v>2</v>
      </c>
      <c r="G49" s="7"/>
      <c r="H49" s="7"/>
      <c r="I49" s="7" t="s">
        <v>93</v>
      </c>
      <c r="J49" s="7">
        <v>5</v>
      </c>
      <c r="K49" s="7">
        <v>4</v>
      </c>
      <c r="Q49" s="107" t="s">
        <v>678</v>
      </c>
      <c r="R49" s="7" t="s">
        <v>157</v>
      </c>
      <c r="S49" s="7" t="s">
        <v>157</v>
      </c>
      <c r="T49" s="7" t="s">
        <v>157</v>
      </c>
      <c r="U49" s="8" t="s">
        <v>38</v>
      </c>
      <c r="V49" s="7" t="s">
        <v>96</v>
      </c>
      <c r="AE49" s="8" t="s">
        <v>1694</v>
      </c>
      <c r="AF49" s="8" t="s">
        <v>1694</v>
      </c>
      <c r="AG49" s="8" t="s">
        <v>1694</v>
      </c>
      <c r="AH49" s="8" t="s">
        <v>533</v>
      </c>
    </row>
    <row r="50" spans="1:34" ht="14.5" x14ac:dyDescent="0.35">
      <c r="A50" s="72" t="s">
        <v>199</v>
      </c>
      <c r="B50" s="7" t="s">
        <v>758</v>
      </c>
      <c r="C50" s="7" t="s">
        <v>461</v>
      </c>
      <c r="D50" s="7" t="s">
        <v>1006</v>
      </c>
      <c r="E50" s="7" t="s">
        <v>76</v>
      </c>
      <c r="F50" s="7" t="s">
        <v>2</v>
      </c>
      <c r="G50" s="7"/>
      <c r="H50" s="7"/>
      <c r="I50" s="7" t="s">
        <v>93</v>
      </c>
      <c r="J50" s="7">
        <v>5</v>
      </c>
      <c r="K50" s="7">
        <v>4</v>
      </c>
      <c r="Q50" s="107" t="s">
        <v>673</v>
      </c>
      <c r="R50" s="7" t="s">
        <v>151</v>
      </c>
      <c r="S50" s="7" t="s">
        <v>151</v>
      </c>
      <c r="T50" s="7" t="s">
        <v>151</v>
      </c>
      <c r="U50" s="8" t="s">
        <v>38</v>
      </c>
      <c r="V50" s="7" t="s">
        <v>96</v>
      </c>
    </row>
    <row r="51" spans="1:34" ht="14.5" x14ac:dyDescent="0.35">
      <c r="A51" s="72" t="s">
        <v>777</v>
      </c>
      <c r="B51" s="7" t="s">
        <v>778</v>
      </c>
      <c r="C51" s="7" t="s">
        <v>1071</v>
      </c>
      <c r="D51" s="7" t="s">
        <v>1006</v>
      </c>
      <c r="E51" s="7" t="s">
        <v>76</v>
      </c>
      <c r="F51" s="7" t="s">
        <v>2</v>
      </c>
      <c r="G51" s="7"/>
      <c r="H51" s="7"/>
      <c r="I51" s="7" t="s">
        <v>93</v>
      </c>
      <c r="J51" s="7">
        <v>5</v>
      </c>
      <c r="K51" s="7">
        <v>4</v>
      </c>
      <c r="Q51" s="107" t="s">
        <v>638</v>
      </c>
      <c r="R51" s="7" t="s">
        <v>52</v>
      </c>
      <c r="S51" s="7" t="s">
        <v>52</v>
      </c>
      <c r="T51" s="7" t="s">
        <v>52</v>
      </c>
      <c r="U51" s="7" t="s">
        <v>36</v>
      </c>
      <c r="V51" s="7" t="s">
        <v>96</v>
      </c>
    </row>
    <row r="52" spans="1:34" ht="14.5" x14ac:dyDescent="0.35">
      <c r="A52" s="72" t="s">
        <v>200</v>
      </c>
      <c r="B52" s="7" t="s">
        <v>470</v>
      </c>
      <c r="C52" s="7" t="s">
        <v>470</v>
      </c>
      <c r="D52" s="7" t="s">
        <v>11</v>
      </c>
      <c r="E52" s="7" t="s">
        <v>76</v>
      </c>
      <c r="F52" s="7" t="s">
        <v>12</v>
      </c>
      <c r="G52" s="7"/>
      <c r="H52" s="7"/>
      <c r="I52" s="7" t="s">
        <v>93</v>
      </c>
      <c r="J52" s="7">
        <v>6</v>
      </c>
      <c r="K52" s="7">
        <v>4</v>
      </c>
      <c r="Q52" s="107" t="s">
        <v>664</v>
      </c>
      <c r="R52" s="87" t="s">
        <v>8</v>
      </c>
      <c r="S52" s="7" t="s">
        <v>326</v>
      </c>
      <c r="T52" s="7" t="s">
        <v>326</v>
      </c>
      <c r="U52" s="7" t="s">
        <v>36</v>
      </c>
      <c r="V52" s="7" t="s">
        <v>96</v>
      </c>
    </row>
    <row r="53" spans="1:34" ht="14.5" x14ac:dyDescent="0.35">
      <c r="A53" s="72" t="s">
        <v>201</v>
      </c>
      <c r="B53" s="7" t="s">
        <v>471</v>
      </c>
      <c r="C53" s="7" t="s">
        <v>471</v>
      </c>
      <c r="D53" s="7" t="s">
        <v>11</v>
      </c>
      <c r="E53" s="7" t="s">
        <v>76</v>
      </c>
      <c r="F53" s="7" t="s">
        <v>12</v>
      </c>
      <c r="G53" s="7"/>
      <c r="H53" s="7"/>
      <c r="I53" s="7" t="s">
        <v>93</v>
      </c>
      <c r="J53" s="7">
        <v>6</v>
      </c>
      <c r="K53" s="7">
        <v>4</v>
      </c>
      <c r="Q53" s="107" t="s">
        <v>663</v>
      </c>
      <c r="R53" s="7" t="s">
        <v>105</v>
      </c>
      <c r="S53" s="7" t="s">
        <v>105</v>
      </c>
      <c r="T53" s="7" t="s">
        <v>105</v>
      </c>
      <c r="U53" s="7" t="s">
        <v>36</v>
      </c>
      <c r="V53" s="7" t="s">
        <v>96</v>
      </c>
    </row>
    <row r="54" spans="1:34" ht="14.5" x14ac:dyDescent="0.35">
      <c r="A54" s="72" t="s">
        <v>202</v>
      </c>
      <c r="B54" s="7" t="s">
        <v>473</v>
      </c>
      <c r="C54" s="7" t="s">
        <v>473</v>
      </c>
      <c r="D54" s="7" t="s">
        <v>11</v>
      </c>
      <c r="E54" s="7" t="s">
        <v>76</v>
      </c>
      <c r="F54" s="7" t="s">
        <v>12</v>
      </c>
      <c r="G54" s="7"/>
      <c r="H54" s="7"/>
      <c r="I54" s="7" t="s">
        <v>93</v>
      </c>
      <c r="J54" s="7">
        <v>6</v>
      </c>
      <c r="K54" s="7">
        <v>4</v>
      </c>
      <c r="Q54" s="107" t="s">
        <v>600</v>
      </c>
      <c r="R54" s="87" t="s">
        <v>5</v>
      </c>
      <c r="S54" s="7" t="s">
        <v>323</v>
      </c>
      <c r="T54" s="7" t="s">
        <v>323</v>
      </c>
      <c r="U54" s="7" t="s">
        <v>36</v>
      </c>
      <c r="V54" s="7" t="s">
        <v>96</v>
      </c>
    </row>
    <row r="55" spans="1:34" ht="14.5" x14ac:dyDescent="0.35">
      <c r="A55" s="72" t="s">
        <v>203</v>
      </c>
      <c r="B55" s="7" t="s">
        <v>472</v>
      </c>
      <c r="C55" s="7" t="s">
        <v>472</v>
      </c>
      <c r="D55" s="7" t="s">
        <v>11</v>
      </c>
      <c r="E55" s="7" t="s">
        <v>76</v>
      </c>
      <c r="F55" s="7" t="s">
        <v>12</v>
      </c>
      <c r="G55" s="7"/>
      <c r="H55" s="7"/>
      <c r="I55" s="7" t="s">
        <v>93</v>
      </c>
      <c r="J55" s="7">
        <v>6</v>
      </c>
      <c r="K55" s="7">
        <v>4</v>
      </c>
      <c r="Q55" s="107" t="s">
        <v>667</v>
      </c>
      <c r="R55" s="7" t="s">
        <v>114</v>
      </c>
      <c r="S55" s="7" t="s">
        <v>114</v>
      </c>
      <c r="T55" s="7" t="s">
        <v>114</v>
      </c>
      <c r="U55" s="8" t="s">
        <v>38</v>
      </c>
      <c r="V55" s="7" t="s">
        <v>96</v>
      </c>
    </row>
    <row r="56" spans="1:34" ht="14.5" x14ac:dyDescent="0.35">
      <c r="A56" s="72" t="s">
        <v>204</v>
      </c>
      <c r="B56" s="7" t="s">
        <v>474</v>
      </c>
      <c r="C56" s="7" t="s">
        <v>474</v>
      </c>
      <c r="D56" s="7" t="s">
        <v>11</v>
      </c>
      <c r="E56" s="7" t="s">
        <v>76</v>
      </c>
      <c r="F56" s="7" t="s">
        <v>12</v>
      </c>
      <c r="G56" s="7"/>
      <c r="H56" s="7"/>
      <c r="I56" s="7" t="s">
        <v>93</v>
      </c>
      <c r="J56" s="7">
        <v>6</v>
      </c>
      <c r="K56" s="7">
        <v>4</v>
      </c>
      <c r="Q56" s="107" t="s">
        <v>592</v>
      </c>
      <c r="R56" s="7" t="s">
        <v>23</v>
      </c>
      <c r="S56" s="7" t="s">
        <v>23</v>
      </c>
      <c r="T56" s="7" t="s">
        <v>23</v>
      </c>
      <c r="U56" s="8" t="s">
        <v>38</v>
      </c>
      <c r="V56" s="7" t="s">
        <v>96</v>
      </c>
    </row>
    <row r="57" spans="1:34" ht="14.5" x14ac:dyDescent="0.35">
      <c r="A57" s="72" t="s">
        <v>206</v>
      </c>
      <c r="B57" s="7" t="s">
        <v>476</v>
      </c>
      <c r="C57" s="7" t="s">
        <v>476</v>
      </c>
      <c r="D57" s="7" t="s">
        <v>11</v>
      </c>
      <c r="E57" s="7" t="s">
        <v>76</v>
      </c>
      <c r="F57" s="7" t="s">
        <v>12</v>
      </c>
      <c r="G57" s="7"/>
      <c r="H57" s="7"/>
      <c r="I57" s="7" t="s">
        <v>93</v>
      </c>
      <c r="J57" s="7">
        <v>6</v>
      </c>
      <c r="K57" s="7">
        <v>4</v>
      </c>
      <c r="Q57" s="107" t="s">
        <v>653</v>
      </c>
      <c r="R57" s="7" t="s">
        <v>108</v>
      </c>
      <c r="S57" s="7" t="s">
        <v>108</v>
      </c>
      <c r="T57" s="7" t="s">
        <v>108</v>
      </c>
      <c r="U57" s="7" t="s">
        <v>36</v>
      </c>
      <c r="V57" s="7" t="s">
        <v>96</v>
      </c>
    </row>
    <row r="58" spans="1:34" ht="14.5" x14ac:dyDescent="0.35">
      <c r="A58" s="72" t="s">
        <v>205</v>
      </c>
      <c r="B58" s="7" t="s">
        <v>475</v>
      </c>
      <c r="C58" s="7" t="s">
        <v>475</v>
      </c>
      <c r="D58" s="7" t="s">
        <v>11</v>
      </c>
      <c r="E58" s="7" t="s">
        <v>76</v>
      </c>
      <c r="F58" s="7" t="s">
        <v>12</v>
      </c>
      <c r="G58" s="7"/>
      <c r="H58" s="7"/>
      <c r="I58" s="7" t="s">
        <v>93</v>
      </c>
      <c r="J58" s="7">
        <v>6</v>
      </c>
      <c r="K58" s="7">
        <v>4</v>
      </c>
      <c r="Q58" s="107" t="s">
        <v>670</v>
      </c>
      <c r="R58" s="7" t="s">
        <v>66</v>
      </c>
      <c r="S58" s="7" t="s">
        <v>66</v>
      </c>
      <c r="T58" s="7" t="s">
        <v>66</v>
      </c>
      <c r="U58" s="7" t="s">
        <v>36</v>
      </c>
      <c r="V58" s="7" t="s">
        <v>96</v>
      </c>
    </row>
    <row r="59" spans="1:34" ht="14.5" x14ac:dyDescent="0.35">
      <c r="A59" s="72" t="s">
        <v>891</v>
      </c>
      <c r="B59" s="7" t="s">
        <v>892</v>
      </c>
      <c r="C59" s="7" t="s">
        <v>1072</v>
      </c>
      <c r="D59" s="7" t="s">
        <v>1006</v>
      </c>
      <c r="E59" s="7" t="s">
        <v>76</v>
      </c>
      <c r="F59" s="7" t="s">
        <v>2</v>
      </c>
      <c r="G59" s="7"/>
      <c r="H59" s="7"/>
      <c r="I59" s="7" t="s">
        <v>93</v>
      </c>
      <c r="J59" s="7">
        <v>5</v>
      </c>
      <c r="K59" s="7">
        <v>4</v>
      </c>
      <c r="Q59" s="107" t="s">
        <v>666</v>
      </c>
      <c r="R59" s="7" t="s">
        <v>54</v>
      </c>
      <c r="S59" s="7" t="s">
        <v>54</v>
      </c>
      <c r="T59" s="7" t="s">
        <v>54</v>
      </c>
      <c r="U59" s="7" t="s">
        <v>36</v>
      </c>
      <c r="V59" s="7" t="s">
        <v>96</v>
      </c>
    </row>
    <row r="60" spans="1:34" ht="14.5" x14ac:dyDescent="0.35">
      <c r="A60" s="72" t="s">
        <v>931</v>
      </c>
      <c r="B60" s="7" t="s">
        <v>932</v>
      </c>
      <c r="C60" s="7" t="s">
        <v>932</v>
      </c>
      <c r="D60" s="7" t="s">
        <v>11</v>
      </c>
      <c r="E60" s="7" t="s">
        <v>76</v>
      </c>
      <c r="F60" s="7" t="s">
        <v>12</v>
      </c>
      <c r="G60" s="7"/>
      <c r="H60" s="7"/>
      <c r="I60" s="7" t="s">
        <v>93</v>
      </c>
      <c r="J60" s="7">
        <v>6</v>
      </c>
      <c r="K60" s="7">
        <v>4</v>
      </c>
      <c r="Q60" s="107" t="s">
        <v>655</v>
      </c>
      <c r="R60" s="7" t="s">
        <v>65</v>
      </c>
      <c r="S60" s="7" t="s">
        <v>65</v>
      </c>
      <c r="T60" s="7" t="s">
        <v>65</v>
      </c>
      <c r="U60" s="7" t="s">
        <v>36</v>
      </c>
      <c r="V60" s="7" t="s">
        <v>96</v>
      </c>
    </row>
    <row r="61" spans="1:34" ht="14.5" x14ac:dyDescent="0.35">
      <c r="A61" s="72" t="s">
        <v>207</v>
      </c>
      <c r="B61" s="7" t="s">
        <v>974</v>
      </c>
      <c r="C61" s="7" t="s">
        <v>499</v>
      </c>
      <c r="D61" s="7" t="s">
        <v>1006</v>
      </c>
      <c r="E61" s="7" t="s">
        <v>76</v>
      </c>
      <c r="F61" s="7" t="s">
        <v>2</v>
      </c>
      <c r="G61" s="7"/>
      <c r="H61" s="7"/>
      <c r="I61" s="7" t="s">
        <v>93</v>
      </c>
      <c r="J61" s="7">
        <v>5</v>
      </c>
      <c r="K61" s="7">
        <v>4</v>
      </c>
      <c r="Q61" s="107" t="s">
        <v>681</v>
      </c>
      <c r="R61" s="7" t="s">
        <v>111</v>
      </c>
      <c r="S61" s="7" t="s">
        <v>111</v>
      </c>
      <c r="T61" s="7" t="s">
        <v>111</v>
      </c>
      <c r="U61" s="8" t="s">
        <v>38</v>
      </c>
      <c r="V61" s="7" t="s">
        <v>96</v>
      </c>
    </row>
    <row r="62" spans="1:34" ht="14.5" x14ac:dyDescent="0.35">
      <c r="A62" s="72" t="s">
        <v>761</v>
      </c>
      <c r="B62" s="7" t="s">
        <v>762</v>
      </c>
      <c r="C62" s="7" t="s">
        <v>1073</v>
      </c>
      <c r="D62" s="7" t="s">
        <v>1006</v>
      </c>
      <c r="E62" s="7" t="s">
        <v>21</v>
      </c>
      <c r="F62" s="7" t="s">
        <v>7</v>
      </c>
      <c r="G62" s="7"/>
      <c r="H62" s="7"/>
      <c r="I62" s="7" t="s">
        <v>93</v>
      </c>
      <c r="J62" s="7">
        <v>8</v>
      </c>
      <c r="K62" s="7">
        <v>5</v>
      </c>
      <c r="Q62" s="107" t="s">
        <v>639</v>
      </c>
      <c r="R62" s="7" t="s">
        <v>25</v>
      </c>
      <c r="S62" s="7" t="s">
        <v>25</v>
      </c>
      <c r="T62" s="7" t="s">
        <v>25</v>
      </c>
      <c r="U62" s="7" t="s">
        <v>36</v>
      </c>
      <c r="V62" s="7" t="s">
        <v>96</v>
      </c>
    </row>
    <row r="63" spans="1:34" ht="14.5" x14ac:dyDescent="0.35">
      <c r="A63" s="72" t="s">
        <v>765</v>
      </c>
      <c r="B63" s="7" t="s">
        <v>766</v>
      </c>
      <c r="C63" s="7" t="s">
        <v>1074</v>
      </c>
      <c r="D63" s="7" t="s">
        <v>1006</v>
      </c>
      <c r="E63" s="7" t="s">
        <v>21</v>
      </c>
      <c r="F63" s="7" t="s">
        <v>7</v>
      </c>
      <c r="G63" s="7"/>
      <c r="H63" s="7"/>
      <c r="I63" s="7" t="s">
        <v>93</v>
      </c>
      <c r="J63" s="7">
        <v>8</v>
      </c>
      <c r="K63" s="7">
        <v>5</v>
      </c>
      <c r="Q63" s="107" t="s">
        <v>680</v>
      </c>
      <c r="R63" s="7" t="s">
        <v>67</v>
      </c>
      <c r="S63" s="7" t="s">
        <v>67</v>
      </c>
      <c r="T63" s="7" t="s">
        <v>67</v>
      </c>
      <c r="U63" s="8" t="s">
        <v>38</v>
      </c>
      <c r="V63" s="7" t="s">
        <v>96</v>
      </c>
    </row>
    <row r="64" spans="1:34" ht="14.5" x14ac:dyDescent="0.35">
      <c r="A64" s="72" t="s">
        <v>773</v>
      </c>
      <c r="B64" s="7" t="s">
        <v>774</v>
      </c>
      <c r="C64" s="7" t="s">
        <v>1075</v>
      </c>
      <c r="D64" s="7" t="s">
        <v>1006</v>
      </c>
      <c r="E64" s="7" t="s">
        <v>21</v>
      </c>
      <c r="F64" s="7" t="s">
        <v>7</v>
      </c>
      <c r="G64" s="7"/>
      <c r="H64" s="7"/>
      <c r="I64" s="7" t="s">
        <v>93</v>
      </c>
      <c r="J64" s="7">
        <v>8</v>
      </c>
      <c r="K64" s="7">
        <v>5</v>
      </c>
      <c r="Q64" s="107" t="s">
        <v>602</v>
      </c>
      <c r="R64" s="7" t="s">
        <v>122</v>
      </c>
      <c r="S64" s="7" t="s">
        <v>122</v>
      </c>
      <c r="T64" s="7" t="s">
        <v>122</v>
      </c>
      <c r="U64" s="7" t="s">
        <v>36</v>
      </c>
      <c r="V64" s="7" t="s">
        <v>119</v>
      </c>
    </row>
    <row r="65" spans="1:22" ht="14.5" x14ac:dyDescent="0.35">
      <c r="A65" s="72" t="s">
        <v>208</v>
      </c>
      <c r="B65" s="7" t="s">
        <v>819</v>
      </c>
      <c r="C65" s="7" t="s">
        <v>551</v>
      </c>
      <c r="D65" s="7" t="s">
        <v>1006</v>
      </c>
      <c r="E65" s="7" t="s">
        <v>21</v>
      </c>
      <c r="F65" s="7" t="s">
        <v>7</v>
      </c>
      <c r="G65" s="7"/>
      <c r="H65" s="7"/>
      <c r="I65" s="7" t="s">
        <v>93</v>
      </c>
      <c r="J65" s="7">
        <v>8</v>
      </c>
      <c r="K65" s="7">
        <v>5</v>
      </c>
      <c r="Q65" s="107" t="s">
        <v>587</v>
      </c>
      <c r="R65" s="7" t="s">
        <v>6</v>
      </c>
      <c r="S65" s="7" t="s">
        <v>6</v>
      </c>
      <c r="T65" s="7" t="s">
        <v>6</v>
      </c>
      <c r="U65" s="7" t="s">
        <v>36</v>
      </c>
      <c r="V65" s="7" t="s">
        <v>119</v>
      </c>
    </row>
    <row r="66" spans="1:22" ht="14.5" x14ac:dyDescent="0.35">
      <c r="A66" s="72" t="s">
        <v>825</v>
      </c>
      <c r="B66" s="7" t="s">
        <v>826</v>
      </c>
      <c r="C66" s="7" t="s">
        <v>1076</v>
      </c>
      <c r="D66" s="7" t="s">
        <v>1006</v>
      </c>
      <c r="E66" s="7" t="s">
        <v>21</v>
      </c>
      <c r="F66" s="7" t="s">
        <v>7</v>
      </c>
      <c r="G66" s="7"/>
      <c r="H66" s="7"/>
      <c r="I66" s="7" t="s">
        <v>93</v>
      </c>
      <c r="J66" s="7">
        <v>8</v>
      </c>
      <c r="K66" s="7">
        <v>5</v>
      </c>
      <c r="Q66" s="107" t="s">
        <v>643</v>
      </c>
      <c r="R66" s="7" t="s">
        <v>138</v>
      </c>
      <c r="S66" s="7" t="s">
        <v>138</v>
      </c>
      <c r="T66" s="7" t="s">
        <v>138</v>
      </c>
      <c r="U66" s="7" t="s">
        <v>36</v>
      </c>
      <c r="V66" s="7" t="s">
        <v>119</v>
      </c>
    </row>
    <row r="67" spans="1:22" ht="14.5" x14ac:dyDescent="0.35">
      <c r="A67" s="72" t="s">
        <v>212</v>
      </c>
      <c r="B67" s="7" t="s">
        <v>481</v>
      </c>
      <c r="C67" s="7" t="s">
        <v>481</v>
      </c>
      <c r="D67" s="7" t="s">
        <v>11</v>
      </c>
      <c r="E67" s="7" t="s">
        <v>21</v>
      </c>
      <c r="F67" s="7" t="s">
        <v>19</v>
      </c>
      <c r="G67" s="7"/>
      <c r="H67" s="7"/>
      <c r="I67" s="7" t="s">
        <v>93</v>
      </c>
      <c r="J67" s="7">
        <v>9</v>
      </c>
      <c r="K67" s="7">
        <v>5</v>
      </c>
      <c r="Q67" s="107" t="s">
        <v>641</v>
      </c>
      <c r="R67" s="7" t="s">
        <v>125</v>
      </c>
      <c r="S67" s="7" t="s">
        <v>125</v>
      </c>
      <c r="T67" s="7" t="s">
        <v>125</v>
      </c>
      <c r="U67" s="7" t="s">
        <v>36</v>
      </c>
      <c r="V67" s="7" t="s">
        <v>119</v>
      </c>
    </row>
    <row r="68" spans="1:22" ht="14.5" x14ac:dyDescent="0.35">
      <c r="A68" s="72" t="s">
        <v>214</v>
      </c>
      <c r="B68" s="7" t="s">
        <v>902</v>
      </c>
      <c r="C68" s="7" t="s">
        <v>489</v>
      </c>
      <c r="D68" s="7" t="s">
        <v>1006</v>
      </c>
      <c r="E68" s="7" t="s">
        <v>21</v>
      </c>
      <c r="F68" s="7" t="s">
        <v>7</v>
      </c>
      <c r="G68" s="7"/>
      <c r="H68" s="7"/>
      <c r="I68" s="7" t="s">
        <v>93</v>
      </c>
      <c r="J68" s="7">
        <v>8</v>
      </c>
      <c r="K68" s="7">
        <v>5</v>
      </c>
      <c r="Q68" s="107" t="s">
        <v>588</v>
      </c>
      <c r="R68" s="7" t="s">
        <v>9</v>
      </c>
      <c r="S68" s="7" t="s">
        <v>9</v>
      </c>
      <c r="T68" s="7" t="s">
        <v>9</v>
      </c>
      <c r="U68" s="7" t="s">
        <v>36</v>
      </c>
      <c r="V68" s="7" t="s">
        <v>119</v>
      </c>
    </row>
    <row r="69" spans="1:22" ht="14.5" x14ac:dyDescent="0.35">
      <c r="A69" s="72" t="s">
        <v>210</v>
      </c>
      <c r="B69" s="7" t="s">
        <v>833</v>
      </c>
      <c r="C69" s="7" t="s">
        <v>485</v>
      </c>
      <c r="D69" s="7" t="s">
        <v>1006</v>
      </c>
      <c r="E69" s="7" t="s">
        <v>21</v>
      </c>
      <c r="F69" s="7" t="s">
        <v>7</v>
      </c>
      <c r="G69" s="7"/>
      <c r="H69" s="7"/>
      <c r="I69" s="7" t="s">
        <v>93</v>
      </c>
      <c r="J69" s="7">
        <v>8</v>
      </c>
      <c r="K69" s="7">
        <v>5</v>
      </c>
      <c r="Q69" s="107" t="s">
        <v>668</v>
      </c>
      <c r="R69" s="7" t="s">
        <v>142</v>
      </c>
      <c r="S69" s="7" t="s">
        <v>142</v>
      </c>
      <c r="T69" s="7" t="s">
        <v>142</v>
      </c>
      <c r="U69" s="7" t="s">
        <v>36</v>
      </c>
      <c r="V69" s="7" t="s">
        <v>119</v>
      </c>
    </row>
    <row r="70" spans="1:22" ht="14.5" x14ac:dyDescent="0.35">
      <c r="A70" s="72" t="s">
        <v>213</v>
      </c>
      <c r="B70" s="7" t="s">
        <v>493</v>
      </c>
      <c r="C70" s="7" t="s">
        <v>493</v>
      </c>
      <c r="D70" s="7" t="s">
        <v>11</v>
      </c>
      <c r="E70" s="7" t="s">
        <v>21</v>
      </c>
      <c r="F70" s="7" t="s">
        <v>19</v>
      </c>
      <c r="G70" s="7"/>
      <c r="H70" s="7"/>
      <c r="I70" s="7" t="s">
        <v>93</v>
      </c>
      <c r="J70" s="7">
        <v>9</v>
      </c>
      <c r="K70" s="7">
        <v>5</v>
      </c>
      <c r="Q70" s="107" t="s">
        <v>648</v>
      </c>
      <c r="R70" s="7" t="s">
        <v>140</v>
      </c>
      <c r="S70" s="7" t="s">
        <v>140</v>
      </c>
      <c r="T70" s="7" t="s">
        <v>140</v>
      </c>
      <c r="U70" s="7" t="s">
        <v>36</v>
      </c>
      <c r="V70" s="7" t="s">
        <v>119</v>
      </c>
    </row>
    <row r="71" spans="1:22" ht="14.5" x14ac:dyDescent="0.35">
      <c r="A71" s="72" t="s">
        <v>916</v>
      </c>
      <c r="B71" s="7" t="s">
        <v>917</v>
      </c>
      <c r="C71" s="7" t="s">
        <v>1077</v>
      </c>
      <c r="D71" s="7" t="s">
        <v>1006</v>
      </c>
      <c r="E71" s="7" t="s">
        <v>21</v>
      </c>
      <c r="F71" s="7" t="s">
        <v>7</v>
      </c>
      <c r="G71" s="7"/>
      <c r="H71" s="7"/>
      <c r="I71" s="7" t="s">
        <v>93</v>
      </c>
      <c r="J71" s="7">
        <v>8</v>
      </c>
      <c r="K71" s="7">
        <v>5</v>
      </c>
      <c r="Q71" s="107" t="s">
        <v>618</v>
      </c>
      <c r="R71" s="7" t="s">
        <v>143</v>
      </c>
      <c r="S71" s="7" t="s">
        <v>143</v>
      </c>
      <c r="T71" s="7" t="s">
        <v>143</v>
      </c>
      <c r="U71" s="7" t="s">
        <v>36</v>
      </c>
      <c r="V71" s="7" t="s">
        <v>119</v>
      </c>
    </row>
    <row r="72" spans="1:22" ht="14.5" x14ac:dyDescent="0.35">
      <c r="A72" s="72" t="s">
        <v>216</v>
      </c>
      <c r="B72" s="7" t="s">
        <v>935</v>
      </c>
      <c r="C72" s="7" t="s">
        <v>503</v>
      </c>
      <c r="D72" s="7" t="s">
        <v>1006</v>
      </c>
      <c r="E72" s="7" t="s">
        <v>21</v>
      </c>
      <c r="F72" s="7" t="s">
        <v>7</v>
      </c>
      <c r="G72" s="7"/>
      <c r="H72" s="7"/>
      <c r="I72" s="7" t="s">
        <v>93</v>
      </c>
      <c r="J72" s="7">
        <v>8</v>
      </c>
      <c r="K72" s="7">
        <v>5</v>
      </c>
      <c r="Q72" s="107" t="s">
        <v>623</v>
      </c>
      <c r="R72" s="7" t="s">
        <v>137</v>
      </c>
      <c r="S72" s="7" t="s">
        <v>137</v>
      </c>
      <c r="T72" s="7" t="s">
        <v>137</v>
      </c>
      <c r="U72" s="7" t="s">
        <v>36</v>
      </c>
      <c r="V72" s="7" t="s">
        <v>119</v>
      </c>
    </row>
    <row r="73" spans="1:22" ht="14.5" x14ac:dyDescent="0.35">
      <c r="A73" s="72" t="s">
        <v>217</v>
      </c>
      <c r="B73" s="7" t="s">
        <v>938</v>
      </c>
      <c r="C73" s="7" t="s">
        <v>490</v>
      </c>
      <c r="D73" s="7" t="s">
        <v>1006</v>
      </c>
      <c r="E73" s="7" t="s">
        <v>21</v>
      </c>
      <c r="F73" s="7" t="s">
        <v>7</v>
      </c>
      <c r="G73" s="7"/>
      <c r="H73" s="7"/>
      <c r="I73" s="7" t="s">
        <v>93</v>
      </c>
      <c r="J73" s="7">
        <v>8</v>
      </c>
      <c r="K73" s="7">
        <v>5</v>
      </c>
      <c r="Q73" s="107" t="s">
        <v>607</v>
      </c>
      <c r="R73" s="7" t="s">
        <v>126</v>
      </c>
      <c r="S73" s="7" t="s">
        <v>126</v>
      </c>
      <c r="T73" s="7" t="s">
        <v>126</v>
      </c>
      <c r="U73" s="8" t="s">
        <v>36</v>
      </c>
      <c r="V73" s="7" t="s">
        <v>119</v>
      </c>
    </row>
    <row r="74" spans="1:22" ht="14.5" x14ac:dyDescent="0.35">
      <c r="A74" s="72" t="s">
        <v>209</v>
      </c>
      <c r="B74" s="7" t="s">
        <v>822</v>
      </c>
      <c r="C74" s="7" t="s">
        <v>480</v>
      </c>
      <c r="D74" s="7" t="s">
        <v>1006</v>
      </c>
      <c r="E74" s="7" t="s">
        <v>21</v>
      </c>
      <c r="F74" s="7" t="s">
        <v>7</v>
      </c>
      <c r="G74" s="7"/>
      <c r="H74" s="7"/>
      <c r="I74" s="7" t="s">
        <v>93</v>
      </c>
      <c r="J74" s="7">
        <v>8</v>
      </c>
      <c r="K74" s="7">
        <v>5</v>
      </c>
      <c r="Q74" s="107" t="s">
        <v>637</v>
      </c>
      <c r="R74" s="7" t="s">
        <v>64</v>
      </c>
      <c r="S74" s="7" t="s">
        <v>64</v>
      </c>
      <c r="T74" s="7" t="s">
        <v>64</v>
      </c>
      <c r="U74" s="7" t="s">
        <v>36</v>
      </c>
      <c r="V74" s="7" t="s">
        <v>119</v>
      </c>
    </row>
    <row r="75" spans="1:22" ht="14.5" x14ac:dyDescent="0.35">
      <c r="A75" s="72" t="s">
        <v>829</v>
      </c>
      <c r="B75" s="7" t="s">
        <v>830</v>
      </c>
      <c r="C75" s="7" t="s">
        <v>1078</v>
      </c>
      <c r="D75" s="7" t="s">
        <v>1006</v>
      </c>
      <c r="E75" s="7" t="s">
        <v>21</v>
      </c>
      <c r="F75" s="7" t="s">
        <v>7</v>
      </c>
      <c r="G75" s="7"/>
      <c r="H75" s="7"/>
      <c r="I75" s="7" t="s">
        <v>93</v>
      </c>
      <c r="J75" s="7">
        <v>8</v>
      </c>
      <c r="K75" s="7">
        <v>5</v>
      </c>
      <c r="Q75" s="107" t="s">
        <v>604</v>
      </c>
      <c r="R75" s="7" t="s">
        <v>145</v>
      </c>
      <c r="S75" s="7" t="s">
        <v>145</v>
      </c>
      <c r="T75" s="7" t="s">
        <v>145</v>
      </c>
      <c r="U75" s="7" t="s">
        <v>36</v>
      </c>
      <c r="V75" s="7" t="s">
        <v>119</v>
      </c>
    </row>
    <row r="76" spans="1:22" ht="14.5" x14ac:dyDescent="0.35">
      <c r="A76" s="72" t="s">
        <v>859</v>
      </c>
      <c r="B76" s="7" t="s">
        <v>860</v>
      </c>
      <c r="C76" s="7" t="s">
        <v>860</v>
      </c>
      <c r="D76" s="7" t="s">
        <v>11</v>
      </c>
      <c r="E76" s="7" t="s">
        <v>21</v>
      </c>
      <c r="F76" s="7" t="s">
        <v>19</v>
      </c>
      <c r="G76" s="7"/>
      <c r="H76" s="7"/>
      <c r="I76" s="7" t="s">
        <v>93</v>
      </c>
      <c r="J76" s="7">
        <v>9</v>
      </c>
      <c r="K76" s="7">
        <v>5</v>
      </c>
      <c r="Q76" s="107" t="s">
        <v>616</v>
      </c>
      <c r="R76" s="7" t="s">
        <v>128</v>
      </c>
      <c r="S76" s="7" t="s">
        <v>128</v>
      </c>
      <c r="T76" s="7" t="s">
        <v>128</v>
      </c>
      <c r="U76" s="7" t="s">
        <v>36</v>
      </c>
      <c r="V76" s="7" t="s">
        <v>119</v>
      </c>
    </row>
    <row r="77" spans="1:22" ht="14.5" x14ac:dyDescent="0.35">
      <c r="A77" s="72" t="s">
        <v>865</v>
      </c>
      <c r="B77" s="7" t="s">
        <v>866</v>
      </c>
      <c r="C77" s="7" t="s">
        <v>866</v>
      </c>
      <c r="D77" s="7" t="s">
        <v>11</v>
      </c>
      <c r="E77" s="7" t="s">
        <v>21</v>
      </c>
      <c r="F77" s="7" t="s">
        <v>19</v>
      </c>
      <c r="G77" s="7"/>
      <c r="H77" s="7"/>
      <c r="I77" s="7" t="s">
        <v>93</v>
      </c>
      <c r="J77" s="7">
        <v>9</v>
      </c>
      <c r="K77" s="7">
        <v>5</v>
      </c>
      <c r="Q77" s="107" t="s">
        <v>591</v>
      </c>
      <c r="R77" s="7" t="s">
        <v>121</v>
      </c>
      <c r="S77" s="7" t="s">
        <v>121</v>
      </c>
      <c r="T77" s="7" t="s">
        <v>121</v>
      </c>
      <c r="U77" s="7" t="s">
        <v>36</v>
      </c>
      <c r="V77" s="7" t="s">
        <v>119</v>
      </c>
    </row>
    <row r="78" spans="1:22" ht="14.5" x14ac:dyDescent="0.35">
      <c r="A78" s="72" t="s">
        <v>908</v>
      </c>
      <c r="B78" s="7" t="s">
        <v>909</v>
      </c>
      <c r="C78" s="7" t="s">
        <v>909</v>
      </c>
      <c r="D78" s="7" t="s">
        <v>11</v>
      </c>
      <c r="E78" s="7" t="s">
        <v>21</v>
      </c>
      <c r="F78" s="7" t="s">
        <v>19</v>
      </c>
      <c r="G78" s="7"/>
      <c r="H78" s="7"/>
      <c r="I78" s="7" t="s">
        <v>93</v>
      </c>
      <c r="J78" s="7">
        <v>9</v>
      </c>
      <c r="K78" s="7">
        <v>5</v>
      </c>
      <c r="Q78" s="107" t="s">
        <v>613</v>
      </c>
      <c r="R78" s="7" t="s">
        <v>132</v>
      </c>
      <c r="S78" s="7" t="s">
        <v>132</v>
      </c>
      <c r="T78" s="7" t="s">
        <v>132</v>
      </c>
      <c r="U78" s="7" t="s">
        <v>36</v>
      </c>
      <c r="V78" s="7" t="s">
        <v>119</v>
      </c>
    </row>
    <row r="79" spans="1:22" ht="14.5" x14ac:dyDescent="0.35">
      <c r="A79" s="72" t="s">
        <v>215</v>
      </c>
      <c r="B79" s="7" t="s">
        <v>1079</v>
      </c>
      <c r="C79" s="7" t="s">
        <v>502</v>
      </c>
      <c r="D79" s="7" t="s">
        <v>1006</v>
      </c>
      <c r="E79" s="7" t="s">
        <v>21</v>
      </c>
      <c r="F79" s="7" t="s">
        <v>7</v>
      </c>
      <c r="G79" s="7"/>
      <c r="H79" s="7"/>
      <c r="I79" s="7" t="s">
        <v>93</v>
      </c>
      <c r="J79" s="7">
        <v>8</v>
      </c>
      <c r="K79" s="7">
        <v>5</v>
      </c>
      <c r="Q79" s="107" t="s">
        <v>599</v>
      </c>
      <c r="R79" s="7" t="s">
        <v>127</v>
      </c>
      <c r="S79" s="7" t="s">
        <v>127</v>
      </c>
      <c r="T79" s="7" t="s">
        <v>127</v>
      </c>
      <c r="U79" s="7" t="s">
        <v>36</v>
      </c>
      <c r="V79" s="7" t="s">
        <v>119</v>
      </c>
    </row>
    <row r="80" spans="1:22" ht="14.5" x14ac:dyDescent="0.35">
      <c r="A80" s="72" t="s">
        <v>218</v>
      </c>
      <c r="B80" s="7" t="s">
        <v>944</v>
      </c>
      <c r="C80" s="7" t="s">
        <v>491</v>
      </c>
      <c r="D80" s="7" t="s">
        <v>1006</v>
      </c>
      <c r="E80" s="7" t="s">
        <v>21</v>
      </c>
      <c r="F80" s="7" t="s">
        <v>7</v>
      </c>
      <c r="G80" s="7"/>
      <c r="H80" s="7"/>
      <c r="I80" s="7" t="s">
        <v>93</v>
      </c>
      <c r="J80" s="7">
        <v>8</v>
      </c>
      <c r="K80" s="7">
        <v>5</v>
      </c>
      <c r="Q80" s="107" t="s">
        <v>649</v>
      </c>
      <c r="R80" s="7" t="s">
        <v>135</v>
      </c>
      <c r="S80" s="7" t="s">
        <v>135</v>
      </c>
      <c r="T80" s="7" t="s">
        <v>135</v>
      </c>
      <c r="U80" s="7" t="s">
        <v>36</v>
      </c>
      <c r="V80" s="7" t="s">
        <v>119</v>
      </c>
    </row>
    <row r="81" spans="1:22" ht="14.5" x14ac:dyDescent="0.35">
      <c r="A81" s="72" t="s">
        <v>211</v>
      </c>
      <c r="B81" s="7" t="s">
        <v>836</v>
      </c>
      <c r="C81" s="7" t="s">
        <v>549</v>
      </c>
      <c r="D81" s="7" t="s">
        <v>1006</v>
      </c>
      <c r="E81" s="7" t="s">
        <v>21</v>
      </c>
      <c r="F81" s="7" t="s">
        <v>7</v>
      </c>
      <c r="G81" s="7"/>
      <c r="H81" s="7"/>
      <c r="I81" s="7" t="s">
        <v>93</v>
      </c>
      <c r="J81" s="7">
        <v>8</v>
      </c>
      <c r="K81" s="7">
        <v>5</v>
      </c>
      <c r="Q81" s="107" t="s">
        <v>593</v>
      </c>
      <c r="R81" s="7" t="s">
        <v>46</v>
      </c>
      <c r="S81" s="7" t="s">
        <v>46</v>
      </c>
      <c r="T81" s="7" t="s">
        <v>46</v>
      </c>
      <c r="U81" s="7" t="s">
        <v>36</v>
      </c>
      <c r="V81" s="7" t="s">
        <v>119</v>
      </c>
    </row>
    <row r="82" spans="1:22" ht="14.5" x14ac:dyDescent="0.35">
      <c r="A82" s="72" t="s">
        <v>839</v>
      </c>
      <c r="B82" s="7" t="s">
        <v>840</v>
      </c>
      <c r="C82" s="7" t="s">
        <v>1080</v>
      </c>
      <c r="D82" s="7" t="s">
        <v>1006</v>
      </c>
      <c r="E82" s="7" t="s">
        <v>21</v>
      </c>
      <c r="F82" s="7" t="s">
        <v>7</v>
      </c>
      <c r="G82" s="7"/>
      <c r="H82" s="7"/>
      <c r="I82" s="7" t="s">
        <v>93</v>
      </c>
      <c r="J82" s="7">
        <v>8</v>
      </c>
      <c r="K82" s="7">
        <v>5</v>
      </c>
      <c r="Q82" s="107" t="s">
        <v>617</v>
      </c>
      <c r="R82" s="7" t="s">
        <v>144</v>
      </c>
      <c r="S82" s="7" t="s">
        <v>144</v>
      </c>
      <c r="T82" s="7" t="s">
        <v>144</v>
      </c>
      <c r="U82" s="7" t="s">
        <v>36</v>
      </c>
      <c r="V82" s="7" t="s">
        <v>119</v>
      </c>
    </row>
    <row r="83" spans="1:22" ht="14.5" x14ac:dyDescent="0.35">
      <c r="A83" s="72" t="s">
        <v>1081</v>
      </c>
      <c r="B83" s="7" t="s">
        <v>1082</v>
      </c>
      <c r="C83" s="7" t="s">
        <v>1083</v>
      </c>
      <c r="D83" s="7" t="s">
        <v>1006</v>
      </c>
      <c r="E83" s="7" t="s">
        <v>21</v>
      </c>
      <c r="F83" s="7" t="s">
        <v>7</v>
      </c>
      <c r="G83" s="7"/>
      <c r="H83" s="7"/>
      <c r="I83" s="7" t="s">
        <v>93</v>
      </c>
      <c r="J83" s="7">
        <v>8</v>
      </c>
      <c r="K83" s="7">
        <v>5</v>
      </c>
      <c r="Q83" s="107" t="s">
        <v>642</v>
      </c>
      <c r="R83" s="7" t="s">
        <v>133</v>
      </c>
      <c r="S83" s="7" t="s">
        <v>133</v>
      </c>
      <c r="T83" s="7" t="s">
        <v>133</v>
      </c>
      <c r="U83" s="7" t="s">
        <v>36</v>
      </c>
      <c r="V83" s="7" t="s">
        <v>119</v>
      </c>
    </row>
    <row r="84" spans="1:22" ht="14.5" x14ac:dyDescent="0.35">
      <c r="A84" s="72" t="s">
        <v>769</v>
      </c>
      <c r="B84" s="7" t="s">
        <v>770</v>
      </c>
      <c r="C84" s="7" t="s">
        <v>1084</v>
      </c>
      <c r="D84" s="7" t="s">
        <v>1006</v>
      </c>
      <c r="E84" s="7" t="s">
        <v>21</v>
      </c>
      <c r="F84" s="7" t="s">
        <v>7</v>
      </c>
      <c r="G84" s="7"/>
      <c r="H84" s="7"/>
      <c r="I84" s="7" t="s">
        <v>93</v>
      </c>
      <c r="J84" s="7">
        <v>8</v>
      </c>
      <c r="K84" s="7">
        <v>5</v>
      </c>
      <c r="Q84" s="107" t="s">
        <v>658</v>
      </c>
      <c r="R84" s="7" t="s">
        <v>147</v>
      </c>
      <c r="S84" s="7" t="s">
        <v>147</v>
      </c>
      <c r="T84" s="7" t="s">
        <v>147</v>
      </c>
      <c r="U84" s="8" t="s">
        <v>38</v>
      </c>
      <c r="V84" s="7" t="s">
        <v>119</v>
      </c>
    </row>
    <row r="85" spans="1:22" ht="14.5" x14ac:dyDescent="0.35">
      <c r="A85" s="72" t="s">
        <v>1085</v>
      </c>
      <c r="B85" s="7" t="s">
        <v>1086</v>
      </c>
      <c r="C85" s="7" t="s">
        <v>1087</v>
      </c>
      <c r="D85" s="7" t="s">
        <v>1006</v>
      </c>
      <c r="E85" s="7" t="s">
        <v>21</v>
      </c>
      <c r="F85" s="7" t="s">
        <v>7</v>
      </c>
      <c r="G85" s="7"/>
      <c r="H85" s="7"/>
      <c r="I85" s="7" t="s">
        <v>93</v>
      </c>
      <c r="J85" s="7">
        <v>8</v>
      </c>
      <c r="K85" s="7">
        <v>5</v>
      </c>
      <c r="Q85" s="107" t="s">
        <v>656</v>
      </c>
      <c r="R85" s="7" t="s">
        <v>141</v>
      </c>
      <c r="S85" s="7" t="s">
        <v>141</v>
      </c>
      <c r="T85" s="7" t="s">
        <v>141</v>
      </c>
      <c r="U85" s="8" t="s">
        <v>38</v>
      </c>
      <c r="V85" s="7" t="s">
        <v>119</v>
      </c>
    </row>
    <row r="86" spans="1:22" ht="14.5" x14ac:dyDescent="0.35">
      <c r="A86" s="72" t="s">
        <v>796</v>
      </c>
      <c r="B86" s="7" t="s">
        <v>797</v>
      </c>
      <c r="C86" s="7" t="s">
        <v>1088</v>
      </c>
      <c r="D86" s="7" t="s">
        <v>1006</v>
      </c>
      <c r="E86" s="7" t="s">
        <v>74</v>
      </c>
      <c r="F86" s="7" t="s">
        <v>10</v>
      </c>
      <c r="G86" s="7" t="s">
        <v>33</v>
      </c>
      <c r="H86" s="7"/>
      <c r="I86" s="7" t="s">
        <v>93</v>
      </c>
      <c r="J86" s="7">
        <v>2</v>
      </c>
      <c r="K86" s="7">
        <v>2</v>
      </c>
      <c r="Q86" s="107" t="s">
        <v>619</v>
      </c>
      <c r="R86" s="7" t="s">
        <v>146</v>
      </c>
      <c r="S86" s="7" t="s">
        <v>146</v>
      </c>
      <c r="T86" s="7" t="s">
        <v>146</v>
      </c>
      <c r="U86" s="7" t="s">
        <v>36</v>
      </c>
      <c r="V86" s="7" t="s">
        <v>119</v>
      </c>
    </row>
    <row r="87" spans="1:22" ht="14.5" x14ac:dyDescent="0.35">
      <c r="A87" s="72" t="s">
        <v>181</v>
      </c>
      <c r="B87" s="7" t="s">
        <v>800</v>
      </c>
      <c r="C87" s="7" t="s">
        <v>492</v>
      </c>
      <c r="D87" s="7" t="s">
        <v>1006</v>
      </c>
      <c r="E87" s="7" t="s">
        <v>74</v>
      </c>
      <c r="F87" s="7" t="s">
        <v>10</v>
      </c>
      <c r="G87" s="7" t="s">
        <v>33</v>
      </c>
      <c r="H87" s="7"/>
      <c r="I87" s="7" t="s">
        <v>93</v>
      </c>
      <c r="J87" s="7">
        <v>2</v>
      </c>
      <c r="K87" s="7">
        <v>2</v>
      </c>
      <c r="Q87" s="107" t="s">
        <v>608</v>
      </c>
      <c r="R87" s="87" t="s">
        <v>124</v>
      </c>
      <c r="S87" s="7" t="s">
        <v>294</v>
      </c>
      <c r="T87" s="7" t="s">
        <v>294</v>
      </c>
      <c r="U87" s="7" t="s">
        <v>36</v>
      </c>
      <c r="V87" s="7" t="s">
        <v>119</v>
      </c>
    </row>
    <row r="88" spans="1:22" ht="14.5" x14ac:dyDescent="0.35">
      <c r="A88" s="72" t="s">
        <v>815</v>
      </c>
      <c r="B88" s="7" t="s">
        <v>816</v>
      </c>
      <c r="C88" s="7" t="s">
        <v>1089</v>
      </c>
      <c r="D88" s="7" t="s">
        <v>1006</v>
      </c>
      <c r="E88" s="7" t="s">
        <v>74</v>
      </c>
      <c r="F88" s="7" t="s">
        <v>10</v>
      </c>
      <c r="G88" s="7" t="s">
        <v>31</v>
      </c>
      <c r="H88" s="7"/>
      <c r="I88" s="7" t="s">
        <v>93</v>
      </c>
      <c r="J88" s="7">
        <v>2</v>
      </c>
      <c r="K88" s="7">
        <v>2</v>
      </c>
      <c r="Q88" s="107" t="s">
        <v>632</v>
      </c>
      <c r="R88" s="7" t="s">
        <v>131</v>
      </c>
      <c r="S88" s="7" t="s">
        <v>131</v>
      </c>
      <c r="T88" s="7" t="s">
        <v>131</v>
      </c>
      <c r="U88" s="7" t="s">
        <v>36</v>
      </c>
      <c r="V88" s="7" t="s">
        <v>119</v>
      </c>
    </row>
    <row r="89" spans="1:22" ht="14.5" x14ac:dyDescent="0.35">
      <c r="A89" s="72" t="s">
        <v>182</v>
      </c>
      <c r="B89" s="7" t="s">
        <v>905</v>
      </c>
      <c r="C89" s="7" t="s">
        <v>484</v>
      </c>
      <c r="D89" s="7" t="s">
        <v>1006</v>
      </c>
      <c r="E89" s="7" t="s">
        <v>74</v>
      </c>
      <c r="F89" s="7" t="s">
        <v>10</v>
      </c>
      <c r="G89" s="7" t="s">
        <v>32</v>
      </c>
      <c r="H89" s="7"/>
      <c r="I89" s="7" t="s">
        <v>93</v>
      </c>
      <c r="J89" s="7">
        <v>2</v>
      </c>
      <c r="K89" s="7">
        <v>2</v>
      </c>
      <c r="Q89" s="107" t="s">
        <v>647</v>
      </c>
      <c r="R89" s="7" t="s">
        <v>136</v>
      </c>
      <c r="S89" s="7" t="s">
        <v>136</v>
      </c>
      <c r="T89" s="7" t="s">
        <v>136</v>
      </c>
      <c r="U89" s="7" t="s">
        <v>36</v>
      </c>
      <c r="V89" s="7" t="s">
        <v>119</v>
      </c>
    </row>
    <row r="90" spans="1:22" ht="14.5" x14ac:dyDescent="0.35">
      <c r="A90" s="72" t="s">
        <v>183</v>
      </c>
      <c r="B90" s="7" t="s">
        <v>924</v>
      </c>
      <c r="C90" s="7" t="s">
        <v>483</v>
      </c>
      <c r="D90" s="7" t="s">
        <v>1006</v>
      </c>
      <c r="E90" s="7" t="s">
        <v>74</v>
      </c>
      <c r="F90" s="7" t="s">
        <v>10</v>
      </c>
      <c r="G90" s="7" t="s">
        <v>32</v>
      </c>
      <c r="H90" s="7"/>
      <c r="I90" s="7" t="s">
        <v>93</v>
      </c>
      <c r="J90" s="7">
        <v>2</v>
      </c>
      <c r="K90" s="7">
        <v>2</v>
      </c>
      <c r="Q90" s="107" t="s">
        <v>614</v>
      </c>
      <c r="R90" s="7" t="s">
        <v>130</v>
      </c>
      <c r="S90" s="7" t="s">
        <v>304</v>
      </c>
      <c r="T90" s="7" t="s">
        <v>304</v>
      </c>
      <c r="U90" s="7" t="s">
        <v>36</v>
      </c>
      <c r="V90" s="7" t="s">
        <v>119</v>
      </c>
    </row>
    <row r="91" spans="1:22" ht="14.5" x14ac:dyDescent="0.35">
      <c r="A91" s="72" t="s">
        <v>220</v>
      </c>
      <c r="B91" s="7" t="s">
        <v>1090</v>
      </c>
      <c r="C91" s="7" t="s">
        <v>507</v>
      </c>
      <c r="D91" s="7" t="s">
        <v>11</v>
      </c>
      <c r="E91" s="7" t="s">
        <v>86</v>
      </c>
      <c r="F91" s="7" t="s">
        <v>17</v>
      </c>
      <c r="G91" s="7"/>
      <c r="H91" s="7"/>
      <c r="I91" s="7" t="s">
        <v>93</v>
      </c>
      <c r="J91" s="7">
        <v>7</v>
      </c>
      <c r="K91" s="7">
        <v>6</v>
      </c>
      <c r="Q91" s="107" t="s">
        <v>650</v>
      </c>
      <c r="R91" s="7" t="s">
        <v>134</v>
      </c>
      <c r="S91" s="7" t="s">
        <v>134</v>
      </c>
      <c r="T91" s="7" t="s">
        <v>134</v>
      </c>
      <c r="U91" s="8" t="s">
        <v>38</v>
      </c>
      <c r="V91" s="7" t="s">
        <v>119</v>
      </c>
    </row>
    <row r="92" spans="1:22" ht="14.5" x14ac:dyDescent="0.35">
      <c r="A92" s="72" t="s">
        <v>221</v>
      </c>
      <c r="B92" s="7" t="s">
        <v>964</v>
      </c>
      <c r="C92" s="7" t="s">
        <v>508</v>
      </c>
      <c r="D92" s="7" t="s">
        <v>11</v>
      </c>
      <c r="E92" s="7" t="s">
        <v>86</v>
      </c>
      <c r="F92" s="7" t="s">
        <v>17</v>
      </c>
      <c r="G92" s="7"/>
      <c r="H92" s="7"/>
      <c r="I92" s="7" t="s">
        <v>93</v>
      </c>
      <c r="J92" s="7">
        <v>7</v>
      </c>
      <c r="K92" s="7">
        <v>6</v>
      </c>
      <c r="Q92" s="107" t="s">
        <v>662</v>
      </c>
      <c r="R92" s="7" t="s">
        <v>42</v>
      </c>
      <c r="S92" s="7" t="s">
        <v>42</v>
      </c>
      <c r="T92" s="7" t="s">
        <v>42</v>
      </c>
      <c r="U92" s="7" t="s">
        <v>36</v>
      </c>
      <c r="V92" s="7" t="s">
        <v>119</v>
      </c>
    </row>
    <row r="93" spans="1:22" ht="14.5" x14ac:dyDescent="0.35">
      <c r="A93" s="105" t="s">
        <v>219</v>
      </c>
      <c r="B93" s="8" t="s">
        <v>983</v>
      </c>
      <c r="C93" s="8" t="s">
        <v>511</v>
      </c>
      <c r="D93" s="8" t="s">
        <v>1006</v>
      </c>
      <c r="E93" s="8" t="s">
        <v>21</v>
      </c>
      <c r="F93" s="8" t="s">
        <v>7</v>
      </c>
      <c r="G93" s="8"/>
      <c r="H93" s="8"/>
      <c r="I93" s="8" t="s">
        <v>93</v>
      </c>
      <c r="J93" s="7">
        <v>8</v>
      </c>
      <c r="K93" s="7">
        <v>5</v>
      </c>
      <c r="Q93" s="107" t="s">
        <v>631</v>
      </c>
      <c r="R93" s="7" t="s">
        <v>129</v>
      </c>
      <c r="S93" s="7" t="s">
        <v>129</v>
      </c>
      <c r="T93" s="7" t="s">
        <v>129</v>
      </c>
      <c r="U93" s="8" t="s">
        <v>38</v>
      </c>
      <c r="V93" s="7" t="s">
        <v>119</v>
      </c>
    </row>
    <row r="94" spans="1:22" ht="14.5" x14ac:dyDescent="0.35">
      <c r="A94" s="106" t="s">
        <v>193</v>
      </c>
      <c r="B94" s="7" t="s">
        <v>1091</v>
      </c>
      <c r="C94" s="8" t="s">
        <v>543</v>
      </c>
      <c r="D94" s="8" t="s">
        <v>1006</v>
      </c>
      <c r="E94" s="7" t="s">
        <v>75</v>
      </c>
      <c r="F94" s="7" t="s">
        <v>3</v>
      </c>
      <c r="G94" s="7"/>
      <c r="H94" s="7" t="s">
        <v>49</v>
      </c>
      <c r="I94" s="8" t="s">
        <v>38</v>
      </c>
      <c r="J94" s="8">
        <v>4</v>
      </c>
      <c r="K94" s="8">
        <v>3</v>
      </c>
      <c r="Q94" s="107" t="s">
        <v>633</v>
      </c>
      <c r="R94" s="7" t="s">
        <v>27</v>
      </c>
      <c r="S94" s="7" t="s">
        <v>27</v>
      </c>
      <c r="T94" s="7" t="s">
        <v>27</v>
      </c>
      <c r="U94" s="7" t="s">
        <v>36</v>
      </c>
      <c r="V94" s="7" t="s">
        <v>119</v>
      </c>
    </row>
    <row r="95" spans="1:22" ht="14.5" x14ac:dyDescent="0.35">
      <c r="Q95" s="107" t="s">
        <v>597</v>
      </c>
      <c r="R95" s="7" t="s">
        <v>123</v>
      </c>
      <c r="S95" s="7" t="s">
        <v>123</v>
      </c>
      <c r="T95" s="7" t="s">
        <v>123</v>
      </c>
      <c r="U95" s="7" t="s">
        <v>36</v>
      </c>
      <c r="V95" s="7" t="s">
        <v>119</v>
      </c>
    </row>
    <row r="96" spans="1:22" ht="14.5" x14ac:dyDescent="0.35">
      <c r="Q96" s="107" t="s">
        <v>644</v>
      </c>
      <c r="R96" s="7" t="s">
        <v>150</v>
      </c>
      <c r="S96" s="7" t="s">
        <v>150</v>
      </c>
      <c r="T96" s="7" t="s">
        <v>150</v>
      </c>
      <c r="U96" s="7" t="s">
        <v>36</v>
      </c>
      <c r="V96" s="7" t="s">
        <v>119</v>
      </c>
    </row>
    <row r="97" spans="1:22" ht="14.5" x14ac:dyDescent="0.35">
      <c r="Q97" s="107" t="s">
        <v>630</v>
      </c>
      <c r="R97" s="87" t="s">
        <v>125</v>
      </c>
      <c r="S97" s="7" t="s">
        <v>328</v>
      </c>
      <c r="T97" s="7" t="s">
        <v>328</v>
      </c>
      <c r="U97" s="7" t="s">
        <v>36</v>
      </c>
      <c r="V97" s="7" t="s">
        <v>119</v>
      </c>
    </row>
    <row r="98" spans="1:22" ht="14.5" x14ac:dyDescent="0.35">
      <c r="Q98" s="107" t="s">
        <v>598</v>
      </c>
      <c r="R98" s="7" t="s">
        <v>35</v>
      </c>
      <c r="S98" s="7" t="s">
        <v>35</v>
      </c>
      <c r="T98" s="7" t="s">
        <v>35</v>
      </c>
      <c r="U98" s="8" t="s">
        <v>38</v>
      </c>
      <c r="V98" s="7" t="s">
        <v>119</v>
      </c>
    </row>
    <row r="99" spans="1:22" ht="14.5" x14ac:dyDescent="0.35">
      <c r="Q99" s="107" t="s">
        <v>675</v>
      </c>
      <c r="R99" s="7" t="s">
        <v>139</v>
      </c>
      <c r="S99" s="7" t="s">
        <v>139</v>
      </c>
      <c r="T99" s="7" t="s">
        <v>139</v>
      </c>
      <c r="U99" s="8" t="s">
        <v>38</v>
      </c>
      <c r="V99" s="7" t="s">
        <v>119</v>
      </c>
    </row>
    <row r="100" spans="1:22" ht="14.5" x14ac:dyDescent="0.35">
      <c r="Q100" s="107" t="s">
        <v>646</v>
      </c>
      <c r="R100" s="7" t="s">
        <v>50</v>
      </c>
      <c r="S100" s="7" t="s">
        <v>50</v>
      </c>
      <c r="T100" s="7" t="s">
        <v>50</v>
      </c>
      <c r="U100" s="8" t="s">
        <v>38</v>
      </c>
      <c r="V100" s="7" t="s">
        <v>119</v>
      </c>
    </row>
    <row r="101" spans="1:22" ht="14.5" x14ac:dyDescent="0.35">
      <c r="Q101" s="107" t="s">
        <v>1092</v>
      </c>
      <c r="R101" s="8" t="s">
        <v>161</v>
      </c>
      <c r="S101" s="8" t="s">
        <v>545</v>
      </c>
      <c r="T101" s="8" t="s">
        <v>545</v>
      </c>
      <c r="U101" s="8" t="s">
        <v>38</v>
      </c>
      <c r="V101" s="7" t="s">
        <v>96</v>
      </c>
    </row>
    <row r="102" spans="1:22" ht="14.5" x14ac:dyDescent="0.35">
      <c r="Q102" s="107" t="s">
        <v>1093</v>
      </c>
      <c r="R102" s="8" t="s">
        <v>51</v>
      </c>
      <c r="S102" s="8" t="s">
        <v>51</v>
      </c>
      <c r="T102" s="8" t="s">
        <v>51</v>
      </c>
      <c r="U102" s="8" t="s">
        <v>38</v>
      </c>
      <c r="V102" s="7" t="s">
        <v>96</v>
      </c>
    </row>
    <row r="103" spans="1:22" ht="14.5" x14ac:dyDescent="0.35">
      <c r="Q103" s="107" t="s">
        <v>1094</v>
      </c>
      <c r="R103" s="8" t="s">
        <v>1095</v>
      </c>
      <c r="S103" s="8" t="s">
        <v>1095</v>
      </c>
      <c r="T103" s="8" t="s">
        <v>1095</v>
      </c>
      <c r="U103" s="8" t="s">
        <v>38</v>
      </c>
      <c r="V103" s="7" t="s">
        <v>96</v>
      </c>
    </row>
    <row r="104" spans="1:22" ht="14.5" x14ac:dyDescent="0.35">
      <c r="H104" t="s">
        <v>185</v>
      </c>
      <c r="Q104" s="107" t="s">
        <v>1096</v>
      </c>
      <c r="R104" s="8" t="s">
        <v>166</v>
      </c>
      <c r="S104" s="8" t="s">
        <v>166</v>
      </c>
      <c r="T104" s="8" t="s">
        <v>166</v>
      </c>
      <c r="U104" s="8" t="s">
        <v>38</v>
      </c>
      <c r="V104" s="7" t="s">
        <v>96</v>
      </c>
    </row>
    <row r="105" spans="1:22" ht="14.5" x14ac:dyDescent="0.35">
      <c r="H105" t="s">
        <v>195</v>
      </c>
      <c r="Q105" s="107" t="s">
        <v>1097</v>
      </c>
      <c r="R105" s="8" t="s">
        <v>163</v>
      </c>
      <c r="S105" s="8" t="s">
        <v>163</v>
      </c>
      <c r="T105" s="8" t="s">
        <v>163</v>
      </c>
      <c r="U105" s="8" t="s">
        <v>38</v>
      </c>
      <c r="V105" s="7" t="s">
        <v>96</v>
      </c>
    </row>
    <row r="106" spans="1:22" ht="14.5" x14ac:dyDescent="0.35">
      <c r="Q106" s="107" t="s">
        <v>1098</v>
      </c>
      <c r="R106" s="8" t="s">
        <v>162</v>
      </c>
      <c r="S106" s="8" t="s">
        <v>162</v>
      </c>
      <c r="T106" s="8" t="s">
        <v>162</v>
      </c>
      <c r="U106" s="8" t="s">
        <v>38</v>
      </c>
      <c r="V106" s="7" t="s">
        <v>96</v>
      </c>
    </row>
    <row r="107" spans="1:22" ht="14.5" x14ac:dyDescent="0.35">
      <c r="Q107" s="107" t="s">
        <v>1100</v>
      </c>
      <c r="R107" s="8" t="s">
        <v>1101</v>
      </c>
      <c r="S107" s="8" t="s">
        <v>1101</v>
      </c>
      <c r="T107" s="8" t="s">
        <v>1101</v>
      </c>
      <c r="U107" s="8" t="s">
        <v>38</v>
      </c>
      <c r="V107" s="7" t="s">
        <v>96</v>
      </c>
    </row>
    <row r="108" spans="1:22" ht="14.5" x14ac:dyDescent="0.35">
      <c r="A108" s="66" t="s">
        <v>1099</v>
      </c>
      <c r="Q108" s="107" t="s">
        <v>1102</v>
      </c>
      <c r="R108" s="8" t="s">
        <v>164</v>
      </c>
      <c r="S108" s="8" t="s">
        <v>164</v>
      </c>
      <c r="T108" s="8" t="s">
        <v>164</v>
      </c>
      <c r="U108" s="8" t="s">
        <v>38</v>
      </c>
      <c r="V108" s="7" t="s">
        <v>96</v>
      </c>
    </row>
    <row r="109" spans="1:22" ht="14.5" x14ac:dyDescent="0.35">
      <c r="A109" t="s">
        <v>233</v>
      </c>
      <c r="Q109" s="107" t="s">
        <v>1103</v>
      </c>
      <c r="R109" s="88" t="s">
        <v>61</v>
      </c>
      <c r="S109" s="8" t="s">
        <v>61</v>
      </c>
      <c r="T109" s="8" t="s">
        <v>61</v>
      </c>
      <c r="U109" s="8" t="s">
        <v>38</v>
      </c>
      <c r="V109" s="7" t="s">
        <v>96</v>
      </c>
    </row>
    <row r="110" spans="1:22" ht="14.5" x14ac:dyDescent="0.35">
      <c r="A110" t="s">
        <v>193</v>
      </c>
      <c r="Q110" s="105" t="s">
        <v>1104</v>
      </c>
      <c r="R110" s="88" t="s">
        <v>61</v>
      </c>
      <c r="S110" s="8" t="s">
        <v>548</v>
      </c>
      <c r="T110" s="8" t="s">
        <v>548</v>
      </c>
      <c r="U110" s="8" t="s">
        <v>38</v>
      </c>
      <c r="V110" s="7" t="s">
        <v>96</v>
      </c>
    </row>
    <row r="111" spans="1:22" ht="14.5" x14ac:dyDescent="0.35">
      <c r="A111" t="s">
        <v>234</v>
      </c>
      <c r="Q111" s="105" t="s">
        <v>684</v>
      </c>
      <c r="R111" s="8" t="s">
        <v>63</v>
      </c>
      <c r="S111" s="8" t="s">
        <v>63</v>
      </c>
      <c r="T111" s="8" t="s">
        <v>63</v>
      </c>
      <c r="U111" s="8" t="s">
        <v>36</v>
      </c>
      <c r="V111" s="8" t="s">
        <v>96</v>
      </c>
    </row>
    <row r="112" spans="1:22" ht="14.5" x14ac:dyDescent="0.35">
      <c r="A112" t="s">
        <v>235</v>
      </c>
      <c r="Q112" s="105" t="s">
        <v>629</v>
      </c>
      <c r="R112" s="8" t="s">
        <v>60</v>
      </c>
      <c r="S112" s="8" t="s">
        <v>60</v>
      </c>
      <c r="T112" s="8" t="s">
        <v>1105</v>
      </c>
      <c r="U112" s="8" t="s">
        <v>36</v>
      </c>
      <c r="V112" s="8" t="s">
        <v>286</v>
      </c>
    </row>
    <row r="113" spans="1:22" ht="14.5" x14ac:dyDescent="0.35">
      <c r="A113" t="s">
        <v>236</v>
      </c>
      <c r="Q113" s="107" t="s">
        <v>1106</v>
      </c>
      <c r="R113" s="8" t="s">
        <v>165</v>
      </c>
      <c r="S113" s="8" t="s">
        <v>165</v>
      </c>
      <c r="T113" s="8" t="s">
        <v>165</v>
      </c>
      <c r="U113" s="8" t="s">
        <v>38</v>
      </c>
      <c r="V113" s="7" t="s">
        <v>96</v>
      </c>
    </row>
    <row r="114" spans="1:22" ht="14.5" x14ac:dyDescent="0.35">
      <c r="A114" t="s">
        <v>237</v>
      </c>
      <c r="Q114" s="107" t="s">
        <v>1107</v>
      </c>
      <c r="R114" s="8" t="s">
        <v>43</v>
      </c>
      <c r="S114" s="8" t="s">
        <v>43</v>
      </c>
      <c r="T114" s="8" t="s">
        <v>43</v>
      </c>
      <c r="U114" s="8" t="s">
        <v>38</v>
      </c>
      <c r="V114" s="8" t="s">
        <v>286</v>
      </c>
    </row>
    <row r="115" spans="1:22" ht="14.5" x14ac:dyDescent="0.35">
      <c r="A115" t="s">
        <v>238</v>
      </c>
      <c r="Q115" s="105" t="s">
        <v>1108</v>
      </c>
      <c r="R115" s="8" t="s">
        <v>153</v>
      </c>
      <c r="S115" s="8" t="s">
        <v>153</v>
      </c>
      <c r="T115" s="8" t="s">
        <v>153</v>
      </c>
      <c r="U115" s="8" t="s">
        <v>38</v>
      </c>
      <c r="V115" s="8" t="s">
        <v>286</v>
      </c>
    </row>
    <row r="116" spans="1:22" ht="14.5" x14ac:dyDescent="0.35">
      <c r="Q116" s="107" t="s">
        <v>1109</v>
      </c>
      <c r="R116" s="8" t="s">
        <v>159</v>
      </c>
      <c r="S116" s="8" t="s">
        <v>159</v>
      </c>
      <c r="T116" s="8" t="s">
        <v>159</v>
      </c>
      <c r="U116" s="8" t="s">
        <v>38</v>
      </c>
      <c r="V116" s="7" t="s">
        <v>96</v>
      </c>
    </row>
    <row r="117" spans="1:22" ht="14.5" x14ac:dyDescent="0.35">
      <c r="Q117" s="105" t="s">
        <v>1110</v>
      </c>
      <c r="R117" s="8" t="s">
        <v>546</v>
      </c>
      <c r="S117" s="8" t="s">
        <v>546</v>
      </c>
      <c r="T117" s="8" t="s">
        <v>546</v>
      </c>
      <c r="U117" s="8" t="s">
        <v>38</v>
      </c>
      <c r="V117" s="8" t="s">
        <v>96</v>
      </c>
    </row>
    <row r="118" spans="1:22" ht="14.5" x14ac:dyDescent="0.35">
      <c r="Q118" s="105" t="s">
        <v>1111</v>
      </c>
      <c r="R118" s="8" t="s">
        <v>37</v>
      </c>
      <c r="S118" s="8" t="s">
        <v>37</v>
      </c>
      <c r="T118" s="8" t="s">
        <v>37</v>
      </c>
      <c r="U118" s="8" t="s">
        <v>38</v>
      </c>
      <c r="V118" s="8" t="s">
        <v>286</v>
      </c>
    </row>
    <row r="119" spans="1:22" ht="14.5" x14ac:dyDescent="0.35">
      <c r="Q119" s="105" t="s">
        <v>1112</v>
      </c>
      <c r="R119" s="8" t="s">
        <v>39</v>
      </c>
      <c r="S119" s="8" t="s">
        <v>39</v>
      </c>
      <c r="T119" s="8" t="s">
        <v>550</v>
      </c>
      <c r="U119" s="8" t="s">
        <v>38</v>
      </c>
      <c r="V119" s="8" t="s">
        <v>286</v>
      </c>
    </row>
    <row r="120" spans="1:22" ht="14.5" x14ac:dyDescent="0.35">
      <c r="Q120" s="105" t="s">
        <v>1113</v>
      </c>
      <c r="R120" s="8" t="s">
        <v>160</v>
      </c>
      <c r="S120" s="8" t="s">
        <v>160</v>
      </c>
      <c r="T120" s="8" t="s">
        <v>160</v>
      </c>
      <c r="U120" s="8" t="s">
        <v>38</v>
      </c>
      <c r="V120" s="8" t="s">
        <v>286</v>
      </c>
    </row>
    <row r="121" spans="1:22" ht="14.5" x14ac:dyDescent="0.35">
      <c r="Q121" s="107" t="s">
        <v>1114</v>
      </c>
      <c r="R121" s="7" t="s">
        <v>24</v>
      </c>
      <c r="S121" s="7" t="s">
        <v>24</v>
      </c>
      <c r="T121" s="7" t="s">
        <v>24</v>
      </c>
      <c r="U121" s="7" t="s">
        <v>38</v>
      </c>
      <c r="V121" s="7" t="s">
        <v>286</v>
      </c>
    </row>
    <row r="122" spans="1:22" ht="14.5" x14ac:dyDescent="0.35">
      <c r="Q122" s="105" t="s">
        <v>1115</v>
      </c>
      <c r="R122" s="8" t="s">
        <v>34</v>
      </c>
      <c r="S122" s="8" t="s">
        <v>34</v>
      </c>
      <c r="T122" s="8" t="s">
        <v>34</v>
      </c>
      <c r="U122" s="8" t="s">
        <v>38</v>
      </c>
      <c r="V122" s="7" t="s">
        <v>286</v>
      </c>
    </row>
    <row r="123" spans="1:22" ht="14.5" x14ac:dyDescent="0.35">
      <c r="Q123" s="107" t="s">
        <v>1116</v>
      </c>
      <c r="R123" s="8" t="s">
        <v>13</v>
      </c>
      <c r="S123" s="8" t="s">
        <v>13</v>
      </c>
      <c r="T123" s="8" t="s">
        <v>13</v>
      </c>
      <c r="U123" s="8" t="s">
        <v>38</v>
      </c>
      <c r="V123" s="7" t="s">
        <v>286</v>
      </c>
    </row>
    <row r="124" spans="1:22" ht="14.5" x14ac:dyDescent="0.35">
      <c r="Q124" s="105" t="s">
        <v>1117</v>
      </c>
      <c r="R124" s="8" t="s">
        <v>59</v>
      </c>
      <c r="S124" s="8" t="s">
        <v>59</v>
      </c>
      <c r="T124" s="8" t="s">
        <v>59</v>
      </c>
      <c r="U124" s="8" t="s">
        <v>38</v>
      </c>
      <c r="V124" s="7" t="s">
        <v>96</v>
      </c>
    </row>
    <row r="125" spans="1:22" ht="14.5" x14ac:dyDescent="0.35">
      <c r="Q125" s="107" t="s">
        <v>1118</v>
      </c>
      <c r="R125" s="8" t="s">
        <v>1119</v>
      </c>
      <c r="S125" s="8" t="s">
        <v>1119</v>
      </c>
      <c r="T125" s="8" t="s">
        <v>1119</v>
      </c>
      <c r="U125" s="8" t="s">
        <v>38</v>
      </c>
      <c r="V125" s="7" t="s">
        <v>96</v>
      </c>
    </row>
    <row r="126" spans="1:22" ht="14.5" x14ac:dyDescent="0.35">
      <c r="Q126" s="105" t="s">
        <v>1120</v>
      </c>
      <c r="R126" s="7" t="s">
        <v>45</v>
      </c>
      <c r="S126" s="7" t="s">
        <v>45</v>
      </c>
      <c r="T126" s="7" t="s">
        <v>45</v>
      </c>
      <c r="U126" s="8" t="s">
        <v>38</v>
      </c>
      <c r="V126" s="7" t="s">
        <v>96</v>
      </c>
    </row>
    <row r="127" spans="1:22" ht="14.5" x14ac:dyDescent="0.35">
      <c r="Q127" s="107" t="s">
        <v>1121</v>
      </c>
      <c r="R127" s="8" t="s">
        <v>1122</v>
      </c>
      <c r="S127" s="8" t="s">
        <v>1122</v>
      </c>
      <c r="T127" s="8" t="s">
        <v>1122</v>
      </c>
      <c r="U127" s="8" t="s">
        <v>38</v>
      </c>
      <c r="V127" s="7" t="s">
        <v>96</v>
      </c>
    </row>
    <row r="128" spans="1:22" ht="14.5" x14ac:dyDescent="0.35">
      <c r="Q128" s="88" t="s">
        <v>685</v>
      </c>
      <c r="R128" s="88" t="s">
        <v>112</v>
      </c>
      <c r="S128" s="88" t="s">
        <v>112</v>
      </c>
      <c r="T128" s="88" t="s">
        <v>112</v>
      </c>
      <c r="U128" s="8" t="s">
        <v>36</v>
      </c>
      <c r="V128" s="8" t="s">
        <v>96</v>
      </c>
    </row>
    <row r="129" spans="17:22" ht="14.5" x14ac:dyDescent="0.35">
      <c r="Q129" s="88" t="s">
        <v>686</v>
      </c>
      <c r="R129" s="88" t="s">
        <v>116</v>
      </c>
      <c r="S129" s="8" t="s">
        <v>116</v>
      </c>
      <c r="T129" s="8" t="s">
        <v>116</v>
      </c>
      <c r="U129" s="8" t="s">
        <v>36</v>
      </c>
      <c r="V129" s="8" t="s">
        <v>96</v>
      </c>
    </row>
    <row r="130" spans="17:22" ht="14.5" x14ac:dyDescent="0.35">
      <c r="Q130" s="88" t="s">
        <v>1685</v>
      </c>
      <c r="R130" s="88" t="s">
        <v>1686</v>
      </c>
      <c r="S130" s="88" t="s">
        <v>1686</v>
      </c>
      <c r="T130" s="8" t="s">
        <v>1686</v>
      </c>
      <c r="U130" s="8" t="s">
        <v>38</v>
      </c>
      <c r="V130" s="7" t="s">
        <v>96</v>
      </c>
    </row>
    <row r="131" spans="17:22" ht="14.5" x14ac:dyDescent="0.35">
      <c r="Q131" s="88" t="s">
        <v>1693</v>
      </c>
      <c r="R131" s="88" t="s">
        <v>8</v>
      </c>
      <c r="S131" s="8" t="s">
        <v>1692</v>
      </c>
      <c r="T131" s="8" t="s">
        <v>1692</v>
      </c>
      <c r="U131" s="8" t="s">
        <v>36</v>
      </c>
      <c r="V131" s="8" t="s">
        <v>96</v>
      </c>
    </row>
    <row r="132" spans="17:22" ht="14.5" x14ac:dyDescent="0.35">
      <c r="Q132" s="88" t="s">
        <v>1697</v>
      </c>
      <c r="R132" s="88" t="s">
        <v>1696</v>
      </c>
      <c r="S132" s="8" t="s">
        <v>1696</v>
      </c>
      <c r="T132" s="8" t="s">
        <v>1696</v>
      </c>
      <c r="U132" s="8" t="s">
        <v>38</v>
      </c>
      <c r="V132" s="8" t="s">
        <v>96</v>
      </c>
    </row>
    <row r="133" spans="17:22" ht="15" customHeight="1" x14ac:dyDescent="0.35">
      <c r="Q133" s="88" t="s">
        <v>1700</v>
      </c>
      <c r="R133" s="88" t="s">
        <v>1699</v>
      </c>
      <c r="S133" s="88" t="s">
        <v>1699</v>
      </c>
      <c r="T133" s="8" t="s">
        <v>1699</v>
      </c>
      <c r="U133" s="8" t="s">
        <v>38</v>
      </c>
      <c r="V133" s="8" t="s">
        <v>96</v>
      </c>
    </row>
    <row r="134" spans="17:22" ht="15" customHeight="1" x14ac:dyDescent="0.35">
      <c r="Q134" s="88" t="s">
        <v>1702</v>
      </c>
      <c r="R134" s="88" t="s">
        <v>1701</v>
      </c>
      <c r="S134" s="88" t="s">
        <v>1701</v>
      </c>
      <c r="T134" s="7" t="s">
        <v>1701</v>
      </c>
      <c r="U134" s="7" t="s">
        <v>38</v>
      </c>
      <c r="V134" s="8" t="s">
        <v>119</v>
      </c>
    </row>
    <row r="135" spans="17:22" ht="15" customHeight="1" x14ac:dyDescent="0.35">
      <c r="Q135" s="88" t="s">
        <v>1703</v>
      </c>
      <c r="R135" s="88" t="s">
        <v>1704</v>
      </c>
      <c r="S135" s="8" t="s">
        <v>1704</v>
      </c>
      <c r="T135" s="8" t="s">
        <v>1704</v>
      </c>
      <c r="U135" s="8" t="s">
        <v>38</v>
      </c>
      <c r="V135" s="8" t="s">
        <v>96</v>
      </c>
    </row>
    <row r="136" spans="17:22" ht="14.5" x14ac:dyDescent="0.35"/>
    <row r="137" spans="17:22" ht="14.5" x14ac:dyDescent="0.35"/>
    <row r="138" spans="17:22" ht="14.5" x14ac:dyDescent="0.35"/>
    <row r="142" spans="17:22" ht="15" customHeight="1" x14ac:dyDescent="0.35">
      <c r="Q142" s="89" t="s">
        <v>1099</v>
      </c>
    </row>
    <row r="143" spans="17:22" ht="15" customHeight="1" x14ac:dyDescent="0.35">
      <c r="Q143" s="62" t="s">
        <v>240</v>
      </c>
    </row>
    <row r="144" spans="17:22" ht="15" customHeight="1" x14ac:dyDescent="0.35">
      <c r="Q144" s="62" t="s">
        <v>241</v>
      </c>
    </row>
  </sheetData>
  <phoneticPr fontId="4" type="noConversion"/>
  <conditionalFormatting sqref="C4:C94">
    <cfRule type="duplicateValues" dxfId="17" priority="25"/>
  </conditionalFormatting>
  <conditionalFormatting sqref="Q4:Q135">
    <cfRule type="duplicateValues" dxfId="16" priority="34"/>
  </conditionalFormatting>
  <conditionalFormatting sqref="AE4:AE46">
    <cfRule type="duplicateValues" dxfId="15" priority="22"/>
  </conditionalFormatting>
  <conditionalFormatting sqref="AG21">
    <cfRule type="duplicateValues" dxfId="14" priority="15"/>
  </conditionalFormatting>
  <conditionalFormatting sqref="AG22">
    <cfRule type="duplicateValues" dxfId="13" priority="14"/>
  </conditionalFormatting>
  <conditionalFormatting sqref="AG23">
    <cfRule type="duplicateValues" dxfId="12" priority="13"/>
  </conditionalFormatting>
  <conditionalFormatting sqref="AG24">
    <cfRule type="duplicateValues" dxfId="11" priority="12"/>
  </conditionalFormatting>
  <conditionalFormatting sqref="AG25">
    <cfRule type="duplicateValues" dxfId="10" priority="11"/>
  </conditionalFormatting>
  <conditionalFormatting sqref="AG26">
    <cfRule type="duplicateValues" dxfId="9" priority="10"/>
  </conditionalFormatting>
  <conditionalFormatting sqref="AG28">
    <cfRule type="duplicateValues" dxfId="8" priority="9"/>
  </conditionalFormatting>
  <conditionalFormatting sqref="AG29">
    <cfRule type="duplicateValues" dxfId="7" priority="8"/>
  </conditionalFormatting>
  <conditionalFormatting sqref="AG30">
    <cfRule type="duplicateValues" dxfId="6" priority="7"/>
  </conditionalFormatting>
  <conditionalFormatting sqref="AG32">
    <cfRule type="duplicateValues" dxfId="5" priority="6"/>
  </conditionalFormatting>
  <conditionalFormatting sqref="AG33">
    <cfRule type="duplicateValues" dxfId="4" priority="5"/>
  </conditionalFormatting>
  <conditionalFormatting sqref="AG34">
    <cfRule type="duplicateValues" dxfId="3" priority="4"/>
  </conditionalFormatting>
  <conditionalFormatting sqref="AG35">
    <cfRule type="duplicateValues" dxfId="2" priority="3"/>
  </conditionalFormatting>
  <conditionalFormatting sqref="AG41">
    <cfRule type="duplicateValues" dxfId="1" priority="2"/>
  </conditionalFormatting>
  <conditionalFormatting sqref="AG42">
    <cfRule type="duplicateValues" dxfId="0" priority="1"/>
  </conditionalFormatting>
  <pageMargins left="0.7" right="0.7" top="0.75" bottom="0.75" header="0.3" footer="0.3"/>
  <tableParts count="7">
    <tablePart r:id="rId1"/>
    <tablePart r:id="rId2"/>
    <tablePart r:id="rId3"/>
    <tablePart r:id="rId4"/>
    <tablePart r:id="rId5"/>
    <tablePart r:id="rId6"/>
    <tablePart r:id="rId7"/>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7D9F6-DF1C-4140-A170-3D8C6CFF9B3C}">
  <dimension ref="A2:B2"/>
  <sheetViews>
    <sheetView workbookViewId="0">
      <selection activeCell="I25" sqref="I25"/>
    </sheetView>
  </sheetViews>
  <sheetFormatPr defaultRowHeight="14.5" x14ac:dyDescent="0.35"/>
  <sheetData>
    <row r="2" spans="1:2" x14ac:dyDescent="0.35">
      <c r="A2" s="1" t="s">
        <v>1123</v>
      </c>
      <c r="B2" s="2">
        <v>26500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BC869-B752-4922-A040-FA58AA0BF5CF}">
  <dimension ref="B7:K22"/>
  <sheetViews>
    <sheetView workbookViewId="0">
      <selection activeCell="F23" sqref="F23"/>
    </sheetView>
  </sheetViews>
  <sheetFormatPr defaultRowHeight="14.5" x14ac:dyDescent="0.35"/>
  <cols>
    <col min="2" max="2" width="19.33203125" bestFit="1" customWidth="1"/>
    <col min="4" max="4" width="10.08203125" bestFit="1" customWidth="1"/>
    <col min="9" max="9" width="9.25" customWidth="1"/>
    <col min="10" max="10" width="15.25" bestFit="1" customWidth="1"/>
  </cols>
  <sheetData>
    <row r="7" spans="2:11" x14ac:dyDescent="0.35">
      <c r="C7" t="s">
        <v>1125</v>
      </c>
      <c r="D7" t="s">
        <v>1126</v>
      </c>
    </row>
    <row r="8" spans="2:11" x14ac:dyDescent="0.35">
      <c r="B8" t="s">
        <v>1127</v>
      </c>
      <c r="C8" s="90">
        <v>0.2</v>
      </c>
      <c r="D8" s="90">
        <v>0.1</v>
      </c>
      <c r="F8" s="100">
        <f>C12*0.9</f>
        <v>1080</v>
      </c>
    </row>
    <row r="9" spans="2:11" x14ac:dyDescent="0.35">
      <c r="B9" t="s">
        <v>1128</v>
      </c>
      <c r="C9" s="149">
        <v>6.5000000000000002E-2</v>
      </c>
    </row>
    <row r="10" spans="2:11" x14ac:dyDescent="0.35">
      <c r="C10" s="149"/>
      <c r="I10" s="150" t="s">
        <v>1129</v>
      </c>
      <c r="J10" s="150"/>
    </row>
    <row r="11" spans="2:11" x14ac:dyDescent="0.35">
      <c r="D11" t="s">
        <v>1130</v>
      </c>
      <c r="E11" t="s">
        <v>1131</v>
      </c>
      <c r="F11" t="s">
        <v>1132</v>
      </c>
      <c r="I11" s="150" t="s">
        <v>1133</v>
      </c>
      <c r="J11" s="150" t="s">
        <v>1134</v>
      </c>
    </row>
    <row r="12" spans="2:11" x14ac:dyDescent="0.35">
      <c r="B12" t="s">
        <v>1135</v>
      </c>
      <c r="C12" s="46">
        <v>1200</v>
      </c>
      <c r="D12">
        <v>20</v>
      </c>
      <c r="E12" s="80">
        <f>(C12)*1.5%</f>
        <v>18</v>
      </c>
      <c r="F12" s="80">
        <f>C12-D12-E12</f>
        <v>1162</v>
      </c>
      <c r="I12" s="151"/>
      <c r="J12" s="151"/>
      <c r="K12" s="46"/>
    </row>
    <row r="13" spans="2:11" x14ac:dyDescent="0.35">
      <c r="B13" t="s">
        <v>1136</v>
      </c>
      <c r="C13" s="46">
        <v>1120</v>
      </c>
      <c r="D13">
        <v>20</v>
      </c>
      <c r="E13" s="80">
        <f>(C13)*1.5%</f>
        <v>16.8</v>
      </c>
      <c r="F13" s="80">
        <f>C13-D13-E13</f>
        <v>1083.2</v>
      </c>
      <c r="H13" s="149">
        <v>0.26500000000000001</v>
      </c>
      <c r="I13" s="151">
        <f>C13*(1+H13)</f>
        <v>1416.8000000000002</v>
      </c>
      <c r="J13" s="151">
        <f>1225*(1+10%)</f>
        <v>1347.5</v>
      </c>
      <c r="K13" s="46">
        <f>I13-J13</f>
        <v>69.300000000000182</v>
      </c>
    </row>
    <row r="14" spans="2:11" x14ac:dyDescent="0.35">
      <c r="C14" s="99">
        <f>C12-C13</f>
        <v>80</v>
      </c>
      <c r="F14" s="99">
        <f>F12-F13</f>
        <v>78.799999999999955</v>
      </c>
      <c r="J14" t="s">
        <v>1137</v>
      </c>
    </row>
    <row r="15" spans="2:11" x14ac:dyDescent="0.35">
      <c r="C15" s="104">
        <f>C14/C12</f>
        <v>6.6666666666666666E-2</v>
      </c>
      <c r="F15" s="104">
        <f>F14/F12</f>
        <v>6.7814113597246095E-2</v>
      </c>
    </row>
    <row r="17" spans="2:3" x14ac:dyDescent="0.35">
      <c r="C17" s="100">
        <f>C13*0.9</f>
        <v>1008</v>
      </c>
    </row>
    <row r="20" spans="2:3" x14ac:dyDescent="0.35">
      <c r="B20" t="s">
        <v>1684</v>
      </c>
    </row>
    <row r="21" spans="2:3" x14ac:dyDescent="0.35">
      <c r="B21" s="46">
        <v>1100</v>
      </c>
    </row>
    <row r="22" spans="2:3" x14ac:dyDescent="0.35">
      <c r="B22" s="46">
        <v>1180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AF35C-D5A7-4979-8087-72F2E40F7FE3}">
  <sheetPr>
    <tabColor theme="1"/>
  </sheetPr>
  <dimension ref="A1"/>
  <sheetViews>
    <sheetView workbookViewId="0"/>
  </sheetViews>
  <sheetFormatPr defaultRowHeight="14.5" x14ac:dyDescent="0.35"/>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077F4-D5BF-45A4-AFCC-C06C3A2C160E}">
  <dimension ref="A2:AA12"/>
  <sheetViews>
    <sheetView workbookViewId="0">
      <selection activeCell="K34" sqref="K34"/>
    </sheetView>
  </sheetViews>
  <sheetFormatPr defaultRowHeight="14.5" x14ac:dyDescent="0.35"/>
  <cols>
    <col min="1" max="1" width="12.5" bestFit="1" customWidth="1"/>
    <col min="2" max="2" width="37.75" bestFit="1" customWidth="1"/>
    <col min="3" max="3" width="46" bestFit="1" customWidth="1"/>
    <col min="4" max="6" width="11.75" bestFit="1" customWidth="1"/>
    <col min="7" max="7" width="11.33203125" bestFit="1" customWidth="1"/>
    <col min="8" max="8" width="11.75" bestFit="1" customWidth="1"/>
    <col min="9" max="10" width="11.33203125" bestFit="1" customWidth="1"/>
    <col min="11" max="12" width="11.75" bestFit="1" customWidth="1"/>
    <col min="13" max="13" width="7.75" bestFit="1" customWidth="1"/>
    <col min="14" max="14" width="11.75" bestFit="1" customWidth="1"/>
    <col min="15" max="15" width="11.33203125" bestFit="1" customWidth="1"/>
    <col min="16" max="18" width="11.75" bestFit="1" customWidth="1"/>
    <col min="19" max="19" width="11" bestFit="1" customWidth="1"/>
    <col min="20" max="20" width="11.75" bestFit="1" customWidth="1"/>
    <col min="21" max="21" width="11" bestFit="1" customWidth="1"/>
    <col min="22" max="22" width="31" bestFit="1" customWidth="1"/>
    <col min="23" max="25" width="18.5" bestFit="1" customWidth="1"/>
    <col min="26" max="26" width="17.5" bestFit="1" customWidth="1"/>
    <col min="27" max="27" width="18.08203125" bestFit="1" customWidth="1"/>
    <col min="28" max="29" width="18.5" bestFit="1" customWidth="1"/>
    <col min="30" max="30" width="17.25" bestFit="1" customWidth="1"/>
    <col min="31" max="31" width="30" bestFit="1" customWidth="1"/>
    <col min="32" max="32" width="6.83203125" bestFit="1" customWidth="1"/>
    <col min="33" max="34" width="6.5" bestFit="1" customWidth="1"/>
    <col min="35" max="35" width="6.83203125" bestFit="1" customWidth="1"/>
    <col min="36" max="36" width="6.5" bestFit="1" customWidth="1"/>
    <col min="37" max="38" width="6.25" bestFit="1" customWidth="1"/>
    <col min="39" max="39" width="6.83203125" bestFit="1" customWidth="1"/>
    <col min="40" max="40" width="17.25" bestFit="1" customWidth="1"/>
    <col min="41" max="42" width="36.83203125" bestFit="1" customWidth="1"/>
    <col min="43" max="43" width="35.58203125" bestFit="1" customWidth="1"/>
    <col min="44" max="44" width="35.58203125" customWidth="1"/>
  </cols>
  <sheetData>
    <row r="2" spans="1:27" x14ac:dyDescent="0.35">
      <c r="A2" s="61" t="s">
        <v>1138</v>
      </c>
      <c r="B2" t="s">
        <v>55</v>
      </c>
    </row>
    <row r="4" spans="1:27" x14ac:dyDescent="0.35">
      <c r="D4" s="61" t="s">
        <v>1139</v>
      </c>
      <c r="E4" s="61" t="s">
        <v>1140</v>
      </c>
      <c r="F4" s="61" t="s">
        <v>1141</v>
      </c>
    </row>
    <row r="5" spans="1:27" x14ac:dyDescent="0.35">
      <c r="D5" t="s">
        <v>1142</v>
      </c>
      <c r="I5" t="s">
        <v>1143</v>
      </c>
      <c r="N5" t="s">
        <v>1144</v>
      </c>
      <c r="S5" t="s">
        <v>1145</v>
      </c>
      <c r="X5" t="s">
        <v>1146</v>
      </c>
      <c r="Y5" t="s">
        <v>1147</v>
      </c>
      <c r="Z5" t="s">
        <v>1148</v>
      </c>
      <c r="AA5" t="s">
        <v>1149</v>
      </c>
    </row>
    <row r="6" spans="1:27" x14ac:dyDescent="0.35">
      <c r="D6">
        <v>2024</v>
      </c>
      <c r="E6">
        <v>2024</v>
      </c>
      <c r="F6">
        <v>2025</v>
      </c>
      <c r="G6">
        <v>2025</v>
      </c>
      <c r="H6">
        <v>2025</v>
      </c>
      <c r="I6">
        <v>2024</v>
      </c>
      <c r="J6">
        <v>2024</v>
      </c>
      <c r="K6">
        <v>2025</v>
      </c>
      <c r="L6">
        <v>2025</v>
      </c>
      <c r="M6">
        <v>2025</v>
      </c>
      <c r="N6">
        <v>2024</v>
      </c>
      <c r="O6">
        <v>2024</v>
      </c>
      <c r="P6">
        <v>2025</v>
      </c>
      <c r="Q6">
        <v>2025</v>
      </c>
      <c r="R6">
        <v>2025</v>
      </c>
      <c r="S6">
        <v>2024</v>
      </c>
      <c r="T6">
        <v>2024</v>
      </c>
      <c r="U6">
        <v>2025</v>
      </c>
      <c r="V6">
        <v>2025</v>
      </c>
      <c r="W6">
        <v>2025</v>
      </c>
    </row>
    <row r="7" spans="1:27" x14ac:dyDescent="0.35">
      <c r="A7" s="61" t="s">
        <v>1150</v>
      </c>
      <c r="B7" s="61" t="s">
        <v>992</v>
      </c>
      <c r="C7" s="61" t="s">
        <v>1151</v>
      </c>
      <c r="D7">
        <v>6</v>
      </c>
      <c r="E7">
        <v>9</v>
      </c>
      <c r="F7">
        <v>5</v>
      </c>
      <c r="G7">
        <v>6</v>
      </c>
      <c r="H7">
        <v>8</v>
      </c>
      <c r="I7">
        <v>6</v>
      </c>
      <c r="J7">
        <v>9</v>
      </c>
      <c r="K7">
        <v>5</v>
      </c>
      <c r="L7">
        <v>6</v>
      </c>
      <c r="M7">
        <v>8</v>
      </c>
      <c r="N7">
        <v>6</v>
      </c>
      <c r="O7">
        <v>9</v>
      </c>
      <c r="P7">
        <v>5</v>
      </c>
      <c r="Q7">
        <v>6</v>
      </c>
      <c r="R7">
        <v>8</v>
      </c>
      <c r="S7">
        <v>6</v>
      </c>
      <c r="T7">
        <v>9</v>
      </c>
      <c r="U7">
        <v>5</v>
      </c>
      <c r="V7">
        <v>6</v>
      </c>
      <c r="W7">
        <v>8</v>
      </c>
    </row>
    <row r="8" spans="1:27" x14ac:dyDescent="0.35">
      <c r="A8" t="s">
        <v>129</v>
      </c>
      <c r="B8" t="s">
        <v>168</v>
      </c>
      <c r="C8" t="s">
        <v>700</v>
      </c>
      <c r="D8" s="59"/>
      <c r="E8" s="59"/>
      <c r="F8" s="59"/>
      <c r="G8" s="59">
        <v>22000</v>
      </c>
      <c r="H8" s="59"/>
      <c r="I8" s="59"/>
      <c r="J8" s="59"/>
      <c r="K8" s="59"/>
      <c r="L8" s="59">
        <v>29072.848118578793</v>
      </c>
      <c r="M8" s="59"/>
      <c r="N8" s="59"/>
      <c r="O8" s="59"/>
      <c r="P8" s="59"/>
      <c r="Q8" s="59">
        <v>753568223.23356235</v>
      </c>
      <c r="R8" s="59"/>
      <c r="S8" s="59">
        <v>0</v>
      </c>
      <c r="T8" s="59">
        <v>0</v>
      </c>
      <c r="U8" s="59">
        <v>0</v>
      </c>
      <c r="V8" s="59">
        <v>1321.4930962990361</v>
      </c>
      <c r="W8" s="59">
        <v>0</v>
      </c>
      <c r="X8" s="59">
        <v>22000</v>
      </c>
      <c r="Y8" s="59">
        <v>29072.848118578793</v>
      </c>
      <c r="Z8" s="59">
        <v>753568223.23356235</v>
      </c>
      <c r="AA8" s="59">
        <v>1321.4930962990361</v>
      </c>
    </row>
    <row r="9" spans="1:27" x14ac:dyDescent="0.35">
      <c r="A9" t="s">
        <v>126</v>
      </c>
      <c r="B9" t="s">
        <v>168</v>
      </c>
      <c r="C9" t="s">
        <v>700</v>
      </c>
      <c r="D9" s="59">
        <v>22000</v>
      </c>
      <c r="E9" s="59">
        <v>88000</v>
      </c>
      <c r="F9" s="59">
        <v>220000</v>
      </c>
      <c r="G9" s="59"/>
      <c r="H9" s="59"/>
      <c r="I9" s="59">
        <v>28570.386300679933</v>
      </c>
      <c r="J9" s="59">
        <v>114089.23318823718</v>
      </c>
      <c r="K9" s="59">
        <v>295067.49547659204</v>
      </c>
      <c r="L9" s="59"/>
      <c r="M9" s="59"/>
      <c r="N9" s="59">
        <v>721973661.81818187</v>
      </c>
      <c r="O9" s="59">
        <v>2776931935.801693</v>
      </c>
      <c r="P9" s="59">
        <v>7598578398.2059002</v>
      </c>
      <c r="Q9" s="59"/>
      <c r="R9" s="59"/>
      <c r="S9" s="59">
        <v>1298.6539227581789</v>
      </c>
      <c r="T9" s="59">
        <v>1296.4685589572407</v>
      </c>
      <c r="U9" s="59">
        <v>1341.2158885299639</v>
      </c>
      <c r="V9" s="59">
        <v>0</v>
      </c>
      <c r="W9" s="59">
        <v>0</v>
      </c>
      <c r="X9" s="59">
        <v>330000</v>
      </c>
      <c r="Y9" s="59">
        <v>437727.11496550916</v>
      </c>
      <c r="Z9" s="59">
        <v>11097483995.825775</v>
      </c>
      <c r="AA9" s="59">
        <v>1326.4458029257853</v>
      </c>
    </row>
    <row r="10" spans="1:27" x14ac:dyDescent="0.35">
      <c r="A10" t="s">
        <v>126</v>
      </c>
      <c r="B10" t="s">
        <v>172</v>
      </c>
      <c r="C10" t="s">
        <v>734</v>
      </c>
      <c r="D10" s="59"/>
      <c r="E10" s="59"/>
      <c r="F10" s="59">
        <v>22000</v>
      </c>
      <c r="G10" s="59"/>
      <c r="H10" s="59">
        <v>44000</v>
      </c>
      <c r="I10" s="59"/>
      <c r="J10" s="59"/>
      <c r="K10" s="59">
        <v>28408.871986834365</v>
      </c>
      <c r="L10" s="59"/>
      <c r="M10" s="59">
        <v>54611.2688080796</v>
      </c>
      <c r="N10" s="59"/>
      <c r="O10" s="59"/>
      <c r="P10" s="59">
        <v>732380719.8205899</v>
      </c>
      <c r="Q10" s="59"/>
      <c r="R10" s="59">
        <v>1423715777.8266351</v>
      </c>
      <c r="S10" s="59">
        <v>0</v>
      </c>
      <c r="T10" s="59">
        <v>0</v>
      </c>
      <c r="U10" s="59">
        <v>1291.3123630379257</v>
      </c>
      <c r="V10" s="59">
        <v>0</v>
      </c>
      <c r="W10" s="59">
        <v>1241.1652001836273</v>
      </c>
      <c r="X10" s="59">
        <v>66000</v>
      </c>
      <c r="Y10" s="59">
        <v>83020.140794913968</v>
      </c>
      <c r="Z10" s="59">
        <v>2156096497.6472249</v>
      </c>
      <c r="AA10" s="59">
        <v>1257.8809211350601</v>
      </c>
    </row>
    <row r="11" spans="1:27" x14ac:dyDescent="0.35">
      <c r="A11" t="s">
        <v>126</v>
      </c>
      <c r="B11" t="s">
        <v>1152</v>
      </c>
      <c r="C11" t="s">
        <v>1153</v>
      </c>
      <c r="D11" s="59"/>
      <c r="E11" s="59"/>
      <c r="F11" s="59">
        <v>0</v>
      </c>
      <c r="G11" s="59">
        <v>0</v>
      </c>
      <c r="H11" s="59"/>
      <c r="I11" s="59"/>
      <c r="J11" s="59"/>
      <c r="K11" s="59">
        <v>45.783738424915576</v>
      </c>
      <c r="L11" s="59">
        <v>-45.543353258843098</v>
      </c>
      <c r="M11" s="59"/>
      <c r="N11" s="59"/>
      <c r="O11" s="59"/>
      <c r="P11" s="59">
        <v>1180252.0000000002</v>
      </c>
      <c r="Q11" s="59">
        <v>-1180252.0000000002</v>
      </c>
      <c r="R11" s="59"/>
      <c r="S11" s="59">
        <v>0</v>
      </c>
      <c r="T11" s="59">
        <v>0</v>
      </c>
      <c r="U11" s="59">
        <v>0</v>
      </c>
      <c r="V11" s="59">
        <v>0</v>
      </c>
      <c r="W11" s="59">
        <v>0</v>
      </c>
      <c r="X11" s="59">
        <v>0</v>
      </c>
      <c r="Y11" s="59">
        <v>0.24038516607247828</v>
      </c>
      <c r="Z11" s="59">
        <v>0</v>
      </c>
      <c r="AA11" s="59">
        <v>0</v>
      </c>
    </row>
    <row r="12" spans="1:27" x14ac:dyDescent="0.35">
      <c r="A12" t="s">
        <v>18</v>
      </c>
      <c r="D12" s="59">
        <v>22000</v>
      </c>
      <c r="E12" s="59">
        <v>88000</v>
      </c>
      <c r="F12" s="59">
        <v>242000</v>
      </c>
      <c r="G12" s="59">
        <v>22000</v>
      </c>
      <c r="H12" s="59">
        <v>44000</v>
      </c>
      <c r="I12" s="59">
        <v>28570.386300679933</v>
      </c>
      <c r="J12" s="59">
        <v>114089.23318823718</v>
      </c>
      <c r="K12" s="59">
        <v>323522.15120185137</v>
      </c>
      <c r="L12" s="59">
        <v>29027.30476531995</v>
      </c>
      <c r="M12" s="59">
        <v>54611.2688080796</v>
      </c>
      <c r="N12" s="59">
        <v>721973661.81818187</v>
      </c>
      <c r="O12" s="59">
        <v>2776931935.801693</v>
      </c>
      <c r="P12" s="59">
        <v>8332139370.0264902</v>
      </c>
      <c r="Q12" s="59">
        <v>752387971.23356235</v>
      </c>
      <c r="R12" s="59">
        <v>1423715777.8266351</v>
      </c>
      <c r="S12" s="59">
        <v>1298.6539227581789</v>
      </c>
      <c r="T12" s="59">
        <v>1296.4685589572407</v>
      </c>
      <c r="U12" s="59">
        <v>1336.8683933960801</v>
      </c>
      <c r="V12" s="59">
        <v>1319.4229438781795</v>
      </c>
      <c r="W12" s="59">
        <v>1241.1652001836273</v>
      </c>
      <c r="X12" s="59">
        <v>418000</v>
      </c>
      <c r="Y12" s="59">
        <v>549820.34426416794</v>
      </c>
      <c r="Z12" s="59">
        <v>14007148716.706562</v>
      </c>
      <c r="AA12" s="59">
        <v>1315.3596752731291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22F75-0CDB-4CBD-9003-C5A3985E8B67}">
  <dimension ref="A2:O620"/>
  <sheetViews>
    <sheetView showGridLines="0" workbookViewId="0">
      <pane xSplit="3" ySplit="6" topLeftCell="D7" activePane="bottomRight" state="frozen"/>
      <selection pane="topRight" activeCell="D1" sqref="D1"/>
      <selection pane="bottomLeft" activeCell="A7" sqref="A7"/>
      <selection pane="bottomRight" activeCell="D7" sqref="D7"/>
    </sheetView>
  </sheetViews>
  <sheetFormatPr defaultRowHeight="14.5" x14ac:dyDescent="0.35"/>
  <cols>
    <col min="1" max="1" width="8.75" customWidth="1"/>
    <col min="2" max="2" width="16.58203125" customWidth="1"/>
    <col min="3" max="3" width="46" bestFit="1" customWidth="1"/>
    <col min="4" max="4" width="13" bestFit="1" customWidth="1"/>
    <col min="5" max="5" width="12.58203125" bestFit="1" customWidth="1"/>
    <col min="6" max="6" width="31" bestFit="1" customWidth="1"/>
    <col min="7" max="7" width="12.58203125" bestFit="1" customWidth="1"/>
    <col min="8" max="8" width="25.83203125" bestFit="1" customWidth="1"/>
    <col min="9" max="9" width="20.25" bestFit="1" customWidth="1"/>
    <col min="10" max="10" width="24.75" bestFit="1" customWidth="1"/>
    <col min="11" max="11" width="6.5" bestFit="1" customWidth="1"/>
    <col min="12" max="12" width="14.25" bestFit="1" customWidth="1"/>
    <col min="13" max="14" width="30.5" bestFit="1" customWidth="1"/>
    <col min="15" max="15" width="29.33203125" bestFit="1" customWidth="1"/>
    <col min="16" max="18" width="11.75" bestFit="1" customWidth="1"/>
    <col min="19" max="19" width="11" bestFit="1" customWidth="1"/>
    <col min="20" max="20" width="11.75" bestFit="1" customWidth="1"/>
    <col min="21" max="21" width="11" bestFit="1" customWidth="1"/>
    <col min="22" max="22" width="31" bestFit="1" customWidth="1"/>
    <col min="23" max="25" width="18.5" bestFit="1" customWidth="1"/>
    <col min="26" max="26" width="17.5" bestFit="1" customWidth="1"/>
    <col min="27" max="27" width="18.08203125" bestFit="1" customWidth="1"/>
    <col min="28" max="29" width="18.5" bestFit="1" customWidth="1"/>
    <col min="30" max="30" width="17.25" bestFit="1" customWidth="1"/>
    <col min="31" max="31" width="30" bestFit="1" customWidth="1"/>
    <col min="32" max="32" width="6.83203125" bestFit="1" customWidth="1"/>
    <col min="33" max="34" width="6.5" bestFit="1" customWidth="1"/>
    <col min="35" max="35" width="6.83203125" bestFit="1" customWidth="1"/>
    <col min="36" max="36" width="6.5" bestFit="1" customWidth="1"/>
    <col min="37" max="38" width="6.25" bestFit="1" customWidth="1"/>
    <col min="39" max="39" width="6.83203125" bestFit="1" customWidth="1"/>
    <col min="40" max="40" width="17.25" bestFit="1" customWidth="1"/>
    <col min="41" max="42" width="36.83203125" bestFit="1" customWidth="1"/>
    <col min="43" max="43" width="35.58203125" bestFit="1" customWidth="1"/>
    <col min="44" max="44" width="35.58203125" customWidth="1"/>
  </cols>
  <sheetData>
    <row r="2" spans="1:15" x14ac:dyDescent="0.35">
      <c r="A2" s="61" t="s">
        <v>1138</v>
      </c>
      <c r="B2" t="s">
        <v>55</v>
      </c>
    </row>
    <row r="4" spans="1:15" x14ac:dyDescent="0.35">
      <c r="D4" s="61" t="s">
        <v>1139</v>
      </c>
      <c r="E4" s="61" t="s">
        <v>1140</v>
      </c>
    </row>
    <row r="5" spans="1:15" x14ac:dyDescent="0.35">
      <c r="D5" t="s">
        <v>1142</v>
      </c>
      <c r="F5" t="s">
        <v>1143</v>
      </c>
      <c r="H5" t="s">
        <v>1144</v>
      </c>
      <c r="J5" t="s">
        <v>1145</v>
      </c>
      <c r="L5" t="s">
        <v>1146</v>
      </c>
      <c r="M5" t="s">
        <v>1147</v>
      </c>
      <c r="N5" t="s">
        <v>1148</v>
      </c>
      <c r="O5" t="s">
        <v>1149</v>
      </c>
    </row>
    <row r="6" spans="1:15" x14ac:dyDescent="0.35">
      <c r="A6" s="61" t="s">
        <v>1154</v>
      </c>
      <c r="B6" s="61" t="s">
        <v>1155</v>
      </c>
      <c r="C6" s="61" t="s">
        <v>1150</v>
      </c>
      <c r="D6">
        <v>2024</v>
      </c>
      <c r="E6">
        <v>2025</v>
      </c>
      <c r="F6">
        <v>2024</v>
      </c>
      <c r="G6">
        <v>2025</v>
      </c>
      <c r="H6">
        <v>2024</v>
      </c>
      <c r="I6">
        <v>2025</v>
      </c>
      <c r="J6">
        <v>2024</v>
      </c>
      <c r="K6">
        <v>2025</v>
      </c>
    </row>
    <row r="7" spans="1:15" x14ac:dyDescent="0.35">
      <c r="A7" t="s">
        <v>4</v>
      </c>
      <c r="D7" s="59">
        <v>31678125</v>
      </c>
      <c r="E7" s="59">
        <v>33472662.199999999</v>
      </c>
      <c r="F7" s="59">
        <v>38929151.145629153</v>
      </c>
      <c r="G7" s="59">
        <v>41386594.970473625</v>
      </c>
      <c r="H7" s="59">
        <v>968021175492.84644</v>
      </c>
      <c r="I7" s="59">
        <v>1063164676310.3337</v>
      </c>
      <c r="J7" s="59">
        <v>1228.8969484661459</v>
      </c>
      <c r="K7" s="59">
        <v>1236.4297384889098</v>
      </c>
      <c r="L7" s="59">
        <v>65150787.200000003</v>
      </c>
      <c r="M7" s="59">
        <v>80315746.116102725</v>
      </c>
      <c r="N7" s="59">
        <v>2031185851803.1802</v>
      </c>
      <c r="O7" s="59">
        <v>1232.767086444394</v>
      </c>
    </row>
    <row r="8" spans="1:15" x14ac:dyDescent="0.35">
      <c r="B8" t="s">
        <v>1156</v>
      </c>
      <c r="D8" s="59">
        <v>3872500</v>
      </c>
      <c r="E8" s="59">
        <v>22000</v>
      </c>
      <c r="F8" s="59">
        <v>4876112.8055385975</v>
      </c>
      <c r="G8" s="59">
        <v>28361.540552390066</v>
      </c>
      <c r="H8" s="59">
        <v>122030240813.82198</v>
      </c>
      <c r="I8" s="59">
        <v>714817625.18864775</v>
      </c>
      <c r="J8" s="59">
        <v>1259.1640556587724</v>
      </c>
      <c r="K8" s="59">
        <v>1289.1609341995484</v>
      </c>
      <c r="L8" s="59">
        <v>3894500</v>
      </c>
      <c r="M8" s="59">
        <v>4904474.3460909873</v>
      </c>
      <c r="N8" s="59">
        <v>122745058439.01062</v>
      </c>
      <c r="O8" s="59">
        <v>1259.3335077907273</v>
      </c>
    </row>
    <row r="9" spans="1:15" x14ac:dyDescent="0.35">
      <c r="C9" t="s">
        <v>16</v>
      </c>
      <c r="D9" s="59">
        <v>3540000</v>
      </c>
      <c r="E9" s="59"/>
      <c r="F9" s="59">
        <v>4456897.1776271863</v>
      </c>
      <c r="G9" s="59"/>
      <c r="H9" s="59">
        <v>111584080616.81361</v>
      </c>
      <c r="I9" s="59"/>
      <c r="J9" s="59">
        <v>1259.0105021545724</v>
      </c>
      <c r="K9" s="59">
        <v>0</v>
      </c>
      <c r="L9" s="59">
        <v>3540000</v>
      </c>
      <c r="M9" s="59">
        <v>4456897.1776271863</v>
      </c>
      <c r="N9" s="59">
        <v>111584080616.81361</v>
      </c>
      <c r="O9" s="59">
        <v>1259.0105021545724</v>
      </c>
    </row>
    <row r="10" spans="1:15" x14ac:dyDescent="0.35">
      <c r="C10" t="s">
        <v>47</v>
      </c>
      <c r="D10" s="59">
        <v>220000</v>
      </c>
      <c r="E10" s="59"/>
      <c r="F10" s="59">
        <v>275168.70214324904</v>
      </c>
      <c r="G10" s="59"/>
      <c r="H10" s="59">
        <v>6810681247.7168045</v>
      </c>
      <c r="I10" s="59"/>
      <c r="J10" s="59">
        <v>1250.7668279238592</v>
      </c>
      <c r="K10" s="59">
        <v>0</v>
      </c>
      <c r="L10" s="59">
        <v>220000</v>
      </c>
      <c r="M10" s="59">
        <v>275168.70214324904</v>
      </c>
      <c r="N10" s="59">
        <v>6810681247.7168045</v>
      </c>
      <c r="O10" s="59">
        <v>1250.7668279238592</v>
      </c>
    </row>
    <row r="11" spans="1:15" x14ac:dyDescent="0.35">
      <c r="C11" t="s">
        <v>100</v>
      </c>
      <c r="D11" s="59">
        <v>55000</v>
      </c>
      <c r="E11" s="59">
        <v>22000</v>
      </c>
      <c r="F11" s="59">
        <v>68903.776393395659</v>
      </c>
      <c r="G11" s="59">
        <v>28361.540552390066</v>
      </c>
      <c r="H11" s="59">
        <v>1740708482.1728692</v>
      </c>
      <c r="I11" s="59">
        <v>714817625.18864775</v>
      </c>
      <c r="J11" s="59">
        <v>1252.7959344253757</v>
      </c>
      <c r="K11" s="59">
        <v>1289.1609341995484</v>
      </c>
      <c r="L11" s="59">
        <v>77000</v>
      </c>
      <c r="M11" s="59">
        <v>97265.316945785729</v>
      </c>
      <c r="N11" s="59">
        <v>2455526107.361517</v>
      </c>
      <c r="O11" s="59">
        <v>1263.1859343608535</v>
      </c>
    </row>
    <row r="12" spans="1:15" x14ac:dyDescent="0.35">
      <c r="C12" t="s">
        <v>1157</v>
      </c>
      <c r="D12" s="59">
        <v>44200</v>
      </c>
      <c r="E12" s="59"/>
      <c r="F12" s="59">
        <v>58116.013936984265</v>
      </c>
      <c r="G12" s="59"/>
      <c r="H12" s="59">
        <v>1465878264.1657882</v>
      </c>
      <c r="I12" s="59"/>
      <c r="J12" s="59">
        <v>1314.8419442756619</v>
      </c>
      <c r="K12" s="59">
        <v>0</v>
      </c>
      <c r="L12" s="59">
        <v>44200</v>
      </c>
      <c r="M12" s="59">
        <v>58116.013936984265</v>
      </c>
      <c r="N12" s="59">
        <v>1465878264.1657882</v>
      </c>
      <c r="O12" s="59">
        <v>1314.8419442756619</v>
      </c>
    </row>
    <row r="13" spans="1:15" x14ac:dyDescent="0.35">
      <c r="C13" t="s">
        <v>1158</v>
      </c>
      <c r="D13" s="59">
        <v>13200</v>
      </c>
      <c r="E13" s="59"/>
      <c r="F13" s="59">
        <v>16896.038928638802</v>
      </c>
      <c r="G13" s="59"/>
      <c r="H13" s="59">
        <v>425582002.95290256</v>
      </c>
      <c r="I13" s="59"/>
      <c r="J13" s="59">
        <v>1280.0029491393032</v>
      </c>
      <c r="K13" s="59">
        <v>0</v>
      </c>
      <c r="L13" s="59">
        <v>13200</v>
      </c>
      <c r="M13" s="59">
        <v>16896.038928638802</v>
      </c>
      <c r="N13" s="59">
        <v>425582002.95290256</v>
      </c>
      <c r="O13" s="59">
        <v>1280.0029491393032</v>
      </c>
    </row>
    <row r="14" spans="1:15" x14ac:dyDescent="0.35">
      <c r="C14" t="s">
        <v>1159</v>
      </c>
      <c r="D14" s="59">
        <v>100</v>
      </c>
      <c r="E14" s="59"/>
      <c r="F14" s="59">
        <v>131.0965091428659</v>
      </c>
      <c r="G14" s="59"/>
      <c r="H14" s="59">
        <v>3310200</v>
      </c>
      <c r="I14" s="59"/>
      <c r="J14" s="59">
        <v>1310.965091428659</v>
      </c>
      <c r="K14" s="59">
        <v>0</v>
      </c>
      <c r="L14" s="59">
        <v>100</v>
      </c>
      <c r="M14" s="59">
        <v>131.0965091428659</v>
      </c>
      <c r="N14" s="59">
        <v>3310200</v>
      </c>
      <c r="O14" s="59">
        <v>1310.965091428659</v>
      </c>
    </row>
    <row r="15" spans="1:15" x14ac:dyDescent="0.35">
      <c r="B15" t="s">
        <v>1160</v>
      </c>
      <c r="D15" s="59">
        <v>4033025</v>
      </c>
      <c r="E15" s="59">
        <v>4658382.2</v>
      </c>
      <c r="F15" s="59">
        <v>5660579.5143226283</v>
      </c>
      <c r="G15" s="59">
        <v>6353800.6058270615</v>
      </c>
      <c r="H15" s="59">
        <v>141045424610.30814</v>
      </c>
      <c r="I15" s="59">
        <v>163496184603.90582</v>
      </c>
      <c r="J15" s="59">
        <v>1403.5567630556789</v>
      </c>
      <c r="K15" s="59">
        <v>1363.9500438214498</v>
      </c>
      <c r="L15" s="59">
        <v>8691407.1999999993</v>
      </c>
      <c r="M15" s="59">
        <v>12014380.120149691</v>
      </c>
      <c r="N15" s="59">
        <v>304541609214.21399</v>
      </c>
      <c r="O15" s="59">
        <v>1382.3285278993362</v>
      </c>
    </row>
    <row r="16" spans="1:15" x14ac:dyDescent="0.35">
      <c r="C16" t="s">
        <v>8</v>
      </c>
      <c r="D16" s="59">
        <v>2798300</v>
      </c>
      <c r="E16" s="59">
        <v>3592482.2</v>
      </c>
      <c r="F16" s="59">
        <v>4016258.0178922648</v>
      </c>
      <c r="G16" s="59">
        <v>4892822.650363544</v>
      </c>
      <c r="H16" s="59">
        <v>100264603285.1127</v>
      </c>
      <c r="I16" s="59">
        <v>126118861821.69901</v>
      </c>
      <c r="J16" s="59">
        <v>1435.2492648723385</v>
      </c>
      <c r="K16" s="59">
        <v>1361.9615569322914</v>
      </c>
      <c r="L16" s="59">
        <v>6390782.2000000002</v>
      </c>
      <c r="M16" s="59">
        <v>8909080.6682558097</v>
      </c>
      <c r="N16" s="59">
        <v>226383465106.81171</v>
      </c>
      <c r="O16" s="59">
        <v>1394.0516809125193</v>
      </c>
    </row>
    <row r="17" spans="2:15" x14ac:dyDescent="0.35">
      <c r="C17" t="s">
        <v>99</v>
      </c>
      <c r="D17" s="59">
        <v>930600</v>
      </c>
      <c r="E17" s="59">
        <v>688600</v>
      </c>
      <c r="F17" s="59">
        <v>1236864.8093992551</v>
      </c>
      <c r="G17" s="59">
        <v>958533.79508576926</v>
      </c>
      <c r="H17" s="59">
        <v>30666220789.989754</v>
      </c>
      <c r="I17" s="59">
        <v>24508518839.194843</v>
      </c>
      <c r="J17" s="59">
        <v>1329.1046737580648</v>
      </c>
      <c r="K17" s="59">
        <v>1392.0037686403853</v>
      </c>
      <c r="L17" s="59">
        <v>1619200</v>
      </c>
      <c r="M17" s="59">
        <v>2195398.6044850242</v>
      </c>
      <c r="N17" s="59">
        <v>55174739629.184601</v>
      </c>
      <c r="O17" s="59">
        <v>1355.8538812283994</v>
      </c>
    </row>
    <row r="18" spans="2:15" x14ac:dyDescent="0.35">
      <c r="C18" t="s">
        <v>126</v>
      </c>
      <c r="D18" s="59">
        <v>110000</v>
      </c>
      <c r="E18" s="59">
        <v>220000</v>
      </c>
      <c r="F18" s="59">
        <v>142659.61948891712</v>
      </c>
      <c r="G18" s="59">
        <v>295067.49547659204</v>
      </c>
      <c r="H18" s="59">
        <v>3498905597.619875</v>
      </c>
      <c r="I18" s="59">
        <v>7598578398.2059002</v>
      </c>
      <c r="J18" s="59">
        <v>1296.9056317174284</v>
      </c>
      <c r="K18" s="59">
        <v>1341.2158885299639</v>
      </c>
      <c r="L18" s="59">
        <v>330000</v>
      </c>
      <c r="M18" s="59">
        <v>437727.11496550916</v>
      </c>
      <c r="N18" s="59">
        <v>11097483995.825775</v>
      </c>
      <c r="O18" s="59">
        <v>1326.4458029257853</v>
      </c>
    </row>
    <row r="19" spans="2:15" x14ac:dyDescent="0.35">
      <c r="C19" t="s">
        <v>153</v>
      </c>
      <c r="D19" s="59">
        <v>88000</v>
      </c>
      <c r="E19" s="59"/>
      <c r="F19" s="59">
        <v>115946.67784200265</v>
      </c>
      <c r="G19" s="59"/>
      <c r="H19" s="59">
        <v>2924171593.4128113</v>
      </c>
      <c r="I19" s="59"/>
      <c r="J19" s="59">
        <v>1317.5758845682119</v>
      </c>
      <c r="K19" s="59">
        <v>0</v>
      </c>
      <c r="L19" s="59">
        <v>88000</v>
      </c>
      <c r="M19" s="59">
        <v>115946.67784200265</v>
      </c>
      <c r="N19" s="59">
        <v>2924171593.4128113</v>
      </c>
      <c r="O19" s="59">
        <v>1317.5758845682119</v>
      </c>
    </row>
    <row r="20" spans="2:15" x14ac:dyDescent="0.35">
      <c r="C20" t="s">
        <v>109</v>
      </c>
      <c r="D20" s="59">
        <v>82500</v>
      </c>
      <c r="E20" s="59">
        <v>2200</v>
      </c>
      <c r="F20" s="59">
        <v>118858.44773126426</v>
      </c>
      <c r="G20" s="59">
        <v>2959.3644272213983</v>
      </c>
      <c r="H20" s="59">
        <v>2944601010.63696</v>
      </c>
      <c r="I20" s="59">
        <v>76289003.565862715</v>
      </c>
      <c r="J20" s="59">
        <v>1440.7084573486577</v>
      </c>
      <c r="K20" s="59">
        <v>1345.1656487369992</v>
      </c>
      <c r="L20" s="59">
        <v>84700</v>
      </c>
      <c r="M20" s="59">
        <v>121817.81215848566</v>
      </c>
      <c r="N20" s="59">
        <v>3020890014.2028227</v>
      </c>
      <c r="O20" s="59">
        <v>1438.226825956147</v>
      </c>
    </row>
    <row r="21" spans="2:15" x14ac:dyDescent="0.35">
      <c r="C21" t="s">
        <v>138</v>
      </c>
      <c r="D21" s="59"/>
      <c r="E21" s="59">
        <v>66000</v>
      </c>
      <c r="F21" s="59"/>
      <c r="G21" s="59">
        <v>84891.168673949331</v>
      </c>
      <c r="H21" s="59"/>
      <c r="I21" s="59">
        <v>2151991125.8846154</v>
      </c>
      <c r="J21" s="59">
        <v>0</v>
      </c>
      <c r="K21" s="59">
        <v>1286.2298283931716</v>
      </c>
      <c r="L21" s="59">
        <v>66000</v>
      </c>
      <c r="M21" s="59">
        <v>84891.168673949331</v>
      </c>
      <c r="N21" s="59">
        <v>2151991125.8846154</v>
      </c>
      <c r="O21" s="59">
        <v>1286.2298283931716</v>
      </c>
    </row>
    <row r="22" spans="2:15" x14ac:dyDescent="0.35">
      <c r="C22" t="s">
        <v>127</v>
      </c>
      <c r="D22" s="59"/>
      <c r="E22" s="59">
        <v>44000</v>
      </c>
      <c r="F22" s="59"/>
      <c r="G22" s="59">
        <v>59419.368066091331</v>
      </c>
      <c r="H22" s="59"/>
      <c r="I22" s="59">
        <v>1496773881.5848405</v>
      </c>
      <c r="J22" s="59">
        <v>0</v>
      </c>
      <c r="K22" s="59">
        <v>1350.4401833202576</v>
      </c>
      <c r="L22" s="59">
        <v>44000</v>
      </c>
      <c r="M22" s="59">
        <v>59419.368066091331</v>
      </c>
      <c r="N22" s="59">
        <v>1496773881.5848405</v>
      </c>
      <c r="O22" s="59">
        <v>1350.4401833202576</v>
      </c>
    </row>
    <row r="23" spans="2:15" x14ac:dyDescent="0.35">
      <c r="C23" t="s">
        <v>129</v>
      </c>
      <c r="D23" s="59"/>
      <c r="E23" s="59">
        <v>22000</v>
      </c>
      <c r="F23" s="59"/>
      <c r="G23" s="59">
        <v>29072.848118578793</v>
      </c>
      <c r="H23" s="59"/>
      <c r="I23" s="59">
        <v>753568223.23356235</v>
      </c>
      <c r="J23" s="59">
        <v>0</v>
      </c>
      <c r="K23" s="59">
        <v>1321.4930962990361</v>
      </c>
      <c r="L23" s="59">
        <v>22000</v>
      </c>
      <c r="M23" s="59">
        <v>29072.848118578793</v>
      </c>
      <c r="N23" s="59">
        <v>753568223.23356235</v>
      </c>
      <c r="O23" s="59">
        <v>1321.4930962990361</v>
      </c>
    </row>
    <row r="24" spans="2:15" x14ac:dyDescent="0.35">
      <c r="C24" t="s">
        <v>46</v>
      </c>
      <c r="D24" s="59"/>
      <c r="E24" s="59">
        <v>22000</v>
      </c>
      <c r="F24" s="59"/>
      <c r="G24" s="59">
        <v>29596.379425213257</v>
      </c>
      <c r="H24" s="59"/>
      <c r="I24" s="59">
        <v>755003639.13719022</v>
      </c>
      <c r="J24" s="59">
        <v>0</v>
      </c>
      <c r="K24" s="59">
        <v>1345.2899738733299</v>
      </c>
      <c r="L24" s="59">
        <v>22000</v>
      </c>
      <c r="M24" s="59">
        <v>29596.379425213257</v>
      </c>
      <c r="N24" s="59">
        <v>755003639.13719022</v>
      </c>
      <c r="O24" s="59">
        <v>1345.2899738733299</v>
      </c>
    </row>
    <row r="25" spans="2:15" x14ac:dyDescent="0.35">
      <c r="C25" t="s">
        <v>1161</v>
      </c>
      <c r="D25" s="59">
        <v>22000</v>
      </c>
      <c r="E25" s="59"/>
      <c r="F25" s="59">
        <v>27882.331026137254</v>
      </c>
      <c r="G25" s="59"/>
      <c r="H25" s="59">
        <v>693712395.93029487</v>
      </c>
      <c r="I25" s="59"/>
      <c r="J25" s="59">
        <v>1267.3786830062388</v>
      </c>
      <c r="K25" s="59">
        <v>0</v>
      </c>
      <c r="L25" s="59">
        <v>22000</v>
      </c>
      <c r="M25" s="59">
        <v>27882.331026137254</v>
      </c>
      <c r="N25" s="59">
        <v>693712395.93029487</v>
      </c>
      <c r="O25" s="59">
        <v>1267.3786830062388</v>
      </c>
    </row>
    <row r="26" spans="2:15" x14ac:dyDescent="0.35">
      <c r="C26" t="s">
        <v>156</v>
      </c>
      <c r="D26" s="59">
        <v>1100</v>
      </c>
      <c r="E26" s="59"/>
      <c r="F26" s="59">
        <v>1427.5446087017306</v>
      </c>
      <c r="G26" s="59"/>
      <c r="H26" s="59">
        <v>36010267.96226415</v>
      </c>
      <c r="I26" s="59"/>
      <c r="J26" s="59">
        <v>1297.7678260924822</v>
      </c>
      <c r="K26" s="59">
        <v>0</v>
      </c>
      <c r="L26" s="59">
        <v>1100</v>
      </c>
      <c r="M26" s="59">
        <v>1427.5446087017306</v>
      </c>
      <c r="N26" s="59">
        <v>36010267.96226415</v>
      </c>
      <c r="O26" s="59">
        <v>1297.7678260924822</v>
      </c>
    </row>
    <row r="27" spans="2:15" x14ac:dyDescent="0.35">
      <c r="C27" t="s">
        <v>141</v>
      </c>
      <c r="D27" s="59"/>
      <c r="E27" s="59">
        <v>1100</v>
      </c>
      <c r="F27" s="59"/>
      <c r="G27" s="59">
        <v>1437.5361901021208</v>
      </c>
      <c r="H27" s="59"/>
      <c r="I27" s="59">
        <v>36599671.399999999</v>
      </c>
      <c r="J27" s="59">
        <v>0</v>
      </c>
      <c r="K27" s="59">
        <v>1306.8510819110188</v>
      </c>
      <c r="L27" s="59">
        <v>1100</v>
      </c>
      <c r="M27" s="59">
        <v>1437.5361901021208</v>
      </c>
      <c r="N27" s="59">
        <v>36599671.399999999</v>
      </c>
      <c r="O27" s="59">
        <v>1306.8510819110188</v>
      </c>
    </row>
    <row r="28" spans="2:15" x14ac:dyDescent="0.35">
      <c r="C28" t="s">
        <v>1162</v>
      </c>
      <c r="D28" s="59">
        <v>500</v>
      </c>
      <c r="E28" s="59"/>
      <c r="F28" s="59">
        <v>646.81515188665753</v>
      </c>
      <c r="G28" s="59"/>
      <c r="H28" s="59">
        <v>16340419.643457383</v>
      </c>
      <c r="I28" s="59"/>
      <c r="J28" s="59">
        <v>1293.6303037733151</v>
      </c>
      <c r="K28" s="59">
        <v>0</v>
      </c>
      <c r="L28" s="59">
        <v>500</v>
      </c>
      <c r="M28" s="59">
        <v>646.81515188665753</v>
      </c>
      <c r="N28" s="59">
        <v>16340419.643457383</v>
      </c>
      <c r="O28" s="59">
        <v>1293.6303037733151</v>
      </c>
    </row>
    <row r="29" spans="2:15" x14ac:dyDescent="0.35">
      <c r="C29" t="s">
        <v>1159</v>
      </c>
      <c r="D29" s="59">
        <v>25</v>
      </c>
      <c r="E29" s="59"/>
      <c r="F29" s="59">
        <v>35.251182199145731</v>
      </c>
      <c r="G29" s="59"/>
      <c r="H29" s="59">
        <v>859250</v>
      </c>
      <c r="I29" s="59"/>
      <c r="J29" s="59">
        <v>1410.0472879658291</v>
      </c>
      <c r="K29" s="59">
        <v>0</v>
      </c>
      <c r="L29" s="59">
        <v>25</v>
      </c>
      <c r="M29" s="59">
        <v>35.251182199145731</v>
      </c>
      <c r="N29" s="59">
        <v>859250</v>
      </c>
      <c r="O29" s="59">
        <v>1410.0472879658291</v>
      </c>
    </row>
    <row r="30" spans="2:15" x14ac:dyDescent="0.35">
      <c r="B30" t="s">
        <v>1163</v>
      </c>
      <c r="D30" s="59">
        <v>25</v>
      </c>
      <c r="E30" s="59"/>
      <c r="F30" s="59">
        <v>31.683042509302371</v>
      </c>
      <c r="G30" s="59"/>
      <c r="H30" s="59">
        <v>800000</v>
      </c>
      <c r="I30" s="59"/>
      <c r="J30" s="59">
        <v>1267.3217003720949</v>
      </c>
      <c r="K30" s="59">
        <v>0</v>
      </c>
      <c r="L30" s="59">
        <v>25</v>
      </c>
      <c r="M30" s="59">
        <v>31.683042509302371</v>
      </c>
      <c r="N30" s="59">
        <v>800000</v>
      </c>
      <c r="O30" s="59">
        <v>1267.3217003720949</v>
      </c>
    </row>
    <row r="31" spans="2:15" x14ac:dyDescent="0.35">
      <c r="C31" t="s">
        <v>1164</v>
      </c>
      <c r="D31" s="59">
        <v>25</v>
      </c>
      <c r="E31" s="59"/>
      <c r="F31" s="59">
        <v>31.683042509302371</v>
      </c>
      <c r="G31" s="59"/>
      <c r="H31" s="59">
        <v>800000</v>
      </c>
      <c r="I31" s="59"/>
      <c r="J31" s="59">
        <v>1267.3217003720949</v>
      </c>
      <c r="K31" s="59">
        <v>0</v>
      </c>
      <c r="L31" s="59">
        <v>25</v>
      </c>
      <c r="M31" s="59">
        <v>31.683042509302371</v>
      </c>
      <c r="N31" s="59">
        <v>800000</v>
      </c>
      <c r="O31" s="59">
        <v>1267.3217003720949</v>
      </c>
    </row>
    <row r="32" spans="2:15" x14ac:dyDescent="0.35">
      <c r="B32" t="s">
        <v>1165</v>
      </c>
      <c r="D32" s="59"/>
      <c r="E32" s="59">
        <v>44000</v>
      </c>
      <c r="F32" s="59"/>
      <c r="G32" s="59">
        <v>33283.664745733928</v>
      </c>
      <c r="H32" s="59"/>
      <c r="I32" s="59">
        <v>872381181.42965055</v>
      </c>
      <c r="J32" s="59">
        <v>0</v>
      </c>
      <c r="K32" s="59">
        <v>756.44692603940746</v>
      </c>
      <c r="L32" s="59">
        <v>44000</v>
      </c>
      <c r="M32" s="59">
        <v>33283.664745733928</v>
      </c>
      <c r="N32" s="59">
        <v>872381181.42965055</v>
      </c>
      <c r="O32" s="59">
        <v>756.44692603940746</v>
      </c>
    </row>
    <row r="33" spans="2:15" x14ac:dyDescent="0.35">
      <c r="C33" t="s">
        <v>106</v>
      </c>
      <c r="D33" s="59"/>
      <c r="E33" s="59">
        <v>24200</v>
      </c>
      <c r="F33" s="59"/>
      <c r="G33" s="59">
        <v>18852.934014976534</v>
      </c>
      <c r="H33" s="59"/>
      <c r="I33" s="59">
        <v>494144649.48630786</v>
      </c>
      <c r="J33" s="59">
        <v>0</v>
      </c>
      <c r="K33" s="59">
        <v>779.04686012299726</v>
      </c>
      <c r="L33" s="59">
        <v>24200</v>
      </c>
      <c r="M33" s="59">
        <v>18852.934014976534</v>
      </c>
      <c r="N33" s="59">
        <v>494144649.48630786</v>
      </c>
      <c r="O33" s="59">
        <v>779.04686012299726</v>
      </c>
    </row>
    <row r="34" spans="2:15" x14ac:dyDescent="0.35">
      <c r="C34" t="s">
        <v>116</v>
      </c>
      <c r="D34" s="59"/>
      <c r="E34" s="59">
        <v>19800</v>
      </c>
      <c r="F34" s="59"/>
      <c r="G34" s="59">
        <v>14430.730730757396</v>
      </c>
      <c r="H34" s="59"/>
      <c r="I34" s="59">
        <v>378236531.94334275</v>
      </c>
      <c r="J34" s="59">
        <v>0</v>
      </c>
      <c r="K34" s="59">
        <v>728.82478438168664</v>
      </c>
      <c r="L34" s="59">
        <v>19800</v>
      </c>
      <c r="M34" s="59">
        <v>14430.730730757396</v>
      </c>
      <c r="N34" s="59">
        <v>378236531.94334275</v>
      </c>
      <c r="O34" s="59">
        <v>728.82478438168664</v>
      </c>
    </row>
    <row r="35" spans="2:15" x14ac:dyDescent="0.35">
      <c r="B35" t="s">
        <v>1166</v>
      </c>
      <c r="D35" s="59">
        <v>15974500</v>
      </c>
      <c r="E35" s="59">
        <v>16286225</v>
      </c>
      <c r="F35" s="59">
        <v>19424077.073532585</v>
      </c>
      <c r="G35" s="59">
        <v>19633150.032756135</v>
      </c>
      <c r="H35" s="59">
        <v>482567254134.0943</v>
      </c>
      <c r="I35" s="59">
        <v>503791776357.67065</v>
      </c>
      <c r="J35" s="59">
        <v>1215.9427258150545</v>
      </c>
      <c r="K35" s="59">
        <v>1205.5064959962256</v>
      </c>
      <c r="L35" s="59">
        <v>32260725</v>
      </c>
      <c r="M35" s="59">
        <v>39057227.106288724</v>
      </c>
      <c r="N35" s="59">
        <v>986359030491.76514</v>
      </c>
      <c r="O35" s="59">
        <v>1210.6741899411352</v>
      </c>
    </row>
    <row r="36" spans="2:15" x14ac:dyDescent="0.35">
      <c r="C36" t="s">
        <v>6</v>
      </c>
      <c r="D36" s="59">
        <v>9746000</v>
      </c>
      <c r="E36" s="59">
        <v>12122000</v>
      </c>
      <c r="F36" s="59">
        <v>11596801.728815429</v>
      </c>
      <c r="G36" s="59">
        <v>14420934.606781565</v>
      </c>
      <c r="H36" s="59">
        <v>288055634978.68823</v>
      </c>
      <c r="I36" s="59">
        <v>369562683614.24121</v>
      </c>
      <c r="J36" s="59">
        <v>1189.9037275616079</v>
      </c>
      <c r="K36" s="59">
        <v>1189.6497778239207</v>
      </c>
      <c r="L36" s="59">
        <v>21868000</v>
      </c>
      <c r="M36" s="59">
        <v>26017736.335596994</v>
      </c>
      <c r="N36" s="59">
        <v>657618318592.92944</v>
      </c>
      <c r="O36" s="59">
        <v>1189.7629566305559</v>
      </c>
    </row>
    <row r="37" spans="2:15" x14ac:dyDescent="0.35">
      <c r="C37" t="s">
        <v>5</v>
      </c>
      <c r="D37" s="59">
        <v>3091000</v>
      </c>
      <c r="E37" s="59">
        <v>2675200</v>
      </c>
      <c r="F37" s="59">
        <v>4000992.6948434515</v>
      </c>
      <c r="G37" s="59">
        <v>3366633.6395018208</v>
      </c>
      <c r="H37" s="59">
        <v>99497564464.943604</v>
      </c>
      <c r="I37" s="59">
        <v>86732087699.495773</v>
      </c>
      <c r="J37" s="59">
        <v>1294.400742427516</v>
      </c>
      <c r="K37" s="59">
        <v>1258.4605410817214</v>
      </c>
      <c r="L37" s="59">
        <v>5766200</v>
      </c>
      <c r="M37" s="59">
        <v>7367626.3343452718</v>
      </c>
      <c r="N37" s="59">
        <v>186229652164.43939</v>
      </c>
      <c r="O37" s="59">
        <v>1277.7264635887191</v>
      </c>
    </row>
    <row r="38" spans="2:15" x14ac:dyDescent="0.35">
      <c r="C38" t="s">
        <v>122</v>
      </c>
      <c r="D38" s="59">
        <v>924000</v>
      </c>
      <c r="E38" s="59">
        <v>350900</v>
      </c>
      <c r="F38" s="59">
        <v>1118495.1402065356</v>
      </c>
      <c r="G38" s="59">
        <v>430653.45277957071</v>
      </c>
      <c r="H38" s="59">
        <v>27807890210.596325</v>
      </c>
      <c r="I38" s="59">
        <v>11146377031.371267</v>
      </c>
      <c r="J38" s="59">
        <v>1210.4925759810992</v>
      </c>
      <c r="K38" s="59">
        <v>1227.282567054918</v>
      </c>
      <c r="L38" s="59">
        <v>1274900</v>
      </c>
      <c r="M38" s="59">
        <v>1549148.5929861064</v>
      </c>
      <c r="N38" s="59">
        <v>38954267241.96759</v>
      </c>
      <c r="O38" s="59">
        <v>1215.1138073465418</v>
      </c>
    </row>
    <row r="39" spans="2:15" x14ac:dyDescent="0.35">
      <c r="C39" t="s">
        <v>100</v>
      </c>
      <c r="D39" s="59">
        <v>485100</v>
      </c>
      <c r="E39" s="59">
        <v>517000</v>
      </c>
      <c r="F39" s="59">
        <v>619193.6129087311</v>
      </c>
      <c r="G39" s="59">
        <v>644471.84408475203</v>
      </c>
      <c r="H39" s="59">
        <v>15480972613.130762</v>
      </c>
      <c r="I39" s="59">
        <v>16508212255.634987</v>
      </c>
      <c r="J39" s="59">
        <v>1276.4246813208226</v>
      </c>
      <c r="K39" s="59">
        <v>1246.560626856387</v>
      </c>
      <c r="L39" s="59">
        <v>1002100</v>
      </c>
      <c r="M39" s="59">
        <v>1263665.456993483</v>
      </c>
      <c r="N39" s="59">
        <v>31989184868.765747</v>
      </c>
      <c r="O39" s="59">
        <v>1261.0173206201805</v>
      </c>
    </row>
    <row r="40" spans="2:15" x14ac:dyDescent="0.35">
      <c r="C40" t="s">
        <v>109</v>
      </c>
      <c r="D40" s="59">
        <v>627000</v>
      </c>
      <c r="E40" s="59">
        <v>207800</v>
      </c>
      <c r="F40" s="59">
        <v>754655.79059629329</v>
      </c>
      <c r="G40" s="59">
        <v>258260.63925086838</v>
      </c>
      <c r="H40" s="59">
        <v>18643616120.770756</v>
      </c>
      <c r="I40" s="59">
        <v>6630347798.8796072</v>
      </c>
      <c r="J40" s="59">
        <v>1203.5977521471984</v>
      </c>
      <c r="K40" s="59">
        <v>1242.8327201677978</v>
      </c>
      <c r="L40" s="59">
        <v>834800</v>
      </c>
      <c r="M40" s="59">
        <v>1012916.4298471616</v>
      </c>
      <c r="N40" s="59">
        <v>25273963919.650364</v>
      </c>
      <c r="O40" s="59">
        <v>1213.3641948336867</v>
      </c>
    </row>
    <row r="41" spans="2:15" x14ac:dyDescent="0.35">
      <c r="C41" t="s">
        <v>1167</v>
      </c>
      <c r="D41" s="59">
        <v>660000</v>
      </c>
      <c r="E41" s="59"/>
      <c r="F41" s="59">
        <v>768096.42752371542</v>
      </c>
      <c r="G41" s="59"/>
      <c r="H41" s="59">
        <v>19013102055</v>
      </c>
      <c r="I41" s="59"/>
      <c r="J41" s="59">
        <v>1163.7824659450234</v>
      </c>
      <c r="K41" s="59">
        <v>0</v>
      </c>
      <c r="L41" s="59">
        <v>660000</v>
      </c>
      <c r="M41" s="59">
        <v>768096.42752371542</v>
      </c>
      <c r="N41" s="59">
        <v>19013102055</v>
      </c>
      <c r="O41" s="59">
        <v>1163.7824659450234</v>
      </c>
    </row>
    <row r="42" spans="2:15" x14ac:dyDescent="0.35">
      <c r="C42" t="s">
        <v>47</v>
      </c>
      <c r="D42" s="59">
        <v>161700</v>
      </c>
      <c r="E42" s="59">
        <v>100100</v>
      </c>
      <c r="F42" s="59">
        <v>211747.84121573839</v>
      </c>
      <c r="G42" s="59">
        <v>125153.28137560592</v>
      </c>
      <c r="H42" s="59">
        <v>5260220112.8260174</v>
      </c>
      <c r="I42" s="59">
        <v>3212929008.0097494</v>
      </c>
      <c r="J42" s="59">
        <v>1309.5104589717896</v>
      </c>
      <c r="K42" s="59">
        <v>1250.2825312248344</v>
      </c>
      <c r="L42" s="59">
        <v>261800</v>
      </c>
      <c r="M42" s="59">
        <v>336901.12259134429</v>
      </c>
      <c r="N42" s="59">
        <v>8473149120.8357668</v>
      </c>
      <c r="O42" s="59">
        <v>1286.8644865979538</v>
      </c>
    </row>
    <row r="43" spans="2:15" x14ac:dyDescent="0.35">
      <c r="C43" t="s">
        <v>1168</v>
      </c>
      <c r="D43" s="59">
        <v>132000</v>
      </c>
      <c r="E43" s="59"/>
      <c r="F43" s="59">
        <v>159418.47266461051</v>
      </c>
      <c r="G43" s="59"/>
      <c r="H43" s="59">
        <v>3949806649.9008465</v>
      </c>
      <c r="I43" s="59"/>
      <c r="J43" s="59">
        <v>1207.7157020046252</v>
      </c>
      <c r="K43" s="59">
        <v>0</v>
      </c>
      <c r="L43" s="59">
        <v>132000</v>
      </c>
      <c r="M43" s="59">
        <v>159418.47266461051</v>
      </c>
      <c r="N43" s="59">
        <v>3949806649.9008465</v>
      </c>
      <c r="O43" s="59">
        <v>1207.7157020046252</v>
      </c>
    </row>
    <row r="44" spans="2:15" x14ac:dyDescent="0.35">
      <c r="C44" t="s">
        <v>130</v>
      </c>
      <c r="D44" s="59"/>
      <c r="E44" s="59">
        <v>130900</v>
      </c>
      <c r="F44" s="59"/>
      <c r="G44" s="59">
        <v>158309.6757073047</v>
      </c>
      <c r="H44" s="59"/>
      <c r="I44" s="59">
        <v>4128186061.5217915</v>
      </c>
      <c r="J44" s="59">
        <v>0</v>
      </c>
      <c r="K44" s="59">
        <v>1209.394008459165</v>
      </c>
      <c r="L44" s="59">
        <v>130900</v>
      </c>
      <c r="M44" s="59">
        <v>158309.6757073047</v>
      </c>
      <c r="N44" s="59">
        <v>4128186061.5217915</v>
      </c>
      <c r="O44" s="59">
        <v>1209.394008459165</v>
      </c>
    </row>
    <row r="45" spans="2:15" x14ac:dyDescent="0.35">
      <c r="C45" t="s">
        <v>1158</v>
      </c>
      <c r="D45" s="59">
        <v>20900</v>
      </c>
      <c r="E45" s="59">
        <v>88000</v>
      </c>
      <c r="F45" s="59">
        <v>26690.827363934288</v>
      </c>
      <c r="G45" s="59">
        <v>112091.05970606802</v>
      </c>
      <c r="H45" s="59">
        <v>673284631.28301883</v>
      </c>
      <c r="I45" s="59">
        <v>2873806531.3575301</v>
      </c>
      <c r="J45" s="59">
        <v>1277.0730796140808</v>
      </c>
      <c r="K45" s="59">
        <v>1273.7620421144093</v>
      </c>
      <c r="L45" s="59">
        <v>108900</v>
      </c>
      <c r="M45" s="59">
        <v>138781.8870700023</v>
      </c>
      <c r="N45" s="59">
        <v>3547091162.6405487</v>
      </c>
      <c r="O45" s="59">
        <v>1274.3974937557603</v>
      </c>
    </row>
    <row r="46" spans="2:15" x14ac:dyDescent="0.35">
      <c r="C46" t="s">
        <v>1169</v>
      </c>
      <c r="D46" s="59">
        <v>88000</v>
      </c>
      <c r="E46" s="59"/>
      <c r="F46" s="59">
        <v>117355.74281136255</v>
      </c>
      <c r="G46" s="59"/>
      <c r="H46" s="59">
        <v>2923964194.0113239</v>
      </c>
      <c r="I46" s="59"/>
      <c r="J46" s="59">
        <v>1333.5879864927563</v>
      </c>
      <c r="K46" s="59">
        <v>0</v>
      </c>
      <c r="L46" s="59">
        <v>88000</v>
      </c>
      <c r="M46" s="59">
        <v>117355.74281136255</v>
      </c>
      <c r="N46" s="59">
        <v>2923964194.0113239</v>
      </c>
      <c r="O46" s="59">
        <v>1333.5879864927563</v>
      </c>
    </row>
    <row r="47" spans="2:15" x14ac:dyDescent="0.35">
      <c r="C47" t="s">
        <v>118</v>
      </c>
      <c r="D47" s="59">
        <v>23100</v>
      </c>
      <c r="E47" s="59">
        <v>9900</v>
      </c>
      <c r="F47" s="59">
        <v>29849.552977180458</v>
      </c>
      <c r="G47" s="59">
        <v>12823.087155499055</v>
      </c>
      <c r="H47" s="59">
        <v>744766219.12611055</v>
      </c>
      <c r="I47" s="59">
        <v>326230677.62085587</v>
      </c>
      <c r="J47" s="59">
        <v>1292.1884405705825</v>
      </c>
      <c r="K47" s="59">
        <v>1295.2613288382884</v>
      </c>
      <c r="L47" s="59">
        <v>33000</v>
      </c>
      <c r="M47" s="59">
        <v>42672.640132679517</v>
      </c>
      <c r="N47" s="59">
        <v>1070996896.7469664</v>
      </c>
      <c r="O47" s="59">
        <v>1293.1103070508946</v>
      </c>
    </row>
    <row r="48" spans="2:15" x14ac:dyDescent="0.35">
      <c r="C48" t="s">
        <v>71</v>
      </c>
      <c r="D48" s="59">
        <v>6700</v>
      </c>
      <c r="E48" s="59">
        <v>20900</v>
      </c>
      <c r="F48" s="59">
        <v>9021.5236312388733</v>
      </c>
      <c r="G48" s="59">
        <v>26597.060243286876</v>
      </c>
      <c r="H48" s="59">
        <v>224045044.76617596</v>
      </c>
      <c r="I48" s="59">
        <v>681283135.9529748</v>
      </c>
      <c r="J48" s="59">
        <v>1346.4960643640109</v>
      </c>
      <c r="K48" s="59">
        <v>1272.5866145113339</v>
      </c>
      <c r="L48" s="59">
        <v>27600</v>
      </c>
      <c r="M48" s="59">
        <v>35618.58387452575</v>
      </c>
      <c r="N48" s="59">
        <v>905328180.71915078</v>
      </c>
      <c r="O48" s="59">
        <v>1290.5284012509326</v>
      </c>
    </row>
    <row r="49" spans="2:15" x14ac:dyDescent="0.35">
      <c r="C49" t="s">
        <v>134</v>
      </c>
      <c r="D49" s="59"/>
      <c r="E49" s="59">
        <v>22000</v>
      </c>
      <c r="F49" s="59"/>
      <c r="G49" s="59">
        <v>27082.102520616783</v>
      </c>
      <c r="H49" s="59"/>
      <c r="I49" s="59">
        <v>700884813.23356235</v>
      </c>
      <c r="J49" s="59">
        <v>0</v>
      </c>
      <c r="K49" s="59">
        <v>1231.0046600280355</v>
      </c>
      <c r="L49" s="59">
        <v>22000</v>
      </c>
      <c r="M49" s="59">
        <v>27082.102520616783</v>
      </c>
      <c r="N49" s="59">
        <v>700884813.23356235</v>
      </c>
      <c r="O49" s="59">
        <v>1231.0046600280355</v>
      </c>
    </row>
    <row r="50" spans="2:15" x14ac:dyDescent="0.35">
      <c r="C50" t="s">
        <v>112</v>
      </c>
      <c r="D50" s="59"/>
      <c r="E50" s="59">
        <v>13200</v>
      </c>
      <c r="F50" s="59"/>
      <c r="G50" s="59">
        <v>16103.931869227952</v>
      </c>
      <c r="H50" s="59"/>
      <c r="I50" s="59">
        <v>422091954.62889516</v>
      </c>
      <c r="J50" s="59">
        <v>0</v>
      </c>
      <c r="K50" s="59">
        <v>1219.9948385778753</v>
      </c>
      <c r="L50" s="59">
        <v>13200</v>
      </c>
      <c r="M50" s="59">
        <v>16103.931869227952</v>
      </c>
      <c r="N50" s="59">
        <v>422091954.62889516</v>
      </c>
      <c r="O50" s="59">
        <v>1219.9948385778753</v>
      </c>
    </row>
    <row r="51" spans="2:15" x14ac:dyDescent="0.35">
      <c r="C51" t="s">
        <v>147</v>
      </c>
      <c r="D51" s="59"/>
      <c r="E51" s="59">
        <v>11000</v>
      </c>
      <c r="F51" s="59"/>
      <c r="G51" s="59">
        <v>12560.530379746839</v>
      </c>
      <c r="H51" s="59"/>
      <c r="I51" s="59">
        <v>317530208.00000006</v>
      </c>
      <c r="J51" s="59">
        <v>0</v>
      </c>
      <c r="K51" s="59">
        <v>1141.8663981588036</v>
      </c>
      <c r="L51" s="59">
        <v>11000</v>
      </c>
      <c r="M51" s="59">
        <v>12560.530379746839</v>
      </c>
      <c r="N51" s="59">
        <v>317530208.00000006</v>
      </c>
      <c r="O51" s="59">
        <v>1141.8663981588036</v>
      </c>
    </row>
    <row r="52" spans="2:15" x14ac:dyDescent="0.35">
      <c r="C52" t="s">
        <v>141</v>
      </c>
      <c r="D52" s="59"/>
      <c r="E52" s="59">
        <v>11000</v>
      </c>
      <c r="F52" s="59"/>
      <c r="G52" s="59">
        <v>13385.36190102121</v>
      </c>
      <c r="H52" s="59"/>
      <c r="I52" s="59">
        <v>340791314</v>
      </c>
      <c r="J52" s="59">
        <v>0</v>
      </c>
      <c r="K52" s="59">
        <v>1216.851081911019</v>
      </c>
      <c r="L52" s="59">
        <v>11000</v>
      </c>
      <c r="M52" s="59">
        <v>13385.36190102121</v>
      </c>
      <c r="N52" s="59">
        <v>340791314</v>
      </c>
      <c r="O52" s="59">
        <v>1216.851081911019</v>
      </c>
    </row>
    <row r="53" spans="2:15" x14ac:dyDescent="0.35">
      <c r="C53" t="s">
        <v>1170</v>
      </c>
      <c r="D53" s="59">
        <v>5500</v>
      </c>
      <c r="E53" s="59"/>
      <c r="F53" s="59">
        <v>7268.3015711728594</v>
      </c>
      <c r="G53" s="59"/>
      <c r="H53" s="59">
        <v>180469526.9876281</v>
      </c>
      <c r="I53" s="59"/>
      <c r="J53" s="59">
        <v>1321.5093765768836</v>
      </c>
      <c r="K53" s="59">
        <v>0</v>
      </c>
      <c r="L53" s="59">
        <v>5500</v>
      </c>
      <c r="M53" s="59">
        <v>7268.3015711728594</v>
      </c>
      <c r="N53" s="59">
        <v>180469526.9876281</v>
      </c>
      <c r="O53" s="59">
        <v>1321.5093765768836</v>
      </c>
    </row>
    <row r="54" spans="2:15" x14ac:dyDescent="0.35">
      <c r="C54" t="s">
        <v>105</v>
      </c>
      <c r="D54" s="59"/>
      <c r="E54" s="59">
        <v>3300</v>
      </c>
      <c r="F54" s="59"/>
      <c r="G54" s="59">
        <v>4294.8672691932597</v>
      </c>
      <c r="H54" s="59"/>
      <c r="I54" s="59">
        <v>110716727.34879406</v>
      </c>
      <c r="J54" s="59">
        <v>0</v>
      </c>
      <c r="K54" s="59">
        <v>1301.4749300585636</v>
      </c>
      <c r="L54" s="59">
        <v>3300</v>
      </c>
      <c r="M54" s="59">
        <v>4294.8672691932597</v>
      </c>
      <c r="N54" s="59">
        <v>110716727.34879406</v>
      </c>
      <c r="O54" s="59">
        <v>1301.4749300585636</v>
      </c>
    </row>
    <row r="55" spans="2:15" x14ac:dyDescent="0.35">
      <c r="C55" t="s">
        <v>114</v>
      </c>
      <c r="D55" s="59"/>
      <c r="E55" s="59">
        <v>1125</v>
      </c>
      <c r="F55" s="59"/>
      <c r="G55" s="59">
        <v>1440.3345302175358</v>
      </c>
      <c r="H55" s="59"/>
      <c r="I55" s="59">
        <v>37429138.417282127</v>
      </c>
      <c r="J55" s="59">
        <v>0</v>
      </c>
      <c r="K55" s="59">
        <v>1280.2973601933652</v>
      </c>
      <c r="L55" s="59">
        <v>1125</v>
      </c>
      <c r="M55" s="59">
        <v>1440.3345302175358</v>
      </c>
      <c r="N55" s="59">
        <v>37429138.417282127</v>
      </c>
      <c r="O55" s="59">
        <v>1280.2973601933652</v>
      </c>
    </row>
    <row r="56" spans="2:15" x14ac:dyDescent="0.35">
      <c r="C56" t="s">
        <v>156</v>
      </c>
      <c r="D56" s="59">
        <v>1100</v>
      </c>
      <c r="E56" s="59"/>
      <c r="F56" s="59">
        <v>1335.9699486754114</v>
      </c>
      <c r="G56" s="59"/>
      <c r="H56" s="59">
        <v>33700267.96226415</v>
      </c>
      <c r="I56" s="59"/>
      <c r="J56" s="59">
        <v>1214.5181351594649</v>
      </c>
      <c r="K56" s="59">
        <v>0</v>
      </c>
      <c r="L56" s="59">
        <v>1100</v>
      </c>
      <c r="M56" s="59">
        <v>1335.9699486754114</v>
      </c>
      <c r="N56" s="59">
        <v>33700267.96226415</v>
      </c>
      <c r="O56" s="59">
        <v>1214.5181351594649</v>
      </c>
    </row>
    <row r="57" spans="2:15" x14ac:dyDescent="0.35">
      <c r="C57" t="s">
        <v>142</v>
      </c>
      <c r="D57" s="59"/>
      <c r="E57" s="59">
        <v>1100</v>
      </c>
      <c r="F57" s="59"/>
      <c r="G57" s="59">
        <v>1509.6904831115448</v>
      </c>
      <c r="H57" s="59"/>
      <c r="I57" s="59">
        <v>38059297.079242043</v>
      </c>
      <c r="J57" s="59">
        <v>0</v>
      </c>
      <c r="K57" s="59">
        <v>1372.4458937377678</v>
      </c>
      <c r="L57" s="59">
        <v>1100</v>
      </c>
      <c r="M57" s="59">
        <v>1509.6904831115448</v>
      </c>
      <c r="N57" s="59">
        <v>38059297.079242043</v>
      </c>
      <c r="O57" s="59">
        <v>1372.4458937377678</v>
      </c>
    </row>
    <row r="58" spans="2:15" x14ac:dyDescent="0.35">
      <c r="C58" t="s">
        <v>1171</v>
      </c>
      <c r="D58" s="59">
        <v>1100</v>
      </c>
      <c r="E58" s="59"/>
      <c r="F58" s="59">
        <v>1465.6583544274172</v>
      </c>
      <c r="G58" s="59"/>
      <c r="H58" s="59">
        <v>36504057.212653778</v>
      </c>
      <c r="I58" s="59"/>
      <c r="J58" s="59">
        <v>1332.4166858431065</v>
      </c>
      <c r="K58" s="59">
        <v>0</v>
      </c>
      <c r="L58" s="59">
        <v>1100</v>
      </c>
      <c r="M58" s="59">
        <v>1465.6583544274172</v>
      </c>
      <c r="N58" s="59">
        <v>36504057.212653778</v>
      </c>
      <c r="O58" s="59">
        <v>1332.4166858431065</v>
      </c>
    </row>
    <row r="59" spans="2:15" x14ac:dyDescent="0.35">
      <c r="C59" t="s">
        <v>8</v>
      </c>
      <c r="D59" s="59"/>
      <c r="E59" s="59">
        <v>500</v>
      </c>
      <c r="F59" s="59"/>
      <c r="G59" s="59">
        <v>627.91128738308601</v>
      </c>
      <c r="H59" s="59"/>
      <c r="I59" s="59">
        <v>16457862.885741265</v>
      </c>
      <c r="J59" s="59">
        <v>0</v>
      </c>
      <c r="K59" s="59">
        <v>1255.822574766172</v>
      </c>
      <c r="L59" s="59">
        <v>500</v>
      </c>
      <c r="M59" s="59">
        <v>627.91128738308601</v>
      </c>
      <c r="N59" s="59">
        <v>16457862.885741265</v>
      </c>
      <c r="O59" s="59">
        <v>1255.822574766172</v>
      </c>
    </row>
    <row r="60" spans="2:15" x14ac:dyDescent="0.35">
      <c r="C60" t="s">
        <v>1172</v>
      </c>
      <c r="D60" s="59">
        <v>500</v>
      </c>
      <c r="E60" s="59"/>
      <c r="F60" s="59">
        <v>654.95078209230064</v>
      </c>
      <c r="G60" s="59"/>
      <c r="H60" s="59">
        <v>16386497.212653778</v>
      </c>
      <c r="I60" s="59"/>
      <c r="J60" s="59">
        <v>1309.9015641846013</v>
      </c>
      <c r="K60" s="59">
        <v>0</v>
      </c>
      <c r="L60" s="59">
        <v>500</v>
      </c>
      <c r="M60" s="59">
        <v>654.95078209230064</v>
      </c>
      <c r="N60" s="59">
        <v>16386497.212653778</v>
      </c>
      <c r="O60" s="59">
        <v>1309.9015641846013</v>
      </c>
    </row>
    <row r="61" spans="2:15" x14ac:dyDescent="0.35">
      <c r="C61" t="s">
        <v>1173</v>
      </c>
      <c r="D61" s="59">
        <v>500</v>
      </c>
      <c r="E61" s="59"/>
      <c r="F61" s="59">
        <v>653.90972024403118</v>
      </c>
      <c r="G61" s="59"/>
      <c r="H61" s="59">
        <v>16011489.675983436</v>
      </c>
      <c r="I61" s="59"/>
      <c r="J61" s="59">
        <v>1307.8194404880624</v>
      </c>
      <c r="K61" s="59">
        <v>0</v>
      </c>
      <c r="L61" s="59">
        <v>500</v>
      </c>
      <c r="M61" s="59">
        <v>653.90972024403118</v>
      </c>
      <c r="N61" s="59">
        <v>16011489.675983436</v>
      </c>
      <c r="O61" s="59">
        <v>1307.8194404880624</v>
      </c>
    </row>
    <row r="62" spans="2:15" x14ac:dyDescent="0.35">
      <c r="C62" t="s">
        <v>139</v>
      </c>
      <c r="D62" s="59"/>
      <c r="E62" s="59">
        <v>300</v>
      </c>
      <c r="F62" s="59"/>
      <c r="G62" s="59">
        <v>216.95592927818504</v>
      </c>
      <c r="H62" s="59"/>
      <c r="I62" s="59">
        <v>5671227.991331757</v>
      </c>
      <c r="J62" s="59">
        <v>0</v>
      </c>
      <c r="K62" s="59">
        <v>723.18643092728337</v>
      </c>
      <c r="L62" s="59">
        <v>300</v>
      </c>
      <c r="M62" s="59">
        <v>216.95592927818504</v>
      </c>
      <c r="N62" s="59">
        <v>5671227.991331757</v>
      </c>
      <c r="O62" s="59">
        <v>723.18643092728337</v>
      </c>
    </row>
    <row r="63" spans="2:15" x14ac:dyDescent="0.35">
      <c r="C63" t="s">
        <v>1174</v>
      </c>
      <c r="D63" s="59">
        <v>300</v>
      </c>
      <c r="E63" s="59"/>
      <c r="F63" s="59">
        <v>378.92759775165661</v>
      </c>
      <c r="G63" s="59"/>
      <c r="H63" s="59">
        <v>9315000</v>
      </c>
      <c r="I63" s="59"/>
      <c r="J63" s="59">
        <v>1263.0919925055221</v>
      </c>
      <c r="K63" s="59">
        <v>0</v>
      </c>
      <c r="L63" s="59">
        <v>300</v>
      </c>
      <c r="M63" s="59">
        <v>378.92759775165661</v>
      </c>
      <c r="N63" s="59">
        <v>9315000</v>
      </c>
      <c r="O63" s="59">
        <v>1263.0919925055221</v>
      </c>
    </row>
    <row r="64" spans="2:15" x14ac:dyDescent="0.35">
      <c r="B64" t="s">
        <v>1175</v>
      </c>
      <c r="D64" s="59">
        <v>3988700</v>
      </c>
      <c r="E64" s="59">
        <v>10569825</v>
      </c>
      <c r="F64" s="59">
        <v>4928267.5936178518</v>
      </c>
      <c r="G64" s="59">
        <v>13155902.155623397</v>
      </c>
      <c r="H64" s="59">
        <v>121957261736.91057</v>
      </c>
      <c r="I64" s="59">
        <v>337675396381.48297</v>
      </c>
      <c r="J64" s="59">
        <v>1235.5573479123152</v>
      </c>
      <c r="K64" s="59">
        <v>1244.6660333187538</v>
      </c>
      <c r="L64" s="59">
        <v>14558525</v>
      </c>
      <c r="M64" s="59">
        <v>18084169.749241248</v>
      </c>
      <c r="N64" s="59">
        <v>459632658118.39349</v>
      </c>
      <c r="O64" s="59">
        <v>1242.1704636452694</v>
      </c>
    </row>
    <row r="65" spans="3:15" x14ac:dyDescent="0.35">
      <c r="C65" t="s">
        <v>9</v>
      </c>
      <c r="D65" s="59">
        <v>1650000</v>
      </c>
      <c r="E65" s="59">
        <v>6160000</v>
      </c>
      <c r="F65" s="59">
        <v>2059515.7244041839</v>
      </c>
      <c r="G65" s="59">
        <v>7582764.1985593596</v>
      </c>
      <c r="H65" s="59">
        <v>50999030783.380569</v>
      </c>
      <c r="I65" s="59">
        <v>195215645002.6651</v>
      </c>
      <c r="J65" s="59">
        <v>1248.191348123748</v>
      </c>
      <c r="K65" s="59">
        <v>1230.9682140518441</v>
      </c>
      <c r="L65" s="59">
        <v>7810000</v>
      </c>
      <c r="M65" s="59">
        <v>9642279.9229635429</v>
      </c>
      <c r="N65" s="59">
        <v>246214675786.04565</v>
      </c>
      <c r="O65" s="59">
        <v>1234.606904348725</v>
      </c>
    </row>
    <row r="66" spans="3:15" x14ac:dyDescent="0.35">
      <c r="C66" t="s">
        <v>121</v>
      </c>
      <c r="D66" s="59">
        <v>66000</v>
      </c>
      <c r="E66" s="59">
        <v>1694000</v>
      </c>
      <c r="F66" s="59">
        <v>83533.699241071416</v>
      </c>
      <c r="G66" s="59">
        <v>2107064.3534891368</v>
      </c>
      <c r="H66" s="59">
        <v>2105049220.8749995</v>
      </c>
      <c r="I66" s="59">
        <v>53810972942.379776</v>
      </c>
      <c r="J66" s="59">
        <v>1265.6621097132033</v>
      </c>
      <c r="K66" s="59">
        <v>1243.839641965252</v>
      </c>
      <c r="L66" s="59">
        <v>1760000</v>
      </c>
      <c r="M66" s="59">
        <v>2190598.0527302083</v>
      </c>
      <c r="N66" s="59">
        <v>55916022163.254776</v>
      </c>
      <c r="O66" s="59">
        <v>1244.6579845058</v>
      </c>
    </row>
    <row r="67" spans="3:15" x14ac:dyDescent="0.35">
      <c r="C67" t="s">
        <v>1176</v>
      </c>
      <c r="D67" s="59">
        <v>1320000</v>
      </c>
      <c r="E67" s="59"/>
      <c r="F67" s="59">
        <v>1641449.5467872722</v>
      </c>
      <c r="G67" s="59"/>
      <c r="H67" s="59">
        <v>40569130317.908852</v>
      </c>
      <c r="I67" s="59"/>
      <c r="J67" s="59">
        <v>1243.5223839297516</v>
      </c>
      <c r="K67" s="59">
        <v>0</v>
      </c>
      <c r="L67" s="59">
        <v>1320000</v>
      </c>
      <c r="M67" s="59">
        <v>1641449.5467872722</v>
      </c>
      <c r="N67" s="59">
        <v>40569130317.908852</v>
      </c>
      <c r="O67" s="59">
        <v>1243.5223839297516</v>
      </c>
    </row>
    <row r="68" spans="3:15" x14ac:dyDescent="0.35">
      <c r="C68" t="s">
        <v>46</v>
      </c>
      <c r="D68" s="59"/>
      <c r="E68" s="59">
        <v>968000</v>
      </c>
      <c r="F68" s="59"/>
      <c r="G68" s="59">
        <v>1235384.2121503204</v>
      </c>
      <c r="H68" s="59"/>
      <c r="I68" s="59">
        <v>31538143142.724213</v>
      </c>
      <c r="J68" s="59">
        <v>0</v>
      </c>
      <c r="K68" s="59">
        <v>1276.2233596594219</v>
      </c>
      <c r="L68" s="59">
        <v>968000</v>
      </c>
      <c r="M68" s="59">
        <v>1235384.2121503204</v>
      </c>
      <c r="N68" s="59">
        <v>31538143142.724213</v>
      </c>
      <c r="O68" s="59">
        <v>1276.2233596594219</v>
      </c>
    </row>
    <row r="69" spans="3:15" x14ac:dyDescent="0.35">
      <c r="C69" t="s">
        <v>6</v>
      </c>
      <c r="D69" s="59">
        <v>396000</v>
      </c>
      <c r="E69" s="59"/>
      <c r="F69" s="59">
        <v>429667.7405768343</v>
      </c>
      <c r="G69" s="59"/>
      <c r="H69" s="59">
        <v>10471000386.285715</v>
      </c>
      <c r="I69" s="59"/>
      <c r="J69" s="59">
        <v>1085.0195469111979</v>
      </c>
      <c r="K69" s="59">
        <v>0</v>
      </c>
      <c r="L69" s="59">
        <v>396000</v>
      </c>
      <c r="M69" s="59">
        <v>429667.7405768343</v>
      </c>
      <c r="N69" s="59">
        <v>10471000386.285715</v>
      </c>
      <c r="O69" s="59">
        <v>1085.0195469111979</v>
      </c>
    </row>
    <row r="70" spans="3:15" x14ac:dyDescent="0.35">
      <c r="C70" t="s">
        <v>132</v>
      </c>
      <c r="D70" s="59">
        <v>88000</v>
      </c>
      <c r="E70" s="59">
        <v>264000</v>
      </c>
      <c r="F70" s="59">
        <v>111318.47781058127</v>
      </c>
      <c r="G70" s="59">
        <v>336352.3468099985</v>
      </c>
      <c r="H70" s="59">
        <v>2804107641.5</v>
      </c>
      <c r="I70" s="59">
        <v>8550359388.9032822</v>
      </c>
      <c r="J70" s="59">
        <v>1264.982702392969</v>
      </c>
      <c r="K70" s="59">
        <v>1274.0619197348428</v>
      </c>
      <c r="L70" s="59">
        <v>352000</v>
      </c>
      <c r="M70" s="59">
        <v>447670.82462057978</v>
      </c>
      <c r="N70" s="59">
        <v>11354467030.403282</v>
      </c>
      <c r="O70" s="59">
        <v>1271.7921153993746</v>
      </c>
    </row>
    <row r="71" spans="3:15" x14ac:dyDescent="0.35">
      <c r="C71" t="s">
        <v>123</v>
      </c>
      <c r="D71" s="59"/>
      <c r="E71" s="59">
        <v>330000</v>
      </c>
      <c r="F71" s="59"/>
      <c r="G71" s="59">
        <v>420531.63017468614</v>
      </c>
      <c r="H71" s="59"/>
      <c r="I71" s="59">
        <v>10942233017.145329</v>
      </c>
      <c r="J71" s="59">
        <v>0</v>
      </c>
      <c r="K71" s="59">
        <v>1274.3382732566247</v>
      </c>
      <c r="L71" s="59">
        <v>330000</v>
      </c>
      <c r="M71" s="59">
        <v>420531.63017468614</v>
      </c>
      <c r="N71" s="59">
        <v>10942233017.145329</v>
      </c>
      <c r="O71" s="59">
        <v>1274.3382732566247</v>
      </c>
    </row>
    <row r="72" spans="3:15" x14ac:dyDescent="0.35">
      <c r="C72" t="s">
        <v>137</v>
      </c>
      <c r="D72" s="59">
        <v>110000</v>
      </c>
      <c r="E72" s="59">
        <v>176000</v>
      </c>
      <c r="F72" s="59">
        <v>137499.88869978773</v>
      </c>
      <c r="G72" s="59">
        <v>222287.64762821872</v>
      </c>
      <c r="H72" s="59">
        <v>3388636906.801693</v>
      </c>
      <c r="I72" s="59">
        <v>5662826742.673007</v>
      </c>
      <c r="J72" s="59">
        <v>1249.9989881798886</v>
      </c>
      <c r="K72" s="59">
        <v>1262.9979978876065</v>
      </c>
      <c r="L72" s="59">
        <v>286000</v>
      </c>
      <c r="M72" s="59">
        <v>359787.53632800642</v>
      </c>
      <c r="N72" s="59">
        <v>9051463649.4747009</v>
      </c>
      <c r="O72" s="59">
        <v>1257.9983787692536</v>
      </c>
    </row>
    <row r="73" spans="3:15" x14ac:dyDescent="0.35">
      <c r="C73" t="s">
        <v>8</v>
      </c>
      <c r="D73" s="59">
        <v>110000</v>
      </c>
      <c r="E73" s="59">
        <v>165000</v>
      </c>
      <c r="F73" s="59">
        <v>149254.20697442137</v>
      </c>
      <c r="G73" s="59">
        <v>229013.19904753764</v>
      </c>
      <c r="H73" s="59">
        <v>3763810873.4542003</v>
      </c>
      <c r="I73" s="59">
        <v>5786603279.4391737</v>
      </c>
      <c r="J73" s="59">
        <v>1356.8564270401941</v>
      </c>
      <c r="K73" s="59">
        <v>1387.9587821062887</v>
      </c>
      <c r="L73" s="59">
        <v>275000</v>
      </c>
      <c r="M73" s="59">
        <v>378267.40602195903</v>
      </c>
      <c r="N73" s="59">
        <v>9550414152.8933735</v>
      </c>
      <c r="O73" s="59">
        <v>1375.5178400798509</v>
      </c>
    </row>
    <row r="74" spans="3:15" x14ac:dyDescent="0.35">
      <c r="C74" t="s">
        <v>144</v>
      </c>
      <c r="D74" s="59"/>
      <c r="E74" s="59">
        <v>220000</v>
      </c>
      <c r="F74" s="59"/>
      <c r="G74" s="59">
        <v>269561.52143597871</v>
      </c>
      <c r="H74" s="59"/>
      <c r="I74" s="59">
        <v>6798341570.615386</v>
      </c>
      <c r="J74" s="59">
        <v>0</v>
      </c>
      <c r="K74" s="59">
        <v>1225.2796428908123</v>
      </c>
      <c r="L74" s="59">
        <v>220000</v>
      </c>
      <c r="M74" s="59">
        <v>269561.52143597871</v>
      </c>
      <c r="N74" s="59">
        <v>6798341570.615386</v>
      </c>
      <c r="O74" s="59">
        <v>1225.2796428908123</v>
      </c>
    </row>
    <row r="75" spans="3:15" x14ac:dyDescent="0.35">
      <c r="C75" t="s">
        <v>124</v>
      </c>
      <c r="D75" s="59"/>
      <c r="E75" s="59">
        <v>210000</v>
      </c>
      <c r="F75" s="59"/>
      <c r="G75" s="59">
        <v>264507.33133564016</v>
      </c>
      <c r="H75" s="59"/>
      <c r="I75" s="59">
        <v>6826932738.0901623</v>
      </c>
      <c r="J75" s="59">
        <v>0</v>
      </c>
      <c r="K75" s="59">
        <v>1259.5587206459056</v>
      </c>
      <c r="L75" s="59">
        <v>210000</v>
      </c>
      <c r="M75" s="59">
        <v>264507.33133564016</v>
      </c>
      <c r="N75" s="59">
        <v>6826932738.0901623</v>
      </c>
      <c r="O75" s="59">
        <v>1259.5587206459056</v>
      </c>
    </row>
    <row r="76" spans="3:15" x14ac:dyDescent="0.35">
      <c r="C76" t="s">
        <v>103</v>
      </c>
      <c r="D76" s="59">
        <v>9900</v>
      </c>
      <c r="E76" s="59">
        <v>125400</v>
      </c>
      <c r="F76" s="59">
        <v>13538.131568498758</v>
      </c>
      <c r="G76" s="59">
        <v>162948.69916325243</v>
      </c>
      <c r="H76" s="59">
        <v>341281054.12895489</v>
      </c>
      <c r="I76" s="59">
        <v>4214080104.7276297</v>
      </c>
      <c r="J76" s="59">
        <v>1367.4880372220969</v>
      </c>
      <c r="K76" s="59">
        <v>1299.4314127851069</v>
      </c>
      <c r="L76" s="59">
        <v>135300</v>
      </c>
      <c r="M76" s="59">
        <v>176486.83073175119</v>
      </c>
      <c r="N76" s="59">
        <v>4555361158.8565845</v>
      </c>
      <c r="O76" s="59">
        <v>1304.4111657926915</v>
      </c>
    </row>
    <row r="77" spans="3:15" x14ac:dyDescent="0.35">
      <c r="C77" t="s">
        <v>128</v>
      </c>
      <c r="D77" s="59">
        <v>83600</v>
      </c>
      <c r="E77" s="59">
        <v>22000</v>
      </c>
      <c r="F77" s="59">
        <v>106521.09965782301</v>
      </c>
      <c r="G77" s="59">
        <v>27267.491477772721</v>
      </c>
      <c r="H77" s="59">
        <v>2684885438.7620759</v>
      </c>
      <c r="I77" s="59">
        <v>691230908.96153843</v>
      </c>
      <c r="J77" s="59">
        <v>1274.1758332275479</v>
      </c>
      <c r="K77" s="59">
        <v>1239.4314308078508</v>
      </c>
      <c r="L77" s="59">
        <v>105600</v>
      </c>
      <c r="M77" s="59">
        <v>133788.59113559572</v>
      </c>
      <c r="N77" s="59">
        <v>3376116347.7236142</v>
      </c>
      <c r="O77" s="59">
        <v>1266.9374160567777</v>
      </c>
    </row>
    <row r="78" spans="3:15" x14ac:dyDescent="0.35">
      <c r="C78" t="s">
        <v>125</v>
      </c>
      <c r="D78" s="59">
        <v>66000</v>
      </c>
      <c r="E78" s="59">
        <v>22000</v>
      </c>
      <c r="F78" s="59">
        <v>82724.959225266372</v>
      </c>
      <c r="G78" s="59">
        <v>27374.686939835545</v>
      </c>
      <c r="H78" s="59">
        <v>2015736989.9504232</v>
      </c>
      <c r="I78" s="59">
        <v>712836847.91331756</v>
      </c>
      <c r="J78" s="59">
        <v>1253.4084731100966</v>
      </c>
      <c r="K78" s="59">
        <v>1244.3039518107066</v>
      </c>
      <c r="L78" s="59">
        <v>88000</v>
      </c>
      <c r="M78" s="59">
        <v>110099.64616510192</v>
      </c>
      <c r="N78" s="59">
        <v>2728573837.8637409</v>
      </c>
      <c r="O78" s="59">
        <v>1251.132342785249</v>
      </c>
    </row>
    <row r="79" spans="3:15" x14ac:dyDescent="0.35">
      <c r="C79" t="s">
        <v>133</v>
      </c>
      <c r="D79" s="59"/>
      <c r="E79" s="59">
        <v>66000</v>
      </c>
      <c r="F79" s="59"/>
      <c r="G79" s="59">
        <v>84565.880468821124</v>
      </c>
      <c r="H79" s="59"/>
      <c r="I79" s="59">
        <v>2143745069.8846154</v>
      </c>
      <c r="J79" s="59">
        <v>0</v>
      </c>
      <c r="K79" s="59">
        <v>1281.3012192245626</v>
      </c>
      <c r="L79" s="59">
        <v>66000</v>
      </c>
      <c r="M79" s="59">
        <v>84565.880468821124</v>
      </c>
      <c r="N79" s="59">
        <v>2143745069.8846154</v>
      </c>
      <c r="O79" s="59">
        <v>1281.3012192245626</v>
      </c>
    </row>
    <row r="80" spans="3:15" x14ac:dyDescent="0.35">
      <c r="C80" t="s">
        <v>126</v>
      </c>
      <c r="D80" s="59"/>
      <c r="E80" s="59">
        <v>66000</v>
      </c>
      <c r="F80" s="59"/>
      <c r="G80" s="59">
        <v>83020.140794913968</v>
      </c>
      <c r="H80" s="59"/>
      <c r="I80" s="59">
        <v>2156096497.6472249</v>
      </c>
      <c r="J80" s="59">
        <v>0</v>
      </c>
      <c r="K80" s="59">
        <v>1257.8809211350601</v>
      </c>
      <c r="L80" s="59">
        <v>66000</v>
      </c>
      <c r="M80" s="59">
        <v>83020.140794913968</v>
      </c>
      <c r="N80" s="59">
        <v>2156096497.6472249</v>
      </c>
      <c r="O80" s="59">
        <v>1257.8809211350601</v>
      </c>
    </row>
    <row r="81" spans="3:15" x14ac:dyDescent="0.35">
      <c r="C81" t="s">
        <v>1177</v>
      </c>
      <c r="D81" s="59">
        <v>44000</v>
      </c>
      <c r="E81" s="59"/>
      <c r="F81" s="59">
        <v>54413.408528295229</v>
      </c>
      <c r="G81" s="59"/>
      <c r="H81" s="59">
        <v>1347275995.1605899</v>
      </c>
      <c r="I81" s="59"/>
      <c r="J81" s="59">
        <v>1236.6683756430734</v>
      </c>
      <c r="K81" s="59">
        <v>0</v>
      </c>
      <c r="L81" s="59">
        <v>44000</v>
      </c>
      <c r="M81" s="59">
        <v>54413.408528295229</v>
      </c>
      <c r="N81" s="59">
        <v>1347275995.1605899</v>
      </c>
      <c r="O81" s="59">
        <v>1236.6683756430734</v>
      </c>
    </row>
    <row r="82" spans="3:15" x14ac:dyDescent="0.35">
      <c r="C82" t="s">
        <v>135</v>
      </c>
      <c r="D82" s="59"/>
      <c r="E82" s="59">
        <v>22000</v>
      </c>
      <c r="F82" s="59"/>
      <c r="G82" s="59">
        <v>27694.13670631879</v>
      </c>
      <c r="H82" s="59"/>
      <c r="I82" s="59">
        <v>694845889.96153843</v>
      </c>
      <c r="J82" s="59">
        <v>0</v>
      </c>
      <c r="K82" s="59">
        <v>1258.8243957417631</v>
      </c>
      <c r="L82" s="59">
        <v>22000</v>
      </c>
      <c r="M82" s="59">
        <v>27694.13670631879</v>
      </c>
      <c r="N82" s="59">
        <v>694845889.96153843</v>
      </c>
      <c r="O82" s="59">
        <v>1258.8243957417631</v>
      </c>
    </row>
    <row r="83" spans="3:15" x14ac:dyDescent="0.35">
      <c r="C83" t="s">
        <v>140</v>
      </c>
      <c r="D83" s="59"/>
      <c r="E83" s="59">
        <v>22000</v>
      </c>
      <c r="F83" s="59"/>
      <c r="G83" s="59">
        <v>27413.724260005452</v>
      </c>
      <c r="H83" s="59"/>
      <c r="I83" s="59">
        <v>696034458.96153843</v>
      </c>
      <c r="J83" s="59">
        <v>0</v>
      </c>
      <c r="K83" s="59">
        <v>1246.0783754547933</v>
      </c>
      <c r="L83" s="59">
        <v>22000</v>
      </c>
      <c r="M83" s="59">
        <v>27413.724260005452</v>
      </c>
      <c r="N83" s="59">
        <v>696034458.96153843</v>
      </c>
      <c r="O83" s="59">
        <v>1246.0783754547933</v>
      </c>
    </row>
    <row r="84" spans="3:15" x14ac:dyDescent="0.35">
      <c r="C84" t="s">
        <v>136</v>
      </c>
      <c r="D84" s="59"/>
      <c r="E84" s="59">
        <v>22000</v>
      </c>
      <c r="F84" s="59"/>
      <c r="G84" s="59">
        <v>28562.177519664609</v>
      </c>
      <c r="H84" s="59"/>
      <c r="I84" s="59">
        <v>736332936.45695364</v>
      </c>
      <c r="J84" s="59">
        <v>0</v>
      </c>
      <c r="K84" s="59">
        <v>1298.2807963483913</v>
      </c>
      <c r="L84" s="59">
        <v>22000</v>
      </c>
      <c r="M84" s="59">
        <v>28562.177519664609</v>
      </c>
      <c r="N84" s="59">
        <v>736332936.45695364</v>
      </c>
      <c r="O84" s="59">
        <v>1298.2807963483913</v>
      </c>
    </row>
    <row r="85" spans="3:15" x14ac:dyDescent="0.35">
      <c r="C85" t="s">
        <v>1158</v>
      </c>
      <c r="D85" s="59">
        <v>17600</v>
      </c>
      <c r="E85" s="59"/>
      <c r="F85" s="59">
        <v>22627.124767006251</v>
      </c>
      <c r="G85" s="59"/>
      <c r="H85" s="59">
        <v>566513783.84541821</v>
      </c>
      <c r="I85" s="59"/>
      <c r="J85" s="59">
        <v>1285.6320890344462</v>
      </c>
      <c r="K85" s="59">
        <v>0</v>
      </c>
      <c r="L85" s="59">
        <v>17600</v>
      </c>
      <c r="M85" s="59">
        <v>22627.124767006251</v>
      </c>
      <c r="N85" s="59">
        <v>566513783.84541821</v>
      </c>
      <c r="O85" s="59">
        <v>1285.6320890344462</v>
      </c>
    </row>
    <row r="86" spans="3:15" x14ac:dyDescent="0.35">
      <c r="C86" t="s">
        <v>141</v>
      </c>
      <c r="D86" s="59"/>
      <c r="E86" s="59">
        <v>9900</v>
      </c>
      <c r="F86" s="59"/>
      <c r="G86" s="59">
        <v>12442.825710919089</v>
      </c>
      <c r="H86" s="59"/>
      <c r="I86" s="59">
        <v>316794342.60000002</v>
      </c>
      <c r="J86" s="59">
        <v>0</v>
      </c>
      <c r="K86" s="59">
        <v>1256.851081911019</v>
      </c>
      <c r="L86" s="59">
        <v>9900</v>
      </c>
      <c r="M86" s="59">
        <v>12442.825710919089</v>
      </c>
      <c r="N86" s="59">
        <v>316794342.60000002</v>
      </c>
      <c r="O86" s="59">
        <v>1256.851081911019</v>
      </c>
    </row>
    <row r="87" spans="3:15" x14ac:dyDescent="0.35">
      <c r="C87" t="s">
        <v>109</v>
      </c>
      <c r="D87" s="59">
        <v>9900</v>
      </c>
      <c r="E87" s="59"/>
      <c r="F87" s="59">
        <v>13551.579135906202</v>
      </c>
      <c r="G87" s="59"/>
      <c r="H87" s="59">
        <v>336026744.87108123</v>
      </c>
      <c r="I87" s="59"/>
      <c r="J87" s="59">
        <v>1368.8463773642629</v>
      </c>
      <c r="K87" s="59">
        <v>0</v>
      </c>
      <c r="L87" s="59">
        <v>9900</v>
      </c>
      <c r="M87" s="59">
        <v>13551.579135906202</v>
      </c>
      <c r="N87" s="59">
        <v>336026744.87108123</v>
      </c>
      <c r="O87" s="59">
        <v>1368.8463773642629</v>
      </c>
    </row>
    <row r="88" spans="3:15" x14ac:dyDescent="0.35">
      <c r="C88" t="s">
        <v>106</v>
      </c>
      <c r="D88" s="59"/>
      <c r="E88" s="59">
        <v>5500</v>
      </c>
      <c r="F88" s="59"/>
      <c r="G88" s="59">
        <v>7112.9593638115148</v>
      </c>
      <c r="H88" s="59"/>
      <c r="I88" s="59">
        <v>180486499.73312402</v>
      </c>
      <c r="J88" s="59">
        <v>0</v>
      </c>
      <c r="K88" s="59">
        <v>1293.2653388748208</v>
      </c>
      <c r="L88" s="59">
        <v>5500</v>
      </c>
      <c r="M88" s="59">
        <v>7112.9593638115148</v>
      </c>
      <c r="N88" s="59">
        <v>180486499.73312402</v>
      </c>
      <c r="O88" s="59">
        <v>1293.2653388748208</v>
      </c>
    </row>
    <row r="89" spans="3:15" x14ac:dyDescent="0.35">
      <c r="C89" t="s">
        <v>1178</v>
      </c>
      <c r="D89" s="59">
        <v>5500</v>
      </c>
      <c r="E89" s="59"/>
      <c r="F89" s="59">
        <v>7316.0610423034759</v>
      </c>
      <c r="G89" s="59"/>
      <c r="H89" s="59">
        <v>184362598.94962406</v>
      </c>
      <c r="I89" s="59"/>
      <c r="J89" s="59">
        <v>1330.1929167824503</v>
      </c>
      <c r="K89" s="59">
        <v>0</v>
      </c>
      <c r="L89" s="59">
        <v>5500</v>
      </c>
      <c r="M89" s="59">
        <v>7316.0610423034759</v>
      </c>
      <c r="N89" s="59">
        <v>184362598.94962406</v>
      </c>
      <c r="O89" s="59">
        <v>1330.1929167824503</v>
      </c>
    </row>
    <row r="90" spans="3:15" x14ac:dyDescent="0.35">
      <c r="C90" t="s">
        <v>1179</v>
      </c>
      <c r="D90" s="59">
        <v>4400</v>
      </c>
      <c r="E90" s="59"/>
      <c r="F90" s="59">
        <v>5089.6948307382618</v>
      </c>
      <c r="G90" s="59"/>
      <c r="H90" s="59">
        <v>123883172.18016928</v>
      </c>
      <c r="I90" s="59"/>
      <c r="J90" s="59">
        <v>1156.7488251677869</v>
      </c>
      <c r="K90" s="59">
        <v>0</v>
      </c>
      <c r="L90" s="59">
        <v>4400</v>
      </c>
      <c r="M90" s="59">
        <v>5089.6948307382618</v>
      </c>
      <c r="N90" s="59">
        <v>123883172.18016928</v>
      </c>
      <c r="O90" s="59">
        <v>1156.7488251677869</v>
      </c>
    </row>
    <row r="91" spans="3:15" x14ac:dyDescent="0.35">
      <c r="C91" t="s">
        <v>1180</v>
      </c>
      <c r="D91" s="59">
        <v>4400</v>
      </c>
      <c r="E91" s="59"/>
      <c r="F91" s="59">
        <v>5800.6367246524533</v>
      </c>
      <c r="G91" s="59"/>
      <c r="H91" s="59">
        <v>145331566.46864685</v>
      </c>
      <c r="I91" s="59"/>
      <c r="J91" s="59">
        <v>1318.3265283301032</v>
      </c>
      <c r="K91" s="59">
        <v>0</v>
      </c>
      <c r="L91" s="59">
        <v>4400</v>
      </c>
      <c r="M91" s="59">
        <v>5800.6367246524533</v>
      </c>
      <c r="N91" s="59">
        <v>145331566.46864685</v>
      </c>
      <c r="O91" s="59">
        <v>1318.3265283301032</v>
      </c>
    </row>
    <row r="92" spans="3:15" x14ac:dyDescent="0.35">
      <c r="C92" t="s">
        <v>1181</v>
      </c>
      <c r="D92" s="59">
        <v>2200</v>
      </c>
      <c r="E92" s="59"/>
      <c r="F92" s="59">
        <v>2941.9517892969657</v>
      </c>
      <c r="G92" s="59"/>
      <c r="H92" s="59">
        <v>73272994.425307557</v>
      </c>
      <c r="I92" s="59"/>
      <c r="J92" s="59">
        <v>1337.2508133168026</v>
      </c>
      <c r="K92" s="59">
        <v>0</v>
      </c>
      <c r="L92" s="59">
        <v>2200</v>
      </c>
      <c r="M92" s="59">
        <v>2941.9517892969657</v>
      </c>
      <c r="N92" s="59">
        <v>73272994.425307557</v>
      </c>
      <c r="O92" s="59">
        <v>1337.2508133168026</v>
      </c>
    </row>
    <row r="93" spans="3:15" x14ac:dyDescent="0.35">
      <c r="C93" t="s">
        <v>156</v>
      </c>
      <c r="D93" s="59">
        <v>1100</v>
      </c>
      <c r="E93" s="59"/>
      <c r="F93" s="59">
        <v>1366.494835350851</v>
      </c>
      <c r="G93" s="59"/>
      <c r="H93" s="59">
        <v>34470267.96226415</v>
      </c>
      <c r="I93" s="59"/>
      <c r="J93" s="59">
        <v>1242.2680321371374</v>
      </c>
      <c r="K93" s="59">
        <v>0</v>
      </c>
      <c r="L93" s="59">
        <v>1100</v>
      </c>
      <c r="M93" s="59">
        <v>1366.494835350851</v>
      </c>
      <c r="N93" s="59">
        <v>34470267.96226415</v>
      </c>
      <c r="O93" s="59">
        <v>1242.2680321371374</v>
      </c>
    </row>
    <row r="94" spans="3:15" x14ac:dyDescent="0.35">
      <c r="C94" t="s">
        <v>1182</v>
      </c>
      <c r="D94" s="59">
        <v>100</v>
      </c>
      <c r="E94" s="59"/>
      <c r="F94" s="59">
        <v>137.16701856141995</v>
      </c>
      <c r="G94" s="59"/>
      <c r="H94" s="59">
        <v>3455000</v>
      </c>
      <c r="I94" s="59"/>
      <c r="J94" s="59">
        <v>1371.6701856141995</v>
      </c>
      <c r="K94" s="59">
        <v>0</v>
      </c>
      <c r="L94" s="59">
        <v>100</v>
      </c>
      <c r="M94" s="59">
        <v>137.16701856141995</v>
      </c>
      <c r="N94" s="59">
        <v>3455000</v>
      </c>
      <c r="O94" s="59">
        <v>1371.6701856141995</v>
      </c>
    </row>
    <row r="95" spans="3:15" x14ac:dyDescent="0.35">
      <c r="C95" t="s">
        <v>114</v>
      </c>
      <c r="D95" s="59"/>
      <c r="E95" s="59">
        <v>25</v>
      </c>
      <c r="F95" s="59"/>
      <c r="G95" s="59">
        <v>32.992587207063274</v>
      </c>
      <c r="H95" s="59"/>
      <c r="I95" s="59">
        <v>855000</v>
      </c>
      <c r="J95" s="59">
        <v>0</v>
      </c>
      <c r="K95" s="59">
        <v>1319.703488282531</v>
      </c>
      <c r="L95" s="59">
        <v>25</v>
      </c>
      <c r="M95" s="59">
        <v>32.992587207063274</v>
      </c>
      <c r="N95" s="59">
        <v>855000</v>
      </c>
      <c r="O95" s="59">
        <v>1319.703488282531</v>
      </c>
    </row>
    <row r="96" spans="3:15" x14ac:dyDescent="0.35">
      <c r="C96" t="s">
        <v>5</v>
      </c>
      <c r="D96" s="59"/>
      <c r="E96" s="59">
        <v>0</v>
      </c>
      <c r="F96" s="59"/>
      <c r="G96" s="59">
        <v>0</v>
      </c>
      <c r="H96" s="59"/>
      <c r="I96" s="59">
        <v>0</v>
      </c>
      <c r="J96" s="59">
        <v>0</v>
      </c>
      <c r="K96" s="59">
        <v>0</v>
      </c>
      <c r="L96" s="59">
        <v>0</v>
      </c>
      <c r="M96" s="59">
        <v>0</v>
      </c>
      <c r="N96" s="59">
        <v>0</v>
      </c>
      <c r="O96" s="59">
        <v>0</v>
      </c>
    </row>
    <row r="97" spans="2:15" x14ac:dyDescent="0.35">
      <c r="B97" t="s">
        <v>1183</v>
      </c>
      <c r="D97" s="59">
        <v>500</v>
      </c>
      <c r="E97" s="59">
        <v>3300</v>
      </c>
      <c r="F97" s="59">
        <v>634.63469184866301</v>
      </c>
      <c r="G97" s="59">
        <v>3843.8438354718774</v>
      </c>
      <c r="H97" s="59">
        <v>15984823.212406015</v>
      </c>
      <c r="I97" s="59">
        <v>100749032.65722379</v>
      </c>
      <c r="J97" s="59">
        <v>1269.269383697326</v>
      </c>
      <c r="K97" s="59">
        <v>1164.8011622642052</v>
      </c>
      <c r="L97" s="59">
        <v>3800</v>
      </c>
      <c r="M97" s="59">
        <v>4478.4785273205407</v>
      </c>
      <c r="N97" s="59">
        <v>116733855.8696298</v>
      </c>
      <c r="O97" s="59">
        <v>1178.5469808738264</v>
      </c>
    </row>
    <row r="98" spans="2:15" x14ac:dyDescent="0.35">
      <c r="C98" t="s">
        <v>71</v>
      </c>
      <c r="D98" s="59"/>
      <c r="E98" s="59">
        <v>3300</v>
      </c>
      <c r="F98" s="59"/>
      <c r="G98" s="59">
        <v>3843.8438354718774</v>
      </c>
      <c r="H98" s="59"/>
      <c r="I98" s="59">
        <v>100749032.65722379</v>
      </c>
      <c r="J98" s="59">
        <v>0</v>
      </c>
      <c r="K98" s="59">
        <v>1164.8011622642052</v>
      </c>
      <c r="L98" s="59">
        <v>3300</v>
      </c>
      <c r="M98" s="59">
        <v>3843.8438354718774</v>
      </c>
      <c r="N98" s="59">
        <v>100749032.65722379</v>
      </c>
      <c r="O98" s="59">
        <v>1164.8011622642052</v>
      </c>
    </row>
    <row r="99" spans="2:15" x14ac:dyDescent="0.35">
      <c r="C99" t="s">
        <v>1184</v>
      </c>
      <c r="D99" s="59">
        <v>500</v>
      </c>
      <c r="E99" s="59"/>
      <c r="F99" s="59">
        <v>634.63469184866301</v>
      </c>
      <c r="G99" s="59"/>
      <c r="H99" s="59">
        <v>15984823.212406015</v>
      </c>
      <c r="I99" s="59"/>
      <c r="J99" s="59">
        <v>1269.269383697326</v>
      </c>
      <c r="K99" s="59">
        <v>0</v>
      </c>
      <c r="L99" s="59">
        <v>500</v>
      </c>
      <c r="M99" s="59">
        <v>634.63469184866301</v>
      </c>
      <c r="N99" s="59">
        <v>15984823.212406015</v>
      </c>
      <c r="O99" s="59">
        <v>1269.269383697326</v>
      </c>
    </row>
    <row r="100" spans="2:15" x14ac:dyDescent="0.35">
      <c r="B100" t="s">
        <v>1185</v>
      </c>
      <c r="D100" s="59">
        <v>3718700</v>
      </c>
      <c r="E100" s="59">
        <v>1411050</v>
      </c>
      <c r="F100" s="59">
        <v>3907924.2647827421</v>
      </c>
      <c r="G100" s="59">
        <v>1516314.9274579734</v>
      </c>
      <c r="H100" s="59">
        <v>97149623204.114273</v>
      </c>
      <c r="I100" s="59">
        <v>39199095193.820541</v>
      </c>
      <c r="J100" s="59">
        <v>1050.8845200695787</v>
      </c>
      <c r="K100" s="59">
        <v>1074.6004234137511</v>
      </c>
      <c r="L100" s="59">
        <v>5129750</v>
      </c>
      <c r="M100" s="59">
        <v>5424239.192240715</v>
      </c>
      <c r="N100" s="59">
        <v>136348718397.93478</v>
      </c>
      <c r="O100" s="59">
        <v>1057.4080982973276</v>
      </c>
    </row>
    <row r="101" spans="2:15" x14ac:dyDescent="0.35">
      <c r="C101" t="s">
        <v>145</v>
      </c>
      <c r="D101" s="59">
        <v>2418500</v>
      </c>
      <c r="E101" s="59">
        <v>440000</v>
      </c>
      <c r="F101" s="59">
        <v>2532053.0664531873</v>
      </c>
      <c r="G101" s="59">
        <v>449441.61265964305</v>
      </c>
      <c r="H101" s="59">
        <v>62729598888.170067</v>
      </c>
      <c r="I101" s="59">
        <v>11687247944.4688</v>
      </c>
      <c r="J101" s="59">
        <v>1046.951857123501</v>
      </c>
      <c r="K101" s="59">
        <v>1021.4582105900978</v>
      </c>
      <c r="L101" s="59">
        <v>2858500</v>
      </c>
      <c r="M101" s="59">
        <v>2981494.6791128302</v>
      </c>
      <c r="N101" s="59">
        <v>74416846832.63887</v>
      </c>
      <c r="O101" s="59">
        <v>1043.0276995322129</v>
      </c>
    </row>
    <row r="102" spans="2:15" x14ac:dyDescent="0.35">
      <c r="C102" t="s">
        <v>143</v>
      </c>
      <c r="D102" s="59">
        <v>946000</v>
      </c>
      <c r="E102" s="59">
        <v>220000</v>
      </c>
      <c r="F102" s="59">
        <v>1000306.2406182499</v>
      </c>
      <c r="G102" s="59">
        <v>243821.15388845242</v>
      </c>
      <c r="H102" s="59">
        <v>25080785014</v>
      </c>
      <c r="I102" s="59">
        <v>6207686578.000001</v>
      </c>
      <c r="J102" s="59">
        <v>1057.4061740150632</v>
      </c>
      <c r="K102" s="59">
        <v>1108.2779722202383</v>
      </c>
      <c r="L102" s="59">
        <v>1166000</v>
      </c>
      <c r="M102" s="59">
        <v>1244127.3945067022</v>
      </c>
      <c r="N102" s="59">
        <v>31288471592</v>
      </c>
      <c r="O102" s="59">
        <v>1067.0046265066057</v>
      </c>
    </row>
    <row r="103" spans="2:15" x14ac:dyDescent="0.35">
      <c r="C103" t="s">
        <v>15</v>
      </c>
      <c r="D103" s="59">
        <v>330000</v>
      </c>
      <c r="E103" s="59">
        <v>330850</v>
      </c>
      <c r="F103" s="59">
        <v>348889.17118800001</v>
      </c>
      <c r="G103" s="59">
        <v>357557.3439746495</v>
      </c>
      <c r="H103" s="59">
        <v>8674189899.451067</v>
      </c>
      <c r="I103" s="59">
        <v>9292220825.1846371</v>
      </c>
      <c r="J103" s="59">
        <v>1057.239912690909</v>
      </c>
      <c r="K103" s="59">
        <v>1080.7234214134789</v>
      </c>
      <c r="L103" s="59">
        <v>660850</v>
      </c>
      <c r="M103" s="59">
        <v>706446.51516264956</v>
      </c>
      <c r="N103" s="59">
        <v>17966410724.635704</v>
      </c>
      <c r="O103" s="59">
        <v>1068.9967695583712</v>
      </c>
    </row>
    <row r="104" spans="2:15" x14ac:dyDescent="0.35">
      <c r="C104" t="s">
        <v>131</v>
      </c>
      <c r="D104" s="59"/>
      <c r="E104" s="59">
        <v>176000</v>
      </c>
      <c r="F104" s="59"/>
      <c r="G104" s="59">
        <v>195322.63506983378</v>
      </c>
      <c r="H104" s="59"/>
      <c r="I104" s="59">
        <v>5056628619.1207333</v>
      </c>
      <c r="J104" s="59">
        <v>0</v>
      </c>
      <c r="K104" s="59">
        <v>1109.7876992604192</v>
      </c>
      <c r="L104" s="59">
        <v>176000</v>
      </c>
      <c r="M104" s="59">
        <v>195322.63506983378</v>
      </c>
      <c r="N104" s="59">
        <v>5056628619.1207333</v>
      </c>
      <c r="O104" s="59">
        <v>1109.7876992604192</v>
      </c>
    </row>
    <row r="105" spans="2:15" x14ac:dyDescent="0.35">
      <c r="C105" t="s">
        <v>125</v>
      </c>
      <c r="D105" s="59"/>
      <c r="E105" s="59">
        <v>132000</v>
      </c>
      <c r="F105" s="59"/>
      <c r="G105" s="59">
        <v>144457.38743593241</v>
      </c>
      <c r="H105" s="59"/>
      <c r="I105" s="59">
        <v>3738985982.3498611</v>
      </c>
      <c r="J105" s="59">
        <v>0</v>
      </c>
      <c r="K105" s="59">
        <v>1094.3741472419122</v>
      </c>
      <c r="L105" s="59">
        <v>132000</v>
      </c>
      <c r="M105" s="59">
        <v>144457.38743593241</v>
      </c>
      <c r="N105" s="59">
        <v>3738985982.3498611</v>
      </c>
      <c r="O105" s="59">
        <v>1094.3741472419122</v>
      </c>
    </row>
    <row r="106" spans="2:15" x14ac:dyDescent="0.35">
      <c r="C106" t="s">
        <v>128</v>
      </c>
      <c r="D106" s="59">
        <v>4400</v>
      </c>
      <c r="E106" s="59">
        <v>88000</v>
      </c>
      <c r="F106" s="59">
        <v>4425.7473780375758</v>
      </c>
      <c r="G106" s="59">
        <v>97944.199523036528</v>
      </c>
      <c r="H106" s="59">
        <v>111528833.92654692</v>
      </c>
      <c r="I106" s="59">
        <v>2505466217.2694807</v>
      </c>
      <c r="J106" s="59">
        <v>1005.8516768267218</v>
      </c>
      <c r="K106" s="59">
        <v>1113.0022673072333</v>
      </c>
      <c r="L106" s="59">
        <v>92400</v>
      </c>
      <c r="M106" s="59">
        <v>102369.9469010741</v>
      </c>
      <c r="N106" s="59">
        <v>2616995051.1960278</v>
      </c>
      <c r="O106" s="59">
        <v>1107.8998582367328</v>
      </c>
    </row>
    <row r="107" spans="2:15" x14ac:dyDescent="0.35">
      <c r="C107" t="s">
        <v>117</v>
      </c>
      <c r="D107" s="59">
        <v>11000</v>
      </c>
      <c r="E107" s="59">
        <v>22000</v>
      </c>
      <c r="F107" s="59">
        <v>12101.21025882283</v>
      </c>
      <c r="G107" s="59">
        <v>25290.523702554652</v>
      </c>
      <c r="H107" s="59">
        <v>299851896.75222111</v>
      </c>
      <c r="I107" s="59">
        <v>647037897.29556155</v>
      </c>
      <c r="J107" s="59">
        <v>1100.1100235293482</v>
      </c>
      <c r="K107" s="59">
        <v>1149.5692592070297</v>
      </c>
      <c r="L107" s="59">
        <v>33000</v>
      </c>
      <c r="M107" s="59">
        <v>37391.733961377482</v>
      </c>
      <c r="N107" s="59">
        <v>946889794.04778266</v>
      </c>
      <c r="O107" s="59">
        <v>1133.0828473144693</v>
      </c>
    </row>
    <row r="108" spans="2:15" x14ac:dyDescent="0.35">
      <c r="C108" t="s">
        <v>22</v>
      </c>
      <c r="D108" s="59">
        <v>5500</v>
      </c>
      <c r="E108" s="59"/>
      <c r="F108" s="59">
        <v>6714.4780346589296</v>
      </c>
      <c r="G108" s="59"/>
      <c r="H108" s="59">
        <v>167232486.0632689</v>
      </c>
      <c r="I108" s="59"/>
      <c r="J108" s="59">
        <v>1220.8141881198053</v>
      </c>
      <c r="K108" s="59">
        <v>0</v>
      </c>
      <c r="L108" s="59">
        <v>5500</v>
      </c>
      <c r="M108" s="59">
        <v>6714.4780346589296</v>
      </c>
      <c r="N108" s="59">
        <v>167232486.0632689</v>
      </c>
      <c r="O108" s="59">
        <v>1220.8141881198053</v>
      </c>
    </row>
    <row r="109" spans="2:15" x14ac:dyDescent="0.35">
      <c r="C109" t="s">
        <v>1179</v>
      </c>
      <c r="D109" s="59">
        <v>2200</v>
      </c>
      <c r="E109" s="59"/>
      <c r="F109" s="59">
        <v>2301.8801343990344</v>
      </c>
      <c r="G109" s="59"/>
      <c r="H109" s="59">
        <v>57869250.788822353</v>
      </c>
      <c r="I109" s="59"/>
      <c r="J109" s="59">
        <v>1046.309151999561</v>
      </c>
      <c r="K109" s="59">
        <v>0</v>
      </c>
      <c r="L109" s="59">
        <v>2200</v>
      </c>
      <c r="M109" s="59">
        <v>2301.8801343990344</v>
      </c>
      <c r="N109" s="59">
        <v>57869250.788822353</v>
      </c>
      <c r="O109" s="59">
        <v>1046.309151999561</v>
      </c>
    </row>
    <row r="110" spans="2:15" x14ac:dyDescent="0.35">
      <c r="C110" t="s">
        <v>130</v>
      </c>
      <c r="D110" s="59"/>
      <c r="E110" s="59">
        <v>1100</v>
      </c>
      <c r="F110" s="59"/>
      <c r="G110" s="59">
        <v>1233.430502159531</v>
      </c>
      <c r="H110" s="59"/>
      <c r="I110" s="59">
        <v>32315879.156579711</v>
      </c>
      <c r="J110" s="59">
        <v>0</v>
      </c>
      <c r="K110" s="59">
        <v>1121.3004565086646</v>
      </c>
      <c r="L110" s="59">
        <v>1100</v>
      </c>
      <c r="M110" s="59">
        <v>1233.430502159531</v>
      </c>
      <c r="N110" s="59">
        <v>32315879.156579711</v>
      </c>
      <c r="O110" s="59">
        <v>1121.3004565086646</v>
      </c>
    </row>
    <row r="111" spans="2:15" x14ac:dyDescent="0.35">
      <c r="C111" t="s">
        <v>106</v>
      </c>
      <c r="D111" s="59"/>
      <c r="E111" s="59">
        <v>1100</v>
      </c>
      <c r="F111" s="59"/>
      <c r="G111" s="59">
        <v>1246.6407017115962</v>
      </c>
      <c r="H111" s="59"/>
      <c r="I111" s="59">
        <v>31505250.974885844</v>
      </c>
      <c r="J111" s="59">
        <v>0</v>
      </c>
      <c r="K111" s="59">
        <v>1133.3097288287238</v>
      </c>
      <c r="L111" s="59">
        <v>1100</v>
      </c>
      <c r="M111" s="59">
        <v>1246.6407017115962</v>
      </c>
      <c r="N111" s="59">
        <v>31505250.974885844</v>
      </c>
      <c r="O111" s="59">
        <v>1133.3097288287238</v>
      </c>
    </row>
    <row r="112" spans="2:15" x14ac:dyDescent="0.35">
      <c r="C112" t="s">
        <v>156</v>
      </c>
      <c r="D112" s="59">
        <v>1100</v>
      </c>
      <c r="E112" s="59"/>
      <c r="F112" s="59">
        <v>1132.4707173867162</v>
      </c>
      <c r="G112" s="59"/>
      <c r="H112" s="59">
        <v>28566934.96226415</v>
      </c>
      <c r="I112" s="59"/>
      <c r="J112" s="59">
        <v>1029.5188339879237</v>
      </c>
      <c r="K112" s="59">
        <v>0</v>
      </c>
      <c r="L112" s="59">
        <v>1100</v>
      </c>
      <c r="M112" s="59">
        <v>1132.4707173867162</v>
      </c>
      <c r="N112" s="59">
        <v>28566934.96226415</v>
      </c>
      <c r="O112" s="59">
        <v>1029.5188339879237</v>
      </c>
    </row>
    <row r="113" spans="2:15" x14ac:dyDescent="0.35">
      <c r="B113" t="s">
        <v>1186</v>
      </c>
      <c r="D113" s="59">
        <v>2150</v>
      </c>
      <c r="E113" s="59">
        <v>100</v>
      </c>
      <c r="F113" s="59">
        <v>2695.8246614276791</v>
      </c>
      <c r="G113" s="59">
        <v>128.28832749936541</v>
      </c>
      <c r="H113" s="59">
        <v>67189665.524125725</v>
      </c>
      <c r="I113" s="59">
        <v>3362500</v>
      </c>
      <c r="J113" s="59">
        <v>1253.8719355477576</v>
      </c>
      <c r="K113" s="59">
        <v>1282.8832749936541</v>
      </c>
      <c r="L113" s="59">
        <v>2250</v>
      </c>
      <c r="M113" s="59">
        <v>2824.1129889270446</v>
      </c>
      <c r="N113" s="59">
        <v>70552165.524125725</v>
      </c>
      <c r="O113" s="59">
        <v>1255.1613284120199</v>
      </c>
    </row>
    <row r="114" spans="2:15" x14ac:dyDescent="0.35">
      <c r="C114" t="s">
        <v>1172</v>
      </c>
      <c r="D114" s="59">
        <v>2125</v>
      </c>
      <c r="E114" s="59">
        <v>100</v>
      </c>
      <c r="F114" s="59">
        <v>2663.3544511726741</v>
      </c>
      <c r="G114" s="59">
        <v>128.28832749936541</v>
      </c>
      <c r="H114" s="59">
        <v>66391465.524125718</v>
      </c>
      <c r="I114" s="59">
        <v>3362500</v>
      </c>
      <c r="J114" s="59">
        <v>1253.3432711400819</v>
      </c>
      <c r="K114" s="59">
        <v>1282.8832749936541</v>
      </c>
      <c r="L114" s="59">
        <v>2225</v>
      </c>
      <c r="M114" s="59">
        <v>2791.6427786720396</v>
      </c>
      <c r="N114" s="59">
        <v>69753965.524125725</v>
      </c>
      <c r="O114" s="59">
        <v>1254.6709117627145</v>
      </c>
    </row>
    <row r="115" spans="2:15" x14ac:dyDescent="0.35">
      <c r="C115" t="s">
        <v>1187</v>
      </c>
      <c r="D115" s="59">
        <v>25</v>
      </c>
      <c r="E115" s="59"/>
      <c r="F115" s="59">
        <v>32.470210255005078</v>
      </c>
      <c r="G115" s="59"/>
      <c r="H115" s="59">
        <v>798200</v>
      </c>
      <c r="I115" s="59"/>
      <c r="J115" s="59">
        <v>1298.8084102002031</v>
      </c>
      <c r="K115" s="59">
        <v>0</v>
      </c>
      <c r="L115" s="59">
        <v>25</v>
      </c>
      <c r="M115" s="59">
        <v>32.470210255005078</v>
      </c>
      <c r="N115" s="59">
        <v>798200</v>
      </c>
      <c r="O115" s="59">
        <v>1298.8084102002031</v>
      </c>
    </row>
    <row r="116" spans="2:15" x14ac:dyDescent="0.35">
      <c r="B116" t="s">
        <v>1188</v>
      </c>
      <c r="D116" s="59">
        <v>88025</v>
      </c>
      <c r="E116" s="59"/>
      <c r="F116" s="59">
        <v>128827.7514389604</v>
      </c>
      <c r="G116" s="59"/>
      <c r="H116" s="59">
        <v>3187396504.86059</v>
      </c>
      <c r="I116" s="59"/>
      <c r="J116" s="59">
        <v>1463.5359436405613</v>
      </c>
      <c r="K116" s="59">
        <v>0</v>
      </c>
      <c r="L116" s="59">
        <v>88025</v>
      </c>
      <c r="M116" s="59">
        <v>128827.7514389604</v>
      </c>
      <c r="N116" s="59">
        <v>3187396504.86059</v>
      </c>
      <c r="O116" s="59">
        <v>1463.5359436405613</v>
      </c>
    </row>
    <row r="117" spans="2:15" x14ac:dyDescent="0.35">
      <c r="C117" t="s">
        <v>1189</v>
      </c>
      <c r="D117" s="59">
        <v>44000</v>
      </c>
      <c r="E117" s="59"/>
      <c r="F117" s="59">
        <v>57120.225992632011</v>
      </c>
      <c r="G117" s="59"/>
      <c r="H117" s="59">
        <v>1395447121</v>
      </c>
      <c r="I117" s="59"/>
      <c r="J117" s="59">
        <v>1298.1869543780003</v>
      </c>
      <c r="K117" s="59">
        <v>0</v>
      </c>
      <c r="L117" s="59">
        <v>44000</v>
      </c>
      <c r="M117" s="59">
        <v>57120.225992632011</v>
      </c>
      <c r="N117" s="59">
        <v>1395447121</v>
      </c>
      <c r="O117" s="59">
        <v>1298.1869543780003</v>
      </c>
    </row>
    <row r="118" spans="2:15" x14ac:dyDescent="0.35">
      <c r="C118" t="s">
        <v>122</v>
      </c>
      <c r="D118" s="59">
        <v>44000</v>
      </c>
      <c r="E118" s="59"/>
      <c r="F118" s="59">
        <v>71672.274264129243</v>
      </c>
      <c r="G118" s="59"/>
      <c r="H118" s="59">
        <v>1791090133.8605897</v>
      </c>
      <c r="I118" s="59"/>
      <c r="J118" s="59">
        <v>1628.9153241847555</v>
      </c>
      <c r="K118" s="59">
        <v>0</v>
      </c>
      <c r="L118" s="59">
        <v>44000</v>
      </c>
      <c r="M118" s="59">
        <v>71672.274264129243</v>
      </c>
      <c r="N118" s="59">
        <v>1791090133.8605897</v>
      </c>
      <c r="O118" s="59">
        <v>1628.9153241847555</v>
      </c>
    </row>
    <row r="119" spans="2:15" x14ac:dyDescent="0.35">
      <c r="C119" t="s">
        <v>1159</v>
      </c>
      <c r="D119" s="59">
        <v>25</v>
      </c>
      <c r="E119" s="59"/>
      <c r="F119" s="59">
        <v>35.251182199145731</v>
      </c>
      <c r="G119" s="59"/>
      <c r="H119" s="59">
        <v>859250</v>
      </c>
      <c r="I119" s="59"/>
      <c r="J119" s="59">
        <v>1410.0472879658291</v>
      </c>
      <c r="K119" s="59">
        <v>0</v>
      </c>
      <c r="L119" s="59">
        <v>25</v>
      </c>
      <c r="M119" s="59">
        <v>35.251182199145731</v>
      </c>
      <c r="N119" s="59">
        <v>859250</v>
      </c>
      <c r="O119" s="59">
        <v>1410.0472879658291</v>
      </c>
    </row>
    <row r="120" spans="2:15" x14ac:dyDescent="0.35">
      <c r="B120" t="s">
        <v>1190</v>
      </c>
      <c r="D120" s="59"/>
      <c r="E120" s="59">
        <v>2730</v>
      </c>
      <c r="F120" s="59"/>
      <c r="G120" s="59">
        <v>3478.6314938761761</v>
      </c>
      <c r="H120" s="59"/>
      <c r="I120" s="59">
        <v>90763487.880968854</v>
      </c>
      <c r="J120" s="59">
        <v>0</v>
      </c>
      <c r="K120" s="59">
        <v>1274.2239904308337</v>
      </c>
      <c r="L120" s="59">
        <v>2730</v>
      </c>
      <c r="M120" s="59">
        <v>3478.6314938761761</v>
      </c>
      <c r="N120" s="59">
        <v>90763487.880968854</v>
      </c>
      <c r="O120" s="59">
        <v>1274.2239904308337</v>
      </c>
    </row>
    <row r="121" spans="2:15" x14ac:dyDescent="0.35">
      <c r="C121" t="s">
        <v>108</v>
      </c>
      <c r="D121" s="59"/>
      <c r="E121" s="59">
        <v>2700</v>
      </c>
      <c r="F121" s="59"/>
      <c r="G121" s="59">
        <v>3439.3826966601569</v>
      </c>
      <c r="H121" s="59"/>
      <c r="I121" s="59">
        <v>89743487.880968854</v>
      </c>
      <c r="J121" s="59">
        <v>0</v>
      </c>
      <c r="K121" s="59">
        <v>1273.8454432074655</v>
      </c>
      <c r="L121" s="59">
        <v>2700</v>
      </c>
      <c r="M121" s="59">
        <v>3439.3826966601569</v>
      </c>
      <c r="N121" s="59">
        <v>89743487.880968854</v>
      </c>
      <c r="O121" s="59">
        <v>1273.8454432074655</v>
      </c>
    </row>
    <row r="122" spans="2:15" x14ac:dyDescent="0.35">
      <c r="C122" t="s">
        <v>111</v>
      </c>
      <c r="D122" s="59"/>
      <c r="E122" s="59">
        <v>30</v>
      </c>
      <c r="F122" s="59"/>
      <c r="G122" s="59">
        <v>39.248797216019192</v>
      </c>
      <c r="H122" s="59"/>
      <c r="I122" s="59">
        <v>1020000</v>
      </c>
      <c r="J122" s="59">
        <v>0</v>
      </c>
      <c r="K122" s="59">
        <v>1308.2932405339732</v>
      </c>
      <c r="L122" s="59">
        <v>30</v>
      </c>
      <c r="M122" s="59">
        <v>39.248797216019192</v>
      </c>
      <c r="N122" s="59">
        <v>1020000</v>
      </c>
      <c r="O122" s="59">
        <v>1308.2932405339732</v>
      </c>
    </row>
    <row r="123" spans="2:15" x14ac:dyDescent="0.35">
      <c r="B123" t="s">
        <v>1191</v>
      </c>
      <c r="D123" s="59"/>
      <c r="E123" s="59">
        <v>6050</v>
      </c>
      <c r="F123" s="59"/>
      <c r="G123" s="59">
        <v>8278.3800090252626</v>
      </c>
      <c r="H123" s="59"/>
      <c r="I123" s="59">
        <v>211654815.10179615</v>
      </c>
      <c r="J123" s="59">
        <v>0</v>
      </c>
      <c r="K123" s="59">
        <v>1368.3272742190518</v>
      </c>
      <c r="L123" s="59">
        <v>6050</v>
      </c>
      <c r="M123" s="59">
        <v>8278.3800090252626</v>
      </c>
      <c r="N123" s="59">
        <v>211654815.10179615</v>
      </c>
      <c r="O123" s="59">
        <v>1368.3272742190518</v>
      </c>
    </row>
    <row r="124" spans="2:15" x14ac:dyDescent="0.35">
      <c r="C124" t="s">
        <v>16</v>
      </c>
      <c r="D124" s="59"/>
      <c r="E124" s="59">
        <v>6050</v>
      </c>
      <c r="F124" s="59"/>
      <c r="G124" s="59">
        <v>8278.3800090252626</v>
      </c>
      <c r="H124" s="59"/>
      <c r="I124" s="59">
        <v>211654815.10179615</v>
      </c>
      <c r="J124" s="59">
        <v>0</v>
      </c>
      <c r="K124" s="59">
        <v>1368.3272742190518</v>
      </c>
      <c r="L124" s="59">
        <v>6050</v>
      </c>
      <c r="M124" s="59">
        <v>8278.3800090252626</v>
      </c>
      <c r="N124" s="59">
        <v>211654815.10179615</v>
      </c>
      <c r="O124" s="59">
        <v>1368.3272742190518</v>
      </c>
    </row>
    <row r="125" spans="2:15" x14ac:dyDescent="0.35">
      <c r="B125" t="s">
        <v>1192</v>
      </c>
      <c r="D125" s="59"/>
      <c r="E125" s="59">
        <v>1100</v>
      </c>
      <c r="F125" s="59"/>
      <c r="G125" s="59">
        <v>1047.3166535742341</v>
      </c>
      <c r="H125" s="59"/>
      <c r="I125" s="59">
        <v>26664682</v>
      </c>
      <c r="J125" s="59">
        <v>0</v>
      </c>
      <c r="K125" s="59">
        <v>952.10604870384918</v>
      </c>
      <c r="L125" s="59">
        <v>1100</v>
      </c>
      <c r="M125" s="59">
        <v>1047.3166535742341</v>
      </c>
      <c r="N125" s="59">
        <v>26664682</v>
      </c>
      <c r="O125" s="59">
        <v>952.10604870384918</v>
      </c>
    </row>
    <row r="126" spans="2:15" x14ac:dyDescent="0.35">
      <c r="C126" t="s">
        <v>146</v>
      </c>
      <c r="D126" s="59"/>
      <c r="E126" s="59">
        <v>1100</v>
      </c>
      <c r="F126" s="59"/>
      <c r="G126" s="59">
        <v>1047.3166535742341</v>
      </c>
      <c r="H126" s="59"/>
      <c r="I126" s="59">
        <v>26664682</v>
      </c>
      <c r="J126" s="59">
        <v>0</v>
      </c>
      <c r="K126" s="59">
        <v>952.10604870384918</v>
      </c>
      <c r="L126" s="59">
        <v>1100</v>
      </c>
      <c r="M126" s="59">
        <v>1047.3166535742341</v>
      </c>
      <c r="N126" s="59">
        <v>26664682</v>
      </c>
      <c r="O126" s="59">
        <v>952.10604870384918</v>
      </c>
    </row>
    <row r="127" spans="2:15" x14ac:dyDescent="0.35">
      <c r="B127" t="s">
        <v>1193</v>
      </c>
      <c r="D127" s="59"/>
      <c r="E127" s="59">
        <v>21500</v>
      </c>
      <c r="F127" s="59"/>
      <c r="G127" s="59">
        <v>25493.024967823807</v>
      </c>
      <c r="H127" s="59"/>
      <c r="I127" s="59">
        <v>662308788.6640625</v>
      </c>
      <c r="J127" s="59">
        <v>0</v>
      </c>
      <c r="K127" s="59">
        <v>1185.7220915266887</v>
      </c>
      <c r="L127" s="59">
        <v>21500</v>
      </c>
      <c r="M127" s="59">
        <v>25493.024967823807</v>
      </c>
      <c r="N127" s="59">
        <v>662308788.6640625</v>
      </c>
      <c r="O127" s="59">
        <v>1185.7220915266887</v>
      </c>
    </row>
    <row r="128" spans="2:15" x14ac:dyDescent="0.35">
      <c r="C128" t="s">
        <v>146</v>
      </c>
      <c r="D128" s="59"/>
      <c r="E128" s="59">
        <v>21500</v>
      </c>
      <c r="F128" s="59"/>
      <c r="G128" s="59">
        <v>25493.024967823807</v>
      </c>
      <c r="H128" s="59"/>
      <c r="I128" s="59">
        <v>662308788.6640625</v>
      </c>
      <c r="J128" s="59">
        <v>0</v>
      </c>
      <c r="K128" s="59">
        <v>1185.7220915266887</v>
      </c>
      <c r="L128" s="59">
        <v>21500</v>
      </c>
      <c r="M128" s="59">
        <v>25493.024967823807</v>
      </c>
      <c r="N128" s="59">
        <v>662308788.6640625</v>
      </c>
      <c r="O128" s="59">
        <v>1185.7220915266887</v>
      </c>
    </row>
    <row r="129" spans="1:15" x14ac:dyDescent="0.35">
      <c r="B129" t="s">
        <v>73</v>
      </c>
      <c r="D129" s="59"/>
      <c r="E129" s="59">
        <v>2000</v>
      </c>
      <c r="F129" s="59"/>
      <c r="G129" s="59">
        <v>2024.6762776535941</v>
      </c>
      <c r="H129" s="59"/>
      <c r="I129" s="59">
        <v>52479609.11678116</v>
      </c>
      <c r="J129" s="59">
        <v>0</v>
      </c>
      <c r="K129" s="59">
        <v>1012.3381388267971</v>
      </c>
      <c r="L129" s="59">
        <v>2000</v>
      </c>
      <c r="M129" s="59">
        <v>2024.6762776535941</v>
      </c>
      <c r="N129" s="59">
        <v>52479609.11678116</v>
      </c>
      <c r="O129" s="59">
        <v>1012.3381388267971</v>
      </c>
    </row>
    <row r="130" spans="1:15" x14ac:dyDescent="0.35">
      <c r="C130" t="s">
        <v>35</v>
      </c>
      <c r="D130" s="59"/>
      <c r="E130" s="59">
        <v>2000</v>
      </c>
      <c r="F130" s="59"/>
      <c r="G130" s="59">
        <v>2024.6762776535941</v>
      </c>
      <c r="H130" s="59"/>
      <c r="I130" s="59">
        <v>52479609.11678116</v>
      </c>
      <c r="J130" s="59">
        <v>0</v>
      </c>
      <c r="K130" s="59">
        <v>1012.3381388267971</v>
      </c>
      <c r="L130" s="59">
        <v>2000</v>
      </c>
      <c r="M130" s="59">
        <v>2024.6762776535941</v>
      </c>
      <c r="N130" s="59">
        <v>52479609.11678116</v>
      </c>
      <c r="O130" s="59">
        <v>1012.3381388267971</v>
      </c>
    </row>
    <row r="131" spans="1:15" x14ac:dyDescent="0.35">
      <c r="B131" t="s">
        <v>1194</v>
      </c>
      <c r="D131" s="59"/>
      <c r="E131" s="59">
        <v>444400</v>
      </c>
      <c r="F131" s="59"/>
      <c r="G131" s="59">
        <v>621487.88194599678</v>
      </c>
      <c r="H131" s="59"/>
      <c r="I131" s="59">
        <v>16267042051.414494</v>
      </c>
      <c r="J131" s="59">
        <v>0</v>
      </c>
      <c r="K131" s="59">
        <v>1398.4875831368065</v>
      </c>
      <c r="L131" s="59">
        <v>444400</v>
      </c>
      <c r="M131" s="59">
        <v>621487.88194599678</v>
      </c>
      <c r="N131" s="59">
        <v>16267042051.414494</v>
      </c>
      <c r="O131" s="59">
        <v>1398.4875831368065</v>
      </c>
    </row>
    <row r="132" spans="1:15" x14ac:dyDescent="0.35">
      <c r="C132" t="s">
        <v>16</v>
      </c>
      <c r="D132" s="59"/>
      <c r="E132" s="59">
        <v>444400</v>
      </c>
      <c r="F132" s="59"/>
      <c r="G132" s="59">
        <v>621487.88194599678</v>
      </c>
      <c r="H132" s="59"/>
      <c r="I132" s="59">
        <v>16267042051.414494</v>
      </c>
      <c r="J132" s="59">
        <v>0</v>
      </c>
      <c r="K132" s="59">
        <v>1398.4875831368065</v>
      </c>
      <c r="L132" s="59">
        <v>444400</v>
      </c>
      <c r="M132" s="59">
        <v>621487.88194599678</v>
      </c>
      <c r="N132" s="59">
        <v>16267042051.414494</v>
      </c>
      <c r="O132" s="59">
        <v>1398.4875831368065</v>
      </c>
    </row>
    <row r="133" spans="1:15" x14ac:dyDescent="0.35">
      <c r="A133" t="s">
        <v>75</v>
      </c>
      <c r="D133" s="59">
        <v>1734350</v>
      </c>
      <c r="E133" s="59">
        <v>2172025</v>
      </c>
      <c r="F133" s="59">
        <v>2458075.4020065451</v>
      </c>
      <c r="G133" s="59">
        <v>2785283.9322111085</v>
      </c>
      <c r="H133" s="59">
        <v>61168425426.169586</v>
      </c>
      <c r="I133" s="59">
        <v>71707921959.734375</v>
      </c>
      <c r="J133" s="59">
        <v>1417.2891296488858</v>
      </c>
      <c r="K133" s="59">
        <v>1282.3443248632534</v>
      </c>
      <c r="L133" s="59">
        <v>3906375</v>
      </c>
      <c r="M133" s="59">
        <v>5243359.3342176555</v>
      </c>
      <c r="N133" s="59">
        <v>132876347385.90396</v>
      </c>
      <c r="O133" s="59">
        <v>1342.257037334525</v>
      </c>
    </row>
    <row r="134" spans="1:15" x14ac:dyDescent="0.35">
      <c r="B134" t="s">
        <v>1195</v>
      </c>
      <c r="D134" s="59">
        <v>12350</v>
      </c>
      <c r="E134" s="59"/>
      <c r="F134" s="59">
        <v>17950.059123687846</v>
      </c>
      <c r="G134" s="59"/>
      <c r="H134" s="59">
        <v>437938730.5</v>
      </c>
      <c r="I134" s="59"/>
      <c r="J134" s="59">
        <v>1453.4460828897043</v>
      </c>
      <c r="K134" s="59">
        <v>0</v>
      </c>
      <c r="L134" s="59">
        <v>12350</v>
      </c>
      <c r="M134" s="59">
        <v>17950.059123687846</v>
      </c>
      <c r="N134" s="59">
        <v>437938730.5</v>
      </c>
      <c r="O134" s="59">
        <v>1453.4460828897043</v>
      </c>
    </row>
    <row r="135" spans="1:15" x14ac:dyDescent="0.35">
      <c r="C135" t="s">
        <v>47</v>
      </c>
      <c r="D135" s="59">
        <v>11300</v>
      </c>
      <c r="E135" s="59"/>
      <c r="F135" s="59">
        <v>16517.662761966269</v>
      </c>
      <c r="G135" s="59"/>
      <c r="H135" s="59">
        <v>402709400</v>
      </c>
      <c r="I135" s="59"/>
      <c r="J135" s="59">
        <v>1461.7400674306434</v>
      </c>
      <c r="K135" s="59">
        <v>0</v>
      </c>
      <c r="L135" s="59">
        <v>11300</v>
      </c>
      <c r="M135" s="59">
        <v>16517.662761966269</v>
      </c>
      <c r="N135" s="59">
        <v>402709400</v>
      </c>
      <c r="O135" s="59">
        <v>1461.7400674306434</v>
      </c>
    </row>
    <row r="136" spans="1:15" x14ac:dyDescent="0.35">
      <c r="C136" t="s">
        <v>1174</v>
      </c>
      <c r="D136" s="59">
        <v>1000</v>
      </c>
      <c r="E136" s="59"/>
      <c r="F136" s="59">
        <v>1364.1393519059638</v>
      </c>
      <c r="G136" s="59"/>
      <c r="H136" s="59">
        <v>33534000</v>
      </c>
      <c r="I136" s="59"/>
      <c r="J136" s="59">
        <v>1364.1393519059638</v>
      </c>
      <c r="K136" s="59">
        <v>0</v>
      </c>
      <c r="L136" s="59">
        <v>1000</v>
      </c>
      <c r="M136" s="59">
        <v>1364.1393519059638</v>
      </c>
      <c r="N136" s="59">
        <v>33534000</v>
      </c>
      <c r="O136" s="59">
        <v>1364.1393519059638</v>
      </c>
    </row>
    <row r="137" spans="1:15" x14ac:dyDescent="0.35">
      <c r="C137" t="s">
        <v>1196</v>
      </c>
      <c r="D137" s="59">
        <v>25</v>
      </c>
      <c r="E137" s="59"/>
      <c r="F137" s="59">
        <v>34.170368776606345</v>
      </c>
      <c r="G137" s="59"/>
      <c r="H137" s="59">
        <v>860692.49999999988</v>
      </c>
      <c r="I137" s="59"/>
      <c r="J137" s="59">
        <v>1366.8147510642539</v>
      </c>
      <c r="K137" s="59">
        <v>0</v>
      </c>
      <c r="L137" s="59">
        <v>25</v>
      </c>
      <c r="M137" s="59">
        <v>34.170368776606345</v>
      </c>
      <c r="N137" s="59">
        <v>860692.49999999988</v>
      </c>
      <c r="O137" s="59">
        <v>1366.8147510642539</v>
      </c>
    </row>
    <row r="138" spans="1:15" x14ac:dyDescent="0.35">
      <c r="C138" t="s">
        <v>1197</v>
      </c>
      <c r="D138" s="59">
        <v>25</v>
      </c>
      <c r="E138" s="59"/>
      <c r="F138" s="59">
        <v>34.086641039008484</v>
      </c>
      <c r="G138" s="59"/>
      <c r="H138" s="59">
        <v>834637.99999999988</v>
      </c>
      <c r="I138" s="59"/>
      <c r="J138" s="59">
        <v>1363.4656415603395</v>
      </c>
      <c r="K138" s="59">
        <v>0</v>
      </c>
      <c r="L138" s="59">
        <v>25</v>
      </c>
      <c r="M138" s="59">
        <v>34.086641039008484</v>
      </c>
      <c r="N138" s="59">
        <v>834637.99999999988</v>
      </c>
      <c r="O138" s="59">
        <v>1363.4656415603395</v>
      </c>
    </row>
    <row r="139" spans="1:15" x14ac:dyDescent="0.35">
      <c r="B139" t="s">
        <v>1198</v>
      </c>
      <c r="D139" s="59">
        <v>1321150</v>
      </c>
      <c r="E139" s="59">
        <v>962500</v>
      </c>
      <c r="F139" s="59">
        <v>1888827.0188676948</v>
      </c>
      <c r="G139" s="59">
        <v>1321279.2356888547</v>
      </c>
      <c r="H139" s="59">
        <v>46964488871.127037</v>
      </c>
      <c r="I139" s="59">
        <v>34006778516.777779</v>
      </c>
      <c r="J139" s="59">
        <v>1429.6840017164552</v>
      </c>
      <c r="K139" s="59">
        <v>1372.7576474689399</v>
      </c>
      <c r="L139" s="59">
        <v>2283650</v>
      </c>
      <c r="M139" s="59">
        <v>3210106.2545565497</v>
      </c>
      <c r="N139" s="59">
        <v>80971267387.904816</v>
      </c>
      <c r="O139" s="59">
        <v>1405.6910010538172</v>
      </c>
    </row>
    <row r="140" spans="1:15" x14ac:dyDescent="0.35">
      <c r="C140" t="s">
        <v>5</v>
      </c>
      <c r="D140" s="59">
        <v>775775</v>
      </c>
      <c r="E140" s="59">
        <v>962500</v>
      </c>
      <c r="F140" s="59">
        <v>1097635.7936942282</v>
      </c>
      <c r="G140" s="59">
        <v>1321279.2356888547</v>
      </c>
      <c r="H140" s="59">
        <v>27398475658.555611</v>
      </c>
      <c r="I140" s="59">
        <v>34006778516.777779</v>
      </c>
      <c r="J140" s="59">
        <v>1414.8893605674689</v>
      </c>
      <c r="K140" s="59">
        <v>1372.7576474689399</v>
      </c>
      <c r="L140" s="59">
        <v>1738275</v>
      </c>
      <c r="M140" s="59">
        <v>2418915.0293830829</v>
      </c>
      <c r="N140" s="59">
        <v>61405254175.333389</v>
      </c>
      <c r="O140" s="59">
        <v>1391.5606157731563</v>
      </c>
    </row>
    <row r="141" spans="1:15" x14ac:dyDescent="0.35">
      <c r="C141" t="s">
        <v>47</v>
      </c>
      <c r="D141" s="59">
        <v>420000</v>
      </c>
      <c r="E141" s="59"/>
      <c r="F141" s="59">
        <v>619950.11455894681</v>
      </c>
      <c r="G141" s="59"/>
      <c r="H141" s="59">
        <v>15291186602.571428</v>
      </c>
      <c r="I141" s="59"/>
      <c r="J141" s="59">
        <v>1476.0717013308258</v>
      </c>
      <c r="K141" s="59">
        <v>0</v>
      </c>
      <c r="L141" s="59">
        <v>420000</v>
      </c>
      <c r="M141" s="59">
        <v>619950.11455894681</v>
      </c>
      <c r="N141" s="59">
        <v>15291186602.571428</v>
      </c>
      <c r="O141" s="59">
        <v>1476.0717013308258</v>
      </c>
    </row>
    <row r="142" spans="1:15" x14ac:dyDescent="0.35">
      <c r="C142" t="s">
        <v>44</v>
      </c>
      <c r="D142" s="59">
        <v>110000</v>
      </c>
      <c r="E142" s="59"/>
      <c r="F142" s="59">
        <v>150749.41335662937</v>
      </c>
      <c r="G142" s="59"/>
      <c r="H142" s="59">
        <v>3767682600</v>
      </c>
      <c r="I142" s="59"/>
      <c r="J142" s="59">
        <v>1370.4492123329944</v>
      </c>
      <c r="K142" s="59">
        <v>0</v>
      </c>
      <c r="L142" s="59">
        <v>110000</v>
      </c>
      <c r="M142" s="59">
        <v>150749.41335662937</v>
      </c>
      <c r="N142" s="59">
        <v>3767682600</v>
      </c>
      <c r="O142" s="59">
        <v>1370.4492123329944</v>
      </c>
    </row>
    <row r="143" spans="1:15" x14ac:dyDescent="0.35">
      <c r="C143" t="s">
        <v>138</v>
      </c>
      <c r="D143" s="59">
        <v>12000</v>
      </c>
      <c r="E143" s="59"/>
      <c r="F143" s="59">
        <v>16296.268154158215</v>
      </c>
      <c r="G143" s="59"/>
      <c r="H143" s="59">
        <v>401703010</v>
      </c>
      <c r="I143" s="59"/>
      <c r="J143" s="59">
        <v>1358.0223461798512</v>
      </c>
      <c r="K143" s="59">
        <v>0</v>
      </c>
      <c r="L143" s="59">
        <v>12000</v>
      </c>
      <c r="M143" s="59">
        <v>16296.268154158215</v>
      </c>
      <c r="N143" s="59">
        <v>401703010</v>
      </c>
      <c r="O143" s="59">
        <v>1358.0223461798512</v>
      </c>
    </row>
    <row r="144" spans="1:15" x14ac:dyDescent="0.35">
      <c r="C144" t="s">
        <v>154</v>
      </c>
      <c r="D144" s="59">
        <v>3375</v>
      </c>
      <c r="E144" s="59"/>
      <c r="F144" s="59">
        <v>4195.4291037320818</v>
      </c>
      <c r="G144" s="59"/>
      <c r="H144" s="59">
        <v>105441000</v>
      </c>
      <c r="I144" s="59"/>
      <c r="J144" s="59">
        <v>1243.0901048095059</v>
      </c>
      <c r="K144" s="59">
        <v>0</v>
      </c>
      <c r="L144" s="59">
        <v>3375</v>
      </c>
      <c r="M144" s="59">
        <v>4195.4291037320818</v>
      </c>
      <c r="N144" s="59">
        <v>105441000</v>
      </c>
      <c r="O144" s="59">
        <v>1243.0901048095059</v>
      </c>
    </row>
    <row r="145" spans="2:15" x14ac:dyDescent="0.35">
      <c r="B145" t="s">
        <v>1199</v>
      </c>
      <c r="D145" s="59">
        <v>1000</v>
      </c>
      <c r="E145" s="59">
        <v>202100</v>
      </c>
      <c r="F145" s="59">
        <v>857.64063200953979</v>
      </c>
      <c r="G145" s="59">
        <v>126391.90683830342</v>
      </c>
      <c r="H145" s="59">
        <v>21000000</v>
      </c>
      <c r="I145" s="59">
        <v>3279951313</v>
      </c>
      <c r="J145" s="59">
        <v>857.64063200953979</v>
      </c>
      <c r="K145" s="59">
        <v>625.39290865068472</v>
      </c>
      <c r="L145" s="59">
        <v>203100</v>
      </c>
      <c r="M145" s="59">
        <v>127249.54747031296</v>
      </c>
      <c r="N145" s="59">
        <v>3300951313</v>
      </c>
      <c r="O145" s="59">
        <v>626.5364227981928</v>
      </c>
    </row>
    <row r="146" spans="2:15" x14ac:dyDescent="0.35">
      <c r="C146" t="s">
        <v>52</v>
      </c>
      <c r="D146" s="59"/>
      <c r="E146" s="59">
        <v>122625</v>
      </c>
      <c r="F146" s="59"/>
      <c r="G146" s="59">
        <v>73983.425864545192</v>
      </c>
      <c r="H146" s="59"/>
      <c r="I146" s="59">
        <v>1929691564</v>
      </c>
      <c r="J146" s="59">
        <v>0</v>
      </c>
      <c r="K146" s="59">
        <v>603.33069002687216</v>
      </c>
      <c r="L146" s="59">
        <v>122625</v>
      </c>
      <c r="M146" s="59">
        <v>73983.425864545192</v>
      </c>
      <c r="N146" s="59">
        <v>1929691564</v>
      </c>
      <c r="O146" s="59">
        <v>603.33069002687216</v>
      </c>
    </row>
    <row r="147" spans="2:15" x14ac:dyDescent="0.35">
      <c r="C147" t="s">
        <v>53</v>
      </c>
      <c r="D147" s="59">
        <v>1000</v>
      </c>
      <c r="E147" s="59">
        <v>50000</v>
      </c>
      <c r="F147" s="59">
        <v>857.64063200953979</v>
      </c>
      <c r="G147" s="59">
        <v>33311.355560016658</v>
      </c>
      <c r="H147" s="59">
        <v>21000000</v>
      </c>
      <c r="I147" s="59">
        <v>850000000</v>
      </c>
      <c r="J147" s="59">
        <v>857.64063200953979</v>
      </c>
      <c r="K147" s="59">
        <v>666.22711120033318</v>
      </c>
      <c r="L147" s="59">
        <v>51000</v>
      </c>
      <c r="M147" s="59">
        <v>34168.996192026199</v>
      </c>
      <c r="N147" s="59">
        <v>871000000</v>
      </c>
      <c r="O147" s="59">
        <v>669.98031749070969</v>
      </c>
    </row>
    <row r="148" spans="2:15" x14ac:dyDescent="0.35">
      <c r="C148" t="s">
        <v>50</v>
      </c>
      <c r="D148" s="59"/>
      <c r="E148" s="59">
        <v>27000</v>
      </c>
      <c r="F148" s="59"/>
      <c r="G148" s="59">
        <v>17415.545139153641</v>
      </c>
      <c r="H148" s="59"/>
      <c r="I148" s="59">
        <v>456809749</v>
      </c>
      <c r="J148" s="59">
        <v>0</v>
      </c>
      <c r="K148" s="59">
        <v>645.02019033902366</v>
      </c>
      <c r="L148" s="59">
        <v>27000</v>
      </c>
      <c r="M148" s="59">
        <v>17415.545139153641</v>
      </c>
      <c r="N148" s="59">
        <v>456809749</v>
      </c>
      <c r="O148" s="59">
        <v>645.02019033902366</v>
      </c>
    </row>
    <row r="149" spans="2:15" x14ac:dyDescent="0.35">
      <c r="C149" t="s">
        <v>54</v>
      </c>
      <c r="D149" s="59"/>
      <c r="E149" s="59">
        <v>1375</v>
      </c>
      <c r="F149" s="59"/>
      <c r="G149" s="59">
        <v>952.36052068281867</v>
      </c>
      <c r="H149" s="59"/>
      <c r="I149" s="59">
        <v>24750000</v>
      </c>
      <c r="J149" s="59">
        <v>0</v>
      </c>
      <c r="K149" s="59">
        <v>692.6258332238682</v>
      </c>
      <c r="L149" s="59">
        <v>1375</v>
      </c>
      <c r="M149" s="59">
        <v>952.36052068281867</v>
      </c>
      <c r="N149" s="59">
        <v>24750000</v>
      </c>
      <c r="O149" s="59">
        <v>692.6258332238682</v>
      </c>
    </row>
    <row r="150" spans="2:15" x14ac:dyDescent="0.35">
      <c r="C150" t="s">
        <v>152</v>
      </c>
      <c r="D150" s="59"/>
      <c r="E150" s="59">
        <v>1100</v>
      </c>
      <c r="F150" s="59"/>
      <c r="G150" s="59">
        <v>729.21975390510227</v>
      </c>
      <c r="H150" s="59"/>
      <c r="I150" s="59">
        <v>18700000</v>
      </c>
      <c r="J150" s="59">
        <v>0</v>
      </c>
      <c r="K150" s="59">
        <v>662.92704900463843</v>
      </c>
      <c r="L150" s="59">
        <v>1100</v>
      </c>
      <c r="M150" s="59">
        <v>729.21975390510227</v>
      </c>
      <c r="N150" s="59">
        <v>18700000</v>
      </c>
      <c r="O150" s="59">
        <v>662.92704900463843</v>
      </c>
    </row>
    <row r="151" spans="2:15" x14ac:dyDescent="0.35">
      <c r="B151" t="s">
        <v>1200</v>
      </c>
      <c r="D151" s="59">
        <v>1000</v>
      </c>
      <c r="E151" s="59"/>
      <c r="F151" s="59">
        <v>1364.1393519059638</v>
      </c>
      <c r="G151" s="59"/>
      <c r="H151" s="59">
        <v>33534000</v>
      </c>
      <c r="I151" s="59"/>
      <c r="J151" s="59">
        <v>1364.1393519059638</v>
      </c>
      <c r="K151" s="59">
        <v>0</v>
      </c>
      <c r="L151" s="59">
        <v>1000</v>
      </c>
      <c r="M151" s="59">
        <v>1364.1393519059638</v>
      </c>
      <c r="N151" s="59">
        <v>33534000</v>
      </c>
      <c r="O151" s="59">
        <v>1364.1393519059638</v>
      </c>
    </row>
    <row r="152" spans="2:15" x14ac:dyDescent="0.35">
      <c r="C152" t="s">
        <v>1174</v>
      </c>
      <c r="D152" s="59">
        <v>1000</v>
      </c>
      <c r="E152" s="59"/>
      <c r="F152" s="59">
        <v>1364.1393519059638</v>
      </c>
      <c r="G152" s="59"/>
      <c r="H152" s="59">
        <v>33534000</v>
      </c>
      <c r="I152" s="59"/>
      <c r="J152" s="59">
        <v>1364.1393519059638</v>
      </c>
      <c r="K152" s="59">
        <v>0</v>
      </c>
      <c r="L152" s="59">
        <v>1000</v>
      </c>
      <c r="M152" s="59">
        <v>1364.1393519059638</v>
      </c>
      <c r="N152" s="59">
        <v>33534000</v>
      </c>
      <c r="O152" s="59">
        <v>1364.1393519059638</v>
      </c>
    </row>
    <row r="153" spans="2:15" x14ac:dyDescent="0.35">
      <c r="B153" t="s">
        <v>1201</v>
      </c>
      <c r="D153" s="59">
        <v>1000</v>
      </c>
      <c r="E153" s="59"/>
      <c r="F153" s="59">
        <v>1364.1393519059638</v>
      </c>
      <c r="G153" s="59"/>
      <c r="H153" s="59">
        <v>33534000</v>
      </c>
      <c r="I153" s="59"/>
      <c r="J153" s="59">
        <v>1364.1393519059638</v>
      </c>
      <c r="K153" s="59">
        <v>0</v>
      </c>
      <c r="L153" s="59">
        <v>1000</v>
      </c>
      <c r="M153" s="59">
        <v>1364.1393519059638</v>
      </c>
      <c r="N153" s="59">
        <v>33534000</v>
      </c>
      <c r="O153" s="59">
        <v>1364.1393519059638</v>
      </c>
    </row>
    <row r="154" spans="2:15" x14ac:dyDescent="0.35">
      <c r="C154" t="s">
        <v>1174</v>
      </c>
      <c r="D154" s="59">
        <v>1000</v>
      </c>
      <c r="E154" s="59"/>
      <c r="F154" s="59">
        <v>1364.1393519059638</v>
      </c>
      <c r="G154" s="59"/>
      <c r="H154" s="59">
        <v>33534000</v>
      </c>
      <c r="I154" s="59"/>
      <c r="J154" s="59">
        <v>1364.1393519059638</v>
      </c>
      <c r="K154" s="59">
        <v>0</v>
      </c>
      <c r="L154" s="59">
        <v>1000</v>
      </c>
      <c r="M154" s="59">
        <v>1364.1393519059638</v>
      </c>
      <c r="N154" s="59">
        <v>33534000</v>
      </c>
      <c r="O154" s="59">
        <v>1364.1393519059638</v>
      </c>
    </row>
    <row r="155" spans="2:15" x14ac:dyDescent="0.35">
      <c r="B155" t="s">
        <v>1202</v>
      </c>
      <c r="D155" s="59">
        <v>49700</v>
      </c>
      <c r="E155" s="59">
        <v>275300</v>
      </c>
      <c r="F155" s="59">
        <v>67753.334975702703</v>
      </c>
      <c r="G155" s="59">
        <v>353410.44837564137</v>
      </c>
      <c r="H155" s="59">
        <v>1709106225.0000002</v>
      </c>
      <c r="I155" s="59">
        <v>9102084500</v>
      </c>
      <c r="J155" s="59">
        <v>1363.2461765734952</v>
      </c>
      <c r="K155" s="59">
        <v>1283.728472123652</v>
      </c>
      <c r="L155" s="59">
        <v>325000</v>
      </c>
      <c r="M155" s="59">
        <v>421163.78335134411</v>
      </c>
      <c r="N155" s="59">
        <v>10811190725</v>
      </c>
      <c r="O155" s="59">
        <v>1295.8885641579818</v>
      </c>
    </row>
    <row r="156" spans="2:15" x14ac:dyDescent="0.35">
      <c r="C156" t="s">
        <v>44</v>
      </c>
      <c r="D156" s="59">
        <v>49500</v>
      </c>
      <c r="E156" s="59">
        <v>275000</v>
      </c>
      <c r="F156" s="59">
        <v>67481.138036744655</v>
      </c>
      <c r="G156" s="59">
        <v>353015.5963990817</v>
      </c>
      <c r="H156" s="59">
        <v>1702233225.0000002</v>
      </c>
      <c r="I156" s="59">
        <v>9092065400</v>
      </c>
      <c r="J156" s="59">
        <v>1363.2553138736293</v>
      </c>
      <c r="K156" s="59">
        <v>1283.6930778148426</v>
      </c>
      <c r="L156" s="59">
        <v>324500</v>
      </c>
      <c r="M156" s="59">
        <v>420496.73443582637</v>
      </c>
      <c r="N156" s="59">
        <v>10794298625</v>
      </c>
      <c r="O156" s="59">
        <v>1295.8296900949965</v>
      </c>
    </row>
    <row r="157" spans="2:15" x14ac:dyDescent="0.35">
      <c r="C157" t="s">
        <v>48</v>
      </c>
      <c r="D157" s="59">
        <v>200</v>
      </c>
      <c r="E157" s="59">
        <v>300</v>
      </c>
      <c r="F157" s="59">
        <v>272.19693895804397</v>
      </c>
      <c r="G157" s="59">
        <v>394.85197655968977</v>
      </c>
      <c r="H157" s="59">
        <v>6873000</v>
      </c>
      <c r="I157" s="59">
        <v>10019100</v>
      </c>
      <c r="J157" s="59">
        <v>1360.9846947902197</v>
      </c>
      <c r="K157" s="59">
        <v>1316.173255198966</v>
      </c>
      <c r="L157" s="59">
        <v>500</v>
      </c>
      <c r="M157" s="59">
        <v>667.0489155177338</v>
      </c>
      <c r="N157" s="59">
        <v>16892100</v>
      </c>
      <c r="O157" s="59">
        <v>1334.0978310354676</v>
      </c>
    </row>
    <row r="158" spans="2:15" x14ac:dyDescent="0.35">
      <c r="B158" t="s">
        <v>1203</v>
      </c>
      <c r="D158" s="59">
        <v>28600</v>
      </c>
      <c r="E158" s="59">
        <v>42650</v>
      </c>
      <c r="F158" s="59">
        <v>38665.35806939067</v>
      </c>
      <c r="G158" s="59">
        <v>56087.469808486901</v>
      </c>
      <c r="H158" s="59">
        <v>966534015.28571427</v>
      </c>
      <c r="I158" s="59">
        <v>1441493902.3188648</v>
      </c>
      <c r="J158" s="59">
        <v>1351.9355968318414</v>
      </c>
      <c r="K158" s="59">
        <v>1315.0637704217327</v>
      </c>
      <c r="L158" s="59">
        <v>71250</v>
      </c>
      <c r="M158" s="59">
        <v>94752.827877877571</v>
      </c>
      <c r="N158" s="59">
        <v>2408027917.604579</v>
      </c>
      <c r="O158" s="59">
        <v>1329.86425091758</v>
      </c>
    </row>
    <row r="159" spans="2:15" x14ac:dyDescent="0.35">
      <c r="C159" t="s">
        <v>5</v>
      </c>
      <c r="D159" s="59">
        <v>11300</v>
      </c>
      <c r="E159" s="59">
        <v>37125</v>
      </c>
      <c r="F159" s="59">
        <v>15508.86293210373</v>
      </c>
      <c r="G159" s="59">
        <v>48978.222293351871</v>
      </c>
      <c r="H159" s="59">
        <v>382931100</v>
      </c>
      <c r="I159" s="59">
        <v>1257262777.3188648</v>
      </c>
      <c r="J159" s="59">
        <v>1372.4657462038699</v>
      </c>
      <c r="K159" s="59">
        <v>1319.2787149724409</v>
      </c>
      <c r="L159" s="59">
        <v>48425</v>
      </c>
      <c r="M159" s="59">
        <v>64487.085225455601</v>
      </c>
      <c r="N159" s="59">
        <v>1640193877.3188648</v>
      </c>
      <c r="O159" s="59">
        <v>1331.6899375416749</v>
      </c>
    </row>
    <row r="160" spans="2:15" x14ac:dyDescent="0.35">
      <c r="C160" t="s">
        <v>47</v>
      </c>
      <c r="D160" s="59">
        <v>17300</v>
      </c>
      <c r="E160" s="59">
        <v>5525</v>
      </c>
      <c r="F160" s="59">
        <v>23156.495137286936</v>
      </c>
      <c r="G160" s="59">
        <v>7109.2475151350272</v>
      </c>
      <c r="H160" s="59">
        <v>583602915.28571427</v>
      </c>
      <c r="I160" s="59">
        <v>184231125</v>
      </c>
      <c r="J160" s="59">
        <v>1338.5257304790136</v>
      </c>
      <c r="K160" s="59">
        <v>1286.7416316986476</v>
      </c>
      <c r="L160" s="59">
        <v>22825</v>
      </c>
      <c r="M160" s="59">
        <v>30265.742652421963</v>
      </c>
      <c r="N160" s="59">
        <v>767834040.28571427</v>
      </c>
      <c r="O160" s="59">
        <v>1325.9909157687607</v>
      </c>
    </row>
    <row r="161" spans="1:15" x14ac:dyDescent="0.35">
      <c r="B161" t="s">
        <v>1204</v>
      </c>
      <c r="D161" s="59">
        <v>239500</v>
      </c>
      <c r="E161" s="59">
        <v>297000</v>
      </c>
      <c r="F161" s="59">
        <v>328704.52608883299</v>
      </c>
      <c r="G161" s="59">
        <v>391496.38917000609</v>
      </c>
      <c r="H161" s="59">
        <v>8194158991.756835</v>
      </c>
      <c r="I161" s="59">
        <v>10067222440</v>
      </c>
      <c r="J161" s="59">
        <v>1372.4614868009728</v>
      </c>
      <c r="K161" s="59">
        <v>1318.1696605050711</v>
      </c>
      <c r="L161" s="59">
        <v>536500</v>
      </c>
      <c r="M161" s="59">
        <v>720200.91525883914</v>
      </c>
      <c r="N161" s="59">
        <v>18261381431.756836</v>
      </c>
      <c r="O161" s="59">
        <v>1342.4061794200168</v>
      </c>
    </row>
    <row r="162" spans="1:15" x14ac:dyDescent="0.35">
      <c r="C162" t="s">
        <v>5</v>
      </c>
      <c r="D162" s="59">
        <v>189500</v>
      </c>
      <c r="E162" s="59">
        <v>297000</v>
      </c>
      <c r="F162" s="59">
        <v>256682.27685884363</v>
      </c>
      <c r="G162" s="59">
        <v>391496.38917000609</v>
      </c>
      <c r="H162" s="59">
        <v>6412258991.756835</v>
      </c>
      <c r="I162" s="59">
        <v>10067222440</v>
      </c>
      <c r="J162" s="59">
        <v>1354.5238884371695</v>
      </c>
      <c r="K162" s="59">
        <v>1318.1696605050711</v>
      </c>
      <c r="L162" s="59">
        <v>486500</v>
      </c>
      <c r="M162" s="59">
        <v>648178.66602884978</v>
      </c>
      <c r="N162" s="59">
        <v>16479481431.756836</v>
      </c>
      <c r="O162" s="59">
        <v>1332.3302487746139</v>
      </c>
    </row>
    <row r="163" spans="1:15" x14ac:dyDescent="0.35">
      <c r="C163" t="s">
        <v>47</v>
      </c>
      <c r="D163" s="59">
        <v>50000</v>
      </c>
      <c r="E163" s="59"/>
      <c r="F163" s="59">
        <v>72022.249229989378</v>
      </c>
      <c r="G163" s="59"/>
      <c r="H163" s="59">
        <v>1781900000</v>
      </c>
      <c r="I163" s="59"/>
      <c r="J163" s="59">
        <v>1440.4449845997876</v>
      </c>
      <c r="K163" s="59">
        <v>0</v>
      </c>
      <c r="L163" s="59">
        <v>50000</v>
      </c>
      <c r="M163" s="59">
        <v>72022.249229989378</v>
      </c>
      <c r="N163" s="59">
        <v>1781900000</v>
      </c>
      <c r="O163" s="59">
        <v>1440.4449845997876</v>
      </c>
    </row>
    <row r="164" spans="1:15" x14ac:dyDescent="0.35">
      <c r="B164" t="s">
        <v>1205</v>
      </c>
      <c r="D164" s="59">
        <v>1000</v>
      </c>
      <c r="E164" s="59"/>
      <c r="F164" s="59">
        <v>1364.1393519059638</v>
      </c>
      <c r="G164" s="59"/>
      <c r="H164" s="59">
        <v>33534000</v>
      </c>
      <c r="I164" s="59"/>
      <c r="J164" s="59">
        <v>1364.1393519059638</v>
      </c>
      <c r="K164" s="59">
        <v>0</v>
      </c>
      <c r="L164" s="59">
        <v>1000</v>
      </c>
      <c r="M164" s="59">
        <v>1364.1393519059638</v>
      </c>
      <c r="N164" s="59">
        <v>33534000</v>
      </c>
      <c r="O164" s="59">
        <v>1364.1393519059638</v>
      </c>
    </row>
    <row r="165" spans="1:15" x14ac:dyDescent="0.35">
      <c r="C165" t="s">
        <v>1174</v>
      </c>
      <c r="D165" s="59">
        <v>1000</v>
      </c>
      <c r="E165" s="59"/>
      <c r="F165" s="59">
        <v>1364.1393519059638</v>
      </c>
      <c r="G165" s="59"/>
      <c r="H165" s="59">
        <v>33534000</v>
      </c>
      <c r="I165" s="59"/>
      <c r="J165" s="59">
        <v>1364.1393519059638</v>
      </c>
      <c r="K165" s="59">
        <v>0</v>
      </c>
      <c r="L165" s="59">
        <v>1000</v>
      </c>
      <c r="M165" s="59">
        <v>1364.1393519059638</v>
      </c>
      <c r="N165" s="59">
        <v>33534000</v>
      </c>
      <c r="O165" s="59">
        <v>1364.1393519059638</v>
      </c>
    </row>
    <row r="166" spans="1:15" x14ac:dyDescent="0.35">
      <c r="B166" t="s">
        <v>1206</v>
      </c>
      <c r="D166" s="59">
        <v>25</v>
      </c>
      <c r="E166" s="59">
        <v>202625</v>
      </c>
      <c r="F166" s="59">
        <v>35.436618440487806</v>
      </c>
      <c r="G166" s="59">
        <v>275957.80855737341</v>
      </c>
      <c r="H166" s="59">
        <v>893900</v>
      </c>
      <c r="I166" s="59">
        <v>7115443148</v>
      </c>
      <c r="J166" s="59">
        <v>1417.4647376195121</v>
      </c>
      <c r="K166" s="59">
        <v>1361.9139225533545</v>
      </c>
      <c r="L166" s="59">
        <v>202650</v>
      </c>
      <c r="M166" s="59">
        <v>275993.24517581391</v>
      </c>
      <c r="N166" s="59">
        <v>7116337048</v>
      </c>
      <c r="O166" s="59">
        <v>1361.9207756023386</v>
      </c>
    </row>
    <row r="167" spans="1:15" x14ac:dyDescent="0.35">
      <c r="C167" t="s">
        <v>46</v>
      </c>
      <c r="D167" s="59"/>
      <c r="E167" s="59">
        <v>198000</v>
      </c>
      <c r="F167" s="59"/>
      <c r="G167" s="59">
        <v>269502.51900263468</v>
      </c>
      <c r="H167" s="59"/>
      <c r="I167" s="59">
        <v>6948694488</v>
      </c>
      <c r="J167" s="59">
        <v>0</v>
      </c>
      <c r="K167" s="59">
        <v>1361.1238333466397</v>
      </c>
      <c r="L167" s="59">
        <v>198000</v>
      </c>
      <c r="M167" s="59">
        <v>269502.51900263468</v>
      </c>
      <c r="N167" s="59">
        <v>6948694488</v>
      </c>
      <c r="O167" s="59">
        <v>1361.1238333466397</v>
      </c>
    </row>
    <row r="168" spans="1:15" x14ac:dyDescent="0.35">
      <c r="C168" t="s">
        <v>42</v>
      </c>
      <c r="D168" s="59"/>
      <c r="E168" s="59">
        <v>4125</v>
      </c>
      <c r="F168" s="59"/>
      <c r="G168" s="59">
        <v>5781.251837524178</v>
      </c>
      <c r="H168" s="59"/>
      <c r="I168" s="59">
        <v>149445360</v>
      </c>
      <c r="J168" s="59">
        <v>0</v>
      </c>
      <c r="K168" s="59">
        <v>1401.5155969755583</v>
      </c>
      <c r="L168" s="59">
        <v>4125</v>
      </c>
      <c r="M168" s="59">
        <v>5781.251837524178</v>
      </c>
      <c r="N168" s="59">
        <v>149445360</v>
      </c>
      <c r="O168" s="59">
        <v>1401.5155969755583</v>
      </c>
    </row>
    <row r="169" spans="1:15" x14ac:dyDescent="0.35">
      <c r="C169" t="s">
        <v>151</v>
      </c>
      <c r="D169" s="59"/>
      <c r="E169" s="59">
        <v>500</v>
      </c>
      <c r="F169" s="59"/>
      <c r="G169" s="59">
        <v>674.03771721457042</v>
      </c>
      <c r="H169" s="59"/>
      <c r="I169" s="59">
        <v>17303300</v>
      </c>
      <c r="J169" s="59">
        <v>0</v>
      </c>
      <c r="K169" s="59">
        <v>1348.0754344291408</v>
      </c>
      <c r="L169" s="59">
        <v>500</v>
      </c>
      <c r="M169" s="59">
        <v>674.03771721457042</v>
      </c>
      <c r="N169" s="59">
        <v>17303300</v>
      </c>
      <c r="O169" s="59">
        <v>1348.0754344291408</v>
      </c>
    </row>
    <row r="170" spans="1:15" x14ac:dyDescent="0.35">
      <c r="C170" t="s">
        <v>1207</v>
      </c>
      <c r="D170" s="59">
        <v>25</v>
      </c>
      <c r="E170" s="59"/>
      <c r="F170" s="59">
        <v>35.436618440487806</v>
      </c>
      <c r="G170" s="59"/>
      <c r="H170" s="59">
        <v>893900</v>
      </c>
      <c r="I170" s="59"/>
      <c r="J170" s="59">
        <v>1417.4647376195121</v>
      </c>
      <c r="K170" s="59">
        <v>0</v>
      </c>
      <c r="L170" s="59">
        <v>25</v>
      </c>
      <c r="M170" s="59">
        <v>35.436618440487806</v>
      </c>
      <c r="N170" s="59">
        <v>893900</v>
      </c>
      <c r="O170" s="59">
        <v>1417.4647376195121</v>
      </c>
    </row>
    <row r="171" spans="1:15" x14ac:dyDescent="0.35">
      <c r="B171" t="s">
        <v>1208</v>
      </c>
      <c r="D171" s="59">
        <v>79025</v>
      </c>
      <c r="E171" s="59">
        <v>189000</v>
      </c>
      <c r="F171" s="59">
        <v>111189.60957506865</v>
      </c>
      <c r="G171" s="59">
        <v>259525.15070166756</v>
      </c>
      <c r="H171" s="59">
        <v>2773702692.5</v>
      </c>
      <c r="I171" s="59">
        <v>6665884990.6377296</v>
      </c>
      <c r="J171" s="59">
        <v>1407.0181534333269</v>
      </c>
      <c r="K171" s="59">
        <v>1373.1489455114686</v>
      </c>
      <c r="L171" s="59">
        <v>268025</v>
      </c>
      <c r="M171" s="59">
        <v>370714.76027673617</v>
      </c>
      <c r="N171" s="59">
        <v>9439587683.1377296</v>
      </c>
      <c r="O171" s="59">
        <v>1383.1350070953686</v>
      </c>
    </row>
    <row r="172" spans="1:15" x14ac:dyDescent="0.35">
      <c r="C172" t="s">
        <v>5</v>
      </c>
      <c r="D172" s="59">
        <v>79000</v>
      </c>
      <c r="E172" s="59">
        <v>189000</v>
      </c>
      <c r="F172" s="59">
        <v>111155.43920629204</v>
      </c>
      <c r="G172" s="59">
        <v>259525.15070166756</v>
      </c>
      <c r="H172" s="59">
        <v>2772842000</v>
      </c>
      <c r="I172" s="59">
        <v>6665884990.6377296</v>
      </c>
      <c r="J172" s="59">
        <v>1407.0308760290131</v>
      </c>
      <c r="K172" s="59">
        <v>1373.1489455114686</v>
      </c>
      <c r="L172" s="59">
        <v>268000</v>
      </c>
      <c r="M172" s="59">
        <v>370680.58990795957</v>
      </c>
      <c r="N172" s="59">
        <v>9438726990.6377296</v>
      </c>
      <c r="O172" s="59">
        <v>1383.1365295073119</v>
      </c>
    </row>
    <row r="173" spans="1:15" x14ac:dyDescent="0.35">
      <c r="C173" t="s">
        <v>1196</v>
      </c>
      <c r="D173" s="59">
        <v>25</v>
      </c>
      <c r="E173" s="59"/>
      <c r="F173" s="59">
        <v>34.170368776606345</v>
      </c>
      <c r="G173" s="59"/>
      <c r="H173" s="59">
        <v>860692.49999999988</v>
      </c>
      <c r="I173" s="59"/>
      <c r="J173" s="59">
        <v>1366.8147510642539</v>
      </c>
      <c r="K173" s="59">
        <v>0</v>
      </c>
      <c r="L173" s="59">
        <v>25</v>
      </c>
      <c r="M173" s="59">
        <v>34.170368776606345</v>
      </c>
      <c r="N173" s="59">
        <v>860692.49999999988</v>
      </c>
      <c r="O173" s="59">
        <v>1366.8147510642539</v>
      </c>
    </row>
    <row r="174" spans="1:15" x14ac:dyDescent="0.35">
      <c r="B174" t="s">
        <v>1209</v>
      </c>
      <c r="D174" s="59"/>
      <c r="E174" s="59">
        <v>850</v>
      </c>
      <c r="F174" s="59"/>
      <c r="G174" s="59">
        <v>1135.5230707750322</v>
      </c>
      <c r="H174" s="59"/>
      <c r="I174" s="59">
        <v>29063148.999999989</v>
      </c>
      <c r="J174" s="59">
        <v>0</v>
      </c>
      <c r="K174" s="59">
        <v>1335.9094950294498</v>
      </c>
      <c r="L174" s="59">
        <v>850</v>
      </c>
      <c r="M174" s="59">
        <v>1135.5230707750322</v>
      </c>
      <c r="N174" s="59">
        <v>29063148.999999989</v>
      </c>
      <c r="O174" s="59">
        <v>1335.9094950294498</v>
      </c>
    </row>
    <row r="175" spans="1:15" x14ac:dyDescent="0.35">
      <c r="C175" t="s">
        <v>47</v>
      </c>
      <c r="D175" s="59"/>
      <c r="E175" s="59">
        <v>850</v>
      </c>
      <c r="F175" s="59"/>
      <c r="G175" s="59">
        <v>1135.5230707750322</v>
      </c>
      <c r="H175" s="59"/>
      <c r="I175" s="59">
        <v>29063148.999999989</v>
      </c>
      <c r="J175" s="59">
        <v>0</v>
      </c>
      <c r="K175" s="59">
        <v>1335.9094950294498</v>
      </c>
      <c r="L175" s="59">
        <v>850</v>
      </c>
      <c r="M175" s="59">
        <v>1135.5230707750322</v>
      </c>
      <c r="N175" s="59">
        <v>29063148.999999989</v>
      </c>
      <c r="O175" s="59">
        <v>1335.9094950294498</v>
      </c>
    </row>
    <row r="176" spans="1:15" x14ac:dyDescent="0.35">
      <c r="A176" t="s">
        <v>86</v>
      </c>
      <c r="D176" s="59">
        <v>1768165</v>
      </c>
      <c r="E176" s="59">
        <v>1463404</v>
      </c>
      <c r="F176" s="59">
        <v>401029.637007838</v>
      </c>
      <c r="G176" s="59">
        <v>442690.38072713598</v>
      </c>
      <c r="H176" s="59">
        <v>9996650305</v>
      </c>
      <c r="I176" s="59">
        <v>11439814029.136002</v>
      </c>
      <c r="J176" s="59">
        <v>226.80555095697406</v>
      </c>
      <c r="K176" s="59">
        <v>302.50729171652921</v>
      </c>
      <c r="L176" s="59">
        <v>3231569</v>
      </c>
      <c r="M176" s="59">
        <v>843720.01773497369</v>
      </c>
      <c r="N176" s="59">
        <v>21436464334.136002</v>
      </c>
      <c r="O176" s="59">
        <v>261.08680264446582</v>
      </c>
    </row>
    <row r="177" spans="2:15" x14ac:dyDescent="0.35">
      <c r="B177" t="s">
        <v>1210</v>
      </c>
      <c r="D177" s="59">
        <v>6678</v>
      </c>
      <c r="E177" s="59"/>
      <c r="F177" s="59">
        <v>6164.2902314025514</v>
      </c>
      <c r="G177" s="59"/>
      <c r="H177" s="59">
        <v>150255000</v>
      </c>
      <c r="I177" s="59"/>
      <c r="J177" s="59">
        <v>923.07430838612629</v>
      </c>
      <c r="K177" s="59">
        <v>0</v>
      </c>
      <c r="L177" s="59">
        <v>6678</v>
      </c>
      <c r="M177" s="59">
        <v>6164.2902314025514</v>
      </c>
      <c r="N177" s="59">
        <v>150255000</v>
      </c>
      <c r="O177" s="59">
        <v>923.07430838612629</v>
      </c>
    </row>
    <row r="178" spans="2:15" x14ac:dyDescent="0.35">
      <c r="C178" t="s">
        <v>1211</v>
      </c>
      <c r="D178" s="59">
        <v>6678</v>
      </c>
      <c r="E178" s="59"/>
      <c r="F178" s="59">
        <v>6164.2902314025514</v>
      </c>
      <c r="G178" s="59"/>
      <c r="H178" s="59">
        <v>150255000</v>
      </c>
      <c r="I178" s="59"/>
      <c r="J178" s="59">
        <v>923.07430838612629</v>
      </c>
      <c r="K178" s="59">
        <v>0</v>
      </c>
      <c r="L178" s="59">
        <v>6678</v>
      </c>
      <c r="M178" s="59">
        <v>6164.2902314025514</v>
      </c>
      <c r="N178" s="59">
        <v>150255000</v>
      </c>
      <c r="O178" s="59">
        <v>923.07430838612629</v>
      </c>
    </row>
    <row r="179" spans="2:15" x14ac:dyDescent="0.35">
      <c r="B179" t="s">
        <v>1212</v>
      </c>
      <c r="D179" s="59"/>
      <c r="E179" s="59">
        <v>3883</v>
      </c>
      <c r="F179" s="59"/>
      <c r="G179" s="59">
        <v>2809.6037218968368</v>
      </c>
      <c r="H179" s="59"/>
      <c r="I179" s="59">
        <v>72288200</v>
      </c>
      <c r="J179" s="59">
        <v>0</v>
      </c>
      <c r="K179" s="59">
        <v>723.56521295308698</v>
      </c>
      <c r="L179" s="59">
        <v>3883</v>
      </c>
      <c r="M179" s="59">
        <v>2809.6037218968368</v>
      </c>
      <c r="N179" s="59">
        <v>72288200</v>
      </c>
      <c r="O179" s="59">
        <v>723.56521295308698</v>
      </c>
    </row>
    <row r="180" spans="2:15" x14ac:dyDescent="0.35">
      <c r="C180" t="s">
        <v>1213</v>
      </c>
      <c r="D180" s="59"/>
      <c r="E180" s="59">
        <v>3883</v>
      </c>
      <c r="F180" s="59"/>
      <c r="G180" s="59">
        <v>2809.6037218968368</v>
      </c>
      <c r="H180" s="59"/>
      <c r="I180" s="59">
        <v>72288200</v>
      </c>
      <c r="J180" s="59">
        <v>0</v>
      </c>
      <c r="K180" s="59">
        <v>723.56521295308698</v>
      </c>
      <c r="L180" s="59">
        <v>3883</v>
      </c>
      <c r="M180" s="59">
        <v>2809.6037218968368</v>
      </c>
      <c r="N180" s="59">
        <v>72288200</v>
      </c>
      <c r="O180" s="59">
        <v>723.56521295308698</v>
      </c>
    </row>
    <row r="181" spans="2:15" x14ac:dyDescent="0.35">
      <c r="B181" t="s">
        <v>1214</v>
      </c>
      <c r="D181" s="59">
        <v>552</v>
      </c>
      <c r="E181" s="59"/>
      <c r="F181" s="59">
        <v>415.36468729695412</v>
      </c>
      <c r="G181" s="59"/>
      <c r="H181" s="59">
        <v>10488000</v>
      </c>
      <c r="I181" s="59"/>
      <c r="J181" s="59">
        <v>752.47225959593129</v>
      </c>
      <c r="K181" s="59">
        <v>0</v>
      </c>
      <c r="L181" s="59">
        <v>552</v>
      </c>
      <c r="M181" s="59">
        <v>415.36468729695412</v>
      </c>
      <c r="N181" s="59">
        <v>10488000</v>
      </c>
      <c r="O181" s="59">
        <v>752.47225959593129</v>
      </c>
    </row>
    <row r="182" spans="2:15" x14ac:dyDescent="0.35">
      <c r="C182" t="s">
        <v>1211</v>
      </c>
      <c r="D182" s="59">
        <v>552</v>
      </c>
      <c r="E182" s="59"/>
      <c r="F182" s="59">
        <v>415.36468729695412</v>
      </c>
      <c r="G182" s="59"/>
      <c r="H182" s="59">
        <v>10488000</v>
      </c>
      <c r="I182" s="59"/>
      <c r="J182" s="59">
        <v>752.47225959593129</v>
      </c>
      <c r="K182" s="59">
        <v>0</v>
      </c>
      <c r="L182" s="59">
        <v>552</v>
      </c>
      <c r="M182" s="59">
        <v>415.36468729695412</v>
      </c>
      <c r="N182" s="59">
        <v>10488000</v>
      </c>
      <c r="O182" s="59">
        <v>752.47225959593129</v>
      </c>
    </row>
    <row r="183" spans="2:15" x14ac:dyDescent="0.35">
      <c r="B183" t="s">
        <v>1215</v>
      </c>
      <c r="D183" s="59">
        <v>179974</v>
      </c>
      <c r="E183" s="59">
        <v>160562</v>
      </c>
      <c r="F183" s="59">
        <v>151173.21576816001</v>
      </c>
      <c r="G183" s="59">
        <v>124868.94480728885</v>
      </c>
      <c r="H183" s="59">
        <v>3766412600</v>
      </c>
      <c r="I183" s="59">
        <v>3213395200</v>
      </c>
      <c r="J183" s="59">
        <v>839.97252807716688</v>
      </c>
      <c r="K183" s="59">
        <v>777.69923647742826</v>
      </c>
      <c r="L183" s="59">
        <v>340536</v>
      </c>
      <c r="M183" s="59">
        <v>276042.16057544883</v>
      </c>
      <c r="N183" s="59">
        <v>6979807800</v>
      </c>
      <c r="O183" s="59">
        <v>810.61080348465021</v>
      </c>
    </row>
    <row r="184" spans="2:15" x14ac:dyDescent="0.35">
      <c r="C184" t="s">
        <v>1211</v>
      </c>
      <c r="D184" s="59">
        <v>75472</v>
      </c>
      <c r="E184" s="59">
        <v>116092</v>
      </c>
      <c r="F184" s="59">
        <v>62814.106422641511</v>
      </c>
      <c r="G184" s="59">
        <v>89278.229983876648</v>
      </c>
      <c r="H184" s="59">
        <v>1568493200</v>
      </c>
      <c r="I184" s="59">
        <v>2307870200</v>
      </c>
      <c r="J184" s="59">
        <v>832.28358096567615</v>
      </c>
      <c r="K184" s="59">
        <v>769.02999331458363</v>
      </c>
      <c r="L184" s="59">
        <v>191564</v>
      </c>
      <c r="M184" s="59">
        <v>152092.33640651815</v>
      </c>
      <c r="N184" s="59">
        <v>3876363400</v>
      </c>
      <c r="O184" s="59">
        <v>793.95051474451441</v>
      </c>
    </row>
    <row r="185" spans="2:15" x14ac:dyDescent="0.35">
      <c r="C185" t="s">
        <v>1216</v>
      </c>
      <c r="D185" s="59">
        <v>104502</v>
      </c>
      <c r="E185" s="59">
        <v>32098</v>
      </c>
      <c r="F185" s="59">
        <v>88359.109345518489</v>
      </c>
      <c r="G185" s="59">
        <v>25938.978710445146</v>
      </c>
      <c r="H185" s="59">
        <v>2197919400</v>
      </c>
      <c r="I185" s="59">
        <v>659026300</v>
      </c>
      <c r="J185" s="59">
        <v>845.5255339181881</v>
      </c>
      <c r="K185" s="59">
        <v>808.11822264456191</v>
      </c>
      <c r="L185" s="59">
        <v>136600</v>
      </c>
      <c r="M185" s="59">
        <v>114298.08805596363</v>
      </c>
      <c r="N185" s="59">
        <v>2856945700</v>
      </c>
      <c r="O185" s="59">
        <v>836.73563730573665</v>
      </c>
    </row>
    <row r="186" spans="2:15" x14ac:dyDescent="0.35">
      <c r="C186" t="s">
        <v>1213</v>
      </c>
      <c r="D186" s="59"/>
      <c r="E186" s="59">
        <v>12372</v>
      </c>
      <c r="F186" s="59"/>
      <c r="G186" s="59">
        <v>9651.7361129670462</v>
      </c>
      <c r="H186" s="59"/>
      <c r="I186" s="59">
        <v>246498700</v>
      </c>
      <c r="J186" s="59">
        <v>0</v>
      </c>
      <c r="K186" s="59">
        <v>780.12739354728785</v>
      </c>
      <c r="L186" s="59">
        <v>12372</v>
      </c>
      <c r="M186" s="59">
        <v>9651.7361129670462</v>
      </c>
      <c r="N186" s="59">
        <v>246498700</v>
      </c>
      <c r="O186" s="59">
        <v>780.12739354728785</v>
      </c>
    </row>
    <row r="187" spans="2:15" x14ac:dyDescent="0.35">
      <c r="B187" t="s">
        <v>1217</v>
      </c>
      <c r="D187" s="59">
        <v>4340</v>
      </c>
      <c r="E187" s="59"/>
      <c r="F187" s="59">
        <v>3265.7296066463418</v>
      </c>
      <c r="G187" s="59"/>
      <c r="H187" s="59">
        <v>82460000</v>
      </c>
      <c r="I187" s="59"/>
      <c r="J187" s="59">
        <v>752.47225959593129</v>
      </c>
      <c r="K187" s="59">
        <v>0</v>
      </c>
      <c r="L187" s="59">
        <v>4340</v>
      </c>
      <c r="M187" s="59">
        <v>3265.7296066463418</v>
      </c>
      <c r="N187" s="59">
        <v>82460000</v>
      </c>
      <c r="O187" s="59">
        <v>752.47225959593129</v>
      </c>
    </row>
    <row r="188" spans="2:15" x14ac:dyDescent="0.35">
      <c r="C188" t="s">
        <v>1211</v>
      </c>
      <c r="D188" s="59">
        <v>4340</v>
      </c>
      <c r="E188" s="59"/>
      <c r="F188" s="59">
        <v>3265.7296066463418</v>
      </c>
      <c r="G188" s="59"/>
      <c r="H188" s="59">
        <v>82460000</v>
      </c>
      <c r="I188" s="59"/>
      <c r="J188" s="59">
        <v>752.47225959593129</v>
      </c>
      <c r="K188" s="59">
        <v>0</v>
      </c>
      <c r="L188" s="59">
        <v>4340</v>
      </c>
      <c r="M188" s="59">
        <v>3265.7296066463418</v>
      </c>
      <c r="N188" s="59">
        <v>82460000</v>
      </c>
      <c r="O188" s="59">
        <v>752.47225959593129</v>
      </c>
    </row>
    <row r="189" spans="2:15" x14ac:dyDescent="0.35">
      <c r="B189" t="s">
        <v>1218</v>
      </c>
      <c r="D189" s="59">
        <v>9000</v>
      </c>
      <c r="E189" s="59"/>
      <c r="F189" s="59">
        <v>6772.2503363633823</v>
      </c>
      <c r="G189" s="59"/>
      <c r="H189" s="59">
        <v>171000000</v>
      </c>
      <c r="I189" s="59"/>
      <c r="J189" s="59">
        <v>752.47225959593129</v>
      </c>
      <c r="K189" s="59">
        <v>0</v>
      </c>
      <c r="L189" s="59">
        <v>9000</v>
      </c>
      <c r="M189" s="59">
        <v>6772.2503363633823</v>
      </c>
      <c r="N189" s="59">
        <v>171000000</v>
      </c>
      <c r="O189" s="59">
        <v>752.47225959593129</v>
      </c>
    </row>
    <row r="190" spans="2:15" x14ac:dyDescent="0.35">
      <c r="C190" t="s">
        <v>1211</v>
      </c>
      <c r="D190" s="59">
        <v>9000</v>
      </c>
      <c r="E190" s="59"/>
      <c r="F190" s="59">
        <v>6772.2503363633823</v>
      </c>
      <c r="G190" s="59"/>
      <c r="H190" s="59">
        <v>171000000</v>
      </c>
      <c r="I190" s="59"/>
      <c r="J190" s="59">
        <v>752.47225959593129</v>
      </c>
      <c r="K190" s="59">
        <v>0</v>
      </c>
      <c r="L190" s="59">
        <v>9000</v>
      </c>
      <c r="M190" s="59">
        <v>6772.2503363633823</v>
      </c>
      <c r="N190" s="59">
        <v>171000000</v>
      </c>
      <c r="O190" s="59">
        <v>752.47225959593129</v>
      </c>
    </row>
    <row r="191" spans="2:15" x14ac:dyDescent="0.35">
      <c r="B191" t="s">
        <v>1219</v>
      </c>
      <c r="D191" s="59">
        <v>500</v>
      </c>
      <c r="E191" s="59"/>
      <c r="F191" s="59">
        <v>376.23612979796565</v>
      </c>
      <c r="G191" s="59"/>
      <c r="H191" s="59">
        <v>9500000</v>
      </c>
      <c r="I191" s="59"/>
      <c r="J191" s="59">
        <v>752.47225959593129</v>
      </c>
      <c r="K191" s="59">
        <v>0</v>
      </c>
      <c r="L191" s="59">
        <v>500</v>
      </c>
      <c r="M191" s="59">
        <v>376.23612979796565</v>
      </c>
      <c r="N191" s="59">
        <v>9500000</v>
      </c>
      <c r="O191" s="59">
        <v>752.47225959593129</v>
      </c>
    </row>
    <row r="192" spans="2:15" x14ac:dyDescent="0.35">
      <c r="C192" t="s">
        <v>1211</v>
      </c>
      <c r="D192" s="59">
        <v>500</v>
      </c>
      <c r="E192" s="59"/>
      <c r="F192" s="59">
        <v>376.23612979796565</v>
      </c>
      <c r="G192" s="59"/>
      <c r="H192" s="59">
        <v>9500000</v>
      </c>
      <c r="I192" s="59"/>
      <c r="J192" s="59">
        <v>752.47225959593129</v>
      </c>
      <c r="K192" s="59">
        <v>0</v>
      </c>
      <c r="L192" s="59">
        <v>500</v>
      </c>
      <c r="M192" s="59">
        <v>376.23612979796565</v>
      </c>
      <c r="N192" s="59">
        <v>9500000</v>
      </c>
      <c r="O192" s="59">
        <v>752.47225959593129</v>
      </c>
    </row>
    <row r="193" spans="2:15" x14ac:dyDescent="0.35">
      <c r="B193" t="s">
        <v>1220</v>
      </c>
      <c r="D193" s="59"/>
      <c r="E193" s="59">
        <v>14422</v>
      </c>
      <c r="F193" s="59"/>
      <c r="G193" s="59">
        <v>50.947920860320473</v>
      </c>
      <c r="H193" s="59"/>
      <c r="I193" s="59">
        <v>1335370</v>
      </c>
      <c r="J193" s="59">
        <v>0</v>
      </c>
      <c r="K193" s="59">
        <v>3.5326529510692328</v>
      </c>
      <c r="L193" s="59">
        <v>14422</v>
      </c>
      <c r="M193" s="59">
        <v>50.947920860320473</v>
      </c>
      <c r="N193" s="59">
        <v>1335370</v>
      </c>
      <c r="O193" s="59">
        <v>3.5326529510692328</v>
      </c>
    </row>
    <row r="194" spans="2:15" x14ac:dyDescent="0.35">
      <c r="C194" t="s">
        <v>156</v>
      </c>
      <c r="D194" s="59"/>
      <c r="E194" s="59">
        <v>14422</v>
      </c>
      <c r="F194" s="59"/>
      <c r="G194" s="59">
        <v>50.947920860320473</v>
      </c>
      <c r="H194" s="59"/>
      <c r="I194" s="59">
        <v>1335370</v>
      </c>
      <c r="J194" s="59">
        <v>0</v>
      </c>
      <c r="K194" s="59">
        <v>3.5326529510692328</v>
      </c>
      <c r="L194" s="59">
        <v>14422</v>
      </c>
      <c r="M194" s="59">
        <v>50.947920860320473</v>
      </c>
      <c r="N194" s="59">
        <v>1335370</v>
      </c>
      <c r="O194" s="59">
        <v>3.5326529510692328</v>
      </c>
    </row>
    <row r="195" spans="2:15" x14ac:dyDescent="0.35">
      <c r="B195" t="s">
        <v>1221</v>
      </c>
      <c r="D195" s="59"/>
      <c r="E195" s="59">
        <v>207371</v>
      </c>
      <c r="F195" s="59"/>
      <c r="G195" s="59">
        <v>88118.264123147746</v>
      </c>
      <c r="H195" s="59"/>
      <c r="I195" s="59">
        <v>2304755552.2338753</v>
      </c>
      <c r="J195" s="59">
        <v>0</v>
      </c>
      <c r="K195" s="59">
        <v>424.93050678806458</v>
      </c>
      <c r="L195" s="59">
        <v>207371</v>
      </c>
      <c r="M195" s="59">
        <v>88118.264123147746</v>
      </c>
      <c r="N195" s="59">
        <v>2304755552.2338753</v>
      </c>
      <c r="O195" s="59">
        <v>424.93050678806458</v>
      </c>
    </row>
    <row r="196" spans="2:15" x14ac:dyDescent="0.35">
      <c r="C196" t="s">
        <v>56</v>
      </c>
      <c r="D196" s="59"/>
      <c r="E196" s="59">
        <v>206371</v>
      </c>
      <c r="F196" s="59"/>
      <c r="G196" s="59">
        <v>87669.947357101919</v>
      </c>
      <c r="H196" s="59"/>
      <c r="I196" s="59">
        <v>2293039705.4787593</v>
      </c>
      <c r="J196" s="59">
        <v>0</v>
      </c>
      <c r="K196" s="59">
        <v>424.81718534630306</v>
      </c>
      <c r="L196" s="59">
        <v>206371</v>
      </c>
      <c r="M196" s="59">
        <v>87669.947357101919</v>
      </c>
      <c r="N196" s="59">
        <v>2293039705.4787593</v>
      </c>
      <c r="O196" s="59">
        <v>424.81718534630306</v>
      </c>
    </row>
    <row r="197" spans="2:15" x14ac:dyDescent="0.35">
      <c r="C197" t="s">
        <v>58</v>
      </c>
      <c r="D197" s="59"/>
      <c r="E197" s="59">
        <v>1000</v>
      </c>
      <c r="F197" s="59"/>
      <c r="G197" s="59">
        <v>448.31676604583043</v>
      </c>
      <c r="H197" s="59"/>
      <c r="I197" s="59">
        <v>11715846.755116165</v>
      </c>
      <c r="J197" s="59">
        <v>0</v>
      </c>
      <c r="K197" s="59">
        <v>448.31676604583043</v>
      </c>
      <c r="L197" s="59">
        <v>1000</v>
      </c>
      <c r="M197" s="59">
        <v>448.31676604583043</v>
      </c>
      <c r="N197" s="59">
        <v>11715846.755116165</v>
      </c>
      <c r="O197" s="59">
        <v>448.31676604583043</v>
      </c>
    </row>
    <row r="198" spans="2:15" x14ac:dyDescent="0.35">
      <c r="B198" t="s">
        <v>1222</v>
      </c>
      <c r="D198" s="59">
        <v>100370</v>
      </c>
      <c r="E198" s="59">
        <v>88322</v>
      </c>
      <c r="F198" s="59">
        <v>20240.638602867843</v>
      </c>
      <c r="G198" s="59">
        <v>16104.38491664413</v>
      </c>
      <c r="H198" s="59">
        <v>501562963.15917969</v>
      </c>
      <c r="I198" s="59">
        <v>416327594</v>
      </c>
      <c r="J198" s="59">
        <v>201.66024312910073</v>
      </c>
      <c r="K198" s="59">
        <v>182.33718571413837</v>
      </c>
      <c r="L198" s="59">
        <v>188692</v>
      </c>
      <c r="M198" s="59">
        <v>36345.023519511975</v>
      </c>
      <c r="N198" s="59">
        <v>917890557.15917969</v>
      </c>
      <c r="O198" s="59">
        <v>192.61560383859396</v>
      </c>
    </row>
    <row r="199" spans="2:15" x14ac:dyDescent="0.35">
      <c r="C199" t="s">
        <v>1223</v>
      </c>
      <c r="D199" s="59">
        <v>98820</v>
      </c>
      <c r="E199" s="59">
        <v>88322</v>
      </c>
      <c r="F199" s="59">
        <v>19944.341592768407</v>
      </c>
      <c r="G199" s="59">
        <v>16104.38491664413</v>
      </c>
      <c r="H199" s="59">
        <v>494100000</v>
      </c>
      <c r="I199" s="59">
        <v>416327594</v>
      </c>
      <c r="J199" s="59">
        <v>201.82495034171632</v>
      </c>
      <c r="K199" s="59">
        <v>182.33718571413837</v>
      </c>
      <c r="L199" s="59">
        <v>187142</v>
      </c>
      <c r="M199" s="59">
        <v>36048.72650941254</v>
      </c>
      <c r="N199" s="59">
        <v>910427594</v>
      </c>
      <c r="O199" s="59">
        <v>192.62766513883864</v>
      </c>
    </row>
    <row r="200" spans="2:15" x14ac:dyDescent="0.35">
      <c r="C200" t="s">
        <v>156</v>
      </c>
      <c r="D200" s="59">
        <v>1550</v>
      </c>
      <c r="E200" s="59"/>
      <c r="F200" s="59">
        <v>296.29701009943363</v>
      </c>
      <c r="G200" s="59"/>
      <c r="H200" s="59">
        <v>7462963.1591796875</v>
      </c>
      <c r="I200" s="59"/>
      <c r="J200" s="59">
        <v>191.1593613544733</v>
      </c>
      <c r="K200" s="59">
        <v>0</v>
      </c>
      <c r="L200" s="59">
        <v>1550</v>
      </c>
      <c r="M200" s="59">
        <v>296.29701009943363</v>
      </c>
      <c r="N200" s="59">
        <v>7462963.1591796875</v>
      </c>
      <c r="O200" s="59">
        <v>191.1593613544733</v>
      </c>
    </row>
    <row r="201" spans="2:15" x14ac:dyDescent="0.35">
      <c r="B201" t="s">
        <v>1224</v>
      </c>
      <c r="D201" s="59">
        <v>297535</v>
      </c>
      <c r="E201" s="59">
        <v>145817</v>
      </c>
      <c r="F201" s="59">
        <v>59835.658616654488</v>
      </c>
      <c r="G201" s="59">
        <v>26895.204243772645</v>
      </c>
      <c r="H201" s="59">
        <v>1487386111.3085938</v>
      </c>
      <c r="I201" s="59">
        <v>693165555</v>
      </c>
      <c r="J201" s="59">
        <v>201.10460489238068</v>
      </c>
      <c r="K201" s="59">
        <v>184.4449155021201</v>
      </c>
      <c r="L201" s="59">
        <v>443352</v>
      </c>
      <c r="M201" s="59">
        <v>86730.862860427136</v>
      </c>
      <c r="N201" s="59">
        <v>2180551666.3085938</v>
      </c>
      <c r="O201" s="59">
        <v>195.62528839483554</v>
      </c>
    </row>
    <row r="202" spans="2:15" x14ac:dyDescent="0.35">
      <c r="C202" t="s">
        <v>1223</v>
      </c>
      <c r="D202" s="59">
        <v>295975</v>
      </c>
      <c r="E202" s="59">
        <v>140687</v>
      </c>
      <c r="F202" s="59">
        <v>59537.45001294151</v>
      </c>
      <c r="G202" s="59">
        <v>26162.035639171238</v>
      </c>
      <c r="H202" s="59">
        <v>1479875000</v>
      </c>
      <c r="I202" s="59">
        <v>674165555</v>
      </c>
      <c r="J202" s="59">
        <v>201.15702344097139</v>
      </c>
      <c r="K202" s="59">
        <v>185.95915499776976</v>
      </c>
      <c r="L202" s="59">
        <v>436662</v>
      </c>
      <c r="M202" s="59">
        <v>85699.485652112751</v>
      </c>
      <c r="N202" s="59">
        <v>2154040555</v>
      </c>
      <c r="O202" s="59">
        <v>196.26046152885468</v>
      </c>
    </row>
    <row r="203" spans="2:15" x14ac:dyDescent="0.35">
      <c r="C203" t="s">
        <v>156</v>
      </c>
      <c r="D203" s="59">
        <v>1560</v>
      </c>
      <c r="E203" s="59">
        <v>5130</v>
      </c>
      <c r="F203" s="59">
        <v>298.20860371297834</v>
      </c>
      <c r="G203" s="59">
        <v>733.16860460140606</v>
      </c>
      <c r="H203" s="59">
        <v>7511111.30859375</v>
      </c>
      <c r="I203" s="59">
        <v>19000000</v>
      </c>
      <c r="J203" s="59">
        <v>191.1593613544733</v>
      </c>
      <c r="K203" s="59">
        <v>142.91785664744756</v>
      </c>
      <c r="L203" s="59">
        <v>6690</v>
      </c>
      <c r="M203" s="59">
        <v>1031.3772083143845</v>
      </c>
      <c r="N203" s="59">
        <v>26511111.30859375</v>
      </c>
      <c r="O203" s="59">
        <v>154.1669967585029</v>
      </c>
    </row>
    <row r="204" spans="2:15" x14ac:dyDescent="0.35">
      <c r="B204" t="s">
        <v>1225</v>
      </c>
      <c r="D204" s="59">
        <v>214797</v>
      </c>
      <c r="E204" s="59">
        <v>145814</v>
      </c>
      <c r="F204" s="59">
        <v>43255.544154973235</v>
      </c>
      <c r="G204" s="59">
        <v>27543.522199616717</v>
      </c>
      <c r="H204" s="59">
        <v>1073325741.1914063</v>
      </c>
      <c r="I204" s="59">
        <v>707224166</v>
      </c>
      <c r="J204" s="59">
        <v>201.37871643911802</v>
      </c>
      <c r="K204" s="59">
        <v>188.89490857953774</v>
      </c>
      <c r="L204" s="59">
        <v>360611</v>
      </c>
      <c r="M204" s="59">
        <v>70799.066354589944</v>
      </c>
      <c r="N204" s="59">
        <v>1780549907.1914063</v>
      </c>
      <c r="O204" s="59">
        <v>196.33085611528756</v>
      </c>
    </row>
    <row r="205" spans="2:15" x14ac:dyDescent="0.35">
      <c r="C205" t="s">
        <v>1223</v>
      </c>
      <c r="D205" s="59">
        <v>211237</v>
      </c>
      <c r="E205" s="59">
        <v>140684</v>
      </c>
      <c r="F205" s="59">
        <v>42575.016828551306</v>
      </c>
      <c r="G205" s="59">
        <v>26810.353595015309</v>
      </c>
      <c r="H205" s="59">
        <v>1056185000</v>
      </c>
      <c r="I205" s="59">
        <v>688224166</v>
      </c>
      <c r="J205" s="59">
        <v>201.5509443352789</v>
      </c>
      <c r="K205" s="59">
        <v>190.57144803257876</v>
      </c>
      <c r="L205" s="59">
        <v>351921</v>
      </c>
      <c r="M205" s="59">
        <v>69385.370423566608</v>
      </c>
      <c r="N205" s="59">
        <v>1744409166</v>
      </c>
      <c r="O205" s="59">
        <v>197.16177898893963</v>
      </c>
    </row>
    <row r="206" spans="2:15" x14ac:dyDescent="0.35">
      <c r="C206" t="s">
        <v>156</v>
      </c>
      <c r="D206" s="59">
        <v>3560</v>
      </c>
      <c r="E206" s="59">
        <v>5130</v>
      </c>
      <c r="F206" s="59">
        <v>680.52732642192495</v>
      </c>
      <c r="G206" s="59">
        <v>733.16860460140606</v>
      </c>
      <c r="H206" s="59">
        <v>17140741.19140625</v>
      </c>
      <c r="I206" s="59">
        <v>19000000</v>
      </c>
      <c r="J206" s="59">
        <v>191.1593613544733</v>
      </c>
      <c r="K206" s="59">
        <v>142.91785664744756</v>
      </c>
      <c r="L206" s="59">
        <v>8690</v>
      </c>
      <c r="M206" s="59">
        <v>1413.695931023331</v>
      </c>
      <c r="N206" s="59">
        <v>36140741.19140625</v>
      </c>
      <c r="O206" s="59">
        <v>162.68077457115433</v>
      </c>
    </row>
    <row r="207" spans="2:15" x14ac:dyDescent="0.35">
      <c r="B207" t="s">
        <v>1226</v>
      </c>
      <c r="D207" s="59">
        <v>207929</v>
      </c>
      <c r="E207" s="59">
        <v>285088</v>
      </c>
      <c r="F207" s="59">
        <v>41872.718953879055</v>
      </c>
      <c r="G207" s="59">
        <v>52111.410957409134</v>
      </c>
      <c r="H207" s="59">
        <v>1038983889.3408203</v>
      </c>
      <c r="I207" s="59">
        <v>1343195370.0370369</v>
      </c>
      <c r="J207" s="59">
        <v>201.37988906732133</v>
      </c>
      <c r="K207" s="59">
        <v>182.79061537984458</v>
      </c>
      <c r="L207" s="59">
        <v>493017</v>
      </c>
      <c r="M207" s="59">
        <v>93984.129911288182</v>
      </c>
      <c r="N207" s="59">
        <v>2382179259.3778572</v>
      </c>
      <c r="O207" s="59">
        <v>190.63060687823781</v>
      </c>
    </row>
    <row r="208" spans="2:15" x14ac:dyDescent="0.35">
      <c r="C208" t="s">
        <v>1223</v>
      </c>
      <c r="D208" s="59">
        <v>204359</v>
      </c>
      <c r="E208" s="59">
        <v>246630</v>
      </c>
      <c r="F208" s="59">
        <v>41190.280033843585</v>
      </c>
      <c r="G208" s="59">
        <v>46615.076026461596</v>
      </c>
      <c r="H208" s="59">
        <v>1021795000</v>
      </c>
      <c r="I208" s="59">
        <v>1200758333</v>
      </c>
      <c r="J208" s="59">
        <v>201.5584340980509</v>
      </c>
      <c r="K208" s="59">
        <v>189.00813374877995</v>
      </c>
      <c r="L208" s="59">
        <v>450989</v>
      </c>
      <c r="M208" s="59">
        <v>87805.356060305174</v>
      </c>
      <c r="N208" s="59">
        <v>2222553333</v>
      </c>
      <c r="O208" s="59">
        <v>194.69511686605475</v>
      </c>
    </row>
    <row r="209" spans="2:15" x14ac:dyDescent="0.35">
      <c r="C209" t="s">
        <v>156</v>
      </c>
      <c r="D209" s="59">
        <v>3570</v>
      </c>
      <c r="E209" s="59">
        <v>38458</v>
      </c>
      <c r="F209" s="59">
        <v>682.43892003546966</v>
      </c>
      <c r="G209" s="59">
        <v>5496.3349309475389</v>
      </c>
      <c r="H209" s="59">
        <v>17188889.340820313</v>
      </c>
      <c r="I209" s="59">
        <v>142437037.03703701</v>
      </c>
      <c r="J209" s="59">
        <v>191.15936135447328</v>
      </c>
      <c r="K209" s="59">
        <v>142.91785664744756</v>
      </c>
      <c r="L209" s="59">
        <v>42028</v>
      </c>
      <c r="M209" s="59">
        <v>6178.7738509830087</v>
      </c>
      <c r="N209" s="59">
        <v>159625926.37785733</v>
      </c>
      <c r="O209" s="59">
        <v>147.0156526835207</v>
      </c>
    </row>
    <row r="210" spans="2:15" x14ac:dyDescent="0.35">
      <c r="B210" t="s">
        <v>1227</v>
      </c>
      <c r="D210" s="59">
        <v>12488</v>
      </c>
      <c r="E210" s="59">
        <v>36736</v>
      </c>
      <c r="F210" s="59">
        <v>9427.4966283563663</v>
      </c>
      <c r="G210" s="59">
        <v>27516.152610862475</v>
      </c>
      <c r="H210" s="59">
        <v>237272000</v>
      </c>
      <c r="I210" s="59">
        <v>704837900</v>
      </c>
      <c r="J210" s="59">
        <v>754.92445774794737</v>
      </c>
      <c r="K210" s="59">
        <v>749.0241891023104</v>
      </c>
      <c r="L210" s="59">
        <v>49224</v>
      </c>
      <c r="M210" s="59">
        <v>36943.649239218837</v>
      </c>
      <c r="N210" s="59">
        <v>942109900</v>
      </c>
      <c r="O210" s="59">
        <v>750.52107181900772</v>
      </c>
    </row>
    <row r="211" spans="2:15" x14ac:dyDescent="0.35">
      <c r="C211" t="s">
        <v>1211</v>
      </c>
      <c r="D211" s="59">
        <v>6064</v>
      </c>
      <c r="E211" s="59">
        <v>30844</v>
      </c>
      <c r="F211" s="59">
        <v>4581.589299949881</v>
      </c>
      <c r="G211" s="59">
        <v>23113.631639485295</v>
      </c>
      <c r="H211" s="59">
        <v>115216000</v>
      </c>
      <c r="I211" s="59">
        <v>590166400</v>
      </c>
      <c r="J211" s="59">
        <v>755.53913257748695</v>
      </c>
      <c r="K211" s="59">
        <v>749.37205419158647</v>
      </c>
      <c r="L211" s="59">
        <v>36908</v>
      </c>
      <c r="M211" s="59">
        <v>27695.220939435174</v>
      </c>
      <c r="N211" s="59">
        <v>705382400</v>
      </c>
      <c r="O211" s="59">
        <v>750.38530777704489</v>
      </c>
    </row>
    <row r="212" spans="2:15" x14ac:dyDescent="0.35">
      <c r="C212" t="s">
        <v>1216</v>
      </c>
      <c r="D212" s="59">
        <v>6424</v>
      </c>
      <c r="E212" s="59"/>
      <c r="F212" s="59">
        <v>4845.9073284064862</v>
      </c>
      <c r="G212" s="59"/>
      <c r="H212" s="59">
        <v>122056000</v>
      </c>
      <c r="I212" s="59"/>
      <c r="J212" s="59">
        <v>754.34422920399845</v>
      </c>
      <c r="K212" s="59">
        <v>0</v>
      </c>
      <c r="L212" s="59">
        <v>6424</v>
      </c>
      <c r="M212" s="59">
        <v>4845.9073284064862</v>
      </c>
      <c r="N212" s="59">
        <v>122056000</v>
      </c>
      <c r="O212" s="59">
        <v>754.34422920399845</v>
      </c>
    </row>
    <row r="213" spans="2:15" x14ac:dyDescent="0.35">
      <c r="C213" t="s">
        <v>1213</v>
      </c>
      <c r="D213" s="59"/>
      <c r="E213" s="59">
        <v>5892</v>
      </c>
      <c r="F213" s="59"/>
      <c r="G213" s="59">
        <v>4402.5209713771801</v>
      </c>
      <c r="H213" s="59"/>
      <c r="I213" s="59">
        <v>114671500</v>
      </c>
      <c r="J213" s="59">
        <v>0</v>
      </c>
      <c r="K213" s="59">
        <v>747.20315196489821</v>
      </c>
      <c r="L213" s="59">
        <v>5892</v>
      </c>
      <c r="M213" s="59">
        <v>4402.5209713771801</v>
      </c>
      <c r="N213" s="59">
        <v>114671500</v>
      </c>
      <c r="O213" s="59">
        <v>747.20315196489821</v>
      </c>
    </row>
    <row r="214" spans="2:15" x14ac:dyDescent="0.35">
      <c r="B214" t="s">
        <v>1228</v>
      </c>
      <c r="D214" s="59"/>
      <c r="E214" s="59">
        <v>974</v>
      </c>
      <c r="F214" s="59"/>
      <c r="G214" s="59">
        <v>724.63351797634118</v>
      </c>
      <c r="H214" s="59"/>
      <c r="I214" s="59">
        <v>18993000</v>
      </c>
      <c r="J214" s="59">
        <v>0</v>
      </c>
      <c r="K214" s="59">
        <v>743.97691784018605</v>
      </c>
      <c r="L214" s="59">
        <v>974</v>
      </c>
      <c r="M214" s="59">
        <v>724.63351797634118</v>
      </c>
      <c r="N214" s="59">
        <v>18993000</v>
      </c>
      <c r="O214" s="59">
        <v>743.97691784018605</v>
      </c>
    </row>
    <row r="215" spans="2:15" x14ac:dyDescent="0.35">
      <c r="C215" t="s">
        <v>1213</v>
      </c>
      <c r="D215" s="59"/>
      <c r="E215" s="59">
        <v>974</v>
      </c>
      <c r="F215" s="59"/>
      <c r="G215" s="59">
        <v>724.63351797634118</v>
      </c>
      <c r="H215" s="59"/>
      <c r="I215" s="59">
        <v>18993000</v>
      </c>
      <c r="J215" s="59">
        <v>0</v>
      </c>
      <c r="K215" s="59">
        <v>743.97691784018605</v>
      </c>
      <c r="L215" s="59">
        <v>974</v>
      </c>
      <c r="M215" s="59">
        <v>724.63351797634118</v>
      </c>
      <c r="N215" s="59">
        <v>18993000</v>
      </c>
      <c r="O215" s="59">
        <v>743.97691784018605</v>
      </c>
    </row>
    <row r="216" spans="2:15" x14ac:dyDescent="0.35">
      <c r="B216" t="s">
        <v>1229</v>
      </c>
      <c r="D216" s="59">
        <v>734002</v>
      </c>
      <c r="E216" s="59">
        <v>118910</v>
      </c>
      <c r="F216" s="59">
        <v>58230.493291439772</v>
      </c>
      <c r="G216" s="59">
        <v>9158.8779258373888</v>
      </c>
      <c r="H216" s="59">
        <v>1468004000</v>
      </c>
      <c r="I216" s="59">
        <v>235520722</v>
      </c>
      <c r="J216" s="59">
        <v>79.332880961413977</v>
      </c>
      <c r="K216" s="59">
        <v>77.023613874673188</v>
      </c>
      <c r="L216" s="59">
        <v>852912</v>
      </c>
      <c r="M216" s="59">
        <v>67389.371217277163</v>
      </c>
      <c r="N216" s="59">
        <v>1703524722</v>
      </c>
      <c r="O216" s="59">
        <v>79.010931042448888</v>
      </c>
    </row>
    <row r="217" spans="2:15" x14ac:dyDescent="0.35">
      <c r="C217" t="s">
        <v>1223</v>
      </c>
      <c r="D217" s="59">
        <v>734002</v>
      </c>
      <c r="E217" s="59">
        <v>77523</v>
      </c>
      <c r="F217" s="59">
        <v>58230.493291439772</v>
      </c>
      <c r="G217" s="59">
        <v>6062.2739603535474</v>
      </c>
      <c r="H217" s="59">
        <v>1468004000</v>
      </c>
      <c r="I217" s="59">
        <v>155046000</v>
      </c>
      <c r="J217" s="59">
        <v>79.332880961413977</v>
      </c>
      <c r="K217" s="59">
        <v>78.199682163403722</v>
      </c>
      <c r="L217" s="59">
        <v>811525</v>
      </c>
      <c r="M217" s="59">
        <v>64292.767251793317</v>
      </c>
      <c r="N217" s="59">
        <v>1623050000</v>
      </c>
      <c r="O217" s="59">
        <v>79.224629249614409</v>
      </c>
    </row>
    <row r="218" spans="2:15" x14ac:dyDescent="0.35">
      <c r="C218" t="s">
        <v>156</v>
      </c>
      <c r="D218" s="59"/>
      <c r="E218" s="59">
        <v>41387</v>
      </c>
      <c r="F218" s="59"/>
      <c r="G218" s="59">
        <v>3096.6039654838419</v>
      </c>
      <c r="H218" s="59"/>
      <c r="I218" s="59">
        <v>80474722</v>
      </c>
      <c r="J218" s="59">
        <v>0</v>
      </c>
      <c r="K218" s="59">
        <v>74.820691653993819</v>
      </c>
      <c r="L218" s="59">
        <v>41387</v>
      </c>
      <c r="M218" s="59">
        <v>3096.6039654838419</v>
      </c>
      <c r="N218" s="59">
        <v>80474722</v>
      </c>
      <c r="O218" s="59">
        <v>74.820691653993819</v>
      </c>
    </row>
    <row r="219" spans="2:15" x14ac:dyDescent="0.35">
      <c r="B219" t="s">
        <v>1230</v>
      </c>
      <c r="D219" s="59"/>
      <c r="E219" s="59">
        <v>39379</v>
      </c>
      <c r="F219" s="59"/>
      <c r="G219" s="59">
        <v>28654.900903152025</v>
      </c>
      <c r="H219" s="59"/>
      <c r="I219" s="59">
        <v>733352200</v>
      </c>
      <c r="J219" s="59">
        <v>0</v>
      </c>
      <c r="K219" s="59">
        <v>727.6695930102851</v>
      </c>
      <c r="L219" s="59">
        <v>39379</v>
      </c>
      <c r="M219" s="59">
        <v>28654.900903152025</v>
      </c>
      <c r="N219" s="59">
        <v>733352200</v>
      </c>
      <c r="O219" s="59">
        <v>727.66959301028533</v>
      </c>
    </row>
    <row r="220" spans="2:15" x14ac:dyDescent="0.35">
      <c r="C220" t="s">
        <v>1213</v>
      </c>
      <c r="D220" s="59"/>
      <c r="E220" s="59">
        <v>17087</v>
      </c>
      <c r="F220" s="59"/>
      <c r="G220" s="59">
        <v>12366.975271429108</v>
      </c>
      <c r="H220" s="59"/>
      <c r="I220" s="59">
        <v>314129000</v>
      </c>
      <c r="J220" s="59">
        <v>0</v>
      </c>
      <c r="K220" s="59">
        <v>723.76515897636261</v>
      </c>
      <c r="L220" s="59">
        <v>17087</v>
      </c>
      <c r="M220" s="59">
        <v>12366.975271429108</v>
      </c>
      <c r="N220" s="59">
        <v>314129000</v>
      </c>
      <c r="O220" s="59">
        <v>723.76515897636261</v>
      </c>
    </row>
    <row r="221" spans="2:15" x14ac:dyDescent="0.35">
      <c r="C221" t="s">
        <v>1216</v>
      </c>
      <c r="D221" s="59"/>
      <c r="E221" s="59">
        <v>12894</v>
      </c>
      <c r="F221" s="59"/>
      <c r="G221" s="59">
        <v>9386.6525804815756</v>
      </c>
      <c r="H221" s="59"/>
      <c r="I221" s="59">
        <v>240661200</v>
      </c>
      <c r="J221" s="59">
        <v>0</v>
      </c>
      <c r="K221" s="59">
        <v>727.98608503812432</v>
      </c>
      <c r="L221" s="59">
        <v>12894</v>
      </c>
      <c r="M221" s="59">
        <v>9386.6525804815756</v>
      </c>
      <c r="N221" s="59">
        <v>240661200</v>
      </c>
      <c r="O221" s="59">
        <v>727.98608503812432</v>
      </c>
    </row>
    <row r="222" spans="2:15" x14ac:dyDescent="0.35">
      <c r="C222" t="s">
        <v>1211</v>
      </c>
      <c r="D222" s="59"/>
      <c r="E222" s="59">
        <v>9398</v>
      </c>
      <c r="F222" s="59"/>
      <c r="G222" s="59">
        <v>6901.2730512413418</v>
      </c>
      <c r="H222" s="59"/>
      <c r="I222" s="59">
        <v>178562000</v>
      </c>
      <c r="J222" s="59">
        <v>0</v>
      </c>
      <c r="K222" s="59">
        <v>734.3342254991851</v>
      </c>
      <c r="L222" s="59">
        <v>9398</v>
      </c>
      <c r="M222" s="59">
        <v>6901.2730512413418</v>
      </c>
      <c r="N222" s="59">
        <v>178562000</v>
      </c>
      <c r="O222" s="59">
        <v>734.3342254991851</v>
      </c>
    </row>
    <row r="223" spans="2:15" x14ac:dyDescent="0.35">
      <c r="B223" t="s">
        <v>1231</v>
      </c>
      <c r="D223" s="59"/>
      <c r="E223" s="59">
        <v>3192</v>
      </c>
      <c r="F223" s="59"/>
      <c r="G223" s="59">
        <v>2055.3586404627122</v>
      </c>
      <c r="H223" s="59"/>
      <c r="I223" s="59">
        <v>53452000</v>
      </c>
      <c r="J223" s="59">
        <v>0</v>
      </c>
      <c r="K223" s="59">
        <v>643.90934851588736</v>
      </c>
      <c r="L223" s="59">
        <v>3192</v>
      </c>
      <c r="M223" s="59">
        <v>2055.3586404627122</v>
      </c>
      <c r="N223" s="59">
        <v>53452000</v>
      </c>
      <c r="O223" s="59">
        <v>643.90934851588736</v>
      </c>
    </row>
    <row r="224" spans="2:15" x14ac:dyDescent="0.35">
      <c r="C224" t="s">
        <v>1213</v>
      </c>
      <c r="D224" s="59"/>
      <c r="E224" s="59">
        <v>3192</v>
      </c>
      <c r="F224" s="59"/>
      <c r="G224" s="59">
        <v>2055.3586404627122</v>
      </c>
      <c r="H224" s="59"/>
      <c r="I224" s="59">
        <v>53452000</v>
      </c>
      <c r="J224" s="59">
        <v>0</v>
      </c>
      <c r="K224" s="59">
        <v>643.90934851588736</v>
      </c>
      <c r="L224" s="59">
        <v>3192</v>
      </c>
      <c r="M224" s="59">
        <v>2055.3586404627122</v>
      </c>
      <c r="N224" s="59">
        <v>53452000</v>
      </c>
      <c r="O224" s="59">
        <v>643.90934851588736</v>
      </c>
    </row>
    <row r="225" spans="1:15" x14ac:dyDescent="0.35">
      <c r="B225" t="s">
        <v>1232</v>
      </c>
      <c r="D225" s="59"/>
      <c r="E225" s="59">
        <v>83524</v>
      </c>
      <c r="F225" s="59"/>
      <c r="G225" s="59">
        <v>34459.841420683668</v>
      </c>
      <c r="H225" s="59"/>
      <c r="I225" s="59">
        <v>900847402.86509037</v>
      </c>
      <c r="J225" s="59">
        <v>0</v>
      </c>
      <c r="K225" s="59">
        <v>412.57412744461072</v>
      </c>
      <c r="L225" s="59">
        <v>83524</v>
      </c>
      <c r="M225" s="59">
        <v>34459.841420683668</v>
      </c>
      <c r="N225" s="59">
        <v>900847402.86509037</v>
      </c>
      <c r="O225" s="59">
        <v>412.57412744461072</v>
      </c>
    </row>
    <row r="226" spans="1:15" x14ac:dyDescent="0.35">
      <c r="C226" t="s">
        <v>56</v>
      </c>
      <c r="D226" s="59"/>
      <c r="E226" s="59">
        <v>61828</v>
      </c>
      <c r="F226" s="59"/>
      <c r="G226" s="59">
        <v>26266.88841166459</v>
      </c>
      <c r="H226" s="59"/>
      <c r="I226" s="59">
        <v>686431698.90581226</v>
      </c>
      <c r="J226" s="59">
        <v>0</v>
      </c>
      <c r="K226" s="59">
        <v>424.83807355348046</v>
      </c>
      <c r="L226" s="59">
        <v>61828</v>
      </c>
      <c r="M226" s="59">
        <v>26266.88841166459</v>
      </c>
      <c r="N226" s="59">
        <v>686431698.90581226</v>
      </c>
      <c r="O226" s="59">
        <v>424.83807355348046</v>
      </c>
    </row>
    <row r="227" spans="1:15" x14ac:dyDescent="0.35">
      <c r="C227" t="s">
        <v>58</v>
      </c>
      <c r="D227" s="59"/>
      <c r="E227" s="59">
        <v>21696</v>
      </c>
      <c r="F227" s="59"/>
      <c r="G227" s="59">
        <v>8192.9530090190765</v>
      </c>
      <c r="H227" s="59"/>
      <c r="I227" s="59">
        <v>214415703.95927808</v>
      </c>
      <c r="J227" s="59">
        <v>0</v>
      </c>
      <c r="K227" s="59">
        <v>377.62504650714766</v>
      </c>
      <c r="L227" s="59">
        <v>21696</v>
      </c>
      <c r="M227" s="59">
        <v>8192.9530090190765</v>
      </c>
      <c r="N227" s="59">
        <v>214415703.95927808</v>
      </c>
      <c r="O227" s="59">
        <v>377.62504650714766</v>
      </c>
    </row>
    <row r="228" spans="1:15" x14ac:dyDescent="0.35">
      <c r="B228" t="s">
        <v>1233</v>
      </c>
      <c r="D228" s="59"/>
      <c r="E228" s="59">
        <v>129410</v>
      </c>
      <c r="F228" s="59"/>
      <c r="G228" s="59">
        <v>1618.3328175249849</v>
      </c>
      <c r="H228" s="59"/>
      <c r="I228" s="59">
        <v>41123797</v>
      </c>
      <c r="J228" s="59">
        <v>0</v>
      </c>
      <c r="K228" s="59">
        <v>12.505469573641797</v>
      </c>
      <c r="L228" s="59">
        <v>129410</v>
      </c>
      <c r="M228" s="59">
        <v>1618.3328175249849</v>
      </c>
      <c r="N228" s="59">
        <v>41123797</v>
      </c>
      <c r="O228" s="59">
        <v>12.505469573641797</v>
      </c>
    </row>
    <row r="229" spans="1:15" x14ac:dyDescent="0.35">
      <c r="C229" t="s">
        <v>1061</v>
      </c>
      <c r="D229" s="59"/>
      <c r="E229" s="59">
        <v>104909</v>
      </c>
      <c r="F229" s="59"/>
      <c r="G229" s="59">
        <v>1531.7792678040444</v>
      </c>
      <c r="H229" s="59"/>
      <c r="I229" s="59">
        <v>38855186</v>
      </c>
      <c r="J229" s="59">
        <v>0</v>
      </c>
      <c r="K229" s="59">
        <v>14.601028203529195</v>
      </c>
      <c r="L229" s="59">
        <v>104909</v>
      </c>
      <c r="M229" s="59">
        <v>1531.7792678040444</v>
      </c>
      <c r="N229" s="59">
        <v>38855186</v>
      </c>
      <c r="O229" s="59">
        <v>14.601028203529195</v>
      </c>
    </row>
    <row r="230" spans="1:15" x14ac:dyDescent="0.35">
      <c r="C230" t="s">
        <v>156</v>
      </c>
      <c r="D230" s="59"/>
      <c r="E230" s="59">
        <v>24501</v>
      </c>
      <c r="F230" s="59"/>
      <c r="G230" s="59">
        <v>86.553549720940623</v>
      </c>
      <c r="H230" s="59"/>
      <c r="I230" s="59">
        <v>2268611</v>
      </c>
      <c r="J230" s="59">
        <v>0</v>
      </c>
      <c r="K230" s="59">
        <v>3.5326537578441952</v>
      </c>
      <c r="L230" s="59">
        <v>24501</v>
      </c>
      <c r="M230" s="59">
        <v>86.553549720940623</v>
      </c>
      <c r="N230" s="59">
        <v>2268611</v>
      </c>
      <c r="O230" s="59">
        <v>3.5326537578441952</v>
      </c>
    </row>
    <row r="231" spans="1:15" x14ac:dyDescent="0.35">
      <c r="A231" t="s">
        <v>1234</v>
      </c>
      <c r="D231" s="59">
        <v>1961000</v>
      </c>
      <c r="E231" s="59">
        <v>1146000</v>
      </c>
      <c r="F231" s="59">
        <v>1346927.0700561893</v>
      </c>
      <c r="G231" s="59">
        <v>775032.9649078293</v>
      </c>
      <c r="H231" s="59">
        <v>33707499950</v>
      </c>
      <c r="I231" s="59">
        <v>19882950000</v>
      </c>
      <c r="J231" s="59">
        <v>686.85725143099921</v>
      </c>
      <c r="K231" s="59">
        <v>676.29403569618614</v>
      </c>
      <c r="L231" s="59">
        <v>3107000</v>
      </c>
      <c r="M231" s="59">
        <v>2121960.0349640185</v>
      </c>
      <c r="N231" s="59">
        <v>53590449950</v>
      </c>
      <c r="O231" s="59">
        <v>682.96106693402589</v>
      </c>
    </row>
    <row r="232" spans="1:15" x14ac:dyDescent="0.35">
      <c r="B232" t="s">
        <v>1235</v>
      </c>
      <c r="D232" s="59">
        <v>1961000</v>
      </c>
      <c r="E232" s="59">
        <v>1146000</v>
      </c>
      <c r="F232" s="59">
        <v>1346927.0700561893</v>
      </c>
      <c r="G232" s="59">
        <v>775032.9649078293</v>
      </c>
      <c r="H232" s="59">
        <v>33707499950</v>
      </c>
      <c r="I232" s="59">
        <v>19882950000</v>
      </c>
      <c r="J232" s="59">
        <v>686.85725143099921</v>
      </c>
      <c r="K232" s="59">
        <v>676.29403569618614</v>
      </c>
      <c r="L232" s="59">
        <v>3107000</v>
      </c>
      <c r="M232" s="59">
        <v>2121960.0349640185</v>
      </c>
      <c r="N232" s="59">
        <v>53590449950</v>
      </c>
      <c r="O232" s="59">
        <v>682.96106693402589</v>
      </c>
    </row>
    <row r="233" spans="1:15" x14ac:dyDescent="0.35">
      <c r="C233" t="s">
        <v>1236</v>
      </c>
      <c r="D233" s="59">
        <v>1961000</v>
      </c>
      <c r="E233" s="59">
        <v>1146000</v>
      </c>
      <c r="F233" s="59">
        <v>1346927.0700561893</v>
      </c>
      <c r="G233" s="59">
        <v>775032.9649078293</v>
      </c>
      <c r="H233" s="59">
        <v>33707499950</v>
      </c>
      <c r="I233" s="59">
        <v>19882950000</v>
      </c>
      <c r="J233" s="59">
        <v>686.85725143099921</v>
      </c>
      <c r="K233" s="59">
        <v>676.29403569618614</v>
      </c>
      <c r="L233" s="59">
        <v>3107000</v>
      </c>
      <c r="M233" s="59">
        <v>2121960.0349640185</v>
      </c>
      <c r="N233" s="59">
        <v>53590449950</v>
      </c>
      <c r="O233" s="59">
        <v>682.96106693402589</v>
      </c>
    </row>
    <row r="234" spans="1:15" x14ac:dyDescent="0.35">
      <c r="A234" t="s">
        <v>74</v>
      </c>
      <c r="D234" s="59">
        <v>1385050</v>
      </c>
      <c r="E234" s="59">
        <v>1300200</v>
      </c>
      <c r="F234" s="59">
        <v>972230.43411666784</v>
      </c>
      <c r="G234" s="59">
        <v>867971.81371413451</v>
      </c>
      <c r="H234" s="59">
        <v>24355190672.978329</v>
      </c>
      <c r="I234" s="59">
        <v>22583532240.976299</v>
      </c>
      <c r="J234" s="59">
        <v>701.9460915610756</v>
      </c>
      <c r="K234" s="59">
        <v>667.56792317653776</v>
      </c>
      <c r="L234" s="59">
        <v>2685250</v>
      </c>
      <c r="M234" s="59">
        <v>1840202.2478308021</v>
      </c>
      <c r="N234" s="59">
        <v>46938722913.954628</v>
      </c>
      <c r="O234" s="59">
        <v>685.30015746422202</v>
      </c>
    </row>
    <row r="235" spans="1:15" x14ac:dyDescent="0.35">
      <c r="B235" t="s">
        <v>1237</v>
      </c>
      <c r="D235" s="59">
        <v>22075</v>
      </c>
      <c r="E235" s="59"/>
      <c r="F235" s="59">
        <v>21528.344055922076</v>
      </c>
      <c r="G235" s="59"/>
      <c r="H235" s="59">
        <v>521012302.99999988</v>
      </c>
      <c r="I235" s="59"/>
      <c r="J235" s="59">
        <v>975.23642382432968</v>
      </c>
      <c r="K235" s="59">
        <v>0</v>
      </c>
      <c r="L235" s="59">
        <v>22075</v>
      </c>
      <c r="M235" s="59">
        <v>21528.344055922076</v>
      </c>
      <c r="N235" s="59">
        <v>521012302.99999988</v>
      </c>
      <c r="O235" s="59">
        <v>975.23642382432968</v>
      </c>
    </row>
    <row r="236" spans="1:15" x14ac:dyDescent="0.35">
      <c r="C236" t="s">
        <v>1238</v>
      </c>
      <c r="D236" s="59">
        <v>22000</v>
      </c>
      <c r="E236" s="59"/>
      <c r="F236" s="59">
        <v>21460.711115702474</v>
      </c>
      <c r="G236" s="59"/>
      <c r="H236" s="59">
        <v>519349208.99999988</v>
      </c>
      <c r="I236" s="59"/>
      <c r="J236" s="59">
        <v>975.486868895567</v>
      </c>
      <c r="K236" s="59">
        <v>0</v>
      </c>
      <c r="L236" s="59">
        <v>22000</v>
      </c>
      <c r="M236" s="59">
        <v>21460.711115702474</v>
      </c>
      <c r="N236" s="59">
        <v>519349208.99999988</v>
      </c>
      <c r="O236" s="59">
        <v>975.486868895567</v>
      </c>
    </row>
    <row r="237" spans="1:15" x14ac:dyDescent="0.35">
      <c r="C237" t="s">
        <v>1239</v>
      </c>
      <c r="D237" s="59">
        <v>75</v>
      </c>
      <c r="E237" s="59"/>
      <c r="F237" s="59">
        <v>67.632940219601466</v>
      </c>
      <c r="G237" s="59"/>
      <c r="H237" s="59">
        <v>1663094</v>
      </c>
      <c r="I237" s="59"/>
      <c r="J237" s="59">
        <v>901.77253626135291</v>
      </c>
      <c r="K237" s="59">
        <v>0</v>
      </c>
      <c r="L237" s="59">
        <v>75</v>
      </c>
      <c r="M237" s="59">
        <v>67.632940219601466</v>
      </c>
      <c r="N237" s="59">
        <v>1663094</v>
      </c>
      <c r="O237" s="59">
        <v>901.77253626135291</v>
      </c>
    </row>
    <row r="238" spans="1:15" x14ac:dyDescent="0.35">
      <c r="B238" t="s">
        <v>1240</v>
      </c>
      <c r="D238" s="59">
        <v>75</v>
      </c>
      <c r="E238" s="59">
        <v>1000</v>
      </c>
      <c r="F238" s="59">
        <v>83.322985067165376</v>
      </c>
      <c r="G238" s="59">
        <v>1038.3043662919542</v>
      </c>
      <c r="H238" s="59">
        <v>2082250</v>
      </c>
      <c r="I238" s="59">
        <v>26819401.781321179</v>
      </c>
      <c r="J238" s="59">
        <v>1110.9731342288717</v>
      </c>
      <c r="K238" s="59">
        <v>1038.3043662919542</v>
      </c>
      <c r="L238" s="59">
        <v>1075</v>
      </c>
      <c r="M238" s="59">
        <v>1121.6273513591195</v>
      </c>
      <c r="N238" s="59">
        <v>28901651.781321179</v>
      </c>
      <c r="O238" s="59">
        <v>1043.3742803340647</v>
      </c>
    </row>
    <row r="239" spans="1:15" x14ac:dyDescent="0.35">
      <c r="C239" t="s">
        <v>149</v>
      </c>
      <c r="D239" s="59"/>
      <c r="E239" s="59">
        <v>1000</v>
      </c>
      <c r="F239" s="59"/>
      <c r="G239" s="59">
        <v>1038.3043662919542</v>
      </c>
      <c r="H239" s="59"/>
      <c r="I239" s="59">
        <v>26819401.781321179</v>
      </c>
      <c r="J239" s="59">
        <v>0</v>
      </c>
      <c r="K239" s="59">
        <v>1038.3043662919542</v>
      </c>
      <c r="L239" s="59">
        <v>1000</v>
      </c>
      <c r="M239" s="59">
        <v>1038.3043662919542</v>
      </c>
      <c r="N239" s="59">
        <v>26819401.781321179</v>
      </c>
      <c r="O239" s="59">
        <v>1038.3043662919542</v>
      </c>
    </row>
    <row r="240" spans="1:15" x14ac:dyDescent="0.35">
      <c r="C240" t="s">
        <v>1241</v>
      </c>
      <c r="D240" s="59">
        <v>75</v>
      </c>
      <c r="E240" s="59"/>
      <c r="F240" s="59">
        <v>83.322985067165376</v>
      </c>
      <c r="G240" s="59"/>
      <c r="H240" s="59">
        <v>2082250</v>
      </c>
      <c r="I240" s="59"/>
      <c r="J240" s="59">
        <v>1110.9731342288717</v>
      </c>
      <c r="K240" s="59">
        <v>0</v>
      </c>
      <c r="L240" s="59">
        <v>75</v>
      </c>
      <c r="M240" s="59">
        <v>83.322985067165376</v>
      </c>
      <c r="N240" s="59">
        <v>2082250</v>
      </c>
      <c r="O240" s="59">
        <v>1110.9731342288717</v>
      </c>
    </row>
    <row r="241" spans="1:15" x14ac:dyDescent="0.35">
      <c r="B241" t="s">
        <v>1242</v>
      </c>
      <c r="D241" s="59">
        <v>1362900</v>
      </c>
      <c r="E241" s="59">
        <v>852450</v>
      </c>
      <c r="F241" s="59">
        <v>950618.76707567857</v>
      </c>
      <c r="G241" s="59">
        <v>570384.86085178994</v>
      </c>
      <c r="H241" s="59">
        <v>23832096119.978329</v>
      </c>
      <c r="I241" s="59">
        <v>14879271159.486519</v>
      </c>
      <c r="J241" s="59">
        <v>697.49707761074069</v>
      </c>
      <c r="K241" s="59">
        <v>669.11239468800511</v>
      </c>
      <c r="L241" s="59">
        <v>2215350</v>
      </c>
      <c r="M241" s="59">
        <v>1521003.6279274686</v>
      </c>
      <c r="N241" s="59">
        <v>38711367279.464851</v>
      </c>
      <c r="O241" s="59">
        <v>686.57486533841995</v>
      </c>
    </row>
    <row r="242" spans="1:15" x14ac:dyDescent="0.35">
      <c r="C242" t="s">
        <v>1243</v>
      </c>
      <c r="D242" s="59">
        <v>880000</v>
      </c>
      <c r="E242" s="59"/>
      <c r="F242" s="59">
        <v>620206.3054827326</v>
      </c>
      <c r="G242" s="59"/>
      <c r="H242" s="59">
        <v>15499983219.081539</v>
      </c>
      <c r="I242" s="59"/>
      <c r="J242" s="59">
        <v>704.77989259401431</v>
      </c>
      <c r="K242" s="59">
        <v>0</v>
      </c>
      <c r="L242" s="59">
        <v>880000</v>
      </c>
      <c r="M242" s="59">
        <v>620206.3054827326</v>
      </c>
      <c r="N242" s="59">
        <v>15499983219.081539</v>
      </c>
      <c r="O242" s="59">
        <v>704.77989259401431</v>
      </c>
    </row>
    <row r="243" spans="1:15" x14ac:dyDescent="0.35">
      <c r="C243" t="s">
        <v>22</v>
      </c>
      <c r="D243" s="59"/>
      <c r="E243" s="59">
        <v>436800</v>
      </c>
      <c r="F243" s="59"/>
      <c r="G243" s="59">
        <v>294532.75439626008</v>
      </c>
      <c r="H243" s="59"/>
      <c r="I243" s="59">
        <v>7706274580.9899263</v>
      </c>
      <c r="J243" s="59">
        <v>0</v>
      </c>
      <c r="K243" s="59">
        <v>674.29659889253674</v>
      </c>
      <c r="L243" s="59">
        <v>436800</v>
      </c>
      <c r="M243" s="59">
        <v>294532.75439626008</v>
      </c>
      <c r="N243" s="59">
        <v>7706274580.9899263</v>
      </c>
      <c r="O243" s="59">
        <v>674.29659889253674</v>
      </c>
    </row>
    <row r="244" spans="1:15" x14ac:dyDescent="0.35">
      <c r="C244" t="s">
        <v>23</v>
      </c>
      <c r="D244" s="59"/>
      <c r="E244" s="59">
        <v>347950</v>
      </c>
      <c r="F244" s="59"/>
      <c r="G244" s="59">
        <v>230133.74653786907</v>
      </c>
      <c r="H244" s="59"/>
      <c r="I244" s="59">
        <v>5983242557.811286</v>
      </c>
      <c r="J244" s="59">
        <v>0</v>
      </c>
      <c r="K244" s="59">
        <v>661.39889793898271</v>
      </c>
      <c r="L244" s="59">
        <v>347950</v>
      </c>
      <c r="M244" s="59">
        <v>230133.74653786907</v>
      </c>
      <c r="N244" s="59">
        <v>5983242557.811286</v>
      </c>
      <c r="O244" s="59">
        <v>661.39889793898271</v>
      </c>
    </row>
    <row r="245" spans="1:15" x14ac:dyDescent="0.35">
      <c r="C245" t="s">
        <v>1244</v>
      </c>
      <c r="D245" s="59">
        <v>347600</v>
      </c>
      <c r="E245" s="59"/>
      <c r="F245" s="59">
        <v>224686.74401550303</v>
      </c>
      <c r="G245" s="59"/>
      <c r="H245" s="59">
        <v>5668086147.2402534</v>
      </c>
      <c r="I245" s="59"/>
      <c r="J245" s="59">
        <v>646.39454549914569</v>
      </c>
      <c r="K245" s="59">
        <v>0</v>
      </c>
      <c r="L245" s="59">
        <v>347600</v>
      </c>
      <c r="M245" s="59">
        <v>224686.74401550303</v>
      </c>
      <c r="N245" s="59">
        <v>5668086147.2402534</v>
      </c>
      <c r="O245" s="59">
        <v>646.39454549914569</v>
      </c>
    </row>
    <row r="246" spans="1:15" x14ac:dyDescent="0.35">
      <c r="C246" t="s">
        <v>148</v>
      </c>
      <c r="D246" s="59">
        <v>135300</v>
      </c>
      <c r="E246" s="59"/>
      <c r="F246" s="59">
        <v>105725.71757744296</v>
      </c>
      <c r="G246" s="59"/>
      <c r="H246" s="59">
        <v>2664026753.6565356</v>
      </c>
      <c r="I246" s="59"/>
      <c r="J246" s="59">
        <v>781.41698135582385</v>
      </c>
      <c r="K246" s="59">
        <v>0</v>
      </c>
      <c r="L246" s="59">
        <v>135300</v>
      </c>
      <c r="M246" s="59">
        <v>105725.71757744296</v>
      </c>
      <c r="N246" s="59">
        <v>2664026753.6565356</v>
      </c>
      <c r="O246" s="59">
        <v>781.41698135582385</v>
      </c>
    </row>
    <row r="247" spans="1:15" x14ac:dyDescent="0.35">
      <c r="C247" t="s">
        <v>25</v>
      </c>
      <c r="D247" s="59"/>
      <c r="E247" s="59">
        <v>35700</v>
      </c>
      <c r="F247" s="59"/>
      <c r="G247" s="59">
        <v>24051.464324823355</v>
      </c>
      <c r="H247" s="59"/>
      <c r="I247" s="59">
        <v>629851148.66263461</v>
      </c>
      <c r="J247" s="59">
        <v>0</v>
      </c>
      <c r="K247" s="59">
        <v>673.7104852891697</v>
      </c>
      <c r="L247" s="59">
        <v>35700</v>
      </c>
      <c r="M247" s="59">
        <v>24051.464324823355</v>
      </c>
      <c r="N247" s="59">
        <v>629851148.66263461</v>
      </c>
      <c r="O247" s="59">
        <v>673.7104852891697</v>
      </c>
    </row>
    <row r="248" spans="1:15" x14ac:dyDescent="0.35">
      <c r="C248" t="s">
        <v>27</v>
      </c>
      <c r="D248" s="59"/>
      <c r="E248" s="59">
        <v>21000</v>
      </c>
      <c r="F248" s="59"/>
      <c r="G248" s="59">
        <v>14075.379308717287</v>
      </c>
      <c r="H248" s="59"/>
      <c r="I248" s="59">
        <v>365819108.23356229</v>
      </c>
      <c r="J248" s="59">
        <v>0</v>
      </c>
      <c r="K248" s="59">
        <v>670.25615755796605</v>
      </c>
      <c r="L248" s="59">
        <v>21000</v>
      </c>
      <c r="M248" s="59">
        <v>14075.379308717287</v>
      </c>
      <c r="N248" s="59">
        <v>365819108.23356229</v>
      </c>
      <c r="O248" s="59">
        <v>670.25615755796605</v>
      </c>
    </row>
    <row r="249" spans="1:15" x14ac:dyDescent="0.35">
      <c r="C249" t="s">
        <v>26</v>
      </c>
      <c r="D249" s="59"/>
      <c r="E249" s="59">
        <v>11000</v>
      </c>
      <c r="F249" s="59"/>
      <c r="G249" s="59">
        <v>7591.5162841201345</v>
      </c>
      <c r="H249" s="59"/>
      <c r="I249" s="59">
        <v>194083763.78910929</v>
      </c>
      <c r="J249" s="59">
        <v>0</v>
      </c>
      <c r="K249" s="59">
        <v>690.1378440109213</v>
      </c>
      <c r="L249" s="59">
        <v>11000</v>
      </c>
      <c r="M249" s="59">
        <v>7591.5162841201345</v>
      </c>
      <c r="N249" s="59">
        <v>194083763.78910929</v>
      </c>
      <c r="O249" s="59">
        <v>690.1378440109213</v>
      </c>
    </row>
    <row r="250" spans="1:15" x14ac:dyDescent="0.35">
      <c r="B250" t="s">
        <v>1245</v>
      </c>
      <c r="D250" s="59"/>
      <c r="E250" s="59">
        <v>446750</v>
      </c>
      <c r="F250" s="59"/>
      <c r="G250" s="59">
        <v>296548.64849605254</v>
      </c>
      <c r="H250" s="59"/>
      <c r="I250" s="59">
        <v>7677441679.7084579</v>
      </c>
      <c r="J250" s="59">
        <v>0</v>
      </c>
      <c r="K250" s="59">
        <v>663.79104308013984</v>
      </c>
      <c r="L250" s="59">
        <v>446750</v>
      </c>
      <c r="M250" s="59">
        <v>296548.64849605254</v>
      </c>
      <c r="N250" s="59">
        <v>7677441679.7084579</v>
      </c>
      <c r="O250" s="59">
        <v>663.79104308014007</v>
      </c>
    </row>
    <row r="251" spans="1:15" x14ac:dyDescent="0.35">
      <c r="C251" t="s">
        <v>22</v>
      </c>
      <c r="D251" s="59"/>
      <c r="E251" s="59">
        <v>286650</v>
      </c>
      <c r="F251" s="59"/>
      <c r="G251" s="59">
        <v>191362.60116167073</v>
      </c>
      <c r="H251" s="59"/>
      <c r="I251" s="59">
        <v>4973142287.9180212</v>
      </c>
      <c r="J251" s="59">
        <v>0</v>
      </c>
      <c r="K251" s="59">
        <v>667.58277049248466</v>
      </c>
      <c r="L251" s="59">
        <v>286650</v>
      </c>
      <c r="M251" s="59">
        <v>191362.60116167073</v>
      </c>
      <c r="N251" s="59">
        <v>4973142287.9180212</v>
      </c>
      <c r="O251" s="59">
        <v>667.58277049248466</v>
      </c>
    </row>
    <row r="252" spans="1:15" x14ac:dyDescent="0.35">
      <c r="C252" t="s">
        <v>148</v>
      </c>
      <c r="D252" s="59"/>
      <c r="E252" s="59">
        <v>97100</v>
      </c>
      <c r="F252" s="59"/>
      <c r="G252" s="59">
        <v>67418.336093507576</v>
      </c>
      <c r="H252" s="59"/>
      <c r="I252" s="59">
        <v>1724227285.0897503</v>
      </c>
      <c r="J252" s="59">
        <v>0</v>
      </c>
      <c r="K252" s="59">
        <v>694.31860034508315</v>
      </c>
      <c r="L252" s="59">
        <v>97100</v>
      </c>
      <c r="M252" s="59">
        <v>67418.336093507576</v>
      </c>
      <c r="N252" s="59">
        <v>1724227285.0897503</v>
      </c>
      <c r="O252" s="59">
        <v>694.31860034508315</v>
      </c>
    </row>
    <row r="253" spans="1:15" x14ac:dyDescent="0.35">
      <c r="C253" t="s">
        <v>150</v>
      </c>
      <c r="D253" s="59"/>
      <c r="E253" s="59">
        <v>63000</v>
      </c>
      <c r="F253" s="59"/>
      <c r="G253" s="59">
        <v>37767.711240874254</v>
      </c>
      <c r="H253" s="59"/>
      <c r="I253" s="59">
        <v>980072106.70068693</v>
      </c>
      <c r="J253" s="59">
        <v>0</v>
      </c>
      <c r="K253" s="59">
        <v>599.48748001387708</v>
      </c>
      <c r="L253" s="59">
        <v>63000</v>
      </c>
      <c r="M253" s="59">
        <v>37767.711240874254</v>
      </c>
      <c r="N253" s="59">
        <v>980072106.70068693</v>
      </c>
      <c r="O253" s="59">
        <v>599.48748001387708</v>
      </c>
    </row>
    <row r="254" spans="1:15" x14ac:dyDescent="0.35">
      <c r="A254" t="s">
        <v>76</v>
      </c>
      <c r="D254" s="59">
        <v>332350</v>
      </c>
      <c r="E254" s="59">
        <v>1204975</v>
      </c>
      <c r="F254" s="59">
        <v>291194.76973575284</v>
      </c>
      <c r="G254" s="59">
        <v>796239.85142045747</v>
      </c>
      <c r="H254" s="59">
        <v>7246885621.3034868</v>
      </c>
      <c r="I254" s="59">
        <v>20588124558.558315</v>
      </c>
      <c r="J254" s="59">
        <v>876.16900778021034</v>
      </c>
      <c r="K254" s="59">
        <v>660.79366909724865</v>
      </c>
      <c r="L254" s="59">
        <v>1537325</v>
      </c>
      <c r="M254" s="59">
        <v>1087434.6211562103</v>
      </c>
      <c r="N254" s="59">
        <v>27835010179.861809</v>
      </c>
      <c r="O254" s="59">
        <v>707.35506230381361</v>
      </c>
    </row>
    <row r="255" spans="1:15" x14ac:dyDescent="0.35">
      <c r="B255" t="s">
        <v>1246</v>
      </c>
      <c r="D255" s="59">
        <v>48125</v>
      </c>
      <c r="E255" s="59">
        <v>121000</v>
      </c>
      <c r="F255" s="59">
        <v>42660.221993541163</v>
      </c>
      <c r="G255" s="59">
        <v>95003.673920623492</v>
      </c>
      <c r="H255" s="59">
        <v>1061028756.0000001</v>
      </c>
      <c r="I255" s="59">
        <v>2446597159</v>
      </c>
      <c r="J255" s="59">
        <v>886.44617129436187</v>
      </c>
      <c r="K255" s="59">
        <v>785.15432992250817</v>
      </c>
      <c r="L255" s="59">
        <v>169125</v>
      </c>
      <c r="M255" s="59">
        <v>137663.89591416466</v>
      </c>
      <c r="N255" s="59">
        <v>3507625915</v>
      </c>
      <c r="O255" s="59">
        <v>813.97721161368611</v>
      </c>
    </row>
    <row r="256" spans="1:15" x14ac:dyDescent="0.35">
      <c r="C256" t="s">
        <v>47</v>
      </c>
      <c r="D256" s="59">
        <v>48125</v>
      </c>
      <c r="E256" s="59">
        <v>115500</v>
      </c>
      <c r="F256" s="59">
        <v>42660.221993541163</v>
      </c>
      <c r="G256" s="59">
        <v>90144.212240242341</v>
      </c>
      <c r="H256" s="59">
        <v>1061028756.0000001</v>
      </c>
      <c r="I256" s="59">
        <v>2324120425</v>
      </c>
      <c r="J256" s="59">
        <v>886.44617129436187</v>
      </c>
      <c r="K256" s="59">
        <v>780.46937004538813</v>
      </c>
      <c r="L256" s="59">
        <v>163625</v>
      </c>
      <c r="M256" s="59">
        <v>132804.43423378351</v>
      </c>
      <c r="N256" s="59">
        <v>3385149181</v>
      </c>
      <c r="O256" s="59">
        <v>811.63901747155694</v>
      </c>
    </row>
    <row r="257" spans="2:15" x14ac:dyDescent="0.35">
      <c r="C257" t="s">
        <v>5</v>
      </c>
      <c r="D257" s="59"/>
      <c r="E257" s="59">
        <v>5500</v>
      </c>
      <c r="F257" s="59"/>
      <c r="G257" s="59">
        <v>4859.4616803811523</v>
      </c>
      <c r="H257" s="59"/>
      <c r="I257" s="59">
        <v>122476734</v>
      </c>
      <c r="J257" s="59">
        <v>0</v>
      </c>
      <c r="K257" s="59">
        <v>883.53848734202768</v>
      </c>
      <c r="L257" s="59">
        <v>5500</v>
      </c>
      <c r="M257" s="59">
        <v>4859.4616803811523</v>
      </c>
      <c r="N257" s="59">
        <v>122476734</v>
      </c>
      <c r="O257" s="59">
        <v>883.53848734202768</v>
      </c>
    </row>
    <row r="258" spans="2:15" x14ac:dyDescent="0.35">
      <c r="B258" t="s">
        <v>1247</v>
      </c>
      <c r="D258" s="59">
        <v>43000</v>
      </c>
      <c r="E258" s="59">
        <v>113125</v>
      </c>
      <c r="F258" s="59">
        <v>38164.075810756214</v>
      </c>
      <c r="G258" s="59">
        <v>84517.337105935076</v>
      </c>
      <c r="H258" s="59">
        <v>951658822</v>
      </c>
      <c r="I258" s="59">
        <v>2176963216</v>
      </c>
      <c r="J258" s="59">
        <v>887.53664676177243</v>
      </c>
      <c r="K258" s="59">
        <v>747.11458215191237</v>
      </c>
      <c r="L258" s="59">
        <v>156125</v>
      </c>
      <c r="M258" s="59">
        <v>122681.41291669129</v>
      </c>
      <c r="N258" s="59">
        <v>3128622038</v>
      </c>
      <c r="O258" s="59">
        <v>785.78967440634949</v>
      </c>
    </row>
    <row r="259" spans="2:15" x14ac:dyDescent="0.35">
      <c r="C259" t="s">
        <v>47</v>
      </c>
      <c r="D259" s="59">
        <v>43000</v>
      </c>
      <c r="E259" s="59">
        <v>55000</v>
      </c>
      <c r="F259" s="59">
        <v>38164.075810756214</v>
      </c>
      <c r="G259" s="59">
        <v>42906.515051148315</v>
      </c>
      <c r="H259" s="59">
        <v>951658822</v>
      </c>
      <c r="I259" s="59">
        <v>1103542550</v>
      </c>
      <c r="J259" s="59">
        <v>887.53664676177243</v>
      </c>
      <c r="K259" s="59">
        <v>780.11845547542396</v>
      </c>
      <c r="L259" s="59">
        <v>98000</v>
      </c>
      <c r="M259" s="59">
        <v>81070.590861904522</v>
      </c>
      <c r="N259" s="59">
        <v>2055201372</v>
      </c>
      <c r="O259" s="59">
        <v>827.2509271622913</v>
      </c>
    </row>
    <row r="260" spans="2:15" x14ac:dyDescent="0.35">
      <c r="C260" t="s">
        <v>57</v>
      </c>
      <c r="D260" s="59"/>
      <c r="E260" s="59">
        <v>33125</v>
      </c>
      <c r="F260" s="59"/>
      <c r="G260" s="59">
        <v>22860.116374313395</v>
      </c>
      <c r="H260" s="59"/>
      <c r="I260" s="59">
        <v>598090277</v>
      </c>
      <c r="J260" s="59">
        <v>0</v>
      </c>
      <c r="K260" s="59">
        <v>690.11672073398938</v>
      </c>
      <c r="L260" s="59">
        <v>33125</v>
      </c>
      <c r="M260" s="59">
        <v>22860.116374313395</v>
      </c>
      <c r="N260" s="59">
        <v>598090277</v>
      </c>
      <c r="O260" s="59">
        <v>690.11672073398938</v>
      </c>
    </row>
    <row r="261" spans="2:15" x14ac:dyDescent="0.35">
      <c r="C261" t="s">
        <v>60</v>
      </c>
      <c r="D261" s="59"/>
      <c r="E261" s="59">
        <v>25000</v>
      </c>
      <c r="F261" s="59"/>
      <c r="G261" s="59">
        <v>18750.705680473373</v>
      </c>
      <c r="H261" s="59"/>
      <c r="I261" s="59">
        <v>475330389</v>
      </c>
      <c r="J261" s="59">
        <v>0</v>
      </c>
      <c r="K261" s="59">
        <v>750.02822721893494</v>
      </c>
      <c r="L261" s="59">
        <v>25000</v>
      </c>
      <c r="M261" s="59">
        <v>18750.705680473373</v>
      </c>
      <c r="N261" s="59">
        <v>475330389</v>
      </c>
      <c r="O261" s="59">
        <v>750.02822721893494</v>
      </c>
    </row>
    <row r="262" spans="2:15" x14ac:dyDescent="0.35">
      <c r="B262" t="s">
        <v>1248</v>
      </c>
      <c r="D262" s="59">
        <v>1725</v>
      </c>
      <c r="E262" s="59">
        <v>4050</v>
      </c>
      <c r="F262" s="59">
        <v>1450.7064174717411</v>
      </c>
      <c r="G262" s="59">
        <v>3093.0963387275883</v>
      </c>
      <c r="H262" s="59">
        <v>36429795</v>
      </c>
      <c r="I262" s="59">
        <v>79733279.545108512</v>
      </c>
      <c r="J262" s="59">
        <v>840.98922751984992</v>
      </c>
      <c r="K262" s="59">
        <v>763.727491043849</v>
      </c>
      <c r="L262" s="59">
        <v>5775</v>
      </c>
      <c r="M262" s="59">
        <v>4543.8027561993304</v>
      </c>
      <c r="N262" s="59">
        <v>116163074.54510851</v>
      </c>
      <c r="O262" s="59">
        <v>786.80567206914793</v>
      </c>
    </row>
    <row r="263" spans="2:15" x14ac:dyDescent="0.35">
      <c r="C263" t="s">
        <v>47</v>
      </c>
      <c r="D263" s="59">
        <v>1725</v>
      </c>
      <c r="E263" s="59">
        <v>3750</v>
      </c>
      <c r="F263" s="59">
        <v>1450.7064174717411</v>
      </c>
      <c r="G263" s="59">
        <v>2919.224954148749</v>
      </c>
      <c r="H263" s="59">
        <v>36429795</v>
      </c>
      <c r="I263" s="59">
        <v>75214700</v>
      </c>
      <c r="J263" s="59">
        <v>840.98922751984992</v>
      </c>
      <c r="K263" s="59">
        <v>778.45998777299974</v>
      </c>
      <c r="L263" s="59">
        <v>5475</v>
      </c>
      <c r="M263" s="59">
        <v>4369.9313716204906</v>
      </c>
      <c r="N263" s="59">
        <v>111644495</v>
      </c>
      <c r="O263" s="59">
        <v>798.16098111789768</v>
      </c>
    </row>
    <row r="264" spans="2:15" x14ac:dyDescent="0.35">
      <c r="C264" t="s">
        <v>57</v>
      </c>
      <c r="D264" s="59"/>
      <c r="E264" s="59">
        <v>300</v>
      </c>
      <c r="F264" s="59"/>
      <c r="G264" s="59">
        <v>173.87138457883938</v>
      </c>
      <c r="H264" s="59"/>
      <c r="I264" s="59">
        <v>4518579.5451085102</v>
      </c>
      <c r="J264" s="59">
        <v>0</v>
      </c>
      <c r="K264" s="59">
        <v>579.57128192946459</v>
      </c>
      <c r="L264" s="59">
        <v>300</v>
      </c>
      <c r="M264" s="59">
        <v>173.87138457883938</v>
      </c>
      <c r="N264" s="59">
        <v>4518579.5451085102</v>
      </c>
      <c r="O264" s="59">
        <v>579.57128192946459</v>
      </c>
    </row>
    <row r="265" spans="2:15" x14ac:dyDescent="0.35">
      <c r="B265" t="s">
        <v>1249</v>
      </c>
      <c r="D265" s="59">
        <v>33375</v>
      </c>
      <c r="E265" s="59">
        <v>103250</v>
      </c>
      <c r="F265" s="59">
        <v>29908.287238995712</v>
      </c>
      <c r="G265" s="59">
        <v>75047.434813163898</v>
      </c>
      <c r="H265" s="59">
        <v>750192226</v>
      </c>
      <c r="I265" s="59">
        <v>1948875064.8836889</v>
      </c>
      <c r="J265" s="59">
        <v>896.12845659912239</v>
      </c>
      <c r="K265" s="59">
        <v>726.85166889262848</v>
      </c>
      <c r="L265" s="59">
        <v>136625</v>
      </c>
      <c r="M265" s="59">
        <v>104955.72205215962</v>
      </c>
      <c r="N265" s="59">
        <v>2699067290.8836889</v>
      </c>
      <c r="O265" s="59">
        <v>768.20290614572446</v>
      </c>
    </row>
    <row r="266" spans="2:15" x14ac:dyDescent="0.35">
      <c r="C266" t="s">
        <v>57</v>
      </c>
      <c r="D266" s="59"/>
      <c r="E266" s="59">
        <v>67500</v>
      </c>
      <c r="F266" s="59"/>
      <c r="G266" s="59">
        <v>47260.260028527671</v>
      </c>
      <c r="H266" s="59"/>
      <c r="I266" s="59">
        <v>1236105553</v>
      </c>
      <c r="J266" s="59">
        <v>0</v>
      </c>
      <c r="K266" s="59">
        <v>700.15200042263211</v>
      </c>
      <c r="L266" s="59">
        <v>67500</v>
      </c>
      <c r="M266" s="59">
        <v>47260.260028527671</v>
      </c>
      <c r="N266" s="59">
        <v>1236105553</v>
      </c>
      <c r="O266" s="59">
        <v>700.15200042263211</v>
      </c>
    </row>
    <row r="267" spans="2:15" x14ac:dyDescent="0.35">
      <c r="C267" t="s">
        <v>47</v>
      </c>
      <c r="D267" s="59">
        <v>33375</v>
      </c>
      <c r="E267" s="59">
        <v>30250</v>
      </c>
      <c r="F267" s="59">
        <v>29908.287238995712</v>
      </c>
      <c r="G267" s="59">
        <v>23976.646267118645</v>
      </c>
      <c r="H267" s="59">
        <v>750192226</v>
      </c>
      <c r="I267" s="59">
        <v>614020000</v>
      </c>
      <c r="J267" s="59">
        <v>896.12845659912239</v>
      </c>
      <c r="K267" s="59">
        <v>792.61640552458334</v>
      </c>
      <c r="L267" s="59">
        <v>63625</v>
      </c>
      <c r="M267" s="59">
        <v>53884.933506114357</v>
      </c>
      <c r="N267" s="59">
        <v>1364212226</v>
      </c>
      <c r="O267" s="59">
        <v>846.91447553814317</v>
      </c>
    </row>
    <row r="268" spans="2:15" x14ac:dyDescent="0.35">
      <c r="C268" t="s">
        <v>62</v>
      </c>
      <c r="D268" s="59"/>
      <c r="E268" s="59">
        <v>5500</v>
      </c>
      <c r="F268" s="59"/>
      <c r="G268" s="59">
        <v>3810.528517517585</v>
      </c>
      <c r="H268" s="59"/>
      <c r="I268" s="59">
        <v>98749511.883688837</v>
      </c>
      <c r="J268" s="59">
        <v>0</v>
      </c>
      <c r="K268" s="59">
        <v>692.82336682137918</v>
      </c>
      <c r="L268" s="59">
        <v>5500</v>
      </c>
      <c r="M268" s="59">
        <v>3810.528517517585</v>
      </c>
      <c r="N268" s="59">
        <v>98749511.883688837</v>
      </c>
      <c r="O268" s="59">
        <v>692.82336682137918</v>
      </c>
    </row>
    <row r="269" spans="2:15" x14ac:dyDescent="0.35">
      <c r="B269" t="s">
        <v>1250</v>
      </c>
      <c r="D269" s="59">
        <v>8550</v>
      </c>
      <c r="E269" s="59">
        <v>11000</v>
      </c>
      <c r="F269" s="59">
        <v>9114.5759701384504</v>
      </c>
      <c r="G269" s="59">
        <v>11689.386131946168</v>
      </c>
      <c r="H269" s="59">
        <v>228076350</v>
      </c>
      <c r="I269" s="59">
        <v>298480000</v>
      </c>
      <c r="J269" s="59">
        <v>1066.0322772091754</v>
      </c>
      <c r="K269" s="59">
        <v>1062.6714665405607</v>
      </c>
      <c r="L269" s="59">
        <v>19550</v>
      </c>
      <c r="M269" s="59">
        <v>20803.962102084617</v>
      </c>
      <c r="N269" s="59">
        <v>526556350</v>
      </c>
      <c r="O269" s="59">
        <v>1064.1412839940981</v>
      </c>
    </row>
    <row r="270" spans="2:15" x14ac:dyDescent="0.35">
      <c r="C270" t="s">
        <v>99</v>
      </c>
      <c r="D270" s="59"/>
      <c r="E270" s="59">
        <v>11000</v>
      </c>
      <c r="F270" s="59"/>
      <c r="G270" s="59">
        <v>11689.386131946168</v>
      </c>
      <c r="H270" s="59"/>
      <c r="I270" s="59">
        <v>298480000</v>
      </c>
      <c r="J270" s="59">
        <v>0</v>
      </c>
      <c r="K270" s="59">
        <v>1062.6714665405607</v>
      </c>
      <c r="L270" s="59">
        <v>11000</v>
      </c>
      <c r="M270" s="59">
        <v>11689.386131946168</v>
      </c>
      <c r="N270" s="59">
        <v>298480000</v>
      </c>
      <c r="O270" s="59">
        <v>1062.6714665405607</v>
      </c>
    </row>
    <row r="271" spans="2:15" x14ac:dyDescent="0.35">
      <c r="C271" t="s">
        <v>1251</v>
      </c>
      <c r="D271" s="59">
        <v>5000</v>
      </c>
      <c r="E271" s="59"/>
      <c r="F271" s="59">
        <v>5332.998186824535</v>
      </c>
      <c r="G271" s="59"/>
      <c r="H271" s="59">
        <v>132825000</v>
      </c>
      <c r="I271" s="59"/>
      <c r="J271" s="59">
        <v>1066.599637364907</v>
      </c>
      <c r="K271" s="59">
        <v>0</v>
      </c>
      <c r="L271" s="59">
        <v>5000</v>
      </c>
      <c r="M271" s="59">
        <v>5332.998186824535</v>
      </c>
      <c r="N271" s="59">
        <v>132825000</v>
      </c>
      <c r="O271" s="59">
        <v>1066.599637364907</v>
      </c>
    </row>
    <row r="272" spans="2:15" x14ac:dyDescent="0.35">
      <c r="C272" t="s">
        <v>1252</v>
      </c>
      <c r="D272" s="59">
        <v>3500</v>
      </c>
      <c r="E272" s="59"/>
      <c r="F272" s="59">
        <v>3715.3404046406258</v>
      </c>
      <c r="G272" s="59"/>
      <c r="H272" s="59">
        <v>93583000</v>
      </c>
      <c r="I272" s="59"/>
      <c r="J272" s="59">
        <v>1061.5258298973215</v>
      </c>
      <c r="K272" s="59">
        <v>0</v>
      </c>
      <c r="L272" s="59">
        <v>3500</v>
      </c>
      <c r="M272" s="59">
        <v>3715.3404046406258</v>
      </c>
      <c r="N272" s="59">
        <v>93583000</v>
      </c>
      <c r="O272" s="59">
        <v>1061.5258298973215</v>
      </c>
    </row>
    <row r="273" spans="2:15" x14ac:dyDescent="0.35">
      <c r="C273" t="s">
        <v>1253</v>
      </c>
      <c r="D273" s="59">
        <v>50</v>
      </c>
      <c r="E273" s="59"/>
      <c r="F273" s="59">
        <v>66.237378673288987</v>
      </c>
      <c r="G273" s="59"/>
      <c r="H273" s="59">
        <v>1668350</v>
      </c>
      <c r="I273" s="59"/>
      <c r="J273" s="59">
        <v>1324.7475734657796</v>
      </c>
      <c r="K273" s="59">
        <v>0</v>
      </c>
      <c r="L273" s="59">
        <v>50</v>
      </c>
      <c r="M273" s="59">
        <v>66.237378673288987</v>
      </c>
      <c r="N273" s="59">
        <v>1668350</v>
      </c>
      <c r="O273" s="59">
        <v>1324.7475734657796</v>
      </c>
    </row>
    <row r="274" spans="2:15" x14ac:dyDescent="0.35">
      <c r="B274" t="s">
        <v>1254</v>
      </c>
      <c r="D274" s="59">
        <v>5500</v>
      </c>
      <c r="E274" s="59">
        <v>143750</v>
      </c>
      <c r="F274" s="59">
        <v>4822.8714669889896</v>
      </c>
      <c r="G274" s="59">
        <v>100228.12392094912</v>
      </c>
      <c r="H274" s="59">
        <v>117557825.00000001</v>
      </c>
      <c r="I274" s="59">
        <v>2597633333</v>
      </c>
      <c r="J274" s="59">
        <v>876.88572127072541</v>
      </c>
      <c r="K274" s="59">
        <v>697.23912292834154</v>
      </c>
      <c r="L274" s="59">
        <v>149250</v>
      </c>
      <c r="M274" s="59">
        <v>105050.99538793811</v>
      </c>
      <c r="N274" s="59">
        <v>2715191158</v>
      </c>
      <c r="O274" s="59">
        <v>703.85926558082474</v>
      </c>
    </row>
    <row r="275" spans="2:15" x14ac:dyDescent="0.35">
      <c r="C275" t="s">
        <v>57</v>
      </c>
      <c r="D275" s="59"/>
      <c r="E275" s="59">
        <v>141000</v>
      </c>
      <c r="F275" s="59"/>
      <c r="G275" s="59">
        <v>98111.767208320627</v>
      </c>
      <c r="H275" s="59"/>
      <c r="I275" s="59">
        <v>2542633333</v>
      </c>
      <c r="J275" s="59">
        <v>0</v>
      </c>
      <c r="K275" s="59">
        <v>695.82813622922436</v>
      </c>
      <c r="L275" s="59">
        <v>141000</v>
      </c>
      <c r="M275" s="59">
        <v>98111.767208320627</v>
      </c>
      <c r="N275" s="59">
        <v>2542633333</v>
      </c>
      <c r="O275" s="59">
        <v>695.82813622922436</v>
      </c>
    </row>
    <row r="276" spans="2:15" x14ac:dyDescent="0.35">
      <c r="C276" t="s">
        <v>47</v>
      </c>
      <c r="D276" s="59">
        <v>5500</v>
      </c>
      <c r="E276" s="59">
        <v>2750</v>
      </c>
      <c r="F276" s="59">
        <v>4822.8714669889896</v>
      </c>
      <c r="G276" s="59">
        <v>2116.3567126284856</v>
      </c>
      <c r="H276" s="59">
        <v>117557825.00000001</v>
      </c>
      <c r="I276" s="59">
        <v>55000000</v>
      </c>
      <c r="J276" s="59">
        <v>876.88572127072541</v>
      </c>
      <c r="K276" s="59">
        <v>769.58425913763119</v>
      </c>
      <c r="L276" s="59">
        <v>8250</v>
      </c>
      <c r="M276" s="59">
        <v>6939.2281796174757</v>
      </c>
      <c r="N276" s="59">
        <v>172557825</v>
      </c>
      <c r="O276" s="59">
        <v>841.11856722636071</v>
      </c>
    </row>
    <row r="277" spans="2:15" x14ac:dyDescent="0.35">
      <c r="B277" t="s">
        <v>1255</v>
      </c>
      <c r="D277" s="59">
        <v>32000</v>
      </c>
      <c r="E277" s="59"/>
      <c r="F277" s="59">
        <v>28979.129985549938</v>
      </c>
      <c r="G277" s="59"/>
      <c r="H277" s="59">
        <v>731364000</v>
      </c>
      <c r="I277" s="59"/>
      <c r="J277" s="59">
        <v>905.59781204843557</v>
      </c>
      <c r="K277" s="59">
        <v>0</v>
      </c>
      <c r="L277" s="59">
        <v>32000</v>
      </c>
      <c r="M277" s="59">
        <v>28979.129985549938</v>
      </c>
      <c r="N277" s="59">
        <v>731364000</v>
      </c>
      <c r="O277" s="59">
        <v>905.59781204843557</v>
      </c>
    </row>
    <row r="278" spans="2:15" x14ac:dyDescent="0.35">
      <c r="C278" t="s">
        <v>47</v>
      </c>
      <c r="D278" s="59">
        <v>32000</v>
      </c>
      <c r="E278" s="59"/>
      <c r="F278" s="59">
        <v>28979.129985549938</v>
      </c>
      <c r="G278" s="59"/>
      <c r="H278" s="59">
        <v>731364000</v>
      </c>
      <c r="I278" s="59"/>
      <c r="J278" s="59">
        <v>905.59781204843557</v>
      </c>
      <c r="K278" s="59">
        <v>0</v>
      </c>
      <c r="L278" s="59">
        <v>32000</v>
      </c>
      <c r="M278" s="59">
        <v>28979.129985549938</v>
      </c>
      <c r="N278" s="59">
        <v>731364000</v>
      </c>
      <c r="O278" s="59">
        <v>905.59781204843557</v>
      </c>
    </row>
    <row r="279" spans="2:15" x14ac:dyDescent="0.35">
      <c r="B279" t="s">
        <v>79</v>
      </c>
      <c r="D279" s="59">
        <v>56500</v>
      </c>
      <c r="E279" s="59">
        <v>185325</v>
      </c>
      <c r="F279" s="59">
        <v>47928.532942773032</v>
      </c>
      <c r="G279" s="59">
        <v>112395.53222456959</v>
      </c>
      <c r="H279" s="59">
        <v>1194165295.3423076</v>
      </c>
      <c r="I279" s="59">
        <v>2902465397.9473209</v>
      </c>
      <c r="J279" s="59">
        <v>848.29261845615974</v>
      </c>
      <c r="K279" s="59">
        <v>606.47798313540852</v>
      </c>
      <c r="L279" s="59">
        <v>241825</v>
      </c>
      <c r="M279" s="59">
        <v>160324.0651673426</v>
      </c>
      <c r="N279" s="59">
        <v>4096630693.289628</v>
      </c>
      <c r="O279" s="59">
        <v>662.97556153144876</v>
      </c>
    </row>
    <row r="280" spans="2:15" x14ac:dyDescent="0.35">
      <c r="C280" t="s">
        <v>58</v>
      </c>
      <c r="D280" s="59"/>
      <c r="E280" s="59">
        <v>124500</v>
      </c>
      <c r="F280" s="59"/>
      <c r="G280" s="59">
        <v>74434.044940919513</v>
      </c>
      <c r="H280" s="59"/>
      <c r="I280" s="59">
        <v>1918726439.8938222</v>
      </c>
      <c r="J280" s="59">
        <v>0</v>
      </c>
      <c r="K280" s="59">
        <v>597.86381478650208</v>
      </c>
      <c r="L280" s="59">
        <v>124500</v>
      </c>
      <c r="M280" s="59">
        <v>74434.044940919513</v>
      </c>
      <c r="N280" s="59">
        <v>1918726439.8938222</v>
      </c>
      <c r="O280" s="59">
        <v>597.86381478650208</v>
      </c>
    </row>
    <row r="281" spans="2:15" x14ac:dyDescent="0.35">
      <c r="C281" t="s">
        <v>62</v>
      </c>
      <c r="D281" s="59">
        <v>34500</v>
      </c>
      <c r="E281" s="59">
        <v>20250</v>
      </c>
      <c r="F281" s="59">
        <v>28330.654444534339</v>
      </c>
      <c r="G281" s="59">
        <v>12628.345681815852</v>
      </c>
      <c r="H281" s="59">
        <v>705403331.49462998</v>
      </c>
      <c r="I281" s="59">
        <v>328699536.6948244</v>
      </c>
      <c r="J281" s="59">
        <v>821.17838969664751</v>
      </c>
      <c r="K281" s="59">
        <v>623.62200897856053</v>
      </c>
      <c r="L281" s="59">
        <v>54750</v>
      </c>
      <c r="M281" s="59">
        <v>40959.000126350191</v>
      </c>
      <c r="N281" s="59">
        <v>1034102868.1894543</v>
      </c>
      <c r="O281" s="59">
        <v>748.10959134886195</v>
      </c>
    </row>
    <row r="282" spans="2:15" x14ac:dyDescent="0.35">
      <c r="C282" t="s">
        <v>57</v>
      </c>
      <c r="D282" s="59"/>
      <c r="E282" s="59">
        <v>39800</v>
      </c>
      <c r="F282" s="59"/>
      <c r="G282" s="59">
        <v>24804.122923844596</v>
      </c>
      <c r="H282" s="59"/>
      <c r="I282" s="59">
        <v>641664170.38378847</v>
      </c>
      <c r="J282" s="59">
        <v>0</v>
      </c>
      <c r="K282" s="59">
        <v>623.21916894081892</v>
      </c>
      <c r="L282" s="59">
        <v>39800</v>
      </c>
      <c r="M282" s="59">
        <v>24804.122923844596</v>
      </c>
      <c r="N282" s="59">
        <v>641664170.38378847</v>
      </c>
      <c r="O282" s="59">
        <v>623.21916894081892</v>
      </c>
    </row>
    <row r="283" spans="2:15" x14ac:dyDescent="0.35">
      <c r="C283" t="s">
        <v>1256</v>
      </c>
      <c r="D283" s="59">
        <v>19750</v>
      </c>
      <c r="E283" s="59"/>
      <c r="F283" s="59">
        <v>17622.31084746711</v>
      </c>
      <c r="G283" s="59"/>
      <c r="H283" s="59">
        <v>439002472.21045947</v>
      </c>
      <c r="I283" s="59"/>
      <c r="J283" s="59">
        <v>892.26890366922078</v>
      </c>
      <c r="K283" s="59">
        <v>0</v>
      </c>
      <c r="L283" s="59">
        <v>19750</v>
      </c>
      <c r="M283" s="59">
        <v>17622.31084746711</v>
      </c>
      <c r="N283" s="59">
        <v>439002472.21045947</v>
      </c>
      <c r="O283" s="59">
        <v>892.26890366922078</v>
      </c>
    </row>
    <row r="284" spans="2:15" x14ac:dyDescent="0.35">
      <c r="C284" t="s">
        <v>1257</v>
      </c>
      <c r="D284" s="59">
        <v>2250</v>
      </c>
      <c r="E284" s="59"/>
      <c r="F284" s="59">
        <v>1975.5676507715816</v>
      </c>
      <c r="G284" s="59"/>
      <c r="H284" s="59">
        <v>49759491.637218043</v>
      </c>
      <c r="I284" s="59"/>
      <c r="J284" s="59">
        <v>878.0300670095919</v>
      </c>
      <c r="K284" s="59">
        <v>0</v>
      </c>
      <c r="L284" s="59">
        <v>2250</v>
      </c>
      <c r="M284" s="59">
        <v>1975.5676507715816</v>
      </c>
      <c r="N284" s="59">
        <v>49759491.637218043</v>
      </c>
      <c r="O284" s="59">
        <v>878.0300670095919</v>
      </c>
    </row>
    <row r="285" spans="2:15" x14ac:dyDescent="0.35">
      <c r="C285" t="s">
        <v>154</v>
      </c>
      <c r="D285" s="59"/>
      <c r="E285" s="59">
        <v>750</v>
      </c>
      <c r="F285" s="59"/>
      <c r="G285" s="59">
        <v>514.41082030032226</v>
      </c>
      <c r="H285" s="59"/>
      <c r="I285" s="59">
        <v>13000250.974885846</v>
      </c>
      <c r="J285" s="59">
        <v>0</v>
      </c>
      <c r="K285" s="59">
        <v>685.88109373376301</v>
      </c>
      <c r="L285" s="59">
        <v>750</v>
      </c>
      <c r="M285" s="59">
        <v>514.41082030032226</v>
      </c>
      <c r="N285" s="59">
        <v>13000250.974885846</v>
      </c>
      <c r="O285" s="59">
        <v>685.88109373376301</v>
      </c>
    </row>
    <row r="286" spans="2:15" x14ac:dyDescent="0.35">
      <c r="C286" t="s">
        <v>156</v>
      </c>
      <c r="D286" s="59"/>
      <c r="E286" s="59">
        <v>25</v>
      </c>
      <c r="F286" s="59"/>
      <c r="G286" s="59">
        <v>14.607857689311512</v>
      </c>
      <c r="H286" s="59"/>
      <c r="I286" s="59">
        <v>375000</v>
      </c>
      <c r="J286" s="59">
        <v>0</v>
      </c>
      <c r="K286" s="59">
        <v>584.31430757246051</v>
      </c>
      <c r="L286" s="59">
        <v>25</v>
      </c>
      <c r="M286" s="59">
        <v>14.607857689311512</v>
      </c>
      <c r="N286" s="59">
        <v>375000</v>
      </c>
      <c r="O286" s="59">
        <v>584.31430757246051</v>
      </c>
    </row>
    <row r="287" spans="2:15" x14ac:dyDescent="0.35">
      <c r="B287" t="s">
        <v>77</v>
      </c>
      <c r="D287" s="59"/>
      <c r="E287" s="59">
        <v>231100</v>
      </c>
      <c r="F287" s="59"/>
      <c r="G287" s="59">
        <v>129262.29659605597</v>
      </c>
      <c r="H287" s="59"/>
      <c r="I287" s="59">
        <v>3385272185.3665085</v>
      </c>
      <c r="J287" s="59">
        <v>0</v>
      </c>
      <c r="K287" s="59">
        <v>559.33490521876229</v>
      </c>
      <c r="L287" s="59">
        <v>231100</v>
      </c>
      <c r="M287" s="59">
        <v>129262.29659605597</v>
      </c>
      <c r="N287" s="59">
        <v>3385272185.3665085</v>
      </c>
      <c r="O287" s="59">
        <v>559.33490521876229</v>
      </c>
    </row>
    <row r="288" spans="2:15" x14ac:dyDescent="0.35">
      <c r="C288" t="s">
        <v>56</v>
      </c>
      <c r="D288" s="59"/>
      <c r="E288" s="59">
        <v>191250</v>
      </c>
      <c r="F288" s="59"/>
      <c r="G288" s="59">
        <v>106552.24000085247</v>
      </c>
      <c r="H288" s="59"/>
      <c r="I288" s="59">
        <v>2792375250.9748859</v>
      </c>
      <c r="J288" s="59">
        <v>0</v>
      </c>
      <c r="K288" s="59">
        <v>557.13589542929401</v>
      </c>
      <c r="L288" s="59">
        <v>191250</v>
      </c>
      <c r="M288" s="59">
        <v>106552.24000085247</v>
      </c>
      <c r="N288" s="59">
        <v>2792375250.9748859</v>
      </c>
      <c r="O288" s="59">
        <v>557.13589542929401</v>
      </c>
    </row>
    <row r="289" spans="2:15" x14ac:dyDescent="0.35">
      <c r="C289" t="s">
        <v>58</v>
      </c>
      <c r="D289" s="59"/>
      <c r="E289" s="59">
        <v>30025</v>
      </c>
      <c r="F289" s="59"/>
      <c r="G289" s="59">
        <v>17067.203354567704</v>
      </c>
      <c r="H289" s="59"/>
      <c r="I289" s="59">
        <v>445645322.56886888</v>
      </c>
      <c r="J289" s="59">
        <v>0</v>
      </c>
      <c r="K289" s="59">
        <v>568.43308424871623</v>
      </c>
      <c r="L289" s="59">
        <v>30025</v>
      </c>
      <c r="M289" s="59">
        <v>17067.203354567704</v>
      </c>
      <c r="N289" s="59">
        <v>445645322.56886888</v>
      </c>
      <c r="O289" s="59">
        <v>568.43308424871623</v>
      </c>
    </row>
    <row r="290" spans="2:15" x14ac:dyDescent="0.35">
      <c r="C290" t="s">
        <v>65</v>
      </c>
      <c r="D290" s="59"/>
      <c r="E290" s="59">
        <v>9000</v>
      </c>
      <c r="F290" s="59"/>
      <c r="G290" s="59">
        <v>5080.080671519423</v>
      </c>
      <c r="H290" s="59"/>
      <c r="I290" s="59">
        <v>133019878.84786785</v>
      </c>
      <c r="J290" s="59">
        <v>0</v>
      </c>
      <c r="K290" s="59">
        <v>564.45340794660262</v>
      </c>
      <c r="L290" s="59">
        <v>9000</v>
      </c>
      <c r="M290" s="59">
        <v>5080.080671519423</v>
      </c>
      <c r="N290" s="59">
        <v>133019878.84786785</v>
      </c>
      <c r="O290" s="59">
        <v>564.45340794660262</v>
      </c>
    </row>
    <row r="291" spans="2:15" x14ac:dyDescent="0.35">
      <c r="C291" t="s">
        <v>154</v>
      </c>
      <c r="D291" s="59"/>
      <c r="E291" s="59">
        <v>750</v>
      </c>
      <c r="F291" s="59"/>
      <c r="G291" s="59">
        <v>514.41082030032226</v>
      </c>
      <c r="H291" s="59"/>
      <c r="I291" s="59">
        <v>13000250.974885846</v>
      </c>
      <c r="J291" s="59">
        <v>0</v>
      </c>
      <c r="K291" s="59">
        <v>685.88109373376301</v>
      </c>
      <c r="L291" s="59">
        <v>750</v>
      </c>
      <c r="M291" s="59">
        <v>514.41082030032226</v>
      </c>
      <c r="N291" s="59">
        <v>13000250.974885846</v>
      </c>
      <c r="O291" s="59">
        <v>685.88109373376301</v>
      </c>
    </row>
    <row r="292" spans="2:15" x14ac:dyDescent="0.35">
      <c r="C292" t="s">
        <v>57</v>
      </c>
      <c r="D292" s="59"/>
      <c r="E292" s="59">
        <v>50</v>
      </c>
      <c r="F292" s="59"/>
      <c r="G292" s="59">
        <v>33.753891126727574</v>
      </c>
      <c r="H292" s="59"/>
      <c r="I292" s="59">
        <v>856482</v>
      </c>
      <c r="J292" s="59">
        <v>0</v>
      </c>
      <c r="K292" s="59">
        <v>675.0778225345515</v>
      </c>
      <c r="L292" s="59">
        <v>50</v>
      </c>
      <c r="M292" s="59">
        <v>33.753891126727574</v>
      </c>
      <c r="N292" s="59">
        <v>856482</v>
      </c>
      <c r="O292" s="59">
        <v>675.0778225345515</v>
      </c>
    </row>
    <row r="293" spans="2:15" x14ac:dyDescent="0.35">
      <c r="C293" t="s">
        <v>156</v>
      </c>
      <c r="D293" s="59"/>
      <c r="E293" s="59">
        <v>25</v>
      </c>
      <c r="F293" s="59"/>
      <c r="G293" s="59">
        <v>14.607857689311512</v>
      </c>
      <c r="H293" s="59"/>
      <c r="I293" s="59">
        <v>375000</v>
      </c>
      <c r="J293" s="59">
        <v>0</v>
      </c>
      <c r="K293" s="59">
        <v>584.31430757246051</v>
      </c>
      <c r="L293" s="59">
        <v>25</v>
      </c>
      <c r="M293" s="59">
        <v>14.607857689311512</v>
      </c>
      <c r="N293" s="59">
        <v>375000</v>
      </c>
      <c r="O293" s="59">
        <v>584.31430757246051</v>
      </c>
    </row>
    <row r="294" spans="2:15" x14ac:dyDescent="0.35">
      <c r="B294" t="s">
        <v>80</v>
      </c>
      <c r="D294" s="59">
        <v>33000</v>
      </c>
      <c r="E294" s="59">
        <v>86575</v>
      </c>
      <c r="F294" s="59">
        <v>27056.810514778328</v>
      </c>
      <c r="G294" s="59">
        <v>51771.263871093121</v>
      </c>
      <c r="H294" s="59">
        <v>670079869.60444832</v>
      </c>
      <c r="I294" s="59">
        <v>1335023852.5504143</v>
      </c>
      <c r="J294" s="59">
        <v>819.90334893267664</v>
      </c>
      <c r="K294" s="59">
        <v>597.99322981337684</v>
      </c>
      <c r="L294" s="59">
        <v>119575</v>
      </c>
      <c r="M294" s="59">
        <v>78828.074385871456</v>
      </c>
      <c r="N294" s="59">
        <v>2005103722.1548626</v>
      </c>
      <c r="O294" s="59">
        <v>659.23541196630947</v>
      </c>
    </row>
    <row r="295" spans="2:15" x14ac:dyDescent="0.35">
      <c r="C295" t="s">
        <v>58</v>
      </c>
      <c r="D295" s="59"/>
      <c r="E295" s="59">
        <v>45000</v>
      </c>
      <c r="F295" s="59"/>
      <c r="G295" s="59">
        <v>26650.982306684255</v>
      </c>
      <c r="H295" s="59"/>
      <c r="I295" s="59">
        <v>688673705.31328869</v>
      </c>
      <c r="J295" s="59">
        <v>0</v>
      </c>
      <c r="K295" s="59">
        <v>592.24405125965006</v>
      </c>
      <c r="L295" s="59">
        <v>45000</v>
      </c>
      <c r="M295" s="59">
        <v>26650.982306684255</v>
      </c>
      <c r="N295" s="59">
        <v>688673705.31328869</v>
      </c>
      <c r="O295" s="59">
        <v>592.24405125965006</v>
      </c>
    </row>
    <row r="296" spans="2:15" x14ac:dyDescent="0.35">
      <c r="C296" t="s">
        <v>57</v>
      </c>
      <c r="D296" s="59"/>
      <c r="E296" s="59">
        <v>30800</v>
      </c>
      <c r="F296" s="59"/>
      <c r="G296" s="59">
        <v>18992.821280837132</v>
      </c>
      <c r="H296" s="59"/>
      <c r="I296" s="59">
        <v>490731138.20305699</v>
      </c>
      <c r="J296" s="59">
        <v>0</v>
      </c>
      <c r="K296" s="59">
        <v>616.65004158562124</v>
      </c>
      <c r="L296" s="59">
        <v>30800</v>
      </c>
      <c r="M296" s="59">
        <v>18992.821280837132</v>
      </c>
      <c r="N296" s="59">
        <v>490731138.20305699</v>
      </c>
      <c r="O296" s="59">
        <v>616.65004158562124</v>
      </c>
    </row>
    <row r="297" spans="2:15" x14ac:dyDescent="0.35">
      <c r="C297" t="s">
        <v>62</v>
      </c>
      <c r="D297" s="59">
        <v>18000</v>
      </c>
      <c r="E297" s="59"/>
      <c r="F297" s="59">
        <v>14687.659557273295</v>
      </c>
      <c r="G297" s="59"/>
      <c r="H297" s="59">
        <v>367325819.25688797</v>
      </c>
      <c r="I297" s="59"/>
      <c r="J297" s="59">
        <v>815.98108651518305</v>
      </c>
      <c r="K297" s="59">
        <v>0</v>
      </c>
      <c r="L297" s="59">
        <v>18000</v>
      </c>
      <c r="M297" s="59">
        <v>14687.659557273295</v>
      </c>
      <c r="N297" s="59">
        <v>367325819.25688797</v>
      </c>
      <c r="O297" s="59">
        <v>815.98108651518305</v>
      </c>
    </row>
    <row r="298" spans="2:15" x14ac:dyDescent="0.35">
      <c r="C298" t="s">
        <v>158</v>
      </c>
      <c r="D298" s="59"/>
      <c r="E298" s="59">
        <v>10000</v>
      </c>
      <c r="F298" s="59"/>
      <c r="G298" s="59">
        <v>5659.5391352375236</v>
      </c>
      <c r="H298" s="59"/>
      <c r="I298" s="59">
        <v>143606951.25274724</v>
      </c>
      <c r="J298" s="59">
        <v>0</v>
      </c>
      <c r="K298" s="59">
        <v>565.95391352375236</v>
      </c>
      <c r="L298" s="59">
        <v>10000</v>
      </c>
      <c r="M298" s="59">
        <v>5659.5391352375236</v>
      </c>
      <c r="N298" s="59">
        <v>143606951.25274724</v>
      </c>
      <c r="O298" s="59">
        <v>565.95391352375236</v>
      </c>
    </row>
    <row r="299" spans="2:15" x14ac:dyDescent="0.35">
      <c r="C299" t="s">
        <v>1256</v>
      </c>
      <c r="D299" s="59">
        <v>9750</v>
      </c>
      <c r="E299" s="59"/>
      <c r="F299" s="59">
        <v>8005.379907959963</v>
      </c>
      <c r="G299" s="59"/>
      <c r="H299" s="59">
        <v>195903711.61567634</v>
      </c>
      <c r="I299" s="59"/>
      <c r="J299" s="59">
        <v>821.06460594461157</v>
      </c>
      <c r="K299" s="59">
        <v>0</v>
      </c>
      <c r="L299" s="59">
        <v>9750</v>
      </c>
      <c r="M299" s="59">
        <v>8005.379907959963</v>
      </c>
      <c r="N299" s="59">
        <v>195903711.61567634</v>
      </c>
      <c r="O299" s="59">
        <v>821.06460594461157</v>
      </c>
    </row>
    <row r="300" spans="2:15" x14ac:dyDescent="0.35">
      <c r="C300" t="s">
        <v>1258</v>
      </c>
      <c r="D300" s="59">
        <v>5250</v>
      </c>
      <c r="E300" s="59"/>
      <c r="F300" s="59">
        <v>4363.7710495450701</v>
      </c>
      <c r="G300" s="59"/>
      <c r="H300" s="59">
        <v>106850338.73188408</v>
      </c>
      <c r="I300" s="59"/>
      <c r="J300" s="59">
        <v>831.19448562763239</v>
      </c>
      <c r="K300" s="59">
        <v>0</v>
      </c>
      <c r="L300" s="59">
        <v>5250</v>
      </c>
      <c r="M300" s="59">
        <v>4363.7710495450701</v>
      </c>
      <c r="N300" s="59">
        <v>106850338.73188408</v>
      </c>
      <c r="O300" s="59">
        <v>831.19448562763239</v>
      </c>
    </row>
    <row r="301" spans="2:15" x14ac:dyDescent="0.35">
      <c r="C301" t="s">
        <v>155</v>
      </c>
      <c r="D301" s="59"/>
      <c r="E301" s="59">
        <v>750</v>
      </c>
      <c r="F301" s="59"/>
      <c r="G301" s="59">
        <v>453.31329064489341</v>
      </c>
      <c r="H301" s="59"/>
      <c r="I301" s="59">
        <v>11637057.781321185</v>
      </c>
      <c r="J301" s="59">
        <v>0</v>
      </c>
      <c r="K301" s="59">
        <v>604.41772085985792</v>
      </c>
      <c r="L301" s="59">
        <v>750</v>
      </c>
      <c r="M301" s="59">
        <v>453.31329064489341</v>
      </c>
      <c r="N301" s="59">
        <v>11637057.781321185</v>
      </c>
      <c r="O301" s="59">
        <v>604.41772085985792</v>
      </c>
    </row>
    <row r="302" spans="2:15" x14ac:dyDescent="0.35">
      <c r="C302" t="s">
        <v>156</v>
      </c>
      <c r="D302" s="59"/>
      <c r="E302" s="59">
        <v>25</v>
      </c>
      <c r="F302" s="59"/>
      <c r="G302" s="59">
        <v>14.607857689311512</v>
      </c>
      <c r="H302" s="59"/>
      <c r="I302" s="59">
        <v>375000</v>
      </c>
      <c r="J302" s="59">
        <v>0</v>
      </c>
      <c r="K302" s="59">
        <v>584.31430757246051</v>
      </c>
      <c r="L302" s="59">
        <v>25</v>
      </c>
      <c r="M302" s="59">
        <v>14.607857689311512</v>
      </c>
      <c r="N302" s="59">
        <v>375000</v>
      </c>
      <c r="O302" s="59">
        <v>584.31430757246051</v>
      </c>
    </row>
    <row r="303" spans="2:15" x14ac:dyDescent="0.35">
      <c r="B303" t="s">
        <v>78</v>
      </c>
      <c r="D303" s="59">
        <v>29575</v>
      </c>
      <c r="E303" s="59">
        <v>95375</v>
      </c>
      <c r="F303" s="59">
        <v>25038.657660653174</v>
      </c>
      <c r="G303" s="59">
        <v>56523.678342578045</v>
      </c>
      <c r="H303" s="59">
        <v>612752464.79707336</v>
      </c>
      <c r="I303" s="59">
        <v>1455628654.8295465</v>
      </c>
      <c r="J303" s="59">
        <v>846.61564364000571</v>
      </c>
      <c r="K303" s="59">
        <v>592.64669297591649</v>
      </c>
      <c r="L303" s="59">
        <v>124950</v>
      </c>
      <c r="M303" s="59">
        <v>81562.336003231205</v>
      </c>
      <c r="N303" s="59">
        <v>2068381119.6266196</v>
      </c>
      <c r="O303" s="59">
        <v>652.75979194262663</v>
      </c>
    </row>
    <row r="304" spans="2:15" x14ac:dyDescent="0.35">
      <c r="C304" t="s">
        <v>56</v>
      </c>
      <c r="D304" s="59"/>
      <c r="E304" s="59">
        <v>88500</v>
      </c>
      <c r="F304" s="59"/>
      <c r="G304" s="59">
        <v>52276.720356993188</v>
      </c>
      <c r="H304" s="59"/>
      <c r="I304" s="59">
        <v>1345092878.8731503</v>
      </c>
      <c r="J304" s="59">
        <v>0</v>
      </c>
      <c r="K304" s="59">
        <v>590.69740516376476</v>
      </c>
      <c r="L304" s="59">
        <v>88500</v>
      </c>
      <c r="M304" s="59">
        <v>52276.720356993188</v>
      </c>
      <c r="N304" s="59">
        <v>1345092878.8731503</v>
      </c>
      <c r="O304" s="59">
        <v>590.69740516376476</v>
      </c>
    </row>
    <row r="305" spans="2:15" x14ac:dyDescent="0.35">
      <c r="C305" t="s">
        <v>62</v>
      </c>
      <c r="D305" s="59">
        <v>19500</v>
      </c>
      <c r="E305" s="59">
        <v>5250</v>
      </c>
      <c r="F305" s="59">
        <v>16748.638357402677</v>
      </c>
      <c r="G305" s="59">
        <v>3201.6564104449753</v>
      </c>
      <c r="H305" s="59">
        <v>409864423.23135275</v>
      </c>
      <c r="I305" s="59">
        <v>83916985.20018886</v>
      </c>
      <c r="J305" s="59">
        <v>858.9045311488552</v>
      </c>
      <c r="K305" s="59">
        <v>609.83931627523339</v>
      </c>
      <c r="L305" s="59">
        <v>24750</v>
      </c>
      <c r="M305" s="59">
        <v>19950.294767847652</v>
      </c>
      <c r="N305" s="59">
        <v>493781408.43154162</v>
      </c>
      <c r="O305" s="59">
        <v>806.07251587263238</v>
      </c>
    </row>
    <row r="306" spans="2:15" x14ac:dyDescent="0.35">
      <c r="C306" t="s">
        <v>1256</v>
      </c>
      <c r="D306" s="59">
        <v>9750</v>
      </c>
      <c r="E306" s="59"/>
      <c r="F306" s="59">
        <v>8014.0922627644786</v>
      </c>
      <c r="G306" s="59"/>
      <c r="H306" s="59">
        <v>195937916.56572065</v>
      </c>
      <c r="I306" s="59"/>
      <c r="J306" s="59">
        <v>821.95818079635671</v>
      </c>
      <c r="K306" s="59">
        <v>0</v>
      </c>
      <c r="L306" s="59">
        <v>9750</v>
      </c>
      <c r="M306" s="59">
        <v>8014.0922627644786</v>
      </c>
      <c r="N306" s="59">
        <v>195937916.56572065</v>
      </c>
      <c r="O306" s="59">
        <v>821.95818079635671</v>
      </c>
    </row>
    <row r="307" spans="2:15" x14ac:dyDescent="0.35">
      <c r="C307" t="s">
        <v>155</v>
      </c>
      <c r="D307" s="59"/>
      <c r="E307" s="59">
        <v>750</v>
      </c>
      <c r="F307" s="59"/>
      <c r="G307" s="59">
        <v>453.31329064489341</v>
      </c>
      <c r="H307" s="59"/>
      <c r="I307" s="59">
        <v>11637057.781321185</v>
      </c>
      <c r="J307" s="59">
        <v>0</v>
      </c>
      <c r="K307" s="59">
        <v>604.41772085985792</v>
      </c>
      <c r="L307" s="59">
        <v>750</v>
      </c>
      <c r="M307" s="59">
        <v>453.31329064489341</v>
      </c>
      <c r="N307" s="59">
        <v>11637057.781321185</v>
      </c>
      <c r="O307" s="59">
        <v>604.41772085985792</v>
      </c>
    </row>
    <row r="308" spans="2:15" x14ac:dyDescent="0.35">
      <c r="C308" t="s">
        <v>154</v>
      </c>
      <c r="D308" s="59"/>
      <c r="E308" s="59">
        <v>750</v>
      </c>
      <c r="F308" s="59"/>
      <c r="G308" s="59">
        <v>514.41082030032226</v>
      </c>
      <c r="H308" s="59"/>
      <c r="I308" s="59">
        <v>13000250.974885846</v>
      </c>
      <c r="J308" s="59">
        <v>0</v>
      </c>
      <c r="K308" s="59">
        <v>685.88109373376301</v>
      </c>
      <c r="L308" s="59">
        <v>750</v>
      </c>
      <c r="M308" s="59">
        <v>514.41082030032226</v>
      </c>
      <c r="N308" s="59">
        <v>13000250.974885846</v>
      </c>
      <c r="O308" s="59">
        <v>685.88109373376301</v>
      </c>
    </row>
    <row r="309" spans="2:15" x14ac:dyDescent="0.35">
      <c r="C309" t="s">
        <v>1259</v>
      </c>
      <c r="D309" s="59">
        <v>325</v>
      </c>
      <c r="E309" s="59"/>
      <c r="F309" s="59">
        <v>275.92704048601701</v>
      </c>
      <c r="G309" s="59"/>
      <c r="H309" s="59">
        <v>6950125</v>
      </c>
      <c r="I309" s="59"/>
      <c r="J309" s="59">
        <v>849.00627841851383</v>
      </c>
      <c r="K309" s="59">
        <v>0</v>
      </c>
      <c r="L309" s="59">
        <v>325</v>
      </c>
      <c r="M309" s="59">
        <v>275.92704048601701</v>
      </c>
      <c r="N309" s="59">
        <v>6950125</v>
      </c>
      <c r="O309" s="59">
        <v>849.00627841851383</v>
      </c>
    </row>
    <row r="310" spans="2:15" x14ac:dyDescent="0.35">
      <c r="C310" t="s">
        <v>57</v>
      </c>
      <c r="D310" s="59"/>
      <c r="E310" s="59">
        <v>50</v>
      </c>
      <c r="F310" s="59"/>
      <c r="G310" s="59">
        <v>33.753891126727574</v>
      </c>
      <c r="H310" s="59"/>
      <c r="I310" s="59">
        <v>856482</v>
      </c>
      <c r="J310" s="59">
        <v>0</v>
      </c>
      <c r="K310" s="59">
        <v>675.0778225345515</v>
      </c>
      <c r="L310" s="59">
        <v>50</v>
      </c>
      <c r="M310" s="59">
        <v>33.753891126727574</v>
      </c>
      <c r="N310" s="59">
        <v>856482</v>
      </c>
      <c r="O310" s="59">
        <v>675.0778225345515</v>
      </c>
    </row>
    <row r="311" spans="2:15" x14ac:dyDescent="0.35">
      <c r="C311" t="s">
        <v>157</v>
      </c>
      <c r="D311" s="59"/>
      <c r="E311" s="59">
        <v>50</v>
      </c>
      <c r="F311" s="59"/>
      <c r="G311" s="59">
        <v>29.215715378623024</v>
      </c>
      <c r="H311" s="59"/>
      <c r="I311" s="59">
        <v>750000</v>
      </c>
      <c r="J311" s="59">
        <v>0</v>
      </c>
      <c r="K311" s="59">
        <v>584.31430757246051</v>
      </c>
      <c r="L311" s="59">
        <v>50</v>
      </c>
      <c r="M311" s="59">
        <v>29.215715378623024</v>
      </c>
      <c r="N311" s="59">
        <v>750000</v>
      </c>
      <c r="O311" s="59">
        <v>584.31430757246051</v>
      </c>
    </row>
    <row r="312" spans="2:15" x14ac:dyDescent="0.35">
      <c r="C312" t="s">
        <v>156</v>
      </c>
      <c r="D312" s="59"/>
      <c r="E312" s="59">
        <v>25</v>
      </c>
      <c r="F312" s="59"/>
      <c r="G312" s="59">
        <v>14.607857689311512</v>
      </c>
      <c r="H312" s="59"/>
      <c r="I312" s="59">
        <v>375000</v>
      </c>
      <c r="J312" s="59">
        <v>0</v>
      </c>
      <c r="K312" s="59">
        <v>584.31430757246051</v>
      </c>
      <c r="L312" s="59">
        <v>25</v>
      </c>
      <c r="M312" s="59">
        <v>14.607857689311512</v>
      </c>
      <c r="N312" s="59">
        <v>375000</v>
      </c>
      <c r="O312" s="59">
        <v>584.31430757246051</v>
      </c>
    </row>
    <row r="313" spans="2:15" x14ac:dyDescent="0.35">
      <c r="B313" t="s">
        <v>81</v>
      </c>
      <c r="D313" s="59">
        <v>20250</v>
      </c>
      <c r="E313" s="59">
        <v>51325</v>
      </c>
      <c r="F313" s="59">
        <v>17462.898131074042</v>
      </c>
      <c r="G313" s="59">
        <v>30682.604827636391</v>
      </c>
      <c r="H313" s="59">
        <v>433823306.64810854</v>
      </c>
      <c r="I313" s="59">
        <v>786857290.11116672</v>
      </c>
      <c r="J313" s="59">
        <v>862.36533980612546</v>
      </c>
      <c r="K313" s="59">
        <v>597.81012815657834</v>
      </c>
      <c r="L313" s="59">
        <v>71575</v>
      </c>
      <c r="M313" s="59">
        <v>48145.502958710429</v>
      </c>
      <c r="N313" s="59">
        <v>1220680596.7592754</v>
      </c>
      <c r="O313" s="59">
        <v>672.65809233266407</v>
      </c>
    </row>
    <row r="314" spans="2:15" x14ac:dyDescent="0.35">
      <c r="C314" t="s">
        <v>56</v>
      </c>
      <c r="D314" s="59"/>
      <c r="E314" s="59">
        <v>24750</v>
      </c>
      <c r="F314" s="59"/>
      <c r="G314" s="59">
        <v>14657.584232732108</v>
      </c>
      <c r="H314" s="59"/>
      <c r="I314" s="59">
        <v>378966392.12515265</v>
      </c>
      <c r="J314" s="59">
        <v>0</v>
      </c>
      <c r="K314" s="59">
        <v>592.22562556493358</v>
      </c>
      <c r="L314" s="59">
        <v>24750</v>
      </c>
      <c r="M314" s="59">
        <v>14657.584232732108</v>
      </c>
      <c r="N314" s="59">
        <v>378966392.12515265</v>
      </c>
      <c r="O314" s="59">
        <v>592.22562556493358</v>
      </c>
    </row>
    <row r="315" spans="2:15" x14ac:dyDescent="0.35">
      <c r="C315" t="s">
        <v>57</v>
      </c>
      <c r="D315" s="59"/>
      <c r="E315" s="59">
        <v>15800</v>
      </c>
      <c r="F315" s="59"/>
      <c r="G315" s="59">
        <v>9883.7360245727377</v>
      </c>
      <c r="H315" s="59"/>
      <c r="I315" s="59">
        <v>252103390.73326677</v>
      </c>
      <c r="J315" s="59">
        <v>0</v>
      </c>
      <c r="K315" s="59">
        <v>625.55291294764163</v>
      </c>
      <c r="L315" s="59">
        <v>15800</v>
      </c>
      <c r="M315" s="59">
        <v>9883.7360245727377</v>
      </c>
      <c r="N315" s="59">
        <v>252103390.73326677</v>
      </c>
      <c r="O315" s="59">
        <v>625.55291294764163</v>
      </c>
    </row>
    <row r="316" spans="2:15" x14ac:dyDescent="0.35">
      <c r="C316" t="s">
        <v>1256</v>
      </c>
      <c r="D316" s="59">
        <v>15000</v>
      </c>
      <c r="E316" s="59"/>
      <c r="F316" s="59">
        <v>13164.838456413172</v>
      </c>
      <c r="G316" s="59"/>
      <c r="H316" s="59">
        <v>327323103.92155373</v>
      </c>
      <c r="I316" s="59"/>
      <c r="J316" s="59">
        <v>877.65589709421147</v>
      </c>
      <c r="K316" s="59">
        <v>0</v>
      </c>
      <c r="L316" s="59">
        <v>15000</v>
      </c>
      <c r="M316" s="59">
        <v>13164.838456413172</v>
      </c>
      <c r="N316" s="59">
        <v>327323103.92155373</v>
      </c>
      <c r="O316" s="59">
        <v>877.65589709421147</v>
      </c>
    </row>
    <row r="317" spans="2:15" x14ac:dyDescent="0.35">
      <c r="C317" t="s">
        <v>158</v>
      </c>
      <c r="D317" s="59"/>
      <c r="E317" s="59">
        <v>10000</v>
      </c>
      <c r="F317" s="59"/>
      <c r="G317" s="59">
        <v>5659.5391352375236</v>
      </c>
      <c r="H317" s="59"/>
      <c r="I317" s="59">
        <v>143606951.25274724</v>
      </c>
      <c r="J317" s="59">
        <v>0</v>
      </c>
      <c r="K317" s="59">
        <v>565.95391352375236</v>
      </c>
      <c r="L317" s="59">
        <v>10000</v>
      </c>
      <c r="M317" s="59">
        <v>5659.5391352375236</v>
      </c>
      <c r="N317" s="59">
        <v>143606951.25274724</v>
      </c>
      <c r="O317" s="59">
        <v>565.95391352375236</v>
      </c>
    </row>
    <row r="318" spans="2:15" x14ac:dyDescent="0.35">
      <c r="C318" t="s">
        <v>62</v>
      </c>
      <c r="D318" s="59">
        <v>5250</v>
      </c>
      <c r="E318" s="59"/>
      <c r="F318" s="59">
        <v>4298.059674660869</v>
      </c>
      <c r="G318" s="59"/>
      <c r="H318" s="59">
        <v>106500202.7265548</v>
      </c>
      <c r="I318" s="59"/>
      <c r="J318" s="59">
        <v>818.67803326873684</v>
      </c>
      <c r="K318" s="59">
        <v>0</v>
      </c>
      <c r="L318" s="59">
        <v>5250</v>
      </c>
      <c r="M318" s="59">
        <v>4298.059674660869</v>
      </c>
      <c r="N318" s="59">
        <v>106500202.7265548</v>
      </c>
      <c r="O318" s="59">
        <v>818.67803326873684</v>
      </c>
    </row>
    <row r="319" spans="2:15" x14ac:dyDescent="0.35">
      <c r="C319" t="s">
        <v>58</v>
      </c>
      <c r="D319" s="59"/>
      <c r="E319" s="59">
        <v>750</v>
      </c>
      <c r="F319" s="59"/>
      <c r="G319" s="59">
        <v>467.13757740470982</v>
      </c>
      <c r="H319" s="59"/>
      <c r="I319" s="59">
        <v>11805556</v>
      </c>
      <c r="J319" s="59">
        <v>0</v>
      </c>
      <c r="K319" s="59">
        <v>622.85010320627975</v>
      </c>
      <c r="L319" s="59">
        <v>750</v>
      </c>
      <c r="M319" s="59">
        <v>467.13757740470982</v>
      </c>
      <c r="N319" s="59">
        <v>11805556</v>
      </c>
      <c r="O319" s="59">
        <v>622.85010320627975</v>
      </c>
    </row>
    <row r="320" spans="2:15" x14ac:dyDescent="0.35">
      <c r="C320" t="s">
        <v>156</v>
      </c>
      <c r="D320" s="59"/>
      <c r="E320" s="59">
        <v>25</v>
      </c>
      <c r="F320" s="59"/>
      <c r="G320" s="59">
        <v>14.607857689311512</v>
      </c>
      <c r="H320" s="59"/>
      <c r="I320" s="59">
        <v>375000</v>
      </c>
      <c r="J320" s="59">
        <v>0</v>
      </c>
      <c r="K320" s="59">
        <v>584.31430757246051</v>
      </c>
      <c r="L320" s="59">
        <v>25</v>
      </c>
      <c r="M320" s="59">
        <v>14.607857689311512</v>
      </c>
      <c r="N320" s="59">
        <v>375000</v>
      </c>
      <c r="O320" s="59">
        <v>584.31430757246051</v>
      </c>
    </row>
    <row r="321" spans="1:15" x14ac:dyDescent="0.35">
      <c r="B321" t="s">
        <v>82</v>
      </c>
      <c r="D321" s="59"/>
      <c r="E321" s="59">
        <v>34025</v>
      </c>
      <c r="F321" s="59"/>
      <c r="G321" s="59">
        <v>16565.863503880759</v>
      </c>
      <c r="H321" s="59"/>
      <c r="I321" s="59">
        <v>427789794.32456684</v>
      </c>
      <c r="J321" s="59">
        <v>0</v>
      </c>
      <c r="K321" s="59">
        <v>486.87328446379894</v>
      </c>
      <c r="L321" s="59">
        <v>34025</v>
      </c>
      <c r="M321" s="59">
        <v>16565.863503880759</v>
      </c>
      <c r="N321" s="59">
        <v>427789794.32456684</v>
      </c>
      <c r="O321" s="59">
        <v>486.87328446379894</v>
      </c>
    </row>
    <row r="322" spans="1:15" x14ac:dyDescent="0.35">
      <c r="C322" t="s">
        <v>57</v>
      </c>
      <c r="D322" s="59"/>
      <c r="E322" s="59">
        <v>28000</v>
      </c>
      <c r="F322" s="59"/>
      <c r="G322" s="59">
        <v>13758.874670338137</v>
      </c>
      <c r="H322" s="59"/>
      <c r="I322" s="59">
        <v>356560028.75156838</v>
      </c>
      <c r="J322" s="59">
        <v>0</v>
      </c>
      <c r="K322" s="59">
        <v>491.38838108350484</v>
      </c>
      <c r="L322" s="59">
        <v>28000</v>
      </c>
      <c r="M322" s="59">
        <v>13758.874670338137</v>
      </c>
      <c r="N322" s="59">
        <v>356560028.75156838</v>
      </c>
      <c r="O322" s="59">
        <v>491.38838108350484</v>
      </c>
    </row>
    <row r="323" spans="1:15" x14ac:dyDescent="0.35">
      <c r="C323" t="s">
        <v>58</v>
      </c>
      <c r="D323" s="59"/>
      <c r="E323" s="59">
        <v>6000</v>
      </c>
      <c r="F323" s="59"/>
      <c r="G323" s="59">
        <v>2792.3809758533093</v>
      </c>
      <c r="H323" s="59"/>
      <c r="I323" s="59">
        <v>70854765.572998434</v>
      </c>
      <c r="J323" s="59">
        <v>0</v>
      </c>
      <c r="K323" s="59">
        <v>465.39682930888489</v>
      </c>
      <c r="L323" s="59">
        <v>6000</v>
      </c>
      <c r="M323" s="59">
        <v>2792.3809758533093</v>
      </c>
      <c r="N323" s="59">
        <v>70854765.572998434</v>
      </c>
      <c r="O323" s="59">
        <v>465.39682930888489</v>
      </c>
    </row>
    <row r="324" spans="1:15" x14ac:dyDescent="0.35">
      <c r="C324" t="s">
        <v>156</v>
      </c>
      <c r="D324" s="59"/>
      <c r="E324" s="59">
        <v>25</v>
      </c>
      <c r="F324" s="59"/>
      <c r="G324" s="59">
        <v>14.607857689311512</v>
      </c>
      <c r="H324" s="59"/>
      <c r="I324" s="59">
        <v>375000</v>
      </c>
      <c r="J324" s="59">
        <v>0</v>
      </c>
      <c r="K324" s="59">
        <v>584.31430757246051</v>
      </c>
      <c r="L324" s="59">
        <v>25</v>
      </c>
      <c r="M324" s="59">
        <v>14.607857689311512</v>
      </c>
      <c r="N324" s="59">
        <v>375000</v>
      </c>
      <c r="O324" s="59">
        <v>584.31430757246051</v>
      </c>
    </row>
    <row r="325" spans="1:15" x14ac:dyDescent="0.35">
      <c r="B325" t="s">
        <v>83</v>
      </c>
      <c r="D325" s="59"/>
      <c r="E325" s="59">
        <v>75</v>
      </c>
      <c r="F325" s="59"/>
      <c r="G325" s="59">
        <v>47.449369649314193</v>
      </c>
      <c r="H325" s="59"/>
      <c r="I325" s="59">
        <v>1208331</v>
      </c>
      <c r="J325" s="59">
        <v>0</v>
      </c>
      <c r="K325" s="59">
        <v>632.65826199085598</v>
      </c>
      <c r="L325" s="59">
        <v>75</v>
      </c>
      <c r="M325" s="59">
        <v>47.449369649314193</v>
      </c>
      <c r="N325" s="59">
        <v>1208331</v>
      </c>
      <c r="O325" s="59">
        <v>632.65826199085598</v>
      </c>
    </row>
    <row r="326" spans="1:15" x14ac:dyDescent="0.35">
      <c r="C326" t="s">
        <v>57</v>
      </c>
      <c r="D326" s="59"/>
      <c r="E326" s="59">
        <v>50</v>
      </c>
      <c r="F326" s="59"/>
      <c r="G326" s="59">
        <v>32.841511960002684</v>
      </c>
      <c r="H326" s="59"/>
      <c r="I326" s="59">
        <v>833331</v>
      </c>
      <c r="J326" s="59">
        <v>0</v>
      </c>
      <c r="K326" s="59">
        <v>656.83023920005371</v>
      </c>
      <c r="L326" s="59">
        <v>50</v>
      </c>
      <c r="M326" s="59">
        <v>32.841511960002684</v>
      </c>
      <c r="N326" s="59">
        <v>833331</v>
      </c>
      <c r="O326" s="59">
        <v>656.83023920005371</v>
      </c>
    </row>
    <row r="327" spans="1:15" x14ac:dyDescent="0.35">
      <c r="C327" t="s">
        <v>156</v>
      </c>
      <c r="D327" s="59"/>
      <c r="E327" s="59">
        <v>25</v>
      </c>
      <c r="F327" s="59"/>
      <c r="G327" s="59">
        <v>14.607857689311512</v>
      </c>
      <c r="H327" s="59"/>
      <c r="I327" s="59">
        <v>375000</v>
      </c>
      <c r="J327" s="59">
        <v>0</v>
      </c>
      <c r="K327" s="59">
        <v>584.31430757246051</v>
      </c>
      <c r="L327" s="59">
        <v>25</v>
      </c>
      <c r="M327" s="59">
        <v>14.607857689311512</v>
      </c>
      <c r="N327" s="59">
        <v>375000</v>
      </c>
      <c r="O327" s="59">
        <v>584.31430757246051</v>
      </c>
    </row>
    <row r="328" spans="1:15" x14ac:dyDescent="0.35">
      <c r="B328" t="s">
        <v>1260</v>
      </c>
      <c r="D328" s="59">
        <v>20750</v>
      </c>
      <c r="E328" s="59"/>
      <c r="F328" s="59">
        <v>18608.001603032131</v>
      </c>
      <c r="G328" s="59"/>
      <c r="H328" s="59">
        <v>459756910.91154844</v>
      </c>
      <c r="I328" s="59"/>
      <c r="J328" s="59">
        <v>896.77116159190996</v>
      </c>
      <c r="K328" s="59">
        <v>0</v>
      </c>
      <c r="L328" s="59">
        <v>20750</v>
      </c>
      <c r="M328" s="59">
        <v>18608.001603032131</v>
      </c>
      <c r="N328" s="59">
        <v>459756910.91154844</v>
      </c>
      <c r="O328" s="59">
        <v>896.77116159190996</v>
      </c>
    </row>
    <row r="329" spans="1:15" x14ac:dyDescent="0.35">
      <c r="C329" t="s">
        <v>1261</v>
      </c>
      <c r="D329" s="59">
        <v>20750</v>
      </c>
      <c r="E329" s="59"/>
      <c r="F329" s="59">
        <v>18608.001603032131</v>
      </c>
      <c r="G329" s="59"/>
      <c r="H329" s="59">
        <v>459756910.91154844</v>
      </c>
      <c r="I329" s="59"/>
      <c r="J329" s="59">
        <v>896.77116159190996</v>
      </c>
      <c r="K329" s="59">
        <v>0</v>
      </c>
      <c r="L329" s="59">
        <v>20750</v>
      </c>
      <c r="M329" s="59">
        <v>18608.001603032131</v>
      </c>
      <c r="N329" s="59">
        <v>459756910.91154844</v>
      </c>
      <c r="O329" s="59">
        <v>896.77116159190996</v>
      </c>
    </row>
    <row r="330" spans="1:15" x14ac:dyDescent="0.35">
      <c r="B330" t="s">
        <v>1262</v>
      </c>
      <c r="D330" s="59"/>
      <c r="E330" s="59">
        <v>25000</v>
      </c>
      <c r="F330" s="59"/>
      <c r="G330" s="59">
        <v>29412.110453648915</v>
      </c>
      <c r="H330" s="59"/>
      <c r="I330" s="59">
        <v>745597000</v>
      </c>
      <c r="J330" s="59">
        <v>0</v>
      </c>
      <c r="K330" s="59">
        <v>1176.4844181459566</v>
      </c>
      <c r="L330" s="59">
        <v>25000</v>
      </c>
      <c r="M330" s="59">
        <v>29412.110453648915</v>
      </c>
      <c r="N330" s="59">
        <v>745597000</v>
      </c>
      <c r="O330" s="59">
        <v>1176.4844181459566</v>
      </c>
    </row>
    <row r="331" spans="1:15" x14ac:dyDescent="0.35">
      <c r="C331" t="s">
        <v>9</v>
      </c>
      <c r="D331" s="59"/>
      <c r="E331" s="59">
        <v>25000</v>
      </c>
      <c r="F331" s="59"/>
      <c r="G331" s="59">
        <v>29412.110453648915</v>
      </c>
      <c r="H331" s="59"/>
      <c r="I331" s="59">
        <v>745597000</v>
      </c>
      <c r="J331" s="59">
        <v>0</v>
      </c>
      <c r="K331" s="59">
        <v>1176.4844181459566</v>
      </c>
      <c r="L331" s="59">
        <v>25000</v>
      </c>
      <c r="M331" s="59">
        <v>29412.110453648915</v>
      </c>
      <c r="N331" s="59">
        <v>745597000</v>
      </c>
      <c r="O331" s="59">
        <v>1176.4844181459566</v>
      </c>
    </row>
    <row r="332" spans="1:15" x14ac:dyDescent="0.35">
      <c r="A332" t="s">
        <v>1012</v>
      </c>
      <c r="D332" s="59">
        <v>902000</v>
      </c>
      <c r="E332" s="59">
        <v>88000</v>
      </c>
      <c r="F332" s="59">
        <v>2495401.6377778146</v>
      </c>
      <c r="G332" s="59">
        <v>251301.62128935265</v>
      </c>
      <c r="H332" s="59">
        <v>61268669675.475006</v>
      </c>
      <c r="I332" s="59">
        <v>6433178595.1303558</v>
      </c>
      <c r="J332" s="59">
        <v>2766.5206627248504</v>
      </c>
      <c r="K332" s="59">
        <v>2855.7002419244614</v>
      </c>
      <c r="L332" s="59">
        <v>990000</v>
      </c>
      <c r="M332" s="59">
        <v>2746703.2590671671</v>
      </c>
      <c r="N332" s="59">
        <v>67701848270.60537</v>
      </c>
      <c r="O332" s="59">
        <v>2774.4477364314821</v>
      </c>
    </row>
    <row r="333" spans="1:15" x14ac:dyDescent="0.35">
      <c r="B333" t="s">
        <v>1263</v>
      </c>
      <c r="D333" s="59">
        <v>0</v>
      </c>
      <c r="E333" s="59"/>
      <c r="F333" s="59">
        <v>0</v>
      </c>
      <c r="G333" s="59"/>
      <c r="H333" s="59">
        <v>0</v>
      </c>
      <c r="I333" s="59"/>
      <c r="J333" s="59">
        <v>0</v>
      </c>
      <c r="K333" s="59">
        <v>0</v>
      </c>
      <c r="L333" s="59">
        <v>0</v>
      </c>
      <c r="M333" s="59">
        <v>0</v>
      </c>
      <c r="N333" s="59">
        <v>0</v>
      </c>
      <c r="O333" s="59">
        <v>0</v>
      </c>
    </row>
    <row r="334" spans="1:15" x14ac:dyDescent="0.35">
      <c r="C334" t="s">
        <v>1264</v>
      </c>
      <c r="D334" s="59">
        <v>0</v>
      </c>
      <c r="E334" s="59"/>
      <c r="F334" s="59">
        <v>0</v>
      </c>
      <c r="G334" s="59"/>
      <c r="H334" s="59">
        <v>0</v>
      </c>
      <c r="I334" s="59"/>
      <c r="J334" s="59">
        <v>0</v>
      </c>
      <c r="K334" s="59">
        <v>0</v>
      </c>
      <c r="L334" s="59">
        <v>0</v>
      </c>
      <c r="M334" s="59">
        <v>0</v>
      </c>
      <c r="N334" s="59">
        <v>0</v>
      </c>
      <c r="O334" s="59">
        <v>0</v>
      </c>
    </row>
    <row r="335" spans="1:15" x14ac:dyDescent="0.35">
      <c r="B335" t="s">
        <v>1265</v>
      </c>
      <c r="D335" s="59">
        <v>0</v>
      </c>
      <c r="E335" s="59">
        <v>0</v>
      </c>
      <c r="F335" s="59">
        <v>0</v>
      </c>
      <c r="G335" s="59">
        <v>0</v>
      </c>
      <c r="H335" s="59">
        <v>0</v>
      </c>
      <c r="I335" s="59">
        <v>0</v>
      </c>
      <c r="J335" s="59">
        <v>0</v>
      </c>
      <c r="K335" s="59">
        <v>0</v>
      </c>
      <c r="L335" s="59">
        <v>0</v>
      </c>
      <c r="M335" s="59">
        <v>0</v>
      </c>
      <c r="N335" s="59">
        <v>0</v>
      </c>
      <c r="O335" s="59">
        <v>0</v>
      </c>
    </row>
    <row r="336" spans="1:15" x14ac:dyDescent="0.35">
      <c r="C336" t="s">
        <v>1266</v>
      </c>
      <c r="D336" s="59">
        <v>0</v>
      </c>
      <c r="E336" s="59">
        <v>0</v>
      </c>
      <c r="F336" s="59">
        <v>0</v>
      </c>
      <c r="G336" s="59">
        <v>0</v>
      </c>
      <c r="H336" s="59">
        <v>0</v>
      </c>
      <c r="I336" s="59">
        <v>0</v>
      </c>
      <c r="J336" s="59">
        <v>0</v>
      </c>
      <c r="K336" s="59">
        <v>0</v>
      </c>
      <c r="L336" s="59">
        <v>0</v>
      </c>
      <c r="M336" s="59">
        <v>0</v>
      </c>
      <c r="N336" s="59">
        <v>0</v>
      </c>
      <c r="O336" s="59">
        <v>0</v>
      </c>
    </row>
    <row r="337" spans="2:15" x14ac:dyDescent="0.35">
      <c r="B337" t="s">
        <v>1267</v>
      </c>
      <c r="D337" s="59">
        <v>0</v>
      </c>
      <c r="E337" s="59"/>
      <c r="F337" s="59">
        <v>0</v>
      </c>
      <c r="G337" s="59"/>
      <c r="H337" s="59">
        <v>0</v>
      </c>
      <c r="I337" s="59"/>
      <c r="J337" s="59">
        <v>0</v>
      </c>
      <c r="K337" s="59">
        <v>0</v>
      </c>
      <c r="L337" s="59">
        <v>0</v>
      </c>
      <c r="M337" s="59">
        <v>0</v>
      </c>
      <c r="N337" s="59">
        <v>0</v>
      </c>
      <c r="O337" s="59">
        <v>0</v>
      </c>
    </row>
    <row r="338" spans="2:15" x14ac:dyDescent="0.35">
      <c r="C338" t="s">
        <v>1264</v>
      </c>
      <c r="D338" s="59">
        <v>0</v>
      </c>
      <c r="E338" s="59"/>
      <c r="F338" s="59">
        <v>0</v>
      </c>
      <c r="G338" s="59"/>
      <c r="H338" s="59">
        <v>0</v>
      </c>
      <c r="I338" s="59"/>
      <c r="J338" s="59">
        <v>0</v>
      </c>
      <c r="K338" s="59">
        <v>0</v>
      </c>
      <c r="L338" s="59">
        <v>0</v>
      </c>
      <c r="M338" s="59">
        <v>0</v>
      </c>
      <c r="N338" s="59">
        <v>0</v>
      </c>
      <c r="O338" s="59">
        <v>0</v>
      </c>
    </row>
    <row r="339" spans="2:15" x14ac:dyDescent="0.35">
      <c r="B339" t="s">
        <v>1268</v>
      </c>
      <c r="D339" s="59">
        <v>902000</v>
      </c>
      <c r="E339" s="59">
        <v>88000</v>
      </c>
      <c r="F339" s="59">
        <v>1019495.6369741755</v>
      </c>
      <c r="G339" s="59">
        <v>109485.54399805362</v>
      </c>
      <c r="H339" s="59">
        <v>24463516647.315392</v>
      </c>
      <c r="I339" s="59">
        <v>2768889366.6846147</v>
      </c>
      <c r="J339" s="59">
        <v>1130.2612383305714</v>
      </c>
      <c r="K339" s="59">
        <v>1244.1539090687911</v>
      </c>
      <c r="L339" s="59">
        <v>990000</v>
      </c>
      <c r="M339" s="59">
        <v>1128981.1809722292</v>
      </c>
      <c r="N339" s="59">
        <v>27232406014.000008</v>
      </c>
      <c r="O339" s="59">
        <v>1140.38503128508</v>
      </c>
    </row>
    <row r="340" spans="2:15" x14ac:dyDescent="0.35">
      <c r="C340" t="s">
        <v>143</v>
      </c>
      <c r="D340" s="59">
        <v>440000</v>
      </c>
      <c r="E340" s="59"/>
      <c r="F340" s="59">
        <v>484383.12867255847</v>
      </c>
      <c r="G340" s="59"/>
      <c r="H340" s="59">
        <v>11683323278.727278</v>
      </c>
      <c r="I340" s="59"/>
      <c r="J340" s="59">
        <v>1100.8707469830874</v>
      </c>
      <c r="K340" s="59">
        <v>0</v>
      </c>
      <c r="L340" s="59">
        <v>440000</v>
      </c>
      <c r="M340" s="59">
        <v>484383.12867255847</v>
      </c>
      <c r="N340" s="59">
        <v>11683323278.727278</v>
      </c>
      <c r="O340" s="59">
        <v>1100.8707469830874</v>
      </c>
    </row>
    <row r="341" spans="2:15" x14ac:dyDescent="0.35">
      <c r="C341" t="s">
        <v>1176</v>
      </c>
      <c r="D341" s="59">
        <v>330000</v>
      </c>
      <c r="E341" s="59"/>
      <c r="F341" s="59">
        <v>382190.64412264642</v>
      </c>
      <c r="G341" s="59"/>
      <c r="H341" s="59">
        <v>9200349180</v>
      </c>
      <c r="I341" s="59"/>
      <c r="J341" s="59">
        <v>1158.1534670383226</v>
      </c>
      <c r="K341" s="59">
        <v>0</v>
      </c>
      <c r="L341" s="59">
        <v>330000</v>
      </c>
      <c r="M341" s="59">
        <v>382190.64412264642</v>
      </c>
      <c r="N341" s="59">
        <v>9200349180</v>
      </c>
      <c r="O341" s="59">
        <v>1158.1534670383226</v>
      </c>
    </row>
    <row r="342" spans="2:15" x14ac:dyDescent="0.35">
      <c r="C342" t="s">
        <v>6</v>
      </c>
      <c r="D342" s="59">
        <v>88000</v>
      </c>
      <c r="E342" s="59">
        <v>88000</v>
      </c>
      <c r="F342" s="59">
        <v>96473.575338980474</v>
      </c>
      <c r="G342" s="59">
        <v>109484.90971469413</v>
      </c>
      <c r="H342" s="59">
        <v>2219441141.3153853</v>
      </c>
      <c r="I342" s="59">
        <v>2768873366.6846147</v>
      </c>
      <c r="J342" s="59">
        <v>1096.2906288520508</v>
      </c>
      <c r="K342" s="59">
        <v>1244.1467013033425</v>
      </c>
      <c r="L342" s="59">
        <v>176000</v>
      </c>
      <c r="M342" s="59">
        <v>205958.48505367461</v>
      </c>
      <c r="N342" s="59">
        <v>4988314508</v>
      </c>
      <c r="O342" s="59">
        <v>1170.2186650776966</v>
      </c>
    </row>
    <row r="343" spans="2:15" x14ac:dyDescent="0.35">
      <c r="C343" t="s">
        <v>122</v>
      </c>
      <c r="D343" s="59">
        <v>44000</v>
      </c>
      <c r="E343" s="59"/>
      <c r="F343" s="59">
        <v>56448.923123349676</v>
      </c>
      <c r="G343" s="59"/>
      <c r="H343" s="59">
        <v>1360419047.2727273</v>
      </c>
      <c r="I343" s="59"/>
      <c r="J343" s="59">
        <v>1282.9300709852198</v>
      </c>
      <c r="K343" s="59">
        <v>0</v>
      </c>
      <c r="L343" s="59">
        <v>44000</v>
      </c>
      <c r="M343" s="59">
        <v>56448.923123349676</v>
      </c>
      <c r="N343" s="59">
        <v>1360419047.2727273</v>
      </c>
      <c r="O343" s="59">
        <v>1282.9300709852198</v>
      </c>
    </row>
    <row r="344" spans="2:15" x14ac:dyDescent="0.35">
      <c r="C344" t="s">
        <v>1264</v>
      </c>
      <c r="D344" s="59">
        <v>0</v>
      </c>
      <c r="E344" s="59">
        <v>0</v>
      </c>
      <c r="F344" s="59">
        <v>-0.63428335948965753</v>
      </c>
      <c r="G344" s="59">
        <v>0.63428335948965753</v>
      </c>
      <c r="H344" s="59">
        <v>-16000</v>
      </c>
      <c r="I344" s="59">
        <v>16000</v>
      </c>
      <c r="J344" s="59">
        <v>0</v>
      </c>
      <c r="K344" s="59">
        <v>0</v>
      </c>
      <c r="L344" s="59">
        <v>0</v>
      </c>
      <c r="M344" s="59">
        <v>0</v>
      </c>
      <c r="N344" s="59">
        <v>0</v>
      </c>
      <c r="O344" s="59">
        <v>0</v>
      </c>
    </row>
    <row r="345" spans="2:15" x14ac:dyDescent="0.35">
      <c r="B345" t="s">
        <v>1269</v>
      </c>
      <c r="D345" s="59">
        <v>0</v>
      </c>
      <c r="E345" s="59">
        <v>0</v>
      </c>
      <c r="F345" s="59">
        <v>-7306.3412890014442</v>
      </c>
      <c r="G345" s="59">
        <v>-5443.5175195617676</v>
      </c>
      <c r="H345" s="59">
        <v>-173806175.84037995</v>
      </c>
      <c r="I345" s="59">
        <v>-140677008.5932292</v>
      </c>
      <c r="J345" s="59">
        <v>0</v>
      </c>
      <c r="K345" s="59">
        <v>0</v>
      </c>
      <c r="L345" s="59">
        <v>0</v>
      </c>
      <c r="M345" s="59">
        <v>-12749.858808563213</v>
      </c>
      <c r="N345" s="59">
        <v>-314483184.43360913</v>
      </c>
      <c r="O345" s="59">
        <v>0</v>
      </c>
    </row>
    <row r="346" spans="2:15" x14ac:dyDescent="0.35">
      <c r="C346" t="s">
        <v>16</v>
      </c>
      <c r="D346" s="59"/>
      <c r="E346" s="59">
        <v>0</v>
      </c>
      <c r="F346" s="59"/>
      <c r="G346" s="59">
        <v>-821.65416382427554</v>
      </c>
      <c r="H346" s="59"/>
      <c r="I346" s="59">
        <v>-21293095.496292472</v>
      </c>
      <c r="J346" s="59">
        <v>0</v>
      </c>
      <c r="K346" s="59">
        <v>0</v>
      </c>
      <c r="L346" s="59">
        <v>0</v>
      </c>
      <c r="M346" s="59">
        <v>-821.65416382427554</v>
      </c>
      <c r="N346" s="59">
        <v>-21293095.496292472</v>
      </c>
      <c r="O346" s="59">
        <v>0</v>
      </c>
    </row>
    <row r="347" spans="2:15" x14ac:dyDescent="0.35">
      <c r="C347" t="s">
        <v>1264</v>
      </c>
      <c r="D347" s="59">
        <v>0</v>
      </c>
      <c r="E347" s="59">
        <v>0</v>
      </c>
      <c r="F347" s="59">
        <v>-7306.3412890014442</v>
      </c>
      <c r="G347" s="59">
        <v>-4621.8633557374924</v>
      </c>
      <c r="H347" s="59">
        <v>-173806175.84037995</v>
      </c>
      <c r="I347" s="59">
        <v>-119383913.09693673</v>
      </c>
      <c r="J347" s="59">
        <v>0</v>
      </c>
      <c r="K347" s="59">
        <v>0</v>
      </c>
      <c r="L347" s="59">
        <v>0</v>
      </c>
      <c r="M347" s="59">
        <v>-11928.204644738937</v>
      </c>
      <c r="N347" s="59">
        <v>-293190088.93731666</v>
      </c>
      <c r="O347" s="59">
        <v>0</v>
      </c>
    </row>
    <row r="348" spans="2:15" x14ac:dyDescent="0.35">
      <c r="B348" t="s">
        <v>1270</v>
      </c>
      <c r="D348" s="59">
        <v>0</v>
      </c>
      <c r="E348" s="59">
        <v>0</v>
      </c>
      <c r="F348" s="59">
        <v>25139.479622442712</v>
      </c>
      <c r="G348" s="59">
        <v>38464.329972983753</v>
      </c>
      <c r="H348" s="59">
        <v>628723744</v>
      </c>
      <c r="I348" s="59">
        <v>979635867.7989701</v>
      </c>
      <c r="J348" s="59">
        <v>0</v>
      </c>
      <c r="K348" s="59">
        <v>0</v>
      </c>
      <c r="L348" s="59">
        <v>0</v>
      </c>
      <c r="M348" s="59">
        <v>63603.809595426465</v>
      </c>
      <c r="N348" s="59">
        <v>1608359611.79897</v>
      </c>
      <c r="O348" s="59">
        <v>0</v>
      </c>
    </row>
    <row r="349" spans="2:15" x14ac:dyDescent="0.35">
      <c r="C349" t="s">
        <v>1264</v>
      </c>
      <c r="D349" s="59"/>
      <c r="E349" s="59">
        <v>0</v>
      </c>
      <c r="F349" s="59"/>
      <c r="G349" s="59">
        <v>-2.7089806002079367E-5</v>
      </c>
      <c r="H349" s="59"/>
      <c r="I349" s="59">
        <v>-0.70202994346618652</v>
      </c>
      <c r="J349" s="59">
        <v>0</v>
      </c>
      <c r="K349" s="59">
        <v>0</v>
      </c>
      <c r="L349" s="59">
        <v>0</v>
      </c>
      <c r="M349" s="59">
        <v>-2.7089806002079367E-5</v>
      </c>
      <c r="N349" s="59">
        <v>-0.70202994346618652</v>
      </c>
      <c r="O349" s="59">
        <v>0</v>
      </c>
    </row>
    <row r="350" spans="2:15" x14ac:dyDescent="0.35">
      <c r="C350" t="s">
        <v>8</v>
      </c>
      <c r="D350" s="59">
        <v>0</v>
      </c>
      <c r="E350" s="59">
        <v>0</v>
      </c>
      <c r="F350" s="59">
        <v>18515.187802581546</v>
      </c>
      <c r="G350" s="59">
        <v>38464.330000073562</v>
      </c>
      <c r="H350" s="59">
        <v>463794452</v>
      </c>
      <c r="I350" s="59">
        <v>979635868.50100005</v>
      </c>
      <c r="J350" s="59">
        <v>0</v>
      </c>
      <c r="K350" s="59">
        <v>0</v>
      </c>
      <c r="L350" s="59">
        <v>0</v>
      </c>
      <c r="M350" s="59">
        <v>56979.517802655108</v>
      </c>
      <c r="N350" s="59">
        <v>1443430320.5009999</v>
      </c>
      <c r="O350" s="59">
        <v>0</v>
      </c>
    </row>
    <row r="351" spans="2:15" x14ac:dyDescent="0.35">
      <c r="C351" t="s">
        <v>109</v>
      </c>
      <c r="D351" s="59">
        <v>0</v>
      </c>
      <c r="E351" s="59"/>
      <c r="F351" s="59">
        <v>6624.291819861166</v>
      </c>
      <c r="G351" s="59"/>
      <c r="H351" s="59">
        <v>164929292</v>
      </c>
      <c r="I351" s="59"/>
      <c r="J351" s="59">
        <v>0</v>
      </c>
      <c r="K351" s="59">
        <v>0</v>
      </c>
      <c r="L351" s="59">
        <v>0</v>
      </c>
      <c r="M351" s="59">
        <v>6624.291819861166</v>
      </c>
      <c r="N351" s="59">
        <v>164929292</v>
      </c>
      <c r="O351" s="59">
        <v>0</v>
      </c>
    </row>
    <row r="352" spans="2:15" x14ac:dyDescent="0.35">
      <c r="B352" t="s">
        <v>1271</v>
      </c>
      <c r="D352" s="59"/>
      <c r="E352" s="59">
        <v>0</v>
      </c>
      <c r="F352" s="59"/>
      <c r="G352" s="59">
        <v>0</v>
      </c>
      <c r="H352" s="59"/>
      <c r="I352" s="59">
        <v>0</v>
      </c>
      <c r="J352" s="59">
        <v>0</v>
      </c>
      <c r="K352" s="59">
        <v>0</v>
      </c>
      <c r="L352" s="59">
        <v>0</v>
      </c>
      <c r="M352" s="59">
        <v>0</v>
      </c>
      <c r="N352" s="59">
        <v>0</v>
      </c>
      <c r="O352" s="59">
        <v>0</v>
      </c>
    </row>
    <row r="353" spans="2:15" x14ac:dyDescent="0.35">
      <c r="C353" t="s">
        <v>1272</v>
      </c>
      <c r="D353" s="59"/>
      <c r="E353" s="59">
        <v>0</v>
      </c>
      <c r="F353" s="59"/>
      <c r="G353" s="59">
        <v>0</v>
      </c>
      <c r="H353" s="59"/>
      <c r="I353" s="59">
        <v>0</v>
      </c>
      <c r="J353" s="59">
        <v>0</v>
      </c>
      <c r="K353" s="59">
        <v>0</v>
      </c>
      <c r="L353" s="59">
        <v>0</v>
      </c>
      <c r="M353" s="59">
        <v>0</v>
      </c>
      <c r="N353" s="59">
        <v>0</v>
      </c>
      <c r="O353" s="59">
        <v>0</v>
      </c>
    </row>
    <row r="354" spans="2:15" x14ac:dyDescent="0.35">
      <c r="B354" t="s">
        <v>1273</v>
      </c>
      <c r="D354" s="59">
        <v>0</v>
      </c>
      <c r="E354" s="59"/>
      <c r="F354" s="59">
        <v>0</v>
      </c>
      <c r="G354" s="59"/>
      <c r="H354" s="59">
        <v>0</v>
      </c>
      <c r="I354" s="59"/>
      <c r="J354" s="59">
        <v>0</v>
      </c>
      <c r="K354" s="59">
        <v>0</v>
      </c>
      <c r="L354" s="59">
        <v>0</v>
      </c>
      <c r="M354" s="59">
        <v>0</v>
      </c>
      <c r="N354" s="59">
        <v>0</v>
      </c>
      <c r="O354" s="59">
        <v>0</v>
      </c>
    </row>
    <row r="355" spans="2:15" x14ac:dyDescent="0.35">
      <c r="C355" t="s">
        <v>1264</v>
      </c>
      <c r="D355" s="59">
        <v>0</v>
      </c>
      <c r="E355" s="59"/>
      <c r="F355" s="59">
        <v>0</v>
      </c>
      <c r="G355" s="59"/>
      <c r="H355" s="59">
        <v>0</v>
      </c>
      <c r="I355" s="59"/>
      <c r="J355" s="59">
        <v>0</v>
      </c>
      <c r="K355" s="59">
        <v>0</v>
      </c>
      <c r="L355" s="59">
        <v>0</v>
      </c>
      <c r="M355" s="59">
        <v>0</v>
      </c>
      <c r="N355" s="59">
        <v>0</v>
      </c>
      <c r="O355" s="59">
        <v>0</v>
      </c>
    </row>
    <row r="356" spans="2:15" x14ac:dyDescent="0.35">
      <c r="B356" t="s">
        <v>1274</v>
      </c>
      <c r="D356" s="59">
        <v>0</v>
      </c>
      <c r="E356" s="59">
        <v>0</v>
      </c>
      <c r="F356" s="59">
        <v>0</v>
      </c>
      <c r="G356" s="59">
        <v>0</v>
      </c>
      <c r="H356" s="59">
        <v>0</v>
      </c>
      <c r="I356" s="59">
        <v>0</v>
      </c>
      <c r="J356" s="59">
        <v>0</v>
      </c>
      <c r="K356" s="59">
        <v>0</v>
      </c>
      <c r="L356" s="59">
        <v>0</v>
      </c>
      <c r="M356" s="59">
        <v>0</v>
      </c>
      <c r="N356" s="59">
        <v>0</v>
      </c>
      <c r="O356" s="59">
        <v>0</v>
      </c>
    </row>
    <row r="357" spans="2:15" x14ac:dyDescent="0.35">
      <c r="C357" t="s">
        <v>1264</v>
      </c>
      <c r="D357" s="59">
        <v>0</v>
      </c>
      <c r="E357" s="59"/>
      <c r="F357" s="59">
        <v>0</v>
      </c>
      <c r="G357" s="59"/>
      <c r="H357" s="59">
        <v>0</v>
      </c>
      <c r="I357" s="59"/>
      <c r="J357" s="59">
        <v>0</v>
      </c>
      <c r="K357" s="59">
        <v>0</v>
      </c>
      <c r="L357" s="59">
        <v>0</v>
      </c>
      <c r="M357" s="59">
        <v>0</v>
      </c>
      <c r="N357" s="59">
        <v>0</v>
      </c>
      <c r="O357" s="59">
        <v>0</v>
      </c>
    </row>
    <row r="358" spans="2:15" x14ac:dyDescent="0.35">
      <c r="C358" t="s">
        <v>1275</v>
      </c>
      <c r="D358" s="59">
        <v>0</v>
      </c>
      <c r="E358" s="59">
        <v>0</v>
      </c>
      <c r="F358" s="59">
        <v>0</v>
      </c>
      <c r="G358" s="59">
        <v>0</v>
      </c>
      <c r="H358" s="59">
        <v>0</v>
      </c>
      <c r="I358" s="59">
        <v>0</v>
      </c>
      <c r="J358" s="59">
        <v>0</v>
      </c>
      <c r="K358" s="59">
        <v>0</v>
      </c>
      <c r="L358" s="59">
        <v>0</v>
      </c>
      <c r="M358" s="59">
        <v>0</v>
      </c>
      <c r="N358" s="59">
        <v>0</v>
      </c>
      <c r="O358" s="59">
        <v>0</v>
      </c>
    </row>
    <row r="359" spans="2:15" x14ac:dyDescent="0.35">
      <c r="C359" t="s">
        <v>1276</v>
      </c>
      <c r="D359" s="59"/>
      <c r="E359" s="59">
        <v>0</v>
      </c>
      <c r="F359" s="59"/>
      <c r="G359" s="59">
        <v>0</v>
      </c>
      <c r="H359" s="59"/>
      <c r="I359" s="59">
        <v>0</v>
      </c>
      <c r="J359" s="59">
        <v>0</v>
      </c>
      <c r="K359" s="59">
        <v>0</v>
      </c>
      <c r="L359" s="59">
        <v>0</v>
      </c>
      <c r="M359" s="59">
        <v>0</v>
      </c>
      <c r="N359" s="59">
        <v>0</v>
      </c>
      <c r="O359" s="59">
        <v>0</v>
      </c>
    </row>
    <row r="360" spans="2:15" x14ac:dyDescent="0.35">
      <c r="B360" t="s">
        <v>1277</v>
      </c>
      <c r="D360" s="59">
        <v>0</v>
      </c>
      <c r="E360" s="59">
        <v>0</v>
      </c>
      <c r="F360" s="59">
        <v>0</v>
      </c>
      <c r="G360" s="59">
        <v>0</v>
      </c>
      <c r="H360" s="59">
        <v>0</v>
      </c>
      <c r="I360" s="59">
        <v>0</v>
      </c>
      <c r="J360" s="59">
        <v>0</v>
      </c>
      <c r="K360" s="59">
        <v>0</v>
      </c>
      <c r="L360" s="59">
        <v>0</v>
      </c>
      <c r="M360" s="59">
        <v>0</v>
      </c>
      <c r="N360" s="59">
        <v>0</v>
      </c>
      <c r="O360" s="59">
        <v>0</v>
      </c>
    </row>
    <row r="361" spans="2:15" x14ac:dyDescent="0.35">
      <c r="C361" t="s">
        <v>1264</v>
      </c>
      <c r="D361" s="59">
        <v>0</v>
      </c>
      <c r="E361" s="59">
        <v>0</v>
      </c>
      <c r="F361" s="59">
        <v>0</v>
      </c>
      <c r="G361" s="59">
        <v>0</v>
      </c>
      <c r="H361" s="59">
        <v>0</v>
      </c>
      <c r="I361" s="59">
        <v>0</v>
      </c>
      <c r="J361" s="59">
        <v>0</v>
      </c>
      <c r="K361" s="59">
        <v>0</v>
      </c>
      <c r="L361" s="59">
        <v>0</v>
      </c>
      <c r="M361" s="59">
        <v>0</v>
      </c>
      <c r="N361" s="59">
        <v>0</v>
      </c>
      <c r="O361" s="59">
        <v>0</v>
      </c>
    </row>
    <row r="362" spans="2:15" x14ac:dyDescent="0.35">
      <c r="C362" t="s">
        <v>1278</v>
      </c>
      <c r="D362" s="59"/>
      <c r="E362" s="59">
        <v>0</v>
      </c>
      <c r="F362" s="59"/>
      <c r="G362" s="59">
        <v>0</v>
      </c>
      <c r="H362" s="59"/>
      <c r="I362" s="59">
        <v>0</v>
      </c>
      <c r="J362" s="59">
        <v>0</v>
      </c>
      <c r="K362" s="59">
        <v>0</v>
      </c>
      <c r="L362" s="59">
        <v>0</v>
      </c>
      <c r="M362" s="59">
        <v>0</v>
      </c>
      <c r="N362" s="59">
        <v>0</v>
      </c>
      <c r="O362" s="59">
        <v>0</v>
      </c>
    </row>
    <row r="363" spans="2:15" x14ac:dyDescent="0.35">
      <c r="C363" t="s">
        <v>1279</v>
      </c>
      <c r="D363" s="59">
        <v>0</v>
      </c>
      <c r="E363" s="59"/>
      <c r="F363" s="59">
        <v>0</v>
      </c>
      <c r="G363" s="59"/>
      <c r="H363" s="59">
        <v>0</v>
      </c>
      <c r="I363" s="59"/>
      <c r="J363" s="59">
        <v>0</v>
      </c>
      <c r="K363" s="59">
        <v>0</v>
      </c>
      <c r="L363" s="59">
        <v>0</v>
      </c>
      <c r="M363" s="59">
        <v>0</v>
      </c>
      <c r="N363" s="59">
        <v>0</v>
      </c>
      <c r="O363" s="59">
        <v>0</v>
      </c>
    </row>
    <row r="364" spans="2:15" x14ac:dyDescent="0.35">
      <c r="C364" t="s">
        <v>1280</v>
      </c>
      <c r="D364" s="59"/>
      <c r="E364" s="59">
        <v>0</v>
      </c>
      <c r="F364" s="59"/>
      <c r="G364" s="59">
        <v>0</v>
      </c>
      <c r="H364" s="59"/>
      <c r="I364" s="59">
        <v>0</v>
      </c>
      <c r="J364" s="59">
        <v>0</v>
      </c>
      <c r="K364" s="59">
        <v>0</v>
      </c>
      <c r="L364" s="59">
        <v>0</v>
      </c>
      <c r="M364" s="59">
        <v>0</v>
      </c>
      <c r="N364" s="59">
        <v>0</v>
      </c>
      <c r="O364" s="59">
        <v>0</v>
      </c>
    </row>
    <row r="365" spans="2:15" x14ac:dyDescent="0.35">
      <c r="C365" t="s">
        <v>1281</v>
      </c>
      <c r="D365" s="59"/>
      <c r="E365" s="59">
        <v>0</v>
      </c>
      <c r="F365" s="59"/>
      <c r="G365" s="59">
        <v>0</v>
      </c>
      <c r="H365" s="59"/>
      <c r="I365" s="59">
        <v>0</v>
      </c>
      <c r="J365" s="59">
        <v>0</v>
      </c>
      <c r="K365" s="59">
        <v>0</v>
      </c>
      <c r="L365" s="59">
        <v>0</v>
      </c>
      <c r="M365" s="59">
        <v>0</v>
      </c>
      <c r="N365" s="59">
        <v>0</v>
      </c>
      <c r="O365" s="59">
        <v>0</v>
      </c>
    </row>
    <row r="366" spans="2:15" x14ac:dyDescent="0.35">
      <c r="C366" t="s">
        <v>1282</v>
      </c>
      <c r="D366" s="59"/>
      <c r="E366" s="59">
        <v>0</v>
      </c>
      <c r="F366" s="59"/>
      <c r="G366" s="59">
        <v>0</v>
      </c>
      <c r="H366" s="59"/>
      <c r="I366" s="59">
        <v>0</v>
      </c>
      <c r="J366" s="59">
        <v>0</v>
      </c>
      <c r="K366" s="59">
        <v>0</v>
      </c>
      <c r="L366" s="59">
        <v>0</v>
      </c>
      <c r="M366" s="59">
        <v>0</v>
      </c>
      <c r="N366" s="59">
        <v>0</v>
      </c>
      <c r="O366" s="59">
        <v>0</v>
      </c>
    </row>
    <row r="367" spans="2:15" x14ac:dyDescent="0.35">
      <c r="C367" t="s">
        <v>1283</v>
      </c>
      <c r="D367" s="59"/>
      <c r="E367" s="59">
        <v>0</v>
      </c>
      <c r="F367" s="59"/>
      <c r="G367" s="59">
        <v>0</v>
      </c>
      <c r="H367" s="59"/>
      <c r="I367" s="59">
        <v>0</v>
      </c>
      <c r="J367" s="59">
        <v>0</v>
      </c>
      <c r="K367" s="59">
        <v>0</v>
      </c>
      <c r="L367" s="59">
        <v>0</v>
      </c>
      <c r="M367" s="59">
        <v>0</v>
      </c>
      <c r="N367" s="59">
        <v>0</v>
      </c>
      <c r="O367" s="59">
        <v>0</v>
      </c>
    </row>
    <row r="368" spans="2:15" x14ac:dyDescent="0.35">
      <c r="B368" t="s">
        <v>1284</v>
      </c>
      <c r="D368" s="59">
        <v>0</v>
      </c>
      <c r="E368" s="59">
        <v>0</v>
      </c>
      <c r="F368" s="59">
        <v>64733.042064860376</v>
      </c>
      <c r="G368" s="59">
        <v>11531.206964228661</v>
      </c>
      <c r="H368" s="59">
        <v>1606204317</v>
      </c>
      <c r="I368" s="59">
        <v>293907320.24000025</v>
      </c>
      <c r="J368" s="59">
        <v>0</v>
      </c>
      <c r="K368" s="59">
        <v>0</v>
      </c>
      <c r="L368" s="59">
        <v>0</v>
      </c>
      <c r="M368" s="59">
        <v>76264.249029089027</v>
      </c>
      <c r="N368" s="59">
        <v>1900111637.2400002</v>
      </c>
      <c r="O368" s="59">
        <v>0</v>
      </c>
    </row>
    <row r="369" spans="3:15" x14ac:dyDescent="0.35">
      <c r="C369" t="s">
        <v>6</v>
      </c>
      <c r="D369" s="59"/>
      <c r="E369" s="59">
        <v>0</v>
      </c>
      <c r="F369" s="59"/>
      <c r="G369" s="59">
        <v>0.95043053035754954</v>
      </c>
      <c r="H369" s="59"/>
      <c r="I369" s="59">
        <v>24272.240000247955</v>
      </c>
      <c r="J369" s="59">
        <v>0</v>
      </c>
      <c r="K369" s="59">
        <v>0</v>
      </c>
      <c r="L369" s="59">
        <v>0</v>
      </c>
      <c r="M369" s="59">
        <v>0.95043053035754954</v>
      </c>
      <c r="N369" s="59">
        <v>24272.240000247955</v>
      </c>
      <c r="O369" s="59">
        <v>0</v>
      </c>
    </row>
    <row r="370" spans="3:15" x14ac:dyDescent="0.35">
      <c r="C370" t="s">
        <v>1285</v>
      </c>
      <c r="D370" s="59"/>
      <c r="E370" s="59">
        <v>0</v>
      </c>
      <c r="F370" s="59"/>
      <c r="G370" s="59">
        <v>-267.8609090674895</v>
      </c>
      <c r="H370" s="59"/>
      <c r="I370" s="59">
        <v>-7000000</v>
      </c>
      <c r="J370" s="59">
        <v>0</v>
      </c>
      <c r="K370" s="59">
        <v>0</v>
      </c>
      <c r="L370" s="59">
        <v>0</v>
      </c>
      <c r="M370" s="59">
        <v>-267.8609090674895</v>
      </c>
      <c r="N370" s="59">
        <v>-7000000</v>
      </c>
      <c r="O370" s="59">
        <v>0</v>
      </c>
    </row>
    <row r="371" spans="3:15" x14ac:dyDescent="0.35">
      <c r="C371" t="s">
        <v>1286</v>
      </c>
      <c r="D371" s="59"/>
      <c r="E371" s="59">
        <v>0</v>
      </c>
      <c r="F371" s="59"/>
      <c r="G371" s="59">
        <v>0</v>
      </c>
      <c r="H371" s="59"/>
      <c r="I371" s="59">
        <v>0</v>
      </c>
      <c r="J371" s="59">
        <v>0</v>
      </c>
      <c r="K371" s="59">
        <v>0</v>
      </c>
      <c r="L371" s="59">
        <v>0</v>
      </c>
      <c r="M371" s="59">
        <v>0</v>
      </c>
      <c r="N371" s="59">
        <v>0</v>
      </c>
      <c r="O371" s="59">
        <v>0</v>
      </c>
    </row>
    <row r="372" spans="3:15" x14ac:dyDescent="0.35">
      <c r="C372" t="s">
        <v>1287</v>
      </c>
      <c r="D372" s="59"/>
      <c r="E372" s="59">
        <v>0</v>
      </c>
      <c r="F372" s="59"/>
      <c r="G372" s="59">
        <v>-14980.279235485308</v>
      </c>
      <c r="H372" s="59"/>
      <c r="I372" s="59">
        <v>-390122813</v>
      </c>
      <c r="J372" s="59">
        <v>0</v>
      </c>
      <c r="K372" s="59">
        <v>0</v>
      </c>
      <c r="L372" s="59">
        <v>0</v>
      </c>
      <c r="M372" s="59">
        <v>-14980.279235485308</v>
      </c>
      <c r="N372" s="59">
        <v>-390122813</v>
      </c>
      <c r="O372" s="59">
        <v>0</v>
      </c>
    </row>
    <row r="373" spans="3:15" x14ac:dyDescent="0.35">
      <c r="C373" t="s">
        <v>1288</v>
      </c>
      <c r="D373" s="59"/>
      <c r="E373" s="59">
        <v>0</v>
      </c>
      <c r="F373" s="59"/>
      <c r="G373" s="59">
        <v>0</v>
      </c>
      <c r="H373" s="59"/>
      <c r="I373" s="59">
        <v>0</v>
      </c>
      <c r="J373" s="59">
        <v>0</v>
      </c>
      <c r="K373" s="59">
        <v>0</v>
      </c>
      <c r="L373" s="59">
        <v>0</v>
      </c>
      <c r="M373" s="59">
        <v>0</v>
      </c>
      <c r="N373" s="59">
        <v>0</v>
      </c>
      <c r="O373" s="59">
        <v>0</v>
      </c>
    </row>
    <row r="374" spans="3:15" x14ac:dyDescent="0.35">
      <c r="C374" t="s">
        <v>1289</v>
      </c>
      <c r="D374" s="59">
        <v>0</v>
      </c>
      <c r="E374" s="59">
        <v>0</v>
      </c>
      <c r="F374" s="59">
        <v>0</v>
      </c>
      <c r="G374" s="59">
        <v>0</v>
      </c>
      <c r="H374" s="59">
        <v>0</v>
      </c>
      <c r="I374" s="59">
        <v>0</v>
      </c>
      <c r="J374" s="59">
        <v>0</v>
      </c>
      <c r="K374" s="59">
        <v>0</v>
      </c>
      <c r="L374" s="59">
        <v>0</v>
      </c>
      <c r="M374" s="59">
        <v>0</v>
      </c>
      <c r="N374" s="59">
        <v>0</v>
      </c>
      <c r="O374" s="59">
        <v>0</v>
      </c>
    </row>
    <row r="375" spans="3:15" x14ac:dyDescent="0.35">
      <c r="C375" t="s">
        <v>1290</v>
      </c>
      <c r="D375" s="59"/>
      <c r="E375" s="59">
        <v>0</v>
      </c>
      <c r="F375" s="59"/>
      <c r="G375" s="59">
        <v>0</v>
      </c>
      <c r="H375" s="59"/>
      <c r="I375" s="59">
        <v>0</v>
      </c>
      <c r="J375" s="59">
        <v>0</v>
      </c>
      <c r="K375" s="59">
        <v>0</v>
      </c>
      <c r="L375" s="59">
        <v>0</v>
      </c>
      <c r="M375" s="59">
        <v>0</v>
      </c>
      <c r="N375" s="59">
        <v>0</v>
      </c>
      <c r="O375" s="59">
        <v>0</v>
      </c>
    </row>
    <row r="376" spans="3:15" x14ac:dyDescent="0.35">
      <c r="C376" t="s">
        <v>1291</v>
      </c>
      <c r="D376" s="59"/>
      <c r="E376" s="59">
        <v>0</v>
      </c>
      <c r="F376" s="59"/>
      <c r="G376" s="59">
        <v>0</v>
      </c>
      <c r="H376" s="59"/>
      <c r="I376" s="59">
        <v>0</v>
      </c>
      <c r="J376" s="59">
        <v>0</v>
      </c>
      <c r="K376" s="59">
        <v>0</v>
      </c>
      <c r="L376" s="59">
        <v>0</v>
      </c>
      <c r="M376" s="59">
        <v>0</v>
      </c>
      <c r="N376" s="59">
        <v>0</v>
      </c>
      <c r="O376" s="59">
        <v>0</v>
      </c>
    </row>
    <row r="377" spans="3:15" x14ac:dyDescent="0.35">
      <c r="C377" t="s">
        <v>1292</v>
      </c>
      <c r="D377" s="59"/>
      <c r="E377" s="59">
        <v>0</v>
      </c>
      <c r="F377" s="59"/>
      <c r="G377" s="59">
        <v>0</v>
      </c>
      <c r="H377" s="59"/>
      <c r="I377" s="59">
        <v>0</v>
      </c>
      <c r="J377" s="59">
        <v>0</v>
      </c>
      <c r="K377" s="59">
        <v>0</v>
      </c>
      <c r="L377" s="59">
        <v>0</v>
      </c>
      <c r="M377" s="59">
        <v>0</v>
      </c>
      <c r="N377" s="59">
        <v>0</v>
      </c>
      <c r="O377" s="59">
        <v>0</v>
      </c>
    </row>
    <row r="378" spans="3:15" x14ac:dyDescent="0.35">
      <c r="C378" t="s">
        <v>1293</v>
      </c>
      <c r="D378" s="59"/>
      <c r="E378" s="59">
        <v>0</v>
      </c>
      <c r="F378" s="59"/>
      <c r="G378" s="59">
        <v>-4389.7612756651306</v>
      </c>
      <c r="H378" s="59"/>
      <c r="I378" s="59">
        <v>-112784713</v>
      </c>
      <c r="J378" s="59">
        <v>0</v>
      </c>
      <c r="K378" s="59">
        <v>0</v>
      </c>
      <c r="L378" s="59">
        <v>0</v>
      </c>
      <c r="M378" s="59">
        <v>-4389.7612756651306</v>
      </c>
      <c r="N378" s="59">
        <v>-112784713</v>
      </c>
      <c r="O378" s="59">
        <v>0</v>
      </c>
    </row>
    <row r="379" spans="3:15" x14ac:dyDescent="0.35">
      <c r="C379" t="s">
        <v>1294</v>
      </c>
      <c r="D379" s="59">
        <v>0</v>
      </c>
      <c r="E379" s="59"/>
      <c r="F379" s="59">
        <v>-34790.422446652723</v>
      </c>
      <c r="G379" s="59"/>
      <c r="H379" s="59">
        <v>-877599500</v>
      </c>
      <c r="I379" s="59"/>
      <c r="J379" s="59">
        <v>0</v>
      </c>
      <c r="K379" s="59">
        <v>0</v>
      </c>
      <c r="L379" s="59">
        <v>0</v>
      </c>
      <c r="M379" s="59">
        <v>-34790.422446652723</v>
      </c>
      <c r="N379" s="59">
        <v>-877599500</v>
      </c>
      <c r="O379" s="59">
        <v>0</v>
      </c>
    </row>
    <row r="380" spans="3:15" x14ac:dyDescent="0.35">
      <c r="C380" t="s">
        <v>1295</v>
      </c>
      <c r="D380" s="59"/>
      <c r="E380" s="59">
        <v>0</v>
      </c>
      <c r="F380" s="59"/>
      <c r="G380" s="59">
        <v>0</v>
      </c>
      <c r="H380" s="59"/>
      <c r="I380" s="59">
        <v>0</v>
      </c>
      <c r="J380" s="59">
        <v>0</v>
      </c>
      <c r="K380" s="59">
        <v>0</v>
      </c>
      <c r="L380" s="59">
        <v>0</v>
      </c>
      <c r="M380" s="59">
        <v>0</v>
      </c>
      <c r="N380" s="59">
        <v>0</v>
      </c>
      <c r="O380" s="59">
        <v>0</v>
      </c>
    </row>
    <row r="381" spans="3:15" x14ac:dyDescent="0.35">
      <c r="C381" t="s">
        <v>1264</v>
      </c>
      <c r="D381" s="59">
        <v>0</v>
      </c>
      <c r="E381" s="59">
        <v>0</v>
      </c>
      <c r="F381" s="59">
        <v>12973.660925666349</v>
      </c>
      <c r="G381" s="59">
        <v>-117.85879998969538</v>
      </c>
      <c r="H381" s="59">
        <v>321470064</v>
      </c>
      <c r="I381" s="59">
        <v>-3080000</v>
      </c>
      <c r="J381" s="59">
        <v>0</v>
      </c>
      <c r="K381" s="59">
        <v>0</v>
      </c>
      <c r="L381" s="59">
        <v>0</v>
      </c>
      <c r="M381" s="59">
        <v>12855.802125676653</v>
      </c>
      <c r="N381" s="59">
        <v>318390064</v>
      </c>
      <c r="O381" s="59">
        <v>0</v>
      </c>
    </row>
    <row r="382" spans="3:15" x14ac:dyDescent="0.35">
      <c r="C382" t="s">
        <v>1296</v>
      </c>
      <c r="D382" s="59"/>
      <c r="E382" s="59">
        <v>0</v>
      </c>
      <c r="F382" s="59"/>
      <c r="G382" s="59">
        <v>157.63969879916951</v>
      </c>
      <c r="H382" s="59"/>
      <c r="I382" s="59">
        <v>4000000</v>
      </c>
      <c r="J382" s="59">
        <v>0</v>
      </c>
      <c r="K382" s="59">
        <v>0</v>
      </c>
      <c r="L382" s="59">
        <v>0</v>
      </c>
      <c r="M382" s="59">
        <v>157.63969879916951</v>
      </c>
      <c r="N382" s="59">
        <v>4000000</v>
      </c>
      <c r="O382" s="59">
        <v>0</v>
      </c>
    </row>
    <row r="383" spans="3:15" x14ac:dyDescent="0.35">
      <c r="C383" t="s">
        <v>1297</v>
      </c>
      <c r="D383" s="59"/>
      <c r="E383" s="59">
        <v>0</v>
      </c>
      <c r="F383" s="59"/>
      <c r="G383" s="59">
        <v>0</v>
      </c>
      <c r="H383" s="59"/>
      <c r="I383" s="59">
        <v>0</v>
      </c>
      <c r="J383" s="59">
        <v>0</v>
      </c>
      <c r="K383" s="59">
        <v>0</v>
      </c>
      <c r="L383" s="59">
        <v>0</v>
      </c>
      <c r="M383" s="59">
        <v>0</v>
      </c>
      <c r="N383" s="59">
        <v>0</v>
      </c>
      <c r="O383" s="59">
        <v>0</v>
      </c>
    </row>
    <row r="384" spans="3:15" x14ac:dyDescent="0.35">
      <c r="C384" t="s">
        <v>1298</v>
      </c>
      <c r="D384" s="59"/>
      <c r="E384" s="59">
        <v>0</v>
      </c>
      <c r="F384" s="59"/>
      <c r="G384" s="59">
        <v>1064.0679668943942</v>
      </c>
      <c r="H384" s="59"/>
      <c r="I384" s="59">
        <v>27000000</v>
      </c>
      <c r="J384" s="59">
        <v>0</v>
      </c>
      <c r="K384" s="59">
        <v>0</v>
      </c>
      <c r="L384" s="59">
        <v>0</v>
      </c>
      <c r="M384" s="59">
        <v>1064.0679668943942</v>
      </c>
      <c r="N384" s="59">
        <v>27000000</v>
      </c>
      <c r="O384" s="59">
        <v>0</v>
      </c>
    </row>
    <row r="385" spans="2:15" x14ac:dyDescent="0.35">
      <c r="C385" t="s">
        <v>1299</v>
      </c>
      <c r="D385" s="59"/>
      <c r="E385" s="59">
        <v>0</v>
      </c>
      <c r="F385" s="59"/>
      <c r="G385" s="59">
        <v>483.06392213581677</v>
      </c>
      <c r="H385" s="59"/>
      <c r="I385" s="59">
        <v>12623893</v>
      </c>
      <c r="J385" s="59">
        <v>0</v>
      </c>
      <c r="K385" s="59">
        <v>0</v>
      </c>
      <c r="L385" s="59">
        <v>0</v>
      </c>
      <c r="M385" s="59">
        <v>483.06392213581677</v>
      </c>
      <c r="N385" s="59">
        <v>12623893</v>
      </c>
      <c r="O385" s="59">
        <v>0</v>
      </c>
    </row>
    <row r="386" spans="2:15" x14ac:dyDescent="0.35">
      <c r="C386" t="s">
        <v>1300</v>
      </c>
      <c r="D386" s="59"/>
      <c r="E386" s="59">
        <v>0</v>
      </c>
      <c r="F386" s="59"/>
      <c r="G386" s="59">
        <v>-130.45174490768528</v>
      </c>
      <c r="H386" s="59"/>
      <c r="I386" s="59">
        <v>-3409091</v>
      </c>
      <c r="J386" s="59">
        <v>0</v>
      </c>
      <c r="K386" s="59">
        <v>0</v>
      </c>
      <c r="L386" s="59">
        <v>0</v>
      </c>
      <c r="M386" s="59">
        <v>-130.45174490768528</v>
      </c>
      <c r="N386" s="59">
        <v>-3409091</v>
      </c>
      <c r="O386" s="59">
        <v>0</v>
      </c>
    </row>
    <row r="387" spans="2:15" x14ac:dyDescent="0.35">
      <c r="C387" t="s">
        <v>1301</v>
      </c>
      <c r="D387" s="59"/>
      <c r="E387" s="59">
        <v>0</v>
      </c>
      <c r="F387" s="59"/>
      <c r="G387" s="59">
        <v>0</v>
      </c>
      <c r="H387" s="59"/>
      <c r="I387" s="59">
        <v>0</v>
      </c>
      <c r="J387" s="59">
        <v>0</v>
      </c>
      <c r="K387" s="59">
        <v>0</v>
      </c>
      <c r="L387" s="59">
        <v>0</v>
      </c>
      <c r="M387" s="59">
        <v>0</v>
      </c>
      <c r="N387" s="59">
        <v>0</v>
      </c>
      <c r="O387" s="59">
        <v>0</v>
      </c>
    </row>
    <row r="388" spans="2:15" x14ac:dyDescent="0.35">
      <c r="C388" t="s">
        <v>1276</v>
      </c>
      <c r="D388" s="59"/>
      <c r="E388" s="59">
        <v>0</v>
      </c>
      <c r="F388" s="59"/>
      <c r="G388" s="59">
        <v>0</v>
      </c>
      <c r="H388" s="59"/>
      <c r="I388" s="59">
        <v>0</v>
      </c>
      <c r="J388" s="59">
        <v>0</v>
      </c>
      <c r="K388" s="59">
        <v>0</v>
      </c>
      <c r="L388" s="59">
        <v>0</v>
      </c>
      <c r="M388" s="59">
        <v>0</v>
      </c>
      <c r="N388" s="59">
        <v>0</v>
      </c>
      <c r="O388" s="59">
        <v>0</v>
      </c>
    </row>
    <row r="389" spans="2:15" x14ac:dyDescent="0.35">
      <c r="C389" t="s">
        <v>8</v>
      </c>
      <c r="D389" s="59"/>
      <c r="E389" s="59">
        <v>0</v>
      </c>
      <c r="F389" s="59"/>
      <c r="G389" s="59">
        <v>1507.6354032219676</v>
      </c>
      <c r="H389" s="59"/>
      <c r="I389" s="59">
        <v>39123246</v>
      </c>
      <c r="J389" s="59">
        <v>0</v>
      </c>
      <c r="K389" s="59">
        <v>0</v>
      </c>
      <c r="L389" s="59">
        <v>0</v>
      </c>
      <c r="M389" s="59">
        <v>1507.6354032219676</v>
      </c>
      <c r="N389" s="59">
        <v>39123246</v>
      </c>
      <c r="O389" s="59">
        <v>0</v>
      </c>
    </row>
    <row r="390" spans="2:15" x14ac:dyDescent="0.35">
      <c r="C390" t="s">
        <v>1275</v>
      </c>
      <c r="D390" s="59"/>
      <c r="E390" s="59">
        <v>0</v>
      </c>
      <c r="F390" s="59"/>
      <c r="G390" s="59">
        <v>0</v>
      </c>
      <c r="H390" s="59"/>
      <c r="I390" s="59">
        <v>0</v>
      </c>
      <c r="J390" s="59">
        <v>0</v>
      </c>
      <c r="K390" s="59">
        <v>0</v>
      </c>
      <c r="L390" s="59">
        <v>0</v>
      </c>
      <c r="M390" s="59">
        <v>0</v>
      </c>
      <c r="N390" s="59">
        <v>0</v>
      </c>
      <c r="O390" s="59">
        <v>0</v>
      </c>
    </row>
    <row r="391" spans="2:15" x14ac:dyDescent="0.35">
      <c r="C391" t="s">
        <v>1302</v>
      </c>
      <c r="D391" s="59"/>
      <c r="E391" s="59">
        <v>0</v>
      </c>
      <c r="F391" s="59"/>
      <c r="G391" s="59">
        <v>0</v>
      </c>
      <c r="H391" s="59"/>
      <c r="I391" s="59">
        <v>0</v>
      </c>
      <c r="J391" s="59">
        <v>0</v>
      </c>
      <c r="K391" s="59">
        <v>0</v>
      </c>
      <c r="L391" s="59">
        <v>0</v>
      </c>
      <c r="M391" s="59">
        <v>0</v>
      </c>
      <c r="N391" s="59">
        <v>0</v>
      </c>
      <c r="O391" s="59">
        <v>0</v>
      </c>
    </row>
    <row r="392" spans="2:15" x14ac:dyDescent="0.35">
      <c r="C392" t="s">
        <v>1303</v>
      </c>
      <c r="D392" s="59"/>
      <c r="E392" s="59">
        <v>0</v>
      </c>
      <c r="F392" s="59"/>
      <c r="G392" s="59">
        <v>0</v>
      </c>
      <c r="H392" s="59"/>
      <c r="I392" s="59">
        <v>0</v>
      </c>
      <c r="J392" s="59">
        <v>0</v>
      </c>
      <c r="K392" s="59">
        <v>0</v>
      </c>
      <c r="L392" s="59">
        <v>0</v>
      </c>
      <c r="M392" s="59">
        <v>0</v>
      </c>
      <c r="N392" s="59">
        <v>0</v>
      </c>
      <c r="O392" s="59">
        <v>0</v>
      </c>
    </row>
    <row r="393" spans="2:15" x14ac:dyDescent="0.35">
      <c r="C393" t="s">
        <v>1304</v>
      </c>
      <c r="D393" s="59"/>
      <c r="E393" s="59">
        <v>0</v>
      </c>
      <c r="F393" s="59"/>
      <c r="G393" s="59">
        <v>0</v>
      </c>
      <c r="H393" s="59"/>
      <c r="I393" s="59">
        <v>0</v>
      </c>
      <c r="J393" s="59">
        <v>0</v>
      </c>
      <c r="K393" s="59">
        <v>0</v>
      </c>
      <c r="L393" s="59">
        <v>0</v>
      </c>
      <c r="M393" s="59">
        <v>0</v>
      </c>
      <c r="N393" s="59">
        <v>0</v>
      </c>
      <c r="O393" s="59">
        <v>0</v>
      </c>
    </row>
    <row r="394" spans="2:15" x14ac:dyDescent="0.35">
      <c r="C394" t="s">
        <v>16</v>
      </c>
      <c r="D394" s="59">
        <v>0</v>
      </c>
      <c r="E394" s="59"/>
      <c r="F394" s="59">
        <v>25492.426412762477</v>
      </c>
      <c r="G394" s="59"/>
      <c r="H394" s="59">
        <v>631668424</v>
      </c>
      <c r="I394" s="59"/>
      <c r="J394" s="59">
        <v>0</v>
      </c>
      <c r="K394" s="59">
        <v>0</v>
      </c>
      <c r="L394" s="59">
        <v>0</v>
      </c>
      <c r="M394" s="59">
        <v>25492.426412762477</v>
      </c>
      <c r="N394" s="59">
        <v>631668424</v>
      </c>
      <c r="O394" s="59">
        <v>0</v>
      </c>
    </row>
    <row r="395" spans="2:15" x14ac:dyDescent="0.35">
      <c r="C395" t="s">
        <v>1305</v>
      </c>
      <c r="D395" s="59"/>
      <c r="E395" s="59">
        <v>0</v>
      </c>
      <c r="F395" s="59"/>
      <c r="G395" s="59">
        <v>0</v>
      </c>
      <c r="H395" s="59"/>
      <c r="I395" s="59">
        <v>0</v>
      </c>
      <c r="J395" s="59">
        <v>0</v>
      </c>
      <c r="K395" s="59">
        <v>0</v>
      </c>
      <c r="L395" s="59">
        <v>0</v>
      </c>
      <c r="M395" s="59">
        <v>0</v>
      </c>
      <c r="N395" s="59">
        <v>0</v>
      </c>
      <c r="O395" s="59">
        <v>0</v>
      </c>
    </row>
    <row r="396" spans="2:15" x14ac:dyDescent="0.35">
      <c r="C396" t="s">
        <v>1157</v>
      </c>
      <c r="D396" s="59">
        <v>0</v>
      </c>
      <c r="E396" s="59">
        <v>0</v>
      </c>
      <c r="F396" s="59">
        <v>728.91069776777715</v>
      </c>
      <c r="G396" s="59">
        <v>1252.1450161359191</v>
      </c>
      <c r="H396" s="59">
        <v>18360000</v>
      </c>
      <c r="I396" s="59">
        <v>31860559</v>
      </c>
      <c r="J396" s="59">
        <v>0</v>
      </c>
      <c r="K396" s="59">
        <v>0</v>
      </c>
      <c r="L396" s="59">
        <v>0</v>
      </c>
      <c r="M396" s="59">
        <v>1981.0557139036964</v>
      </c>
      <c r="N396" s="59">
        <v>50220559</v>
      </c>
      <c r="O396" s="59">
        <v>0</v>
      </c>
    </row>
    <row r="397" spans="2:15" x14ac:dyDescent="0.35">
      <c r="C397" t="s">
        <v>156</v>
      </c>
      <c r="D397" s="59">
        <v>0</v>
      </c>
      <c r="E397" s="59">
        <v>0</v>
      </c>
      <c r="F397" s="59">
        <v>60328.466475316498</v>
      </c>
      <c r="G397" s="59">
        <v>26951.916491626343</v>
      </c>
      <c r="H397" s="59">
        <v>1512305329</v>
      </c>
      <c r="I397" s="59">
        <v>695671967</v>
      </c>
      <c r="J397" s="59">
        <v>0</v>
      </c>
      <c r="K397" s="59">
        <v>0</v>
      </c>
      <c r="L397" s="59">
        <v>0</v>
      </c>
      <c r="M397" s="59">
        <v>87280.382966942838</v>
      </c>
      <c r="N397" s="59">
        <v>2207977296</v>
      </c>
      <c r="O397" s="59">
        <v>0</v>
      </c>
    </row>
    <row r="398" spans="2:15" x14ac:dyDescent="0.35">
      <c r="B398" t="s">
        <v>1306</v>
      </c>
      <c r="D398" s="59">
        <v>0</v>
      </c>
      <c r="E398" s="59">
        <v>0</v>
      </c>
      <c r="F398" s="59">
        <v>1354411.7014959212</v>
      </c>
      <c r="G398" s="59">
        <v>68154.942668506701</v>
      </c>
      <c r="H398" s="59">
        <v>33774548799</v>
      </c>
      <c r="I398" s="59">
        <v>1779923049</v>
      </c>
      <c r="J398" s="59">
        <v>0</v>
      </c>
      <c r="K398" s="59">
        <v>0</v>
      </c>
      <c r="L398" s="59">
        <v>0</v>
      </c>
      <c r="M398" s="59">
        <v>1422566.6441644281</v>
      </c>
      <c r="N398" s="59">
        <v>35554471848</v>
      </c>
      <c r="O398" s="59">
        <v>0</v>
      </c>
    </row>
    <row r="399" spans="2:15" x14ac:dyDescent="0.35">
      <c r="C399" t="s">
        <v>1307</v>
      </c>
      <c r="D399" s="59"/>
      <c r="E399" s="59">
        <v>0</v>
      </c>
      <c r="F399" s="59"/>
      <c r="G399" s="59">
        <v>20939.127340423413</v>
      </c>
      <c r="H399" s="59"/>
      <c r="I399" s="59">
        <v>548824800</v>
      </c>
      <c r="J399" s="59">
        <v>0</v>
      </c>
      <c r="K399" s="59">
        <v>0</v>
      </c>
      <c r="L399" s="59">
        <v>0</v>
      </c>
      <c r="M399" s="59">
        <v>20939.127340423413</v>
      </c>
      <c r="N399" s="59">
        <v>548824800</v>
      </c>
      <c r="O399" s="59">
        <v>0</v>
      </c>
    </row>
    <row r="400" spans="2:15" x14ac:dyDescent="0.35">
      <c r="C400" t="s">
        <v>5</v>
      </c>
      <c r="D400" s="59">
        <v>0</v>
      </c>
      <c r="E400" s="59"/>
      <c r="F400" s="59">
        <v>755153.06398375868</v>
      </c>
      <c r="G400" s="59"/>
      <c r="H400" s="59">
        <v>18792800000</v>
      </c>
      <c r="I400" s="59"/>
      <c r="J400" s="59">
        <v>0</v>
      </c>
      <c r="K400" s="59">
        <v>0</v>
      </c>
      <c r="L400" s="59">
        <v>0</v>
      </c>
      <c r="M400" s="59">
        <v>755153.06398375868</v>
      </c>
      <c r="N400" s="59">
        <v>18792800000</v>
      </c>
      <c r="O400" s="59">
        <v>0</v>
      </c>
    </row>
    <row r="401" spans="2:15" x14ac:dyDescent="0.35">
      <c r="C401" t="s">
        <v>1308</v>
      </c>
      <c r="D401" s="59"/>
      <c r="E401" s="59">
        <v>0</v>
      </c>
      <c r="F401" s="59"/>
      <c r="G401" s="59">
        <v>20491.047211506371</v>
      </c>
      <c r="H401" s="59"/>
      <c r="I401" s="59">
        <v>537080400</v>
      </c>
      <c r="J401" s="59">
        <v>0</v>
      </c>
      <c r="K401" s="59">
        <v>0</v>
      </c>
      <c r="L401" s="59">
        <v>0</v>
      </c>
      <c r="M401" s="59">
        <v>20491.047211506371</v>
      </c>
      <c r="N401" s="59">
        <v>537080400</v>
      </c>
      <c r="O401" s="59">
        <v>0</v>
      </c>
    </row>
    <row r="402" spans="2:15" x14ac:dyDescent="0.35">
      <c r="C402" t="s">
        <v>1309</v>
      </c>
      <c r="D402" s="59">
        <v>0</v>
      </c>
      <c r="E402" s="59"/>
      <c r="F402" s="59">
        <v>116564.51344964444</v>
      </c>
      <c r="G402" s="59"/>
      <c r="H402" s="59">
        <v>2853408985</v>
      </c>
      <c r="I402" s="59"/>
      <c r="J402" s="59">
        <v>0</v>
      </c>
      <c r="K402" s="59">
        <v>0</v>
      </c>
      <c r="L402" s="59">
        <v>0</v>
      </c>
      <c r="M402" s="59">
        <v>116564.51344964444</v>
      </c>
      <c r="N402" s="59">
        <v>2853408985</v>
      </c>
      <c r="O402" s="59">
        <v>0</v>
      </c>
    </row>
    <row r="403" spans="2:15" x14ac:dyDescent="0.35">
      <c r="C403" t="s">
        <v>1310</v>
      </c>
      <c r="D403" s="59"/>
      <c r="E403" s="59">
        <v>0</v>
      </c>
      <c r="F403" s="59"/>
      <c r="G403" s="59">
        <v>350.65349007618369</v>
      </c>
      <c r="H403" s="59"/>
      <c r="I403" s="59">
        <v>9190800</v>
      </c>
      <c r="J403" s="59">
        <v>0</v>
      </c>
      <c r="K403" s="59">
        <v>0</v>
      </c>
      <c r="L403" s="59">
        <v>0</v>
      </c>
      <c r="M403" s="59">
        <v>350.65349007618369</v>
      </c>
      <c r="N403" s="59">
        <v>9190800</v>
      </c>
      <c r="O403" s="59">
        <v>0</v>
      </c>
    </row>
    <row r="404" spans="2:15" x14ac:dyDescent="0.35">
      <c r="C404" t="s">
        <v>1311</v>
      </c>
      <c r="D404" s="59">
        <v>0</v>
      </c>
      <c r="E404" s="59"/>
      <c r="F404" s="59">
        <v>10870.615430735965</v>
      </c>
      <c r="G404" s="59"/>
      <c r="H404" s="59">
        <v>266175500</v>
      </c>
      <c r="I404" s="59"/>
      <c r="J404" s="59">
        <v>0</v>
      </c>
      <c r="K404" s="59">
        <v>0</v>
      </c>
      <c r="L404" s="59">
        <v>0</v>
      </c>
      <c r="M404" s="59">
        <v>10870.615430735965</v>
      </c>
      <c r="N404" s="59">
        <v>266175500</v>
      </c>
      <c r="O404" s="59">
        <v>0</v>
      </c>
    </row>
    <row r="405" spans="2:15" x14ac:dyDescent="0.35">
      <c r="C405" t="s">
        <v>1312</v>
      </c>
      <c r="D405" s="59"/>
      <c r="E405" s="59">
        <v>0</v>
      </c>
      <c r="F405" s="59"/>
      <c r="G405" s="59">
        <v>12333.260186797581</v>
      </c>
      <c r="H405" s="59"/>
      <c r="I405" s="59">
        <v>323260800</v>
      </c>
      <c r="J405" s="59">
        <v>0</v>
      </c>
      <c r="K405" s="59">
        <v>0</v>
      </c>
      <c r="L405" s="59">
        <v>0</v>
      </c>
      <c r="M405" s="59">
        <v>12333.260186797581</v>
      </c>
      <c r="N405" s="59">
        <v>323260800</v>
      </c>
      <c r="O405" s="59">
        <v>0</v>
      </c>
    </row>
    <row r="406" spans="2:15" x14ac:dyDescent="0.35">
      <c r="C406" t="s">
        <v>1313</v>
      </c>
      <c r="D406" s="59"/>
      <c r="E406" s="59">
        <v>0</v>
      </c>
      <c r="F406" s="59"/>
      <c r="G406" s="59">
        <v>706.90606592059783</v>
      </c>
      <c r="H406" s="59"/>
      <c r="I406" s="59">
        <v>17937260</v>
      </c>
      <c r="J406" s="59">
        <v>0</v>
      </c>
      <c r="K406" s="59">
        <v>0</v>
      </c>
      <c r="L406" s="59">
        <v>0</v>
      </c>
      <c r="M406" s="59">
        <v>706.90606592059783</v>
      </c>
      <c r="N406" s="59">
        <v>17937260</v>
      </c>
      <c r="O406" s="59">
        <v>0</v>
      </c>
    </row>
    <row r="407" spans="2:15" x14ac:dyDescent="0.35">
      <c r="C407" t="s">
        <v>1314</v>
      </c>
      <c r="D407" s="59"/>
      <c r="E407" s="59">
        <v>0</v>
      </c>
      <c r="F407" s="59"/>
      <c r="G407" s="59">
        <v>6362.15467210523</v>
      </c>
      <c r="H407" s="59"/>
      <c r="I407" s="59">
        <v>161435342</v>
      </c>
      <c r="J407" s="59">
        <v>0</v>
      </c>
      <c r="K407" s="59">
        <v>0</v>
      </c>
      <c r="L407" s="59">
        <v>0</v>
      </c>
      <c r="M407" s="59">
        <v>6362.15467210523</v>
      </c>
      <c r="N407" s="59">
        <v>161435342</v>
      </c>
      <c r="O407" s="59">
        <v>0</v>
      </c>
    </row>
    <row r="408" spans="2:15" x14ac:dyDescent="0.35">
      <c r="C408" t="s">
        <v>1315</v>
      </c>
      <c r="D408" s="59">
        <v>0</v>
      </c>
      <c r="E408" s="59"/>
      <c r="F408" s="59">
        <v>38982.262420034989</v>
      </c>
      <c r="G408" s="59"/>
      <c r="H408" s="59">
        <v>983340000</v>
      </c>
      <c r="I408" s="59"/>
      <c r="J408" s="59">
        <v>0</v>
      </c>
      <c r="K408" s="59">
        <v>0</v>
      </c>
      <c r="L408" s="59">
        <v>0</v>
      </c>
      <c r="M408" s="59">
        <v>38982.262420034989</v>
      </c>
      <c r="N408" s="59">
        <v>983340000</v>
      </c>
      <c r="O408" s="59">
        <v>0</v>
      </c>
    </row>
    <row r="409" spans="2:15" x14ac:dyDescent="0.35">
      <c r="C409" t="s">
        <v>99</v>
      </c>
      <c r="D409" s="59">
        <v>0</v>
      </c>
      <c r="E409" s="59"/>
      <c r="F409" s="59">
        <v>432841.24621174712</v>
      </c>
      <c r="G409" s="59"/>
      <c r="H409" s="59">
        <v>10878824314</v>
      </c>
      <c r="I409" s="59"/>
      <c r="J409" s="59">
        <v>0</v>
      </c>
      <c r="K409" s="59">
        <v>0</v>
      </c>
      <c r="L409" s="59">
        <v>0</v>
      </c>
      <c r="M409" s="59">
        <v>432841.24621174712</v>
      </c>
      <c r="N409" s="59">
        <v>10878824314</v>
      </c>
      <c r="O409" s="59">
        <v>0</v>
      </c>
    </row>
    <row r="410" spans="2:15" x14ac:dyDescent="0.35">
      <c r="C410" t="s">
        <v>1316</v>
      </c>
      <c r="D410" s="59"/>
      <c r="E410" s="59">
        <v>0</v>
      </c>
      <c r="F410" s="59"/>
      <c r="G410" s="59">
        <v>6971.7937016773267</v>
      </c>
      <c r="H410" s="59"/>
      <c r="I410" s="59">
        <v>182193647</v>
      </c>
      <c r="J410" s="59">
        <v>0</v>
      </c>
      <c r="K410" s="59">
        <v>0</v>
      </c>
      <c r="L410" s="59">
        <v>0</v>
      </c>
      <c r="M410" s="59">
        <v>6971.7937016773267</v>
      </c>
      <c r="N410" s="59">
        <v>182193647</v>
      </c>
      <c r="O410" s="59">
        <v>0</v>
      </c>
    </row>
    <row r="411" spans="2:15" x14ac:dyDescent="0.35">
      <c r="B411" t="s">
        <v>1317</v>
      </c>
      <c r="D411" s="59">
        <v>0</v>
      </c>
      <c r="E411" s="59">
        <v>0</v>
      </c>
      <c r="F411" s="59">
        <v>0</v>
      </c>
      <c r="G411" s="59">
        <v>0</v>
      </c>
      <c r="H411" s="59">
        <v>0</v>
      </c>
      <c r="I411" s="59">
        <v>0</v>
      </c>
      <c r="J411" s="59">
        <v>0</v>
      </c>
      <c r="K411" s="59">
        <v>0</v>
      </c>
      <c r="L411" s="59">
        <v>0</v>
      </c>
      <c r="M411" s="59">
        <v>0</v>
      </c>
      <c r="N411" s="59">
        <v>0</v>
      </c>
      <c r="O411" s="59">
        <v>0</v>
      </c>
    </row>
    <row r="412" spans="2:15" x14ac:dyDescent="0.35">
      <c r="C412" t="s">
        <v>1264</v>
      </c>
      <c r="D412" s="59">
        <v>0</v>
      </c>
      <c r="E412" s="59"/>
      <c r="F412" s="59">
        <v>0</v>
      </c>
      <c r="G412" s="59"/>
      <c r="H412" s="59">
        <v>0</v>
      </c>
      <c r="I412" s="59"/>
      <c r="J412" s="59">
        <v>0</v>
      </c>
      <c r="K412" s="59">
        <v>0</v>
      </c>
      <c r="L412" s="59">
        <v>0</v>
      </c>
      <c r="M412" s="59">
        <v>0</v>
      </c>
      <c r="N412" s="59">
        <v>0</v>
      </c>
      <c r="O412" s="59">
        <v>0</v>
      </c>
    </row>
    <row r="413" spans="2:15" x14ac:dyDescent="0.35">
      <c r="C413" t="s">
        <v>1289</v>
      </c>
      <c r="D413" s="59"/>
      <c r="E413" s="59">
        <v>0</v>
      </c>
      <c r="F413" s="59"/>
      <c r="G413" s="59">
        <v>0</v>
      </c>
      <c r="H413" s="59"/>
      <c r="I413" s="59">
        <v>0</v>
      </c>
      <c r="J413" s="59">
        <v>0</v>
      </c>
      <c r="K413" s="59">
        <v>0</v>
      </c>
      <c r="L413" s="59">
        <v>0</v>
      </c>
      <c r="M413" s="59">
        <v>0</v>
      </c>
      <c r="N413" s="59">
        <v>0</v>
      </c>
      <c r="O413" s="59">
        <v>0</v>
      </c>
    </row>
    <row r="414" spans="2:15" x14ac:dyDescent="0.35">
      <c r="C414" t="s">
        <v>1318</v>
      </c>
      <c r="D414" s="59">
        <v>0</v>
      </c>
      <c r="E414" s="59">
        <v>0</v>
      </c>
      <c r="F414" s="59">
        <v>0</v>
      </c>
      <c r="G414" s="59">
        <v>0</v>
      </c>
      <c r="H414" s="59">
        <v>0</v>
      </c>
      <c r="I414" s="59">
        <v>0</v>
      </c>
      <c r="J414" s="59">
        <v>0</v>
      </c>
      <c r="K414" s="59">
        <v>0</v>
      </c>
      <c r="L414" s="59">
        <v>0</v>
      </c>
      <c r="M414" s="59">
        <v>0</v>
      </c>
      <c r="N414" s="59">
        <v>0</v>
      </c>
      <c r="O414" s="59">
        <v>0</v>
      </c>
    </row>
    <row r="415" spans="2:15" x14ac:dyDescent="0.35">
      <c r="B415" t="s">
        <v>1319</v>
      </c>
      <c r="D415" s="59">
        <v>0</v>
      </c>
      <c r="E415" s="59">
        <v>0</v>
      </c>
      <c r="F415" s="59">
        <v>0</v>
      </c>
      <c r="G415" s="59">
        <v>0</v>
      </c>
      <c r="H415" s="59">
        <v>0</v>
      </c>
      <c r="I415" s="59">
        <v>0</v>
      </c>
      <c r="J415" s="59">
        <v>0</v>
      </c>
      <c r="K415" s="59">
        <v>0</v>
      </c>
      <c r="L415" s="59">
        <v>0</v>
      </c>
      <c r="M415" s="59">
        <v>0</v>
      </c>
      <c r="N415" s="59">
        <v>0</v>
      </c>
      <c r="O415" s="59">
        <v>0</v>
      </c>
    </row>
    <row r="416" spans="2:15" x14ac:dyDescent="0.35">
      <c r="C416" t="s">
        <v>1276</v>
      </c>
      <c r="D416" s="59">
        <v>0</v>
      </c>
      <c r="E416" s="59">
        <v>0</v>
      </c>
      <c r="F416" s="59">
        <v>0</v>
      </c>
      <c r="G416" s="59">
        <v>0</v>
      </c>
      <c r="H416" s="59">
        <v>0</v>
      </c>
      <c r="I416" s="59">
        <v>0</v>
      </c>
      <c r="J416" s="59">
        <v>0</v>
      </c>
      <c r="K416" s="59">
        <v>0</v>
      </c>
      <c r="L416" s="59">
        <v>0</v>
      </c>
      <c r="M416" s="59">
        <v>0</v>
      </c>
      <c r="N416" s="59">
        <v>0</v>
      </c>
      <c r="O416" s="59">
        <v>0</v>
      </c>
    </row>
    <row r="417" spans="2:15" x14ac:dyDescent="0.35">
      <c r="C417" t="s">
        <v>1320</v>
      </c>
      <c r="D417" s="59"/>
      <c r="E417" s="59">
        <v>0</v>
      </c>
      <c r="F417" s="59"/>
      <c r="G417" s="59">
        <v>0</v>
      </c>
      <c r="H417" s="59"/>
      <c r="I417" s="59">
        <v>0</v>
      </c>
      <c r="J417" s="59">
        <v>0</v>
      </c>
      <c r="K417" s="59">
        <v>0</v>
      </c>
      <c r="L417" s="59">
        <v>0</v>
      </c>
      <c r="M417" s="59">
        <v>0</v>
      </c>
      <c r="N417" s="59">
        <v>0</v>
      </c>
      <c r="O417" s="59">
        <v>0</v>
      </c>
    </row>
    <row r="418" spans="2:15" x14ac:dyDescent="0.35">
      <c r="C418" t="s">
        <v>1264</v>
      </c>
      <c r="D418" s="59">
        <v>0</v>
      </c>
      <c r="E418" s="59"/>
      <c r="F418" s="59">
        <v>0</v>
      </c>
      <c r="G418" s="59"/>
      <c r="H418" s="59">
        <v>0</v>
      </c>
      <c r="I418" s="59"/>
      <c r="J418" s="59">
        <v>0</v>
      </c>
      <c r="K418" s="59">
        <v>0</v>
      </c>
      <c r="L418" s="59">
        <v>0</v>
      </c>
      <c r="M418" s="59">
        <v>0</v>
      </c>
      <c r="N418" s="59">
        <v>0</v>
      </c>
      <c r="O418" s="59">
        <v>0</v>
      </c>
    </row>
    <row r="419" spans="2:15" x14ac:dyDescent="0.35">
      <c r="C419" t="s">
        <v>1318</v>
      </c>
      <c r="D419" s="59">
        <v>0</v>
      </c>
      <c r="E419" s="59"/>
      <c r="F419" s="59">
        <v>0</v>
      </c>
      <c r="G419" s="59"/>
      <c r="H419" s="59">
        <v>0</v>
      </c>
      <c r="I419" s="59"/>
      <c r="J419" s="59">
        <v>0</v>
      </c>
      <c r="K419" s="59">
        <v>0</v>
      </c>
      <c r="L419" s="59">
        <v>0</v>
      </c>
      <c r="M419" s="59">
        <v>0</v>
      </c>
      <c r="N419" s="59">
        <v>0</v>
      </c>
      <c r="O419" s="59">
        <v>0</v>
      </c>
    </row>
    <row r="420" spans="2:15" x14ac:dyDescent="0.35">
      <c r="B420" t="s">
        <v>1321</v>
      </c>
      <c r="D420" s="59">
        <v>0</v>
      </c>
      <c r="E420" s="59"/>
      <c r="F420" s="59">
        <v>0</v>
      </c>
      <c r="G420" s="59"/>
      <c r="H420" s="59">
        <v>0</v>
      </c>
      <c r="I420" s="59"/>
      <c r="J420" s="59">
        <v>0</v>
      </c>
      <c r="K420" s="59">
        <v>0</v>
      </c>
      <c r="L420" s="59">
        <v>0</v>
      </c>
      <c r="M420" s="59">
        <v>0</v>
      </c>
      <c r="N420" s="59">
        <v>0</v>
      </c>
      <c r="O420" s="59">
        <v>0</v>
      </c>
    </row>
    <row r="421" spans="2:15" x14ac:dyDescent="0.35">
      <c r="C421" t="s">
        <v>1322</v>
      </c>
      <c r="D421" s="59">
        <v>0</v>
      </c>
      <c r="E421" s="59"/>
      <c r="F421" s="59">
        <v>0</v>
      </c>
      <c r="G421" s="59"/>
      <c r="H421" s="59">
        <v>0</v>
      </c>
      <c r="I421" s="59"/>
      <c r="J421" s="59">
        <v>0</v>
      </c>
      <c r="K421" s="59">
        <v>0</v>
      </c>
      <c r="L421" s="59">
        <v>0</v>
      </c>
      <c r="M421" s="59">
        <v>0</v>
      </c>
      <c r="N421" s="59">
        <v>0</v>
      </c>
      <c r="O421" s="59">
        <v>0</v>
      </c>
    </row>
    <row r="422" spans="2:15" x14ac:dyDescent="0.35">
      <c r="C422" t="s">
        <v>1323</v>
      </c>
      <c r="D422" s="59">
        <v>0</v>
      </c>
      <c r="E422" s="59"/>
      <c r="F422" s="59">
        <v>0</v>
      </c>
      <c r="G422" s="59"/>
      <c r="H422" s="59">
        <v>0</v>
      </c>
      <c r="I422" s="59"/>
      <c r="J422" s="59">
        <v>0</v>
      </c>
      <c r="K422" s="59">
        <v>0</v>
      </c>
      <c r="L422" s="59">
        <v>0</v>
      </c>
      <c r="M422" s="59">
        <v>0</v>
      </c>
      <c r="N422" s="59">
        <v>0</v>
      </c>
      <c r="O422" s="59">
        <v>0</v>
      </c>
    </row>
    <row r="423" spans="2:15" x14ac:dyDescent="0.35">
      <c r="B423" t="s">
        <v>1324</v>
      </c>
      <c r="D423" s="59">
        <v>0</v>
      </c>
      <c r="E423" s="59">
        <v>0</v>
      </c>
      <c r="F423" s="59">
        <v>16344.702861336636</v>
      </c>
      <c r="G423" s="59">
        <v>15710.555086617778</v>
      </c>
      <c r="H423" s="59">
        <v>405000000</v>
      </c>
      <c r="I423" s="59">
        <v>405000000</v>
      </c>
      <c r="J423" s="59">
        <v>0</v>
      </c>
      <c r="K423" s="59">
        <v>0</v>
      </c>
      <c r="L423" s="59">
        <v>0</v>
      </c>
      <c r="M423" s="59">
        <v>32055.257947954415</v>
      </c>
      <c r="N423" s="59">
        <v>810000000</v>
      </c>
      <c r="O423" s="59">
        <v>0</v>
      </c>
    </row>
    <row r="424" spans="2:15" x14ac:dyDescent="0.35">
      <c r="C424" t="s">
        <v>5</v>
      </c>
      <c r="D424" s="59">
        <v>0</v>
      </c>
      <c r="E424" s="59">
        <v>0</v>
      </c>
      <c r="F424" s="59">
        <v>16344.702861336636</v>
      </c>
      <c r="G424" s="59">
        <v>15710.555086617778</v>
      </c>
      <c r="H424" s="59">
        <v>405000000</v>
      </c>
      <c r="I424" s="59">
        <v>405000000</v>
      </c>
      <c r="J424" s="59">
        <v>0</v>
      </c>
      <c r="K424" s="59">
        <v>0</v>
      </c>
      <c r="L424" s="59">
        <v>0</v>
      </c>
      <c r="M424" s="59">
        <v>32055.257947954415</v>
      </c>
      <c r="N424" s="59">
        <v>810000000</v>
      </c>
      <c r="O424" s="59">
        <v>0</v>
      </c>
    </row>
    <row r="425" spans="2:15" x14ac:dyDescent="0.35">
      <c r="B425" t="s">
        <v>1325</v>
      </c>
      <c r="D425" s="59">
        <v>0</v>
      </c>
      <c r="E425" s="59">
        <v>0</v>
      </c>
      <c r="F425" s="59">
        <v>22583.41604807938</v>
      </c>
      <c r="G425" s="59">
        <v>13398.560118523896</v>
      </c>
      <c r="H425" s="59">
        <v>564482344</v>
      </c>
      <c r="I425" s="59">
        <v>346500000</v>
      </c>
      <c r="J425" s="59">
        <v>0</v>
      </c>
      <c r="K425" s="59">
        <v>0</v>
      </c>
      <c r="L425" s="59">
        <v>0</v>
      </c>
      <c r="M425" s="59">
        <v>35981.976166603272</v>
      </c>
      <c r="N425" s="59">
        <v>910982344</v>
      </c>
      <c r="O425" s="59">
        <v>0</v>
      </c>
    </row>
    <row r="426" spans="2:15" x14ac:dyDescent="0.35">
      <c r="C426" t="s">
        <v>64</v>
      </c>
      <c r="D426" s="59">
        <v>0</v>
      </c>
      <c r="E426" s="59"/>
      <c r="F426" s="59">
        <v>2547.884143747166</v>
      </c>
      <c r="G426" s="59"/>
      <c r="H426" s="59">
        <v>64382344</v>
      </c>
      <c r="I426" s="59"/>
      <c r="J426" s="59">
        <v>0</v>
      </c>
      <c r="K426" s="59">
        <v>0</v>
      </c>
      <c r="L426" s="59">
        <v>0</v>
      </c>
      <c r="M426" s="59">
        <v>2547.884143747166</v>
      </c>
      <c r="N426" s="59">
        <v>64382344</v>
      </c>
      <c r="O426" s="59">
        <v>0</v>
      </c>
    </row>
    <row r="427" spans="2:15" x14ac:dyDescent="0.35">
      <c r="C427" t="s">
        <v>1298</v>
      </c>
      <c r="D427" s="59">
        <v>0</v>
      </c>
      <c r="E427" s="59">
        <v>0</v>
      </c>
      <c r="F427" s="59">
        <v>2835.6259918136479</v>
      </c>
      <c r="G427" s="59">
        <v>11537.005739236312</v>
      </c>
      <c r="H427" s="59">
        <v>70500000</v>
      </c>
      <c r="I427" s="59">
        <v>298500000</v>
      </c>
      <c r="J427" s="59">
        <v>0</v>
      </c>
      <c r="K427" s="59">
        <v>0</v>
      </c>
      <c r="L427" s="59">
        <v>0</v>
      </c>
      <c r="M427" s="59">
        <v>14372.63173104996</v>
      </c>
      <c r="N427" s="59">
        <v>369000000</v>
      </c>
      <c r="O427" s="59">
        <v>0</v>
      </c>
    </row>
    <row r="428" spans="2:15" x14ac:dyDescent="0.35">
      <c r="C428" t="s">
        <v>1326</v>
      </c>
      <c r="D428" s="59">
        <v>0</v>
      </c>
      <c r="E428" s="59"/>
      <c r="F428" s="59">
        <v>322.46113402163706</v>
      </c>
      <c r="G428" s="59"/>
      <c r="H428" s="59">
        <v>8100000</v>
      </c>
      <c r="I428" s="59"/>
      <c r="J428" s="59">
        <v>0</v>
      </c>
      <c r="K428" s="59">
        <v>0</v>
      </c>
      <c r="L428" s="59">
        <v>0</v>
      </c>
      <c r="M428" s="59">
        <v>322.46113402163706</v>
      </c>
      <c r="N428" s="59">
        <v>8100000</v>
      </c>
      <c r="O428" s="59">
        <v>0</v>
      </c>
    </row>
    <row r="429" spans="2:15" x14ac:dyDescent="0.35">
      <c r="C429" t="s">
        <v>1296</v>
      </c>
      <c r="D429" s="59">
        <v>0</v>
      </c>
      <c r="E429" s="59">
        <v>0</v>
      </c>
      <c r="F429" s="59">
        <v>16877.444778496927</v>
      </c>
      <c r="G429" s="59">
        <v>1861.5543792875824</v>
      </c>
      <c r="H429" s="59">
        <v>421500000</v>
      </c>
      <c r="I429" s="59">
        <v>48000000</v>
      </c>
      <c r="J429" s="59">
        <v>0</v>
      </c>
      <c r="K429" s="59">
        <v>0</v>
      </c>
      <c r="L429" s="59">
        <v>0</v>
      </c>
      <c r="M429" s="59">
        <v>18738.99915778451</v>
      </c>
      <c r="N429" s="59">
        <v>469500000</v>
      </c>
      <c r="O429" s="59">
        <v>0</v>
      </c>
    </row>
    <row r="430" spans="2:15" x14ac:dyDescent="0.35">
      <c r="B430" t="s">
        <v>1327</v>
      </c>
      <c r="D430" s="59">
        <v>0</v>
      </c>
      <c r="E430" s="59">
        <v>0</v>
      </c>
      <c r="F430" s="59">
        <v>0</v>
      </c>
      <c r="G430" s="59">
        <v>0</v>
      </c>
      <c r="H430" s="59">
        <v>0</v>
      </c>
      <c r="I430" s="59">
        <v>0</v>
      </c>
      <c r="J430" s="59">
        <v>0</v>
      </c>
      <c r="K430" s="59">
        <v>0</v>
      </c>
      <c r="L430" s="59">
        <v>0</v>
      </c>
      <c r="M430" s="59">
        <v>0</v>
      </c>
      <c r="N430" s="59">
        <v>0</v>
      </c>
      <c r="O430" s="59">
        <v>0</v>
      </c>
    </row>
    <row r="431" spans="2:15" x14ac:dyDescent="0.35">
      <c r="C431" t="s">
        <v>1295</v>
      </c>
      <c r="D431" s="59"/>
      <c r="E431" s="59">
        <v>0</v>
      </c>
      <c r="F431" s="59"/>
      <c r="G431" s="59">
        <v>0</v>
      </c>
      <c r="H431" s="59"/>
      <c r="I431" s="59">
        <v>0</v>
      </c>
      <c r="J431" s="59">
        <v>0</v>
      </c>
      <c r="K431" s="59">
        <v>0</v>
      </c>
      <c r="L431" s="59">
        <v>0</v>
      </c>
      <c r="M431" s="59">
        <v>0</v>
      </c>
      <c r="N431" s="59">
        <v>0</v>
      </c>
      <c r="O431" s="59">
        <v>0</v>
      </c>
    </row>
    <row r="432" spans="2:15" x14ac:dyDescent="0.35">
      <c r="C432" t="s">
        <v>1328</v>
      </c>
      <c r="D432" s="59"/>
      <c r="E432" s="59">
        <v>0</v>
      </c>
      <c r="F432" s="59"/>
      <c r="G432" s="59">
        <v>0</v>
      </c>
      <c r="H432" s="59"/>
      <c r="I432" s="59">
        <v>0</v>
      </c>
      <c r="J432" s="59">
        <v>0</v>
      </c>
      <c r="K432" s="59">
        <v>0</v>
      </c>
      <c r="L432" s="59">
        <v>0</v>
      </c>
      <c r="M432" s="59">
        <v>0</v>
      </c>
      <c r="N432" s="59">
        <v>0</v>
      </c>
      <c r="O432" s="59">
        <v>0</v>
      </c>
    </row>
    <row r="433" spans="2:15" x14ac:dyDescent="0.35">
      <c r="C433" t="s">
        <v>1297</v>
      </c>
      <c r="D433" s="59">
        <v>0</v>
      </c>
      <c r="E433" s="59">
        <v>0</v>
      </c>
      <c r="F433" s="59">
        <v>0</v>
      </c>
      <c r="G433" s="59">
        <v>0</v>
      </c>
      <c r="H433" s="59">
        <v>0</v>
      </c>
      <c r="I433" s="59">
        <v>0</v>
      </c>
      <c r="J433" s="59">
        <v>0</v>
      </c>
      <c r="K433" s="59">
        <v>0</v>
      </c>
      <c r="L433" s="59">
        <v>0</v>
      </c>
      <c r="M433" s="59">
        <v>0</v>
      </c>
      <c r="N433" s="59">
        <v>0</v>
      </c>
      <c r="O433" s="59">
        <v>0</v>
      </c>
    </row>
    <row r="434" spans="2:15" x14ac:dyDescent="0.35">
      <c r="B434" t="s">
        <v>1329</v>
      </c>
      <c r="D434" s="59">
        <v>0</v>
      </c>
      <c r="E434" s="59">
        <v>0</v>
      </c>
      <c r="F434" s="59">
        <v>0</v>
      </c>
      <c r="G434" s="59">
        <v>0</v>
      </c>
      <c r="H434" s="59">
        <v>0</v>
      </c>
      <c r="I434" s="59">
        <v>0</v>
      </c>
      <c r="J434" s="59">
        <v>0</v>
      </c>
      <c r="K434" s="59">
        <v>0</v>
      </c>
      <c r="L434" s="59">
        <v>0</v>
      </c>
      <c r="M434" s="59">
        <v>0</v>
      </c>
      <c r="N434" s="59">
        <v>0</v>
      </c>
      <c r="O434" s="59">
        <v>0</v>
      </c>
    </row>
    <row r="435" spans="2:15" x14ac:dyDescent="0.35">
      <c r="C435" t="s">
        <v>1264</v>
      </c>
      <c r="D435" s="59">
        <v>0</v>
      </c>
      <c r="E435" s="59">
        <v>0</v>
      </c>
      <c r="F435" s="59">
        <v>0</v>
      </c>
      <c r="G435" s="59">
        <v>0</v>
      </c>
      <c r="H435" s="59">
        <v>0</v>
      </c>
      <c r="I435" s="59">
        <v>0</v>
      </c>
      <c r="J435" s="59">
        <v>0</v>
      </c>
      <c r="K435" s="59">
        <v>0</v>
      </c>
      <c r="L435" s="59">
        <v>0</v>
      </c>
      <c r="M435" s="59">
        <v>0</v>
      </c>
      <c r="N435" s="59">
        <v>0</v>
      </c>
      <c r="O435" s="59">
        <v>0</v>
      </c>
    </row>
    <row r="436" spans="2:15" x14ac:dyDescent="0.35">
      <c r="C436" t="s">
        <v>1301</v>
      </c>
      <c r="D436" s="59"/>
      <c r="E436" s="59">
        <v>0</v>
      </c>
      <c r="F436" s="59"/>
      <c r="G436" s="59">
        <v>0</v>
      </c>
      <c r="H436" s="59"/>
      <c r="I436" s="59">
        <v>0</v>
      </c>
      <c r="J436" s="59">
        <v>0</v>
      </c>
      <c r="K436" s="59">
        <v>0</v>
      </c>
      <c r="L436" s="59">
        <v>0</v>
      </c>
      <c r="M436" s="59">
        <v>0</v>
      </c>
      <c r="N436" s="59">
        <v>0</v>
      </c>
      <c r="O436" s="59">
        <v>0</v>
      </c>
    </row>
    <row r="437" spans="2:15" x14ac:dyDescent="0.35">
      <c r="C437" t="s">
        <v>1330</v>
      </c>
      <c r="D437" s="59"/>
      <c r="E437" s="59">
        <v>0</v>
      </c>
      <c r="F437" s="59"/>
      <c r="G437" s="59">
        <v>0</v>
      </c>
      <c r="H437" s="59"/>
      <c r="I437" s="59">
        <v>0</v>
      </c>
      <c r="J437" s="59">
        <v>0</v>
      </c>
      <c r="K437" s="59">
        <v>0</v>
      </c>
      <c r="L437" s="59">
        <v>0</v>
      </c>
      <c r="M437" s="59">
        <v>0</v>
      </c>
      <c r="N437" s="59">
        <v>0</v>
      </c>
      <c r="O437" s="59">
        <v>0</v>
      </c>
    </row>
    <row r="438" spans="2:15" x14ac:dyDescent="0.35">
      <c r="C438" t="s">
        <v>1280</v>
      </c>
      <c r="D438" s="59"/>
      <c r="E438" s="59">
        <v>0</v>
      </c>
      <c r="F438" s="59"/>
      <c r="G438" s="59">
        <v>0</v>
      </c>
      <c r="H438" s="59"/>
      <c r="I438" s="59">
        <v>0</v>
      </c>
      <c r="J438" s="59">
        <v>0</v>
      </c>
      <c r="K438" s="59">
        <v>0</v>
      </c>
      <c r="L438" s="59">
        <v>0</v>
      </c>
      <c r="M438" s="59">
        <v>0</v>
      </c>
      <c r="N438" s="59">
        <v>0</v>
      </c>
      <c r="O438" s="59">
        <v>0</v>
      </c>
    </row>
    <row r="439" spans="2:15" x14ac:dyDescent="0.35">
      <c r="C439" t="s">
        <v>1331</v>
      </c>
      <c r="D439" s="59"/>
      <c r="E439" s="59">
        <v>0</v>
      </c>
      <c r="F439" s="59"/>
      <c r="G439" s="59">
        <v>0</v>
      </c>
      <c r="H439" s="59"/>
      <c r="I439" s="59">
        <v>0</v>
      </c>
      <c r="J439" s="59">
        <v>0</v>
      </c>
      <c r="K439" s="59">
        <v>0</v>
      </c>
      <c r="L439" s="59">
        <v>0</v>
      </c>
      <c r="M439" s="59">
        <v>0</v>
      </c>
      <c r="N439" s="59">
        <v>0</v>
      </c>
      <c r="O439" s="59">
        <v>0</v>
      </c>
    </row>
    <row r="440" spans="2:15" x14ac:dyDescent="0.35">
      <c r="C440" t="s">
        <v>1332</v>
      </c>
      <c r="D440" s="59"/>
      <c r="E440" s="59">
        <v>0</v>
      </c>
      <c r="F440" s="59"/>
      <c r="G440" s="59">
        <v>0</v>
      </c>
      <c r="H440" s="59"/>
      <c r="I440" s="59">
        <v>0</v>
      </c>
      <c r="J440" s="59">
        <v>0</v>
      </c>
      <c r="K440" s="59">
        <v>0</v>
      </c>
      <c r="L440" s="59">
        <v>0</v>
      </c>
      <c r="M440" s="59">
        <v>0</v>
      </c>
      <c r="N440" s="59">
        <v>0</v>
      </c>
      <c r="O440" s="59">
        <v>0</v>
      </c>
    </row>
    <row r="441" spans="2:15" x14ac:dyDescent="0.35">
      <c r="C441" t="s">
        <v>1333</v>
      </c>
      <c r="D441" s="59"/>
      <c r="E441" s="59">
        <v>0</v>
      </c>
      <c r="F441" s="59"/>
      <c r="G441" s="59">
        <v>0</v>
      </c>
      <c r="H441" s="59"/>
      <c r="I441" s="59">
        <v>0</v>
      </c>
      <c r="J441" s="59">
        <v>0</v>
      </c>
      <c r="K441" s="59">
        <v>0</v>
      </c>
      <c r="L441" s="59">
        <v>0</v>
      </c>
      <c r="M441" s="59">
        <v>0</v>
      </c>
      <c r="N441" s="59">
        <v>0</v>
      </c>
      <c r="O441" s="59">
        <v>0</v>
      </c>
    </row>
    <row r="442" spans="2:15" x14ac:dyDescent="0.35">
      <c r="C442" t="s">
        <v>1334</v>
      </c>
      <c r="D442" s="59"/>
      <c r="E442" s="59">
        <v>0</v>
      </c>
      <c r="F442" s="59"/>
      <c r="G442" s="59">
        <v>0</v>
      </c>
      <c r="H442" s="59"/>
      <c r="I442" s="59">
        <v>0</v>
      </c>
      <c r="J442" s="59">
        <v>0</v>
      </c>
      <c r="K442" s="59">
        <v>0</v>
      </c>
      <c r="L442" s="59">
        <v>0</v>
      </c>
      <c r="M442" s="59">
        <v>0</v>
      </c>
      <c r="N442" s="59">
        <v>0</v>
      </c>
      <c r="O442" s="59">
        <v>0</v>
      </c>
    </row>
    <row r="443" spans="2:15" x14ac:dyDescent="0.35">
      <c r="C443" t="s">
        <v>1286</v>
      </c>
      <c r="D443" s="59"/>
      <c r="E443" s="59">
        <v>0</v>
      </c>
      <c r="F443" s="59"/>
      <c r="G443" s="59">
        <v>0</v>
      </c>
      <c r="H443" s="59"/>
      <c r="I443" s="59">
        <v>0</v>
      </c>
      <c r="J443" s="59">
        <v>0</v>
      </c>
      <c r="K443" s="59">
        <v>0</v>
      </c>
      <c r="L443" s="59">
        <v>0</v>
      </c>
      <c r="M443" s="59">
        <v>0</v>
      </c>
      <c r="N443" s="59">
        <v>0</v>
      </c>
      <c r="O443" s="59">
        <v>0</v>
      </c>
    </row>
    <row r="444" spans="2:15" x14ac:dyDescent="0.35">
      <c r="C444" t="s">
        <v>1335</v>
      </c>
      <c r="D444" s="59"/>
      <c r="E444" s="59">
        <v>0</v>
      </c>
      <c r="F444" s="59"/>
      <c r="G444" s="59">
        <v>0</v>
      </c>
      <c r="H444" s="59"/>
      <c r="I444" s="59">
        <v>0</v>
      </c>
      <c r="J444" s="59">
        <v>0</v>
      </c>
      <c r="K444" s="59">
        <v>0</v>
      </c>
      <c r="L444" s="59">
        <v>0</v>
      </c>
      <c r="M444" s="59">
        <v>0</v>
      </c>
      <c r="N444" s="59">
        <v>0</v>
      </c>
      <c r="O444" s="59">
        <v>0</v>
      </c>
    </row>
    <row r="445" spans="2:15" x14ac:dyDescent="0.35">
      <c r="C445" t="s">
        <v>1278</v>
      </c>
      <c r="D445" s="59"/>
      <c r="E445" s="59">
        <v>0</v>
      </c>
      <c r="F445" s="59"/>
      <c r="G445" s="59">
        <v>0</v>
      </c>
      <c r="H445" s="59"/>
      <c r="I445" s="59">
        <v>0</v>
      </c>
      <c r="J445" s="59">
        <v>0</v>
      </c>
      <c r="K445" s="59">
        <v>0</v>
      </c>
      <c r="L445" s="59">
        <v>0</v>
      </c>
      <c r="M445" s="59">
        <v>0</v>
      </c>
      <c r="N445" s="59">
        <v>0</v>
      </c>
      <c r="O445" s="59">
        <v>0</v>
      </c>
    </row>
    <row r="446" spans="2:15" x14ac:dyDescent="0.35">
      <c r="C446" t="s">
        <v>1336</v>
      </c>
      <c r="D446" s="59"/>
      <c r="E446" s="59">
        <v>0</v>
      </c>
      <c r="F446" s="59"/>
      <c r="G446" s="59">
        <v>0</v>
      </c>
      <c r="H446" s="59"/>
      <c r="I446" s="59">
        <v>0</v>
      </c>
      <c r="J446" s="59">
        <v>0</v>
      </c>
      <c r="K446" s="59">
        <v>0</v>
      </c>
      <c r="L446" s="59">
        <v>0</v>
      </c>
      <c r="M446" s="59">
        <v>0</v>
      </c>
      <c r="N446" s="59">
        <v>0</v>
      </c>
      <c r="O446" s="59">
        <v>0</v>
      </c>
    </row>
    <row r="447" spans="2:15" x14ac:dyDescent="0.35">
      <c r="C447" t="s">
        <v>1337</v>
      </c>
      <c r="D447" s="59"/>
      <c r="E447" s="59">
        <v>0</v>
      </c>
      <c r="F447" s="59"/>
      <c r="G447" s="59">
        <v>0</v>
      </c>
      <c r="H447" s="59"/>
      <c r="I447" s="59">
        <v>0</v>
      </c>
      <c r="J447" s="59">
        <v>0</v>
      </c>
      <c r="K447" s="59">
        <v>0</v>
      </c>
      <c r="L447" s="59">
        <v>0</v>
      </c>
      <c r="M447" s="59">
        <v>0</v>
      </c>
      <c r="N447" s="59">
        <v>0</v>
      </c>
      <c r="O447" s="59">
        <v>0</v>
      </c>
    </row>
    <row r="448" spans="2:15" x14ac:dyDescent="0.35">
      <c r="C448" t="s">
        <v>1282</v>
      </c>
      <c r="D448" s="59">
        <v>0</v>
      </c>
      <c r="E448" s="59">
        <v>0</v>
      </c>
      <c r="F448" s="59">
        <v>0</v>
      </c>
      <c r="G448" s="59">
        <v>0</v>
      </c>
      <c r="H448" s="59">
        <v>0</v>
      </c>
      <c r="I448" s="59">
        <v>0</v>
      </c>
      <c r="J448" s="59">
        <v>0</v>
      </c>
      <c r="K448" s="59">
        <v>0</v>
      </c>
      <c r="L448" s="59">
        <v>0</v>
      </c>
      <c r="M448" s="59">
        <v>0</v>
      </c>
      <c r="N448" s="59">
        <v>0</v>
      </c>
      <c r="O448" s="59">
        <v>0</v>
      </c>
    </row>
    <row r="449" spans="3:15" x14ac:dyDescent="0.35">
      <c r="C449" t="s">
        <v>1338</v>
      </c>
      <c r="D449" s="59"/>
      <c r="E449" s="59">
        <v>0</v>
      </c>
      <c r="F449" s="59"/>
      <c r="G449" s="59">
        <v>0</v>
      </c>
      <c r="H449" s="59"/>
      <c r="I449" s="59">
        <v>0</v>
      </c>
      <c r="J449" s="59">
        <v>0</v>
      </c>
      <c r="K449" s="59">
        <v>0</v>
      </c>
      <c r="L449" s="59">
        <v>0</v>
      </c>
      <c r="M449" s="59">
        <v>0</v>
      </c>
      <c r="N449" s="59">
        <v>0</v>
      </c>
      <c r="O449" s="59">
        <v>0</v>
      </c>
    </row>
    <row r="450" spans="3:15" x14ac:dyDescent="0.35">
      <c r="C450" t="s">
        <v>1283</v>
      </c>
      <c r="D450" s="59">
        <v>0</v>
      </c>
      <c r="E450" s="59">
        <v>0</v>
      </c>
      <c r="F450" s="59">
        <v>0</v>
      </c>
      <c r="G450" s="59">
        <v>0</v>
      </c>
      <c r="H450" s="59">
        <v>0</v>
      </c>
      <c r="I450" s="59">
        <v>0</v>
      </c>
      <c r="J450" s="59">
        <v>0</v>
      </c>
      <c r="K450" s="59">
        <v>0</v>
      </c>
      <c r="L450" s="59">
        <v>0</v>
      </c>
      <c r="M450" s="59">
        <v>0</v>
      </c>
      <c r="N450" s="59">
        <v>0</v>
      </c>
      <c r="O450" s="59">
        <v>0</v>
      </c>
    </row>
    <row r="451" spans="3:15" x14ac:dyDescent="0.35">
      <c r="C451" t="s">
        <v>1339</v>
      </c>
      <c r="D451" s="59"/>
      <c r="E451" s="59">
        <v>0</v>
      </c>
      <c r="F451" s="59"/>
      <c r="G451" s="59">
        <v>0</v>
      </c>
      <c r="H451" s="59"/>
      <c r="I451" s="59">
        <v>0</v>
      </c>
      <c r="J451" s="59">
        <v>0</v>
      </c>
      <c r="K451" s="59">
        <v>0</v>
      </c>
      <c r="L451" s="59">
        <v>0</v>
      </c>
      <c r="M451" s="59">
        <v>0</v>
      </c>
      <c r="N451" s="59">
        <v>0</v>
      </c>
      <c r="O451" s="59">
        <v>0</v>
      </c>
    </row>
    <row r="452" spans="3:15" x14ac:dyDescent="0.35">
      <c r="C452" t="s">
        <v>1291</v>
      </c>
      <c r="D452" s="59"/>
      <c r="E452" s="59">
        <v>0</v>
      </c>
      <c r="F452" s="59"/>
      <c r="G452" s="59">
        <v>0</v>
      </c>
      <c r="H452" s="59"/>
      <c r="I452" s="59">
        <v>0</v>
      </c>
      <c r="J452" s="59">
        <v>0</v>
      </c>
      <c r="K452" s="59">
        <v>0</v>
      </c>
      <c r="L452" s="59">
        <v>0</v>
      </c>
      <c r="M452" s="59">
        <v>0</v>
      </c>
      <c r="N452" s="59">
        <v>0</v>
      </c>
      <c r="O452" s="59">
        <v>0</v>
      </c>
    </row>
    <row r="453" spans="3:15" x14ac:dyDescent="0.35">
      <c r="C453" t="s">
        <v>1340</v>
      </c>
      <c r="D453" s="59"/>
      <c r="E453" s="59">
        <v>0</v>
      </c>
      <c r="F453" s="59"/>
      <c r="G453" s="59">
        <v>0</v>
      </c>
      <c r="H453" s="59"/>
      <c r="I453" s="59">
        <v>0</v>
      </c>
      <c r="J453" s="59">
        <v>0</v>
      </c>
      <c r="K453" s="59">
        <v>0</v>
      </c>
      <c r="L453" s="59">
        <v>0</v>
      </c>
      <c r="M453" s="59">
        <v>0</v>
      </c>
      <c r="N453" s="59">
        <v>0</v>
      </c>
      <c r="O453" s="59">
        <v>0</v>
      </c>
    </row>
    <row r="454" spans="3:15" x14ac:dyDescent="0.35">
      <c r="C454" t="s">
        <v>1341</v>
      </c>
      <c r="D454" s="59"/>
      <c r="E454" s="59">
        <v>0</v>
      </c>
      <c r="F454" s="59"/>
      <c r="G454" s="59">
        <v>0</v>
      </c>
      <c r="H454" s="59"/>
      <c r="I454" s="59">
        <v>0</v>
      </c>
      <c r="J454" s="59">
        <v>0</v>
      </c>
      <c r="K454" s="59">
        <v>0</v>
      </c>
      <c r="L454" s="59">
        <v>0</v>
      </c>
      <c r="M454" s="59">
        <v>0</v>
      </c>
      <c r="N454" s="59">
        <v>0</v>
      </c>
      <c r="O454" s="59">
        <v>0</v>
      </c>
    </row>
    <row r="455" spans="3:15" x14ac:dyDescent="0.35">
      <c r="C455" t="s">
        <v>23</v>
      </c>
      <c r="D455" s="59"/>
      <c r="E455" s="59">
        <v>0</v>
      </c>
      <c r="F455" s="59"/>
      <c r="G455" s="59">
        <v>0</v>
      </c>
      <c r="H455" s="59"/>
      <c r="I455" s="59">
        <v>0</v>
      </c>
      <c r="J455" s="59">
        <v>0</v>
      </c>
      <c r="K455" s="59">
        <v>0</v>
      </c>
      <c r="L455" s="59">
        <v>0</v>
      </c>
      <c r="M455" s="59">
        <v>0</v>
      </c>
      <c r="N455" s="59">
        <v>0</v>
      </c>
      <c r="O455" s="59">
        <v>0</v>
      </c>
    </row>
    <row r="456" spans="3:15" x14ac:dyDescent="0.35">
      <c r="C456" t="s">
        <v>1342</v>
      </c>
      <c r="D456" s="59"/>
      <c r="E456" s="59">
        <v>0</v>
      </c>
      <c r="F456" s="59"/>
      <c r="G456" s="59">
        <v>0</v>
      </c>
      <c r="H456" s="59"/>
      <c r="I456" s="59">
        <v>0</v>
      </c>
      <c r="J456" s="59">
        <v>0</v>
      </c>
      <c r="K456" s="59">
        <v>0</v>
      </c>
      <c r="L456" s="59">
        <v>0</v>
      </c>
      <c r="M456" s="59">
        <v>0</v>
      </c>
      <c r="N456" s="59">
        <v>0</v>
      </c>
      <c r="O456" s="59">
        <v>0</v>
      </c>
    </row>
    <row r="457" spans="3:15" x14ac:dyDescent="0.35">
      <c r="C457" t="s">
        <v>1343</v>
      </c>
      <c r="D457" s="59"/>
      <c r="E457" s="59">
        <v>0</v>
      </c>
      <c r="F457" s="59"/>
      <c r="G457" s="59">
        <v>0</v>
      </c>
      <c r="H457" s="59"/>
      <c r="I457" s="59">
        <v>0</v>
      </c>
      <c r="J457" s="59">
        <v>0</v>
      </c>
      <c r="K457" s="59">
        <v>0</v>
      </c>
      <c r="L457" s="59">
        <v>0</v>
      </c>
      <c r="M457" s="59">
        <v>0</v>
      </c>
      <c r="N457" s="59">
        <v>0</v>
      </c>
      <c r="O457" s="59">
        <v>0</v>
      </c>
    </row>
    <row r="458" spans="3:15" x14ac:dyDescent="0.35">
      <c r="C458" t="s">
        <v>1344</v>
      </c>
      <c r="D458" s="59"/>
      <c r="E458" s="59">
        <v>0</v>
      </c>
      <c r="F458" s="59"/>
      <c r="G458" s="59">
        <v>0</v>
      </c>
      <c r="H458" s="59"/>
      <c r="I458" s="59">
        <v>0</v>
      </c>
      <c r="J458" s="59">
        <v>0</v>
      </c>
      <c r="K458" s="59">
        <v>0</v>
      </c>
      <c r="L458" s="59">
        <v>0</v>
      </c>
      <c r="M458" s="59">
        <v>0</v>
      </c>
      <c r="N458" s="59">
        <v>0</v>
      </c>
      <c r="O458" s="59">
        <v>0</v>
      </c>
    </row>
    <row r="459" spans="3:15" x14ac:dyDescent="0.35">
      <c r="C459" t="s">
        <v>1345</v>
      </c>
      <c r="D459" s="59"/>
      <c r="E459" s="59">
        <v>0</v>
      </c>
      <c r="F459" s="59"/>
      <c r="G459" s="59">
        <v>0</v>
      </c>
      <c r="H459" s="59"/>
      <c r="I459" s="59">
        <v>0</v>
      </c>
      <c r="J459" s="59">
        <v>0</v>
      </c>
      <c r="K459" s="59">
        <v>0</v>
      </c>
      <c r="L459" s="59">
        <v>0</v>
      </c>
      <c r="M459" s="59">
        <v>0</v>
      </c>
      <c r="N459" s="59">
        <v>0</v>
      </c>
      <c r="O459" s="59">
        <v>0</v>
      </c>
    </row>
    <row r="460" spans="3:15" x14ac:dyDescent="0.35">
      <c r="C460" t="s">
        <v>1346</v>
      </c>
      <c r="D460" s="59"/>
      <c r="E460" s="59">
        <v>0</v>
      </c>
      <c r="F460" s="59"/>
      <c r="G460" s="59">
        <v>0</v>
      </c>
      <c r="H460" s="59"/>
      <c r="I460" s="59">
        <v>0</v>
      </c>
      <c r="J460" s="59">
        <v>0</v>
      </c>
      <c r="K460" s="59">
        <v>0</v>
      </c>
      <c r="L460" s="59">
        <v>0</v>
      </c>
      <c r="M460" s="59">
        <v>0</v>
      </c>
      <c r="N460" s="59">
        <v>0</v>
      </c>
      <c r="O460" s="59">
        <v>0</v>
      </c>
    </row>
    <row r="461" spans="3:15" x14ac:dyDescent="0.35">
      <c r="C461" t="s">
        <v>1347</v>
      </c>
      <c r="D461" s="59"/>
      <c r="E461" s="59">
        <v>0</v>
      </c>
      <c r="F461" s="59"/>
      <c r="G461" s="59">
        <v>0</v>
      </c>
      <c r="H461" s="59"/>
      <c r="I461" s="59">
        <v>0</v>
      </c>
      <c r="J461" s="59">
        <v>0</v>
      </c>
      <c r="K461" s="59">
        <v>0</v>
      </c>
      <c r="L461" s="59">
        <v>0</v>
      </c>
      <c r="M461" s="59">
        <v>0</v>
      </c>
      <c r="N461" s="59">
        <v>0</v>
      </c>
      <c r="O461" s="59">
        <v>0</v>
      </c>
    </row>
    <row r="462" spans="3:15" x14ac:dyDescent="0.35">
      <c r="C462" t="s">
        <v>1348</v>
      </c>
      <c r="D462" s="59"/>
      <c r="E462" s="59">
        <v>0</v>
      </c>
      <c r="F462" s="59"/>
      <c r="G462" s="59">
        <v>0</v>
      </c>
      <c r="H462" s="59"/>
      <c r="I462" s="59">
        <v>0</v>
      </c>
      <c r="J462" s="59">
        <v>0</v>
      </c>
      <c r="K462" s="59">
        <v>0</v>
      </c>
      <c r="L462" s="59">
        <v>0</v>
      </c>
      <c r="M462" s="59">
        <v>0</v>
      </c>
      <c r="N462" s="59">
        <v>0</v>
      </c>
      <c r="O462" s="59">
        <v>0</v>
      </c>
    </row>
    <row r="463" spans="3:15" x14ac:dyDescent="0.35">
      <c r="C463" t="s">
        <v>1305</v>
      </c>
      <c r="D463" s="59"/>
      <c r="E463" s="59">
        <v>0</v>
      </c>
      <c r="F463" s="59"/>
      <c r="G463" s="59">
        <v>0</v>
      </c>
      <c r="H463" s="59"/>
      <c r="I463" s="59">
        <v>0</v>
      </c>
      <c r="J463" s="59">
        <v>0</v>
      </c>
      <c r="K463" s="59">
        <v>0</v>
      </c>
      <c r="L463" s="59">
        <v>0</v>
      </c>
      <c r="M463" s="59">
        <v>0</v>
      </c>
      <c r="N463" s="59">
        <v>0</v>
      </c>
      <c r="O463" s="59">
        <v>0</v>
      </c>
    </row>
    <row r="464" spans="3:15" x14ac:dyDescent="0.35">
      <c r="C464" t="s">
        <v>1349</v>
      </c>
      <c r="D464" s="59"/>
      <c r="E464" s="59">
        <v>0</v>
      </c>
      <c r="F464" s="59"/>
      <c r="G464" s="59">
        <v>0</v>
      </c>
      <c r="H464" s="59"/>
      <c r="I464" s="59">
        <v>0</v>
      </c>
      <c r="J464" s="59">
        <v>0</v>
      </c>
      <c r="K464" s="59">
        <v>0</v>
      </c>
      <c r="L464" s="59">
        <v>0</v>
      </c>
      <c r="M464" s="59">
        <v>0</v>
      </c>
      <c r="N464" s="59">
        <v>0</v>
      </c>
      <c r="O464" s="59">
        <v>0</v>
      </c>
    </row>
    <row r="465" spans="1:15" x14ac:dyDescent="0.35">
      <c r="C465" t="s">
        <v>1350</v>
      </c>
      <c r="D465" s="59"/>
      <c r="E465" s="59">
        <v>0</v>
      </c>
      <c r="F465" s="59"/>
      <c r="G465" s="59">
        <v>0</v>
      </c>
      <c r="H465" s="59"/>
      <c r="I465" s="59">
        <v>0</v>
      </c>
      <c r="J465" s="59">
        <v>0</v>
      </c>
      <c r="K465" s="59">
        <v>0</v>
      </c>
      <c r="L465" s="59">
        <v>0</v>
      </c>
      <c r="M465" s="59">
        <v>0</v>
      </c>
      <c r="N465" s="59">
        <v>0</v>
      </c>
      <c r="O465" s="59">
        <v>0</v>
      </c>
    </row>
    <row r="466" spans="1:15" x14ac:dyDescent="0.35">
      <c r="A466" t="s">
        <v>21</v>
      </c>
      <c r="D466" s="59">
        <v>263075</v>
      </c>
      <c r="E466" s="59">
        <v>223475</v>
      </c>
      <c r="F466" s="59">
        <v>241016.33445335861</v>
      </c>
      <c r="G466" s="59">
        <v>193353.88382929101</v>
      </c>
      <c r="H466" s="59">
        <v>6002943961.7313805</v>
      </c>
      <c r="I466" s="59">
        <v>5000119122.7360401</v>
      </c>
      <c r="J466" s="59">
        <v>916.15065838015255</v>
      </c>
      <c r="K466" s="59">
        <v>865.21482863537744</v>
      </c>
      <c r="L466" s="59">
        <v>486550</v>
      </c>
      <c r="M466" s="59">
        <v>434370.21828264958</v>
      </c>
      <c r="N466" s="59">
        <v>11003063084.467422</v>
      </c>
      <c r="O466" s="59">
        <v>892.75556116051712</v>
      </c>
    </row>
    <row r="467" spans="1:15" x14ac:dyDescent="0.35">
      <c r="B467" t="s">
        <v>1351</v>
      </c>
      <c r="D467" s="59">
        <v>21125</v>
      </c>
      <c r="E467" s="59"/>
      <c r="F467" s="59">
        <v>19299.130628119805</v>
      </c>
      <c r="G467" s="59"/>
      <c r="H467" s="59">
        <v>477561201</v>
      </c>
      <c r="I467" s="59"/>
      <c r="J467" s="59">
        <v>913.56831375715058</v>
      </c>
      <c r="K467" s="59">
        <v>0</v>
      </c>
      <c r="L467" s="59">
        <v>21125</v>
      </c>
      <c r="M467" s="59">
        <v>19299.130628119805</v>
      </c>
      <c r="N467" s="59">
        <v>477561201</v>
      </c>
      <c r="O467" s="59">
        <v>913.56831375715058</v>
      </c>
    </row>
    <row r="468" spans="1:15" x14ac:dyDescent="0.35">
      <c r="C468" t="s">
        <v>47</v>
      </c>
      <c r="D468" s="59">
        <v>21125</v>
      </c>
      <c r="E468" s="59"/>
      <c r="F468" s="59">
        <v>19299.130628119805</v>
      </c>
      <c r="G468" s="59"/>
      <c r="H468" s="59">
        <v>477561201</v>
      </c>
      <c r="I468" s="59"/>
      <c r="J468" s="59">
        <v>913.56831375715058</v>
      </c>
      <c r="K468" s="59">
        <v>0</v>
      </c>
      <c r="L468" s="59">
        <v>21125</v>
      </c>
      <c r="M468" s="59">
        <v>19299.130628119805</v>
      </c>
      <c r="N468" s="59">
        <v>477561201</v>
      </c>
      <c r="O468" s="59">
        <v>913.56831375715058</v>
      </c>
    </row>
    <row r="469" spans="1:15" x14ac:dyDescent="0.35">
      <c r="B469" t="s">
        <v>1352</v>
      </c>
      <c r="D469" s="59">
        <v>50</v>
      </c>
      <c r="E469" s="59"/>
      <c r="F469" s="59">
        <v>44.423167257950141</v>
      </c>
      <c r="G469" s="59"/>
      <c r="H469" s="59">
        <v>1119765.1185902073</v>
      </c>
      <c r="I469" s="59"/>
      <c r="J469" s="59">
        <v>888.46334515900287</v>
      </c>
      <c r="K469" s="59">
        <v>0</v>
      </c>
      <c r="L469" s="59">
        <v>50</v>
      </c>
      <c r="M469" s="59">
        <v>44.423167257950141</v>
      </c>
      <c r="N469" s="59">
        <v>1119765.1185902073</v>
      </c>
      <c r="O469" s="59">
        <v>888.46334515900287</v>
      </c>
    </row>
    <row r="470" spans="1:15" x14ac:dyDescent="0.35">
      <c r="C470" t="s">
        <v>1172</v>
      </c>
      <c r="D470" s="59">
        <v>50</v>
      </c>
      <c r="E470" s="59"/>
      <c r="F470" s="59">
        <v>44.423167257950141</v>
      </c>
      <c r="G470" s="59"/>
      <c r="H470" s="59">
        <v>1119765.1185902073</v>
      </c>
      <c r="I470" s="59"/>
      <c r="J470" s="59">
        <v>888.46334515900287</v>
      </c>
      <c r="K470" s="59">
        <v>0</v>
      </c>
      <c r="L470" s="59">
        <v>50</v>
      </c>
      <c r="M470" s="59">
        <v>44.423167257950141</v>
      </c>
      <c r="N470" s="59">
        <v>1119765.1185902073</v>
      </c>
      <c r="O470" s="59">
        <v>888.46334515900287</v>
      </c>
    </row>
    <row r="471" spans="1:15" x14ac:dyDescent="0.35">
      <c r="B471" t="s">
        <v>1353</v>
      </c>
      <c r="D471" s="59"/>
      <c r="E471" s="59">
        <v>74005</v>
      </c>
      <c r="F471" s="59"/>
      <c r="G471" s="59">
        <v>55488.718674314521</v>
      </c>
      <c r="H471" s="59"/>
      <c r="I471" s="59">
        <v>1433901293</v>
      </c>
      <c r="J471" s="59">
        <v>0</v>
      </c>
      <c r="K471" s="59">
        <v>749.79688770102723</v>
      </c>
      <c r="L471" s="59">
        <v>74005</v>
      </c>
      <c r="M471" s="59">
        <v>55488.718674314521</v>
      </c>
      <c r="N471" s="59">
        <v>1433901293</v>
      </c>
      <c r="O471" s="59">
        <v>749.79688770102723</v>
      </c>
    </row>
    <row r="472" spans="1:15" x14ac:dyDescent="0.35">
      <c r="C472" t="s">
        <v>62</v>
      </c>
      <c r="D472" s="59"/>
      <c r="E472" s="59">
        <v>74000</v>
      </c>
      <c r="F472" s="59"/>
      <c r="G472" s="59">
        <v>55484.563897900138</v>
      </c>
      <c r="H472" s="59"/>
      <c r="I472" s="59">
        <v>1433796293</v>
      </c>
      <c r="J472" s="59">
        <v>0</v>
      </c>
      <c r="K472" s="59">
        <v>749.79140402567759</v>
      </c>
      <c r="L472" s="59">
        <v>74000</v>
      </c>
      <c r="M472" s="59">
        <v>55484.563897900138</v>
      </c>
      <c r="N472" s="59">
        <v>1433796293</v>
      </c>
      <c r="O472" s="59">
        <v>749.79140402567759</v>
      </c>
    </row>
    <row r="473" spans="1:15" x14ac:dyDescent="0.35">
      <c r="C473" t="s">
        <v>72</v>
      </c>
      <c r="D473" s="59"/>
      <c r="E473" s="59">
        <v>5</v>
      </c>
      <c r="F473" s="59"/>
      <c r="G473" s="59">
        <v>4.1547764143844246</v>
      </c>
      <c r="H473" s="59"/>
      <c r="I473" s="59">
        <v>105000</v>
      </c>
      <c r="J473" s="59">
        <v>0</v>
      </c>
      <c r="K473" s="59">
        <v>830.95528287688489</v>
      </c>
      <c r="L473" s="59">
        <v>5</v>
      </c>
      <c r="M473" s="59">
        <v>4.1547764143844246</v>
      </c>
      <c r="N473" s="59">
        <v>105000</v>
      </c>
      <c r="O473" s="59">
        <v>830.95528287688489</v>
      </c>
    </row>
    <row r="474" spans="1:15" x14ac:dyDescent="0.35">
      <c r="B474" t="s">
        <v>1354</v>
      </c>
      <c r="D474" s="59">
        <v>50</v>
      </c>
      <c r="E474" s="59">
        <v>730</v>
      </c>
      <c r="F474" s="59">
        <v>40.883308140290474</v>
      </c>
      <c r="G474" s="59">
        <v>746.8863091337297</v>
      </c>
      <c r="H474" s="59">
        <v>1018250</v>
      </c>
      <c r="I474" s="59">
        <v>18920690.121665467</v>
      </c>
      <c r="J474" s="59">
        <v>817.66616280580945</v>
      </c>
      <c r="K474" s="59">
        <v>1023.1319303201776</v>
      </c>
      <c r="L474" s="59">
        <v>780</v>
      </c>
      <c r="M474" s="59">
        <v>787.76961727402022</v>
      </c>
      <c r="N474" s="59">
        <v>19938940.121665463</v>
      </c>
      <c r="O474" s="59">
        <v>1009.9610477872054</v>
      </c>
    </row>
    <row r="475" spans="1:15" x14ac:dyDescent="0.35">
      <c r="C475" t="s">
        <v>71</v>
      </c>
      <c r="D475" s="59">
        <v>50</v>
      </c>
      <c r="E475" s="59">
        <v>500</v>
      </c>
      <c r="F475" s="59">
        <v>40.883308140290474</v>
      </c>
      <c r="G475" s="59">
        <v>575.0487590744508</v>
      </c>
      <c r="H475" s="59">
        <v>1018250</v>
      </c>
      <c r="I475" s="59">
        <v>14532700.121665465</v>
      </c>
      <c r="J475" s="59">
        <v>817.66616280580945</v>
      </c>
      <c r="K475" s="59">
        <v>1150.0975181489016</v>
      </c>
      <c r="L475" s="59">
        <v>550</v>
      </c>
      <c r="M475" s="59">
        <v>615.93206721474132</v>
      </c>
      <c r="N475" s="59">
        <v>15550950.121665465</v>
      </c>
      <c r="O475" s="59">
        <v>1119.876485844984</v>
      </c>
    </row>
    <row r="476" spans="1:15" x14ac:dyDescent="0.35">
      <c r="C476" t="s">
        <v>70</v>
      </c>
      <c r="D476" s="59"/>
      <c r="E476" s="59">
        <v>100</v>
      </c>
      <c r="F476" s="59"/>
      <c r="G476" s="59">
        <v>74.256220377795145</v>
      </c>
      <c r="H476" s="59"/>
      <c r="I476" s="59">
        <v>1906240.0000000002</v>
      </c>
      <c r="J476" s="59">
        <v>0</v>
      </c>
      <c r="K476" s="59">
        <v>742.56220377795148</v>
      </c>
      <c r="L476" s="59">
        <v>100</v>
      </c>
      <c r="M476" s="59">
        <v>74.256220377795145</v>
      </c>
      <c r="N476" s="59">
        <v>1906240.0000000002</v>
      </c>
      <c r="O476" s="59">
        <v>742.56220377795148</v>
      </c>
    </row>
    <row r="477" spans="1:15" x14ac:dyDescent="0.35">
      <c r="C477" t="s">
        <v>69</v>
      </c>
      <c r="D477" s="59"/>
      <c r="E477" s="59">
        <v>100</v>
      </c>
      <c r="F477" s="59"/>
      <c r="G477" s="59">
        <v>77.357979905919521</v>
      </c>
      <c r="H477" s="59"/>
      <c r="I477" s="59">
        <v>1955000</v>
      </c>
      <c r="J477" s="59">
        <v>0</v>
      </c>
      <c r="K477" s="59">
        <v>773.57979905919512</v>
      </c>
      <c r="L477" s="59">
        <v>100</v>
      </c>
      <c r="M477" s="59">
        <v>77.357979905919521</v>
      </c>
      <c r="N477" s="59">
        <v>1955000</v>
      </c>
      <c r="O477" s="59">
        <v>773.57979905919512</v>
      </c>
    </row>
    <row r="478" spans="1:15" x14ac:dyDescent="0.35">
      <c r="C478" t="s">
        <v>72</v>
      </c>
      <c r="D478" s="59"/>
      <c r="E478" s="59">
        <v>30</v>
      </c>
      <c r="F478" s="59"/>
      <c r="G478" s="59">
        <v>20.223349775564269</v>
      </c>
      <c r="H478" s="59"/>
      <c r="I478" s="59">
        <v>526750</v>
      </c>
      <c r="J478" s="59">
        <v>0</v>
      </c>
      <c r="K478" s="59">
        <v>674.11165918547567</v>
      </c>
      <c r="L478" s="59">
        <v>30</v>
      </c>
      <c r="M478" s="59">
        <v>20.223349775564269</v>
      </c>
      <c r="N478" s="59">
        <v>526750</v>
      </c>
      <c r="O478" s="59">
        <v>674.11165918547567</v>
      </c>
    </row>
    <row r="479" spans="1:15" x14ac:dyDescent="0.35">
      <c r="B479" t="s">
        <v>84</v>
      </c>
      <c r="D479" s="59">
        <v>140000</v>
      </c>
      <c r="E479" s="59">
        <v>47350</v>
      </c>
      <c r="F479" s="59">
        <v>120337.40668625457</v>
      </c>
      <c r="G479" s="59">
        <v>31907.765686156465</v>
      </c>
      <c r="H479" s="59">
        <v>2990318255.6127901</v>
      </c>
      <c r="I479" s="59">
        <v>824756826.61437488</v>
      </c>
      <c r="J479" s="59">
        <v>859.55290490181847</v>
      </c>
      <c r="K479" s="59">
        <v>673.87044743730655</v>
      </c>
      <c r="L479" s="59">
        <v>187350</v>
      </c>
      <c r="M479" s="59">
        <v>152245.17237241103</v>
      </c>
      <c r="N479" s="59">
        <v>3815075082.2271643</v>
      </c>
      <c r="O479" s="59">
        <v>812.62435213456649</v>
      </c>
    </row>
    <row r="480" spans="1:15" x14ac:dyDescent="0.35">
      <c r="C480" t="s">
        <v>62</v>
      </c>
      <c r="D480" s="59">
        <v>110000</v>
      </c>
      <c r="E480" s="59">
        <v>35250</v>
      </c>
      <c r="F480" s="59">
        <v>96208.996139091891</v>
      </c>
      <c r="G480" s="59">
        <v>24480.750804942683</v>
      </c>
      <c r="H480" s="59">
        <v>2401026223.0078325</v>
      </c>
      <c r="I480" s="59">
        <v>630954212.19018769</v>
      </c>
      <c r="J480" s="59">
        <v>874.62723762810811</v>
      </c>
      <c r="K480" s="59">
        <v>694.48938453738106</v>
      </c>
      <c r="L480" s="59">
        <v>145250</v>
      </c>
      <c r="M480" s="59">
        <v>120689.74694403457</v>
      </c>
      <c r="N480" s="59">
        <v>3031980435.19802</v>
      </c>
      <c r="O480" s="59">
        <v>830.91047810006592</v>
      </c>
    </row>
    <row r="481" spans="2:15" x14ac:dyDescent="0.35">
      <c r="C481" t="s">
        <v>1256</v>
      </c>
      <c r="D481" s="59">
        <v>30000</v>
      </c>
      <c r="E481" s="59"/>
      <c r="F481" s="59">
        <v>24128.410547162686</v>
      </c>
      <c r="G481" s="59"/>
      <c r="H481" s="59">
        <v>589292032.60495734</v>
      </c>
      <c r="I481" s="59"/>
      <c r="J481" s="59">
        <v>804.28035157208956</v>
      </c>
      <c r="K481" s="59">
        <v>0</v>
      </c>
      <c r="L481" s="59">
        <v>30000</v>
      </c>
      <c r="M481" s="59">
        <v>24128.410547162686</v>
      </c>
      <c r="N481" s="59">
        <v>589292032.60495734</v>
      </c>
      <c r="O481" s="59">
        <v>804.28035157208956</v>
      </c>
    </row>
    <row r="482" spans="2:15" x14ac:dyDescent="0.35">
      <c r="C482" t="s">
        <v>65</v>
      </c>
      <c r="D482" s="59"/>
      <c r="E482" s="59">
        <v>12000</v>
      </c>
      <c r="F482" s="59"/>
      <c r="G482" s="59">
        <v>7348.2430798670648</v>
      </c>
      <c r="H482" s="59"/>
      <c r="I482" s="59">
        <v>191780454.42418712</v>
      </c>
      <c r="J482" s="59">
        <v>0</v>
      </c>
      <c r="K482" s="59">
        <v>612.35358998892207</v>
      </c>
      <c r="L482" s="59">
        <v>12000</v>
      </c>
      <c r="M482" s="59">
        <v>7348.2430798670648</v>
      </c>
      <c r="N482" s="59">
        <v>191780454.42418712</v>
      </c>
      <c r="O482" s="59">
        <v>612.35358998892207</v>
      </c>
    </row>
    <row r="483" spans="2:15" x14ac:dyDescent="0.35">
      <c r="C483" t="s">
        <v>70</v>
      </c>
      <c r="D483" s="59"/>
      <c r="E483" s="59">
        <v>100</v>
      </c>
      <c r="F483" s="59"/>
      <c r="G483" s="59">
        <v>78.771801346715108</v>
      </c>
      <c r="H483" s="59"/>
      <c r="I483" s="59">
        <v>2022159.9999999998</v>
      </c>
      <c r="J483" s="59">
        <v>0</v>
      </c>
      <c r="K483" s="59">
        <v>787.71801346715108</v>
      </c>
      <c r="L483" s="59">
        <v>100</v>
      </c>
      <c r="M483" s="59">
        <v>78.771801346715108</v>
      </c>
      <c r="N483" s="59">
        <v>2022159.9999999998</v>
      </c>
      <c r="O483" s="59">
        <v>787.71801346715108</v>
      </c>
    </row>
    <row r="484" spans="2:15" x14ac:dyDescent="0.35">
      <c r="B484" t="s">
        <v>85</v>
      </c>
      <c r="D484" s="59"/>
      <c r="E484" s="59">
        <v>100</v>
      </c>
      <c r="F484" s="59"/>
      <c r="G484" s="59">
        <v>78.771801346715108</v>
      </c>
      <c r="H484" s="59"/>
      <c r="I484" s="59">
        <v>2022159.9999999998</v>
      </c>
      <c r="J484" s="59">
        <v>0</v>
      </c>
      <c r="K484" s="59">
        <v>787.71801346715108</v>
      </c>
      <c r="L484" s="59">
        <v>100</v>
      </c>
      <c r="M484" s="59">
        <v>78.771801346715108</v>
      </c>
      <c r="N484" s="59">
        <v>2022159.9999999998</v>
      </c>
      <c r="O484" s="59">
        <v>787.71801346715108</v>
      </c>
    </row>
    <row r="485" spans="2:15" x14ac:dyDescent="0.35">
      <c r="C485" t="s">
        <v>70</v>
      </c>
      <c r="D485" s="59"/>
      <c r="E485" s="59">
        <v>100</v>
      </c>
      <c r="F485" s="59"/>
      <c r="G485" s="59">
        <v>78.771801346715108</v>
      </c>
      <c r="H485" s="59"/>
      <c r="I485" s="59">
        <v>2022159.9999999998</v>
      </c>
      <c r="J485" s="59">
        <v>0</v>
      </c>
      <c r="K485" s="59">
        <v>787.71801346715108</v>
      </c>
      <c r="L485" s="59">
        <v>100</v>
      </c>
      <c r="M485" s="59">
        <v>78.771801346715108</v>
      </c>
      <c r="N485" s="59">
        <v>2022159.9999999998</v>
      </c>
      <c r="O485" s="59">
        <v>787.71801346715108</v>
      </c>
    </row>
    <row r="486" spans="2:15" x14ac:dyDescent="0.35">
      <c r="B486" t="s">
        <v>1355</v>
      </c>
      <c r="D486" s="59">
        <v>14000</v>
      </c>
      <c r="E486" s="59">
        <v>5</v>
      </c>
      <c r="F486" s="59">
        <v>14002.846517150367</v>
      </c>
      <c r="G486" s="59">
        <v>4.1547764143844246</v>
      </c>
      <c r="H486" s="59">
        <v>346500000</v>
      </c>
      <c r="I486" s="59">
        <v>105000</v>
      </c>
      <c r="J486" s="59">
        <v>1000.2033226535975</v>
      </c>
      <c r="K486" s="59">
        <v>830.95528287688489</v>
      </c>
      <c r="L486" s="59">
        <v>14005</v>
      </c>
      <c r="M486" s="59">
        <v>14007.001293564752</v>
      </c>
      <c r="N486" s="59">
        <v>346605000</v>
      </c>
      <c r="O486" s="59">
        <v>1000.142898505159</v>
      </c>
    </row>
    <row r="487" spans="2:15" x14ac:dyDescent="0.35">
      <c r="C487" t="s">
        <v>63</v>
      </c>
      <c r="D487" s="59">
        <v>14000</v>
      </c>
      <c r="E487" s="59"/>
      <c r="F487" s="59">
        <v>14002.846517150367</v>
      </c>
      <c r="G487" s="59"/>
      <c r="H487" s="59">
        <v>346500000</v>
      </c>
      <c r="I487" s="59"/>
      <c r="J487" s="59">
        <v>1000.2033226535975</v>
      </c>
      <c r="K487" s="59">
        <v>0</v>
      </c>
      <c r="L487" s="59">
        <v>14000</v>
      </c>
      <c r="M487" s="59">
        <v>14002.846517150367</v>
      </c>
      <c r="N487" s="59">
        <v>346500000</v>
      </c>
      <c r="O487" s="59">
        <v>1000.2033226535975</v>
      </c>
    </row>
    <row r="488" spans="2:15" x14ac:dyDescent="0.35">
      <c r="C488" t="s">
        <v>72</v>
      </c>
      <c r="D488" s="59"/>
      <c r="E488" s="59">
        <v>5</v>
      </c>
      <c r="F488" s="59"/>
      <c r="G488" s="59">
        <v>4.1547764143844246</v>
      </c>
      <c r="H488" s="59"/>
      <c r="I488" s="59">
        <v>105000</v>
      </c>
      <c r="J488" s="59">
        <v>0</v>
      </c>
      <c r="K488" s="59">
        <v>830.95528287688489</v>
      </c>
      <c r="L488" s="59">
        <v>5</v>
      </c>
      <c r="M488" s="59">
        <v>4.1547764143844246</v>
      </c>
      <c r="N488" s="59">
        <v>105000</v>
      </c>
      <c r="O488" s="59">
        <v>830.95528287688489</v>
      </c>
    </row>
    <row r="489" spans="2:15" x14ac:dyDescent="0.35">
      <c r="B489" t="s">
        <v>1356</v>
      </c>
      <c r="D489" s="59">
        <v>325</v>
      </c>
      <c r="E489" s="59"/>
      <c r="F489" s="59">
        <v>315.77470587934005</v>
      </c>
      <c r="G489" s="59"/>
      <c r="H489" s="59">
        <v>7935840</v>
      </c>
      <c r="I489" s="59"/>
      <c r="J489" s="59">
        <v>971.61447962873854</v>
      </c>
      <c r="K489" s="59">
        <v>0</v>
      </c>
      <c r="L489" s="59">
        <v>325</v>
      </c>
      <c r="M489" s="59">
        <v>315.77470587934005</v>
      </c>
      <c r="N489" s="59">
        <v>7935840</v>
      </c>
      <c r="O489" s="59">
        <v>971.61447962873854</v>
      </c>
    </row>
    <row r="490" spans="2:15" x14ac:dyDescent="0.35">
      <c r="C490" t="s">
        <v>47</v>
      </c>
      <c r="D490" s="59">
        <v>300</v>
      </c>
      <c r="E490" s="59"/>
      <c r="F490" s="59">
        <v>290.52535727267826</v>
      </c>
      <c r="G490" s="59"/>
      <c r="H490" s="59">
        <v>7317590</v>
      </c>
      <c r="I490" s="59"/>
      <c r="J490" s="59">
        <v>968.41785757559421</v>
      </c>
      <c r="K490" s="59">
        <v>0</v>
      </c>
      <c r="L490" s="59">
        <v>300</v>
      </c>
      <c r="M490" s="59">
        <v>290.52535727267826</v>
      </c>
      <c r="N490" s="59">
        <v>7317590</v>
      </c>
      <c r="O490" s="59">
        <v>968.41785757559421</v>
      </c>
    </row>
    <row r="491" spans="2:15" x14ac:dyDescent="0.35">
      <c r="C491" t="s">
        <v>1197</v>
      </c>
      <c r="D491" s="59">
        <v>25</v>
      </c>
      <c r="E491" s="59"/>
      <c r="F491" s="59">
        <v>25.249348606661808</v>
      </c>
      <c r="G491" s="59"/>
      <c r="H491" s="59">
        <v>618250</v>
      </c>
      <c r="I491" s="59"/>
      <c r="J491" s="59">
        <v>1009.9739442664724</v>
      </c>
      <c r="K491" s="59">
        <v>0</v>
      </c>
      <c r="L491" s="59">
        <v>25</v>
      </c>
      <c r="M491" s="59">
        <v>25.249348606661808</v>
      </c>
      <c r="N491" s="59">
        <v>618250</v>
      </c>
      <c r="O491" s="59">
        <v>1009.9739442664724</v>
      </c>
    </row>
    <row r="492" spans="2:15" x14ac:dyDescent="0.35">
      <c r="B492" t="s">
        <v>1357</v>
      </c>
      <c r="D492" s="59"/>
      <c r="E492" s="59">
        <v>50</v>
      </c>
      <c r="F492" s="59"/>
      <c r="G492" s="59">
        <v>52.562425186186012</v>
      </c>
      <c r="H492" s="59"/>
      <c r="I492" s="59">
        <v>1336136.8482328483</v>
      </c>
      <c r="J492" s="59">
        <v>0</v>
      </c>
      <c r="K492" s="59">
        <v>1051.2485037237202</v>
      </c>
      <c r="L492" s="59">
        <v>50</v>
      </c>
      <c r="M492" s="59">
        <v>52.562425186186012</v>
      </c>
      <c r="N492" s="59">
        <v>1336136.8482328483</v>
      </c>
      <c r="O492" s="59">
        <v>1051.2485037237202</v>
      </c>
    </row>
    <row r="493" spans="2:15" x14ac:dyDescent="0.35">
      <c r="C493" t="s">
        <v>64</v>
      </c>
      <c r="D493" s="59"/>
      <c r="E493" s="59">
        <v>50</v>
      </c>
      <c r="F493" s="59"/>
      <c r="G493" s="59">
        <v>52.562425186186012</v>
      </c>
      <c r="H493" s="59"/>
      <c r="I493" s="59">
        <v>1336136.8482328483</v>
      </c>
      <c r="J493" s="59">
        <v>0</v>
      </c>
      <c r="K493" s="59">
        <v>1051.2485037237202</v>
      </c>
      <c r="L493" s="59">
        <v>50</v>
      </c>
      <c r="M493" s="59">
        <v>52.562425186186012</v>
      </c>
      <c r="N493" s="59">
        <v>1336136.8482328483</v>
      </c>
      <c r="O493" s="59">
        <v>1051.2485037237202</v>
      </c>
    </row>
    <row r="494" spans="2:15" x14ac:dyDescent="0.35">
      <c r="B494" t="s">
        <v>1358</v>
      </c>
      <c r="D494" s="59">
        <v>33150</v>
      </c>
      <c r="E494" s="59">
        <v>67000</v>
      </c>
      <c r="F494" s="59">
        <v>35697.178649623311</v>
      </c>
      <c r="G494" s="59">
        <v>70516.379284494949</v>
      </c>
      <c r="H494" s="59">
        <v>894032572.17866683</v>
      </c>
      <c r="I494" s="59">
        <v>1821824280.8284824</v>
      </c>
      <c r="J494" s="59">
        <v>1076.8379683144287</v>
      </c>
      <c r="K494" s="59">
        <v>1052.4832729029097</v>
      </c>
      <c r="L494" s="59">
        <v>100150</v>
      </c>
      <c r="M494" s="59">
        <v>106213.55793411826</v>
      </c>
      <c r="N494" s="59">
        <v>2715856853.0071492</v>
      </c>
      <c r="O494" s="59">
        <v>1060.5447621978858</v>
      </c>
    </row>
    <row r="495" spans="2:15" x14ac:dyDescent="0.35">
      <c r="C495" t="s">
        <v>64</v>
      </c>
      <c r="D495" s="59">
        <v>33150</v>
      </c>
      <c r="E495" s="59">
        <v>67000</v>
      </c>
      <c r="F495" s="59">
        <v>35697.178649623311</v>
      </c>
      <c r="G495" s="59">
        <v>70516.379284494949</v>
      </c>
      <c r="H495" s="59">
        <v>894032572.17866683</v>
      </c>
      <c r="I495" s="59">
        <v>1821824280.8284824</v>
      </c>
      <c r="J495" s="59">
        <v>1076.8379683144287</v>
      </c>
      <c r="K495" s="59">
        <v>1052.4832729029097</v>
      </c>
      <c r="L495" s="59">
        <v>100150</v>
      </c>
      <c r="M495" s="59">
        <v>106213.55793411826</v>
      </c>
      <c r="N495" s="59">
        <v>2715856853.0071492</v>
      </c>
      <c r="O495" s="59">
        <v>1060.5447621978858</v>
      </c>
    </row>
    <row r="496" spans="2:15" x14ac:dyDescent="0.35">
      <c r="B496" t="s">
        <v>1359</v>
      </c>
      <c r="D496" s="59">
        <v>15850</v>
      </c>
      <c r="E496" s="59">
        <v>29080</v>
      </c>
      <c r="F496" s="59">
        <v>17075.462539441549</v>
      </c>
      <c r="G496" s="59">
        <v>30590.610427447675</v>
      </c>
      <c r="H496" s="59">
        <v>429042341.82133341</v>
      </c>
      <c r="I496" s="59">
        <v>793275735.32328486</v>
      </c>
      <c r="J496" s="59">
        <v>1077.3162485452081</v>
      </c>
      <c r="K496" s="59">
        <v>1051.9467134610618</v>
      </c>
      <c r="L496" s="59">
        <v>44930</v>
      </c>
      <c r="M496" s="59">
        <v>47666.072966889224</v>
      </c>
      <c r="N496" s="59">
        <v>1222318077.1446183</v>
      </c>
      <c r="O496" s="59">
        <v>1060.896349140646</v>
      </c>
    </row>
    <row r="497" spans="1:15" x14ac:dyDescent="0.35">
      <c r="C497" t="s">
        <v>64</v>
      </c>
      <c r="D497" s="59">
        <v>15850</v>
      </c>
      <c r="E497" s="59">
        <v>29000</v>
      </c>
      <c r="F497" s="59">
        <v>17075.462539441549</v>
      </c>
      <c r="G497" s="59">
        <v>30505.82163556173</v>
      </c>
      <c r="H497" s="59">
        <v>429042341.82133341</v>
      </c>
      <c r="I497" s="59">
        <v>791107319.32328486</v>
      </c>
      <c r="J497" s="59">
        <v>1077.3162485452081</v>
      </c>
      <c r="K497" s="59">
        <v>1051.9248839848872</v>
      </c>
      <c r="L497" s="59">
        <v>44850</v>
      </c>
      <c r="M497" s="59">
        <v>47581.284175003282</v>
      </c>
      <c r="N497" s="59">
        <v>1220149661.1446183</v>
      </c>
      <c r="O497" s="59">
        <v>1060.8981978819015</v>
      </c>
    </row>
    <row r="498" spans="1:15" x14ac:dyDescent="0.35">
      <c r="C498" t="s">
        <v>68</v>
      </c>
      <c r="D498" s="59"/>
      <c r="E498" s="59">
        <v>50</v>
      </c>
      <c r="F498" s="59"/>
      <c r="G498" s="59">
        <v>53.327544511103703</v>
      </c>
      <c r="H498" s="59"/>
      <c r="I498" s="59">
        <v>1347700</v>
      </c>
      <c r="J498" s="59">
        <v>0</v>
      </c>
      <c r="K498" s="59">
        <v>1066.5508902220743</v>
      </c>
      <c r="L498" s="59">
        <v>50</v>
      </c>
      <c r="M498" s="59">
        <v>53.327544511103703</v>
      </c>
      <c r="N498" s="59">
        <v>1347700</v>
      </c>
      <c r="O498" s="59">
        <v>1066.5508902220743</v>
      </c>
    </row>
    <row r="499" spans="1:15" x14ac:dyDescent="0.35">
      <c r="C499" t="s">
        <v>47</v>
      </c>
      <c r="D499" s="59"/>
      <c r="E499" s="59">
        <v>25</v>
      </c>
      <c r="F499" s="59"/>
      <c r="G499" s="59">
        <v>27.30647096045675</v>
      </c>
      <c r="H499" s="59"/>
      <c r="I499" s="59">
        <v>715716</v>
      </c>
      <c r="J499" s="59">
        <v>0</v>
      </c>
      <c r="K499" s="59">
        <v>1092.25883841827</v>
      </c>
      <c r="L499" s="59">
        <v>25</v>
      </c>
      <c r="M499" s="59">
        <v>27.30647096045675</v>
      </c>
      <c r="N499" s="59">
        <v>715716</v>
      </c>
      <c r="O499" s="59">
        <v>1092.25883841827</v>
      </c>
    </row>
    <row r="500" spans="1:15" x14ac:dyDescent="0.35">
      <c r="C500" t="s">
        <v>72</v>
      </c>
      <c r="D500" s="59"/>
      <c r="E500" s="59">
        <v>5</v>
      </c>
      <c r="F500" s="59"/>
      <c r="G500" s="59">
        <v>4.1547764143844246</v>
      </c>
      <c r="H500" s="59"/>
      <c r="I500" s="59">
        <v>105000</v>
      </c>
      <c r="J500" s="59">
        <v>0</v>
      </c>
      <c r="K500" s="59">
        <v>830.95528287688489</v>
      </c>
      <c r="L500" s="59">
        <v>5</v>
      </c>
      <c r="M500" s="59">
        <v>4.1547764143844246</v>
      </c>
      <c r="N500" s="59">
        <v>105000</v>
      </c>
      <c r="O500" s="59">
        <v>830.95528287688489</v>
      </c>
    </row>
    <row r="501" spans="1:15" x14ac:dyDescent="0.35">
      <c r="B501" t="s">
        <v>1360</v>
      </c>
      <c r="D501" s="59">
        <v>38525</v>
      </c>
      <c r="E501" s="59">
        <v>155</v>
      </c>
      <c r="F501" s="59">
        <v>34203.228251491426</v>
      </c>
      <c r="G501" s="59">
        <v>152.76819946206305</v>
      </c>
      <c r="H501" s="59">
        <v>855415736</v>
      </c>
      <c r="I501" s="59">
        <v>3977000</v>
      </c>
      <c r="J501" s="59">
        <v>887.81903313410578</v>
      </c>
      <c r="K501" s="59">
        <v>985.6012868520196</v>
      </c>
      <c r="L501" s="59">
        <v>38680</v>
      </c>
      <c r="M501" s="59">
        <v>34355.996450953491</v>
      </c>
      <c r="N501" s="59">
        <v>859392736</v>
      </c>
      <c r="O501" s="59">
        <v>888.21086998328565</v>
      </c>
    </row>
    <row r="502" spans="1:15" x14ac:dyDescent="0.35">
      <c r="C502" t="s">
        <v>47</v>
      </c>
      <c r="D502" s="59">
        <v>38500</v>
      </c>
      <c r="E502" s="59"/>
      <c r="F502" s="59">
        <v>34180.458667900399</v>
      </c>
      <c r="G502" s="59"/>
      <c r="H502" s="59">
        <v>854851536</v>
      </c>
      <c r="I502" s="59"/>
      <c r="J502" s="59">
        <v>887.80412124416614</v>
      </c>
      <c r="K502" s="59">
        <v>0</v>
      </c>
      <c r="L502" s="59">
        <v>38500</v>
      </c>
      <c r="M502" s="59">
        <v>34180.458667900399</v>
      </c>
      <c r="N502" s="59">
        <v>854851536</v>
      </c>
      <c r="O502" s="59">
        <v>887.80412124416614</v>
      </c>
    </row>
    <row r="503" spans="1:15" x14ac:dyDescent="0.35">
      <c r="C503" t="s">
        <v>66</v>
      </c>
      <c r="D503" s="59"/>
      <c r="E503" s="59">
        <v>100</v>
      </c>
      <c r="F503" s="59"/>
      <c r="G503" s="59">
        <v>80.806347209451275</v>
      </c>
      <c r="H503" s="59"/>
      <c r="I503" s="59">
        <v>2100000</v>
      </c>
      <c r="J503" s="59">
        <v>0</v>
      </c>
      <c r="K503" s="59">
        <v>808.0634720945128</v>
      </c>
      <c r="L503" s="59">
        <v>100</v>
      </c>
      <c r="M503" s="59">
        <v>80.806347209451275</v>
      </c>
      <c r="N503" s="59">
        <v>2100000</v>
      </c>
      <c r="O503" s="59">
        <v>808.0634720945128</v>
      </c>
    </row>
    <row r="504" spans="1:15" x14ac:dyDescent="0.35">
      <c r="C504" t="s">
        <v>67</v>
      </c>
      <c r="D504" s="59"/>
      <c r="E504" s="59">
        <v>50</v>
      </c>
      <c r="F504" s="59"/>
      <c r="G504" s="59">
        <v>67.807075838227348</v>
      </c>
      <c r="H504" s="59"/>
      <c r="I504" s="59">
        <v>1772000</v>
      </c>
      <c r="J504" s="59">
        <v>0</v>
      </c>
      <c r="K504" s="59">
        <v>1356.1415167645471</v>
      </c>
      <c r="L504" s="59">
        <v>50</v>
      </c>
      <c r="M504" s="59">
        <v>67.807075838227348</v>
      </c>
      <c r="N504" s="59">
        <v>1772000</v>
      </c>
      <c r="O504" s="59">
        <v>1356.1415167645471</v>
      </c>
    </row>
    <row r="505" spans="1:15" x14ac:dyDescent="0.35">
      <c r="C505" t="s">
        <v>1361</v>
      </c>
      <c r="D505" s="59">
        <v>25</v>
      </c>
      <c r="E505" s="59"/>
      <c r="F505" s="59">
        <v>22.76958359102748</v>
      </c>
      <c r="G505" s="59"/>
      <c r="H505" s="59">
        <v>564200</v>
      </c>
      <c r="I505" s="59"/>
      <c r="J505" s="59">
        <v>910.78334364109924</v>
      </c>
      <c r="K505" s="59">
        <v>0</v>
      </c>
      <c r="L505" s="59">
        <v>25</v>
      </c>
      <c r="M505" s="59">
        <v>22.76958359102748</v>
      </c>
      <c r="N505" s="59">
        <v>564200</v>
      </c>
      <c r="O505" s="59">
        <v>910.78334364109924</v>
      </c>
    </row>
    <row r="506" spans="1:15" x14ac:dyDescent="0.35">
      <c r="C506" t="s">
        <v>72</v>
      </c>
      <c r="D506" s="59"/>
      <c r="E506" s="59">
        <v>5</v>
      </c>
      <c r="F506" s="59"/>
      <c r="G506" s="59">
        <v>4.1547764143844246</v>
      </c>
      <c r="H506" s="59"/>
      <c r="I506" s="59">
        <v>105000</v>
      </c>
      <c r="J506" s="59">
        <v>0</v>
      </c>
      <c r="K506" s="59">
        <v>830.95528287688489</v>
      </c>
      <c r="L506" s="59">
        <v>5</v>
      </c>
      <c r="M506" s="59">
        <v>4.1547764143844246</v>
      </c>
      <c r="N506" s="59">
        <v>105000</v>
      </c>
      <c r="O506" s="59">
        <v>830.95528287688489</v>
      </c>
    </row>
    <row r="507" spans="1:15" x14ac:dyDescent="0.35">
      <c r="B507" t="s">
        <v>1362</v>
      </c>
      <c r="D507" s="59"/>
      <c r="E507" s="59">
        <v>5000</v>
      </c>
      <c r="F507" s="59"/>
      <c r="G507" s="59">
        <v>3815.2662453342873</v>
      </c>
      <c r="H507" s="59"/>
      <c r="I507" s="59">
        <v>100000000</v>
      </c>
      <c r="J507" s="59">
        <v>0</v>
      </c>
      <c r="K507" s="59">
        <v>763.05324906685746</v>
      </c>
      <c r="L507" s="59">
        <v>5000</v>
      </c>
      <c r="M507" s="59">
        <v>3815.2662453342873</v>
      </c>
      <c r="N507" s="59">
        <v>100000000</v>
      </c>
      <c r="O507" s="59">
        <v>763.05324906685746</v>
      </c>
    </row>
    <row r="508" spans="1:15" x14ac:dyDescent="0.35">
      <c r="C508" t="s">
        <v>63</v>
      </c>
      <c r="D508" s="59"/>
      <c r="E508" s="59">
        <v>5000</v>
      </c>
      <c r="F508" s="59"/>
      <c r="G508" s="59">
        <v>3815.2662453342873</v>
      </c>
      <c r="H508" s="59"/>
      <c r="I508" s="59">
        <v>100000000</v>
      </c>
      <c r="J508" s="59">
        <v>0</v>
      </c>
      <c r="K508" s="59">
        <v>763.05324906685746</v>
      </c>
      <c r="L508" s="59">
        <v>5000</v>
      </c>
      <c r="M508" s="59">
        <v>3815.2662453342873</v>
      </c>
      <c r="N508" s="59">
        <v>100000000</v>
      </c>
      <c r="O508" s="59">
        <v>763.05324906685746</v>
      </c>
    </row>
    <row r="509" spans="1:15" x14ac:dyDescent="0.35">
      <c r="A509" t="s">
        <v>1363</v>
      </c>
      <c r="D509" s="59">
        <v>451526</v>
      </c>
      <c r="E509" s="59"/>
      <c r="F509" s="59">
        <v>64461.410369942496</v>
      </c>
      <c r="G509" s="59"/>
      <c r="H509" s="59">
        <v>1577714327</v>
      </c>
      <c r="I509" s="59"/>
      <c r="J509" s="59">
        <v>142.76345187196861</v>
      </c>
      <c r="K509" s="59">
        <v>0</v>
      </c>
      <c r="L509" s="59">
        <v>451526</v>
      </c>
      <c r="M509" s="59">
        <v>64461.410369942496</v>
      </c>
      <c r="N509" s="59">
        <v>1577714327</v>
      </c>
      <c r="O509" s="59">
        <v>142.76345187196858</v>
      </c>
    </row>
    <row r="510" spans="1:15" x14ac:dyDescent="0.35">
      <c r="B510" t="s">
        <v>1364</v>
      </c>
      <c r="D510" s="59">
        <v>11150</v>
      </c>
      <c r="E510" s="59"/>
      <c r="F510" s="59">
        <v>3110.5552916371598</v>
      </c>
      <c r="G510" s="59"/>
      <c r="H510" s="59">
        <v>75820000</v>
      </c>
      <c r="I510" s="59"/>
      <c r="J510" s="59">
        <v>278.97356875669595</v>
      </c>
      <c r="K510" s="59">
        <v>0</v>
      </c>
      <c r="L510" s="59">
        <v>11150</v>
      </c>
      <c r="M510" s="59">
        <v>3110.5552916371598</v>
      </c>
      <c r="N510" s="59">
        <v>75820000</v>
      </c>
      <c r="O510" s="59">
        <v>278.97356875669595</v>
      </c>
    </row>
    <row r="511" spans="1:15" x14ac:dyDescent="0.35">
      <c r="C511" t="s">
        <v>1326</v>
      </c>
      <c r="D511" s="59">
        <v>11150</v>
      </c>
      <c r="E511" s="59"/>
      <c r="F511" s="59">
        <v>3110.5552916371598</v>
      </c>
      <c r="G511" s="59"/>
      <c r="H511" s="59">
        <v>75820000</v>
      </c>
      <c r="I511" s="59"/>
      <c r="J511" s="59">
        <v>278.97356875669595</v>
      </c>
      <c r="K511" s="59">
        <v>0</v>
      </c>
      <c r="L511" s="59">
        <v>11150</v>
      </c>
      <c r="M511" s="59">
        <v>3110.5552916371598</v>
      </c>
      <c r="N511" s="59">
        <v>75820000</v>
      </c>
      <c r="O511" s="59">
        <v>278.97356875669595</v>
      </c>
    </row>
    <row r="512" spans="1:15" x14ac:dyDescent="0.35">
      <c r="B512" t="s">
        <v>1365</v>
      </c>
      <c r="D512" s="59">
        <v>39750</v>
      </c>
      <c r="E512" s="59"/>
      <c r="F512" s="59">
        <v>5208.8241900010826</v>
      </c>
      <c r="G512" s="59"/>
      <c r="H512" s="59">
        <v>127200000</v>
      </c>
      <c r="I512" s="59"/>
      <c r="J512" s="59">
        <v>131.03960226417817</v>
      </c>
      <c r="K512" s="59">
        <v>0</v>
      </c>
      <c r="L512" s="59">
        <v>39750</v>
      </c>
      <c r="M512" s="59">
        <v>5208.8241900010826</v>
      </c>
      <c r="N512" s="59">
        <v>127200000</v>
      </c>
      <c r="O512" s="59">
        <v>131.03960226417817</v>
      </c>
    </row>
    <row r="513" spans="2:15" x14ac:dyDescent="0.35">
      <c r="C513" t="s">
        <v>1326</v>
      </c>
      <c r="D513" s="59">
        <v>39750</v>
      </c>
      <c r="E513" s="59"/>
      <c r="F513" s="59">
        <v>5208.8241900010826</v>
      </c>
      <c r="G513" s="59"/>
      <c r="H513" s="59">
        <v>127200000</v>
      </c>
      <c r="I513" s="59"/>
      <c r="J513" s="59">
        <v>131.03960226417817</v>
      </c>
      <c r="K513" s="59">
        <v>0</v>
      </c>
      <c r="L513" s="59">
        <v>39750</v>
      </c>
      <c r="M513" s="59">
        <v>5208.8241900010826</v>
      </c>
      <c r="N513" s="59">
        <v>127200000</v>
      </c>
      <c r="O513" s="59">
        <v>131.03960226417817</v>
      </c>
    </row>
    <row r="514" spans="2:15" x14ac:dyDescent="0.35">
      <c r="B514" t="s">
        <v>1366</v>
      </c>
      <c r="D514" s="59">
        <v>53000</v>
      </c>
      <c r="E514" s="59"/>
      <c r="F514" s="59">
        <v>6949.9102033723511</v>
      </c>
      <c r="G514" s="59"/>
      <c r="H514" s="59">
        <v>169600000</v>
      </c>
      <c r="I514" s="59"/>
      <c r="J514" s="59">
        <v>131.13038119570476</v>
      </c>
      <c r="K514" s="59">
        <v>0</v>
      </c>
      <c r="L514" s="59">
        <v>53000</v>
      </c>
      <c r="M514" s="59">
        <v>6949.9102033723511</v>
      </c>
      <c r="N514" s="59">
        <v>169600000</v>
      </c>
      <c r="O514" s="59">
        <v>131.13038119570476</v>
      </c>
    </row>
    <row r="515" spans="2:15" x14ac:dyDescent="0.35">
      <c r="C515" t="s">
        <v>1326</v>
      </c>
      <c r="D515" s="59">
        <v>53000</v>
      </c>
      <c r="E515" s="59"/>
      <c r="F515" s="59">
        <v>6949.9102033723511</v>
      </c>
      <c r="G515" s="59"/>
      <c r="H515" s="59">
        <v>169600000</v>
      </c>
      <c r="I515" s="59"/>
      <c r="J515" s="59">
        <v>131.13038119570476</v>
      </c>
      <c r="K515" s="59">
        <v>0</v>
      </c>
      <c r="L515" s="59">
        <v>53000</v>
      </c>
      <c r="M515" s="59">
        <v>6949.9102033723511</v>
      </c>
      <c r="N515" s="59">
        <v>169600000</v>
      </c>
      <c r="O515" s="59">
        <v>131.13038119570476</v>
      </c>
    </row>
    <row r="516" spans="2:15" x14ac:dyDescent="0.35">
      <c r="B516" t="s">
        <v>1367</v>
      </c>
      <c r="D516" s="59">
        <v>15750</v>
      </c>
      <c r="E516" s="59"/>
      <c r="F516" s="59">
        <v>2064.4789285376501</v>
      </c>
      <c r="G516" s="59"/>
      <c r="H516" s="59">
        <v>50400000</v>
      </c>
      <c r="I516" s="59"/>
      <c r="J516" s="59">
        <v>131.07802720873968</v>
      </c>
      <c r="K516" s="59">
        <v>0</v>
      </c>
      <c r="L516" s="59">
        <v>15750</v>
      </c>
      <c r="M516" s="59">
        <v>2064.4789285376501</v>
      </c>
      <c r="N516" s="59">
        <v>50400000</v>
      </c>
      <c r="O516" s="59">
        <v>131.07802720873968</v>
      </c>
    </row>
    <row r="517" spans="2:15" x14ac:dyDescent="0.35">
      <c r="C517" t="s">
        <v>1326</v>
      </c>
      <c r="D517" s="59">
        <v>15750</v>
      </c>
      <c r="E517" s="59"/>
      <c r="F517" s="59">
        <v>2064.4789285376501</v>
      </c>
      <c r="G517" s="59"/>
      <c r="H517" s="59">
        <v>50400000</v>
      </c>
      <c r="I517" s="59"/>
      <c r="J517" s="59">
        <v>131.07802720873968</v>
      </c>
      <c r="K517" s="59">
        <v>0</v>
      </c>
      <c r="L517" s="59">
        <v>15750</v>
      </c>
      <c r="M517" s="59">
        <v>2064.4789285376501</v>
      </c>
      <c r="N517" s="59">
        <v>50400000</v>
      </c>
      <c r="O517" s="59">
        <v>131.07802720873968</v>
      </c>
    </row>
    <row r="518" spans="2:15" x14ac:dyDescent="0.35">
      <c r="B518" t="s">
        <v>1368</v>
      </c>
      <c r="D518" s="59">
        <v>35750</v>
      </c>
      <c r="E518" s="59"/>
      <c r="F518" s="59">
        <v>4690.1125168359649</v>
      </c>
      <c r="G518" s="59"/>
      <c r="H518" s="59">
        <v>114400000</v>
      </c>
      <c r="I518" s="59"/>
      <c r="J518" s="59">
        <v>131.1919585128941</v>
      </c>
      <c r="K518" s="59">
        <v>0</v>
      </c>
      <c r="L518" s="59">
        <v>35750</v>
      </c>
      <c r="M518" s="59">
        <v>4690.1125168359649</v>
      </c>
      <c r="N518" s="59">
        <v>114400000</v>
      </c>
      <c r="O518" s="59">
        <v>131.1919585128941</v>
      </c>
    </row>
    <row r="519" spans="2:15" x14ac:dyDescent="0.35">
      <c r="C519" t="s">
        <v>1326</v>
      </c>
      <c r="D519" s="59">
        <v>35750</v>
      </c>
      <c r="E519" s="59"/>
      <c r="F519" s="59">
        <v>4690.1125168359649</v>
      </c>
      <c r="G519" s="59"/>
      <c r="H519" s="59">
        <v>114400000</v>
      </c>
      <c r="I519" s="59"/>
      <c r="J519" s="59">
        <v>131.1919585128941</v>
      </c>
      <c r="K519" s="59">
        <v>0</v>
      </c>
      <c r="L519" s="59">
        <v>35750</v>
      </c>
      <c r="M519" s="59">
        <v>4690.1125168359649</v>
      </c>
      <c r="N519" s="59">
        <v>114400000</v>
      </c>
      <c r="O519" s="59">
        <v>131.1919585128941</v>
      </c>
    </row>
    <row r="520" spans="2:15" x14ac:dyDescent="0.35">
      <c r="B520" t="s">
        <v>1369</v>
      </c>
      <c r="D520" s="59">
        <v>7500</v>
      </c>
      <c r="E520" s="59"/>
      <c r="F520" s="59">
        <v>981.4050733645953</v>
      </c>
      <c r="G520" s="59"/>
      <c r="H520" s="59">
        <v>24000000</v>
      </c>
      <c r="I520" s="59"/>
      <c r="J520" s="59">
        <v>130.85400978194602</v>
      </c>
      <c r="K520" s="59">
        <v>0</v>
      </c>
      <c r="L520" s="59">
        <v>7500</v>
      </c>
      <c r="M520" s="59">
        <v>981.4050733645953</v>
      </c>
      <c r="N520" s="59">
        <v>24000000</v>
      </c>
      <c r="O520" s="59">
        <v>130.85400978194602</v>
      </c>
    </row>
    <row r="521" spans="2:15" x14ac:dyDescent="0.35">
      <c r="C521" t="s">
        <v>1326</v>
      </c>
      <c r="D521" s="59">
        <v>7500</v>
      </c>
      <c r="E521" s="59"/>
      <c r="F521" s="59">
        <v>981.4050733645953</v>
      </c>
      <c r="G521" s="59"/>
      <c r="H521" s="59">
        <v>24000000</v>
      </c>
      <c r="I521" s="59"/>
      <c r="J521" s="59">
        <v>130.85400978194602</v>
      </c>
      <c r="K521" s="59">
        <v>0</v>
      </c>
      <c r="L521" s="59">
        <v>7500</v>
      </c>
      <c r="M521" s="59">
        <v>981.4050733645953</v>
      </c>
      <c r="N521" s="59">
        <v>24000000</v>
      </c>
      <c r="O521" s="59">
        <v>130.85400978194602</v>
      </c>
    </row>
    <row r="522" spans="2:15" x14ac:dyDescent="0.35">
      <c r="B522" t="s">
        <v>1370</v>
      </c>
      <c r="D522" s="59">
        <v>13750</v>
      </c>
      <c r="E522" s="59"/>
      <c r="F522" s="59">
        <v>1775.7208046884246</v>
      </c>
      <c r="G522" s="59"/>
      <c r="H522" s="59">
        <v>44000000</v>
      </c>
      <c r="I522" s="59"/>
      <c r="J522" s="59">
        <v>129.14333125006723</v>
      </c>
      <c r="K522" s="59">
        <v>0</v>
      </c>
      <c r="L522" s="59">
        <v>13750</v>
      </c>
      <c r="M522" s="59">
        <v>1775.7208046884246</v>
      </c>
      <c r="N522" s="59">
        <v>44000000</v>
      </c>
      <c r="O522" s="59">
        <v>129.14333125006723</v>
      </c>
    </row>
    <row r="523" spans="2:15" x14ac:dyDescent="0.35">
      <c r="C523" t="s">
        <v>1326</v>
      </c>
      <c r="D523" s="59">
        <v>13750</v>
      </c>
      <c r="E523" s="59"/>
      <c r="F523" s="59">
        <v>1775.7208046884246</v>
      </c>
      <c r="G523" s="59"/>
      <c r="H523" s="59">
        <v>44000000</v>
      </c>
      <c r="I523" s="59"/>
      <c r="J523" s="59">
        <v>129.14333125006723</v>
      </c>
      <c r="K523" s="59">
        <v>0</v>
      </c>
      <c r="L523" s="59">
        <v>13750</v>
      </c>
      <c r="M523" s="59">
        <v>1775.7208046884246</v>
      </c>
      <c r="N523" s="59">
        <v>44000000</v>
      </c>
      <c r="O523" s="59">
        <v>129.14333125006723</v>
      </c>
    </row>
    <row r="524" spans="2:15" x14ac:dyDescent="0.35">
      <c r="B524" t="s">
        <v>1371</v>
      </c>
      <c r="D524" s="59">
        <v>12750</v>
      </c>
      <c r="E524" s="59"/>
      <c r="F524" s="59">
        <v>1646.5774734383574</v>
      </c>
      <c r="G524" s="59"/>
      <c r="H524" s="59">
        <v>40800000</v>
      </c>
      <c r="I524" s="59"/>
      <c r="J524" s="59">
        <v>129.14333125006723</v>
      </c>
      <c r="K524" s="59">
        <v>0</v>
      </c>
      <c r="L524" s="59">
        <v>12750</v>
      </c>
      <c r="M524" s="59">
        <v>1646.5774734383574</v>
      </c>
      <c r="N524" s="59">
        <v>40800000</v>
      </c>
      <c r="O524" s="59">
        <v>129.14333125006723</v>
      </c>
    </row>
    <row r="525" spans="2:15" x14ac:dyDescent="0.35">
      <c r="C525" t="s">
        <v>1326</v>
      </c>
      <c r="D525" s="59">
        <v>12750</v>
      </c>
      <c r="E525" s="59"/>
      <c r="F525" s="59">
        <v>1646.5774734383574</v>
      </c>
      <c r="G525" s="59"/>
      <c r="H525" s="59">
        <v>40800000</v>
      </c>
      <c r="I525" s="59"/>
      <c r="J525" s="59">
        <v>129.14333125006723</v>
      </c>
      <c r="K525" s="59">
        <v>0</v>
      </c>
      <c r="L525" s="59">
        <v>12750</v>
      </c>
      <c r="M525" s="59">
        <v>1646.5774734383574</v>
      </c>
      <c r="N525" s="59">
        <v>40800000</v>
      </c>
      <c r="O525" s="59">
        <v>129.14333125006723</v>
      </c>
    </row>
    <row r="526" spans="2:15" x14ac:dyDescent="0.35">
      <c r="B526" t="s">
        <v>1372</v>
      </c>
      <c r="D526" s="59">
        <v>3443</v>
      </c>
      <c r="E526" s="59"/>
      <c r="F526" s="59">
        <v>1874.4173025040648</v>
      </c>
      <c r="G526" s="59"/>
      <c r="H526" s="59">
        <v>47353197</v>
      </c>
      <c r="I526" s="59"/>
      <c r="J526" s="59">
        <v>544.41397110196476</v>
      </c>
      <c r="K526" s="59">
        <v>0</v>
      </c>
      <c r="L526" s="59">
        <v>3443</v>
      </c>
      <c r="M526" s="59">
        <v>1874.4173025040648</v>
      </c>
      <c r="N526" s="59">
        <v>47353197</v>
      </c>
      <c r="O526" s="59">
        <v>544.41397110196476</v>
      </c>
    </row>
    <row r="527" spans="2:15" x14ac:dyDescent="0.35">
      <c r="C527" t="s">
        <v>1373</v>
      </c>
      <c r="D527" s="59">
        <v>3443</v>
      </c>
      <c r="E527" s="59"/>
      <c r="F527" s="59">
        <v>1874.4173025040648</v>
      </c>
      <c r="G527" s="59"/>
      <c r="H527" s="59">
        <v>47353197</v>
      </c>
      <c r="I527" s="59"/>
      <c r="J527" s="59">
        <v>544.41397110196476</v>
      </c>
      <c r="K527" s="59">
        <v>0</v>
      </c>
      <c r="L527" s="59">
        <v>3443</v>
      </c>
      <c r="M527" s="59">
        <v>1874.4173025040648</v>
      </c>
      <c r="N527" s="59">
        <v>47353197</v>
      </c>
      <c r="O527" s="59">
        <v>544.41397110196476</v>
      </c>
    </row>
    <row r="528" spans="2:15" x14ac:dyDescent="0.35">
      <c r="B528" t="s">
        <v>1374</v>
      </c>
      <c r="D528" s="59">
        <v>350</v>
      </c>
      <c r="E528" s="59"/>
      <c r="F528" s="59">
        <v>190.54491052258527</v>
      </c>
      <c r="G528" s="59"/>
      <c r="H528" s="59">
        <v>4813715</v>
      </c>
      <c r="I528" s="59"/>
      <c r="J528" s="59">
        <v>544.41403006452936</v>
      </c>
      <c r="K528" s="59">
        <v>0</v>
      </c>
      <c r="L528" s="59">
        <v>350</v>
      </c>
      <c r="M528" s="59">
        <v>190.54491052258527</v>
      </c>
      <c r="N528" s="59">
        <v>4813715</v>
      </c>
      <c r="O528" s="59">
        <v>544.41403006452936</v>
      </c>
    </row>
    <row r="529" spans="2:15" x14ac:dyDescent="0.35">
      <c r="C529" t="s">
        <v>1373</v>
      </c>
      <c r="D529" s="59">
        <v>350</v>
      </c>
      <c r="E529" s="59"/>
      <c r="F529" s="59">
        <v>190.54491052258527</v>
      </c>
      <c r="G529" s="59"/>
      <c r="H529" s="59">
        <v>4813715</v>
      </c>
      <c r="I529" s="59"/>
      <c r="J529" s="59">
        <v>544.41403006452936</v>
      </c>
      <c r="K529" s="59">
        <v>0</v>
      </c>
      <c r="L529" s="59">
        <v>350</v>
      </c>
      <c r="M529" s="59">
        <v>190.54491052258527</v>
      </c>
      <c r="N529" s="59">
        <v>4813715</v>
      </c>
      <c r="O529" s="59">
        <v>544.41403006452936</v>
      </c>
    </row>
    <row r="530" spans="2:15" x14ac:dyDescent="0.35">
      <c r="B530" t="s">
        <v>1375</v>
      </c>
      <c r="D530" s="59">
        <v>4990</v>
      </c>
      <c r="E530" s="59"/>
      <c r="F530" s="59">
        <v>2716.6257159712573</v>
      </c>
      <c r="G530" s="59"/>
      <c r="H530" s="59">
        <v>68629815</v>
      </c>
      <c r="I530" s="59"/>
      <c r="J530" s="59">
        <v>544.41397113652442</v>
      </c>
      <c r="K530" s="59">
        <v>0</v>
      </c>
      <c r="L530" s="59">
        <v>4990</v>
      </c>
      <c r="M530" s="59">
        <v>2716.6257159712573</v>
      </c>
      <c r="N530" s="59">
        <v>68629815</v>
      </c>
      <c r="O530" s="59">
        <v>544.41397113652442</v>
      </c>
    </row>
    <row r="531" spans="2:15" x14ac:dyDescent="0.35">
      <c r="C531" t="s">
        <v>1373</v>
      </c>
      <c r="D531" s="59">
        <v>4990</v>
      </c>
      <c r="E531" s="59"/>
      <c r="F531" s="59">
        <v>2716.6257159712573</v>
      </c>
      <c r="G531" s="59"/>
      <c r="H531" s="59">
        <v>68629815</v>
      </c>
      <c r="I531" s="59"/>
      <c r="J531" s="59">
        <v>544.41397113652442</v>
      </c>
      <c r="K531" s="59">
        <v>0</v>
      </c>
      <c r="L531" s="59">
        <v>4990</v>
      </c>
      <c r="M531" s="59">
        <v>2716.6257159712573</v>
      </c>
      <c r="N531" s="59">
        <v>68629815</v>
      </c>
      <c r="O531" s="59">
        <v>544.41397113652442</v>
      </c>
    </row>
    <row r="532" spans="2:15" x14ac:dyDescent="0.35">
      <c r="B532" t="s">
        <v>1376</v>
      </c>
      <c r="D532" s="59">
        <v>22910</v>
      </c>
      <c r="E532" s="59"/>
      <c r="F532" s="59">
        <v>3007.6632753957192</v>
      </c>
      <c r="G532" s="59"/>
      <c r="H532" s="59">
        <v>73312000</v>
      </c>
      <c r="I532" s="59"/>
      <c r="J532" s="59">
        <v>131.28167941491571</v>
      </c>
      <c r="K532" s="59">
        <v>0</v>
      </c>
      <c r="L532" s="59">
        <v>22910</v>
      </c>
      <c r="M532" s="59">
        <v>3007.6632753957192</v>
      </c>
      <c r="N532" s="59">
        <v>73312000</v>
      </c>
      <c r="O532" s="59">
        <v>131.28167941491571</v>
      </c>
    </row>
    <row r="533" spans="2:15" x14ac:dyDescent="0.35">
      <c r="C533" t="s">
        <v>1326</v>
      </c>
      <c r="D533" s="59">
        <v>22910</v>
      </c>
      <c r="E533" s="59"/>
      <c r="F533" s="59">
        <v>3007.6632753957192</v>
      </c>
      <c r="G533" s="59"/>
      <c r="H533" s="59">
        <v>73312000</v>
      </c>
      <c r="I533" s="59"/>
      <c r="J533" s="59">
        <v>131.28167941491571</v>
      </c>
      <c r="K533" s="59">
        <v>0</v>
      </c>
      <c r="L533" s="59">
        <v>22910</v>
      </c>
      <c r="M533" s="59">
        <v>3007.6632753957192</v>
      </c>
      <c r="N533" s="59">
        <v>73312000</v>
      </c>
      <c r="O533" s="59">
        <v>131.28167941491571</v>
      </c>
    </row>
    <row r="534" spans="2:15" x14ac:dyDescent="0.35">
      <c r="B534" t="s">
        <v>1377</v>
      </c>
      <c r="D534" s="59">
        <v>18500</v>
      </c>
      <c r="E534" s="59"/>
      <c r="F534" s="59">
        <v>2428.7110691759412</v>
      </c>
      <c r="G534" s="59"/>
      <c r="H534" s="59">
        <v>59200000</v>
      </c>
      <c r="I534" s="59"/>
      <c r="J534" s="59">
        <v>131.28167941491574</v>
      </c>
      <c r="K534" s="59">
        <v>0</v>
      </c>
      <c r="L534" s="59">
        <v>18500</v>
      </c>
      <c r="M534" s="59">
        <v>2428.7110691759412</v>
      </c>
      <c r="N534" s="59">
        <v>59200000</v>
      </c>
      <c r="O534" s="59">
        <v>131.28167941491574</v>
      </c>
    </row>
    <row r="535" spans="2:15" x14ac:dyDescent="0.35">
      <c r="C535" t="s">
        <v>1326</v>
      </c>
      <c r="D535" s="59">
        <v>18500</v>
      </c>
      <c r="E535" s="59"/>
      <c r="F535" s="59">
        <v>2428.7110691759412</v>
      </c>
      <c r="G535" s="59"/>
      <c r="H535" s="59">
        <v>59200000</v>
      </c>
      <c r="I535" s="59"/>
      <c r="J535" s="59">
        <v>131.28167941491574</v>
      </c>
      <c r="K535" s="59">
        <v>0</v>
      </c>
      <c r="L535" s="59">
        <v>18500</v>
      </c>
      <c r="M535" s="59">
        <v>2428.7110691759412</v>
      </c>
      <c r="N535" s="59">
        <v>59200000</v>
      </c>
      <c r="O535" s="59">
        <v>131.28167941491574</v>
      </c>
    </row>
    <row r="536" spans="2:15" x14ac:dyDescent="0.35">
      <c r="B536" t="s">
        <v>1378</v>
      </c>
      <c r="D536" s="59">
        <v>1500</v>
      </c>
      <c r="E536" s="59"/>
      <c r="F536" s="59">
        <v>196.92251912237359</v>
      </c>
      <c r="G536" s="59"/>
      <c r="H536" s="59">
        <v>4800000</v>
      </c>
      <c r="I536" s="59"/>
      <c r="J536" s="59">
        <v>131.28167941491571</v>
      </c>
      <c r="K536" s="59">
        <v>0</v>
      </c>
      <c r="L536" s="59">
        <v>1500</v>
      </c>
      <c r="M536" s="59">
        <v>196.92251912237359</v>
      </c>
      <c r="N536" s="59">
        <v>4800000</v>
      </c>
      <c r="O536" s="59">
        <v>131.28167941491571</v>
      </c>
    </row>
    <row r="537" spans="2:15" x14ac:dyDescent="0.35">
      <c r="C537" t="s">
        <v>1326</v>
      </c>
      <c r="D537" s="59">
        <v>1500</v>
      </c>
      <c r="E537" s="59"/>
      <c r="F537" s="59">
        <v>196.92251912237359</v>
      </c>
      <c r="G537" s="59"/>
      <c r="H537" s="59">
        <v>4800000</v>
      </c>
      <c r="I537" s="59"/>
      <c r="J537" s="59">
        <v>131.28167941491571</v>
      </c>
      <c r="K537" s="59">
        <v>0</v>
      </c>
      <c r="L537" s="59">
        <v>1500</v>
      </c>
      <c r="M537" s="59">
        <v>196.92251912237359</v>
      </c>
      <c r="N537" s="59">
        <v>4800000</v>
      </c>
      <c r="O537" s="59">
        <v>131.28167941491571</v>
      </c>
    </row>
    <row r="538" spans="2:15" x14ac:dyDescent="0.35">
      <c r="B538" t="s">
        <v>1379</v>
      </c>
      <c r="D538" s="59">
        <v>27000</v>
      </c>
      <c r="E538" s="59"/>
      <c r="F538" s="59">
        <v>3544.6053442027246</v>
      </c>
      <c r="G538" s="59"/>
      <c r="H538" s="59">
        <v>86400000</v>
      </c>
      <c r="I538" s="59"/>
      <c r="J538" s="59">
        <v>131.28167941491571</v>
      </c>
      <c r="K538" s="59">
        <v>0</v>
      </c>
      <c r="L538" s="59">
        <v>27000</v>
      </c>
      <c r="M538" s="59">
        <v>3544.6053442027246</v>
      </c>
      <c r="N538" s="59">
        <v>86400000</v>
      </c>
      <c r="O538" s="59">
        <v>131.28167941491571</v>
      </c>
    </row>
    <row r="539" spans="2:15" x14ac:dyDescent="0.35">
      <c r="C539" t="s">
        <v>1326</v>
      </c>
      <c r="D539" s="59">
        <v>27000</v>
      </c>
      <c r="E539" s="59"/>
      <c r="F539" s="59">
        <v>3544.6053442027246</v>
      </c>
      <c r="G539" s="59"/>
      <c r="H539" s="59">
        <v>86400000</v>
      </c>
      <c r="I539" s="59"/>
      <c r="J539" s="59">
        <v>131.28167941491571</v>
      </c>
      <c r="K539" s="59">
        <v>0</v>
      </c>
      <c r="L539" s="59">
        <v>27000</v>
      </c>
      <c r="M539" s="59">
        <v>3544.6053442027246</v>
      </c>
      <c r="N539" s="59">
        <v>86400000</v>
      </c>
      <c r="O539" s="59">
        <v>131.28167941491571</v>
      </c>
    </row>
    <row r="540" spans="2:15" x14ac:dyDescent="0.35">
      <c r="B540" t="s">
        <v>1380</v>
      </c>
      <c r="D540" s="59">
        <v>5900</v>
      </c>
      <c r="E540" s="59"/>
      <c r="F540" s="59">
        <v>774.56190854800286</v>
      </c>
      <c r="G540" s="59"/>
      <c r="H540" s="59">
        <v>18880000</v>
      </c>
      <c r="I540" s="59"/>
      <c r="J540" s="59">
        <v>131.28167941491574</v>
      </c>
      <c r="K540" s="59">
        <v>0</v>
      </c>
      <c r="L540" s="59">
        <v>5900</v>
      </c>
      <c r="M540" s="59">
        <v>774.56190854800286</v>
      </c>
      <c r="N540" s="59">
        <v>18880000</v>
      </c>
      <c r="O540" s="59">
        <v>131.28167941491574</v>
      </c>
    </row>
    <row r="541" spans="2:15" x14ac:dyDescent="0.35">
      <c r="C541" t="s">
        <v>1326</v>
      </c>
      <c r="D541" s="59">
        <v>5900</v>
      </c>
      <c r="E541" s="59"/>
      <c r="F541" s="59">
        <v>774.56190854800286</v>
      </c>
      <c r="G541" s="59"/>
      <c r="H541" s="59">
        <v>18880000</v>
      </c>
      <c r="I541" s="59"/>
      <c r="J541" s="59">
        <v>131.28167941491574</v>
      </c>
      <c r="K541" s="59">
        <v>0</v>
      </c>
      <c r="L541" s="59">
        <v>5900</v>
      </c>
      <c r="M541" s="59">
        <v>774.56190854800286</v>
      </c>
      <c r="N541" s="59">
        <v>18880000</v>
      </c>
      <c r="O541" s="59">
        <v>131.28167941491574</v>
      </c>
    </row>
    <row r="542" spans="2:15" x14ac:dyDescent="0.35">
      <c r="B542" t="s">
        <v>1381</v>
      </c>
      <c r="D542" s="59">
        <v>8314</v>
      </c>
      <c r="E542" s="59"/>
      <c r="F542" s="59">
        <v>1088.2683604083368</v>
      </c>
      <c r="G542" s="59"/>
      <c r="H542" s="59">
        <v>26604800</v>
      </c>
      <c r="I542" s="59"/>
      <c r="J542" s="59">
        <v>130.89588169453174</v>
      </c>
      <c r="K542" s="59">
        <v>0</v>
      </c>
      <c r="L542" s="59">
        <v>8314</v>
      </c>
      <c r="M542" s="59">
        <v>1088.2683604083368</v>
      </c>
      <c r="N542" s="59">
        <v>26604800</v>
      </c>
      <c r="O542" s="59">
        <v>130.89588169453174</v>
      </c>
    </row>
    <row r="543" spans="2:15" x14ac:dyDescent="0.35">
      <c r="C543" t="s">
        <v>1326</v>
      </c>
      <c r="D543" s="59">
        <v>8314</v>
      </c>
      <c r="E543" s="59"/>
      <c r="F543" s="59">
        <v>1088.2683604083368</v>
      </c>
      <c r="G543" s="59"/>
      <c r="H543" s="59">
        <v>26604800</v>
      </c>
      <c r="I543" s="59"/>
      <c r="J543" s="59">
        <v>130.89588169453174</v>
      </c>
      <c r="K543" s="59">
        <v>0</v>
      </c>
      <c r="L543" s="59">
        <v>8314</v>
      </c>
      <c r="M543" s="59">
        <v>1088.2683604083368</v>
      </c>
      <c r="N543" s="59">
        <v>26604800</v>
      </c>
      <c r="O543" s="59">
        <v>130.89588169453174</v>
      </c>
    </row>
    <row r="544" spans="2:15" x14ac:dyDescent="0.35">
      <c r="B544" t="s">
        <v>1382</v>
      </c>
      <c r="D544" s="59">
        <v>6174</v>
      </c>
      <c r="E544" s="59"/>
      <c r="F544" s="59">
        <v>806.68406201096241</v>
      </c>
      <c r="G544" s="59"/>
      <c r="H544" s="59">
        <v>19756800</v>
      </c>
      <c r="I544" s="59"/>
      <c r="J544" s="59">
        <v>130.65825429396867</v>
      </c>
      <c r="K544" s="59">
        <v>0</v>
      </c>
      <c r="L544" s="59">
        <v>6174</v>
      </c>
      <c r="M544" s="59">
        <v>806.68406201096241</v>
      </c>
      <c r="N544" s="59">
        <v>19756800</v>
      </c>
      <c r="O544" s="59">
        <v>130.65825429396867</v>
      </c>
    </row>
    <row r="545" spans="1:15" x14ac:dyDescent="0.35">
      <c r="C545" t="s">
        <v>1326</v>
      </c>
      <c r="D545" s="59">
        <v>6174</v>
      </c>
      <c r="E545" s="59"/>
      <c r="F545" s="59">
        <v>806.68406201096241</v>
      </c>
      <c r="G545" s="59"/>
      <c r="H545" s="59">
        <v>19756800</v>
      </c>
      <c r="I545" s="59"/>
      <c r="J545" s="59">
        <v>130.65825429396867</v>
      </c>
      <c r="K545" s="59">
        <v>0</v>
      </c>
      <c r="L545" s="59">
        <v>6174</v>
      </c>
      <c r="M545" s="59">
        <v>806.68406201096241</v>
      </c>
      <c r="N545" s="59">
        <v>19756800</v>
      </c>
      <c r="O545" s="59">
        <v>130.65825429396867</v>
      </c>
    </row>
    <row r="546" spans="1:15" x14ac:dyDescent="0.35">
      <c r="B546" t="s">
        <v>1383</v>
      </c>
      <c r="D546" s="59">
        <v>96045</v>
      </c>
      <c r="E546" s="59"/>
      <c r="F546" s="59">
        <v>12608.948899405581</v>
      </c>
      <c r="G546" s="59"/>
      <c r="H546" s="59">
        <v>307344000</v>
      </c>
      <c r="I546" s="59"/>
      <c r="J546" s="59">
        <v>131.28167941491571</v>
      </c>
      <c r="K546" s="59">
        <v>0</v>
      </c>
      <c r="L546" s="59">
        <v>96045</v>
      </c>
      <c r="M546" s="59">
        <v>12608.948899405581</v>
      </c>
      <c r="N546" s="59">
        <v>307344000</v>
      </c>
      <c r="O546" s="59">
        <v>131.28167941491571</v>
      </c>
    </row>
    <row r="547" spans="1:15" x14ac:dyDescent="0.35">
      <c r="C547" t="s">
        <v>1326</v>
      </c>
      <c r="D547" s="59">
        <v>96045</v>
      </c>
      <c r="E547" s="59"/>
      <c r="F547" s="59">
        <v>12608.948899405581</v>
      </c>
      <c r="G547" s="59"/>
      <c r="H547" s="59">
        <v>307344000</v>
      </c>
      <c r="I547" s="59"/>
      <c r="J547" s="59">
        <v>131.28167941491571</v>
      </c>
      <c r="K547" s="59">
        <v>0</v>
      </c>
      <c r="L547" s="59">
        <v>96045</v>
      </c>
      <c r="M547" s="59">
        <v>12608.948899405581</v>
      </c>
      <c r="N547" s="59">
        <v>307344000</v>
      </c>
      <c r="O547" s="59">
        <v>131.28167941491571</v>
      </c>
    </row>
    <row r="548" spans="1:15" x14ac:dyDescent="0.35">
      <c r="B548" t="s">
        <v>1384</v>
      </c>
      <c r="D548" s="59">
        <v>67000</v>
      </c>
      <c r="E548" s="59"/>
      <c r="F548" s="59">
        <v>8795.8725207993539</v>
      </c>
      <c r="G548" s="59"/>
      <c r="H548" s="59">
        <v>214400000</v>
      </c>
      <c r="I548" s="59"/>
      <c r="J548" s="59">
        <v>131.28167941491571</v>
      </c>
      <c r="K548" s="59">
        <v>0</v>
      </c>
      <c r="L548" s="59">
        <v>67000</v>
      </c>
      <c r="M548" s="59">
        <v>8795.8725207993539</v>
      </c>
      <c r="N548" s="59">
        <v>214400000</v>
      </c>
      <c r="O548" s="59">
        <v>131.28167941491571</v>
      </c>
    </row>
    <row r="549" spans="1:15" x14ac:dyDescent="0.35">
      <c r="C549" t="s">
        <v>1326</v>
      </c>
      <c r="D549" s="59">
        <v>67000</v>
      </c>
      <c r="E549" s="59"/>
      <c r="F549" s="59">
        <v>8795.8725207993539</v>
      </c>
      <c r="G549" s="59"/>
      <c r="H549" s="59">
        <v>214400000</v>
      </c>
      <c r="I549" s="59"/>
      <c r="J549" s="59">
        <v>131.28167941491571</v>
      </c>
      <c r="K549" s="59">
        <v>0</v>
      </c>
      <c r="L549" s="59">
        <v>67000</v>
      </c>
      <c r="M549" s="59">
        <v>8795.8725207993539</v>
      </c>
      <c r="N549" s="59">
        <v>214400000</v>
      </c>
      <c r="O549" s="59">
        <v>131.28167941491571</v>
      </c>
    </row>
    <row r="550" spans="1:15" x14ac:dyDescent="0.35">
      <c r="A550" t="s">
        <v>1385</v>
      </c>
      <c r="D550" s="59">
        <v>4885</v>
      </c>
      <c r="E550" s="59">
        <v>11557</v>
      </c>
      <c r="F550" s="59">
        <v>6834.6367975491203</v>
      </c>
      <c r="G550" s="59">
        <v>6568.6339986982894</v>
      </c>
      <c r="H550" s="59">
        <v>172575264.40000001</v>
      </c>
      <c r="I550" s="59">
        <v>171214815</v>
      </c>
      <c r="J550" s="59">
        <v>1399.1068162843644</v>
      </c>
      <c r="K550" s="59">
        <v>568.36843460225748</v>
      </c>
      <c r="L550" s="59">
        <v>16442</v>
      </c>
      <c r="M550" s="59">
        <v>13403.270796247409</v>
      </c>
      <c r="N550" s="59">
        <v>343790079.39999998</v>
      </c>
      <c r="O550" s="59">
        <v>815.18494077651189</v>
      </c>
    </row>
    <row r="551" spans="1:15" x14ac:dyDescent="0.35">
      <c r="B551" t="s">
        <v>1386</v>
      </c>
      <c r="D551" s="59">
        <v>4885</v>
      </c>
      <c r="E551" s="59"/>
      <c r="F551" s="59">
        <v>6834.6367975491203</v>
      </c>
      <c r="G551" s="59"/>
      <c r="H551" s="59">
        <v>172575264.40000001</v>
      </c>
      <c r="I551" s="59"/>
      <c r="J551" s="59">
        <v>1399.1068162843644</v>
      </c>
      <c r="K551" s="59">
        <v>0</v>
      </c>
      <c r="L551" s="59">
        <v>4885</v>
      </c>
      <c r="M551" s="59">
        <v>6834.6367975491203</v>
      </c>
      <c r="N551" s="59">
        <v>172575264.40000001</v>
      </c>
      <c r="O551" s="59">
        <v>1399.1068162843644</v>
      </c>
    </row>
    <row r="552" spans="1:15" x14ac:dyDescent="0.35">
      <c r="C552" t="s">
        <v>1387</v>
      </c>
      <c r="D552" s="59">
        <v>4885</v>
      </c>
      <c r="E552" s="59"/>
      <c r="F552" s="59">
        <v>6834.6367975491203</v>
      </c>
      <c r="G552" s="59"/>
      <c r="H552" s="59">
        <v>172575264.40000001</v>
      </c>
      <c r="I552" s="59"/>
      <c r="J552" s="59">
        <v>1399.1068162843644</v>
      </c>
      <c r="K552" s="59">
        <v>0</v>
      </c>
      <c r="L552" s="59">
        <v>4885</v>
      </c>
      <c r="M552" s="59">
        <v>6834.6367975491203</v>
      </c>
      <c r="N552" s="59">
        <v>172575264.40000001</v>
      </c>
      <c r="O552" s="59">
        <v>1399.1068162843644</v>
      </c>
    </row>
    <row r="553" spans="1:15" x14ac:dyDescent="0.35">
      <c r="B553" t="s">
        <v>1388</v>
      </c>
      <c r="D553" s="59"/>
      <c r="E553" s="59">
        <v>11557</v>
      </c>
      <c r="F553" s="59"/>
      <c r="G553" s="59">
        <v>6568.6339986982894</v>
      </c>
      <c r="H553" s="59"/>
      <c r="I553" s="59">
        <v>171214815</v>
      </c>
      <c r="J553" s="59">
        <v>0</v>
      </c>
      <c r="K553" s="59">
        <v>568.36843460225748</v>
      </c>
      <c r="L553" s="59">
        <v>11557</v>
      </c>
      <c r="M553" s="59">
        <v>6568.6339986982894</v>
      </c>
      <c r="N553" s="59">
        <v>171214815</v>
      </c>
      <c r="O553" s="59">
        <v>568.36843460225748</v>
      </c>
    </row>
    <row r="554" spans="1:15" x14ac:dyDescent="0.35">
      <c r="C554" t="s">
        <v>156</v>
      </c>
      <c r="D554" s="59"/>
      <c r="E554" s="59">
        <v>7718</v>
      </c>
      <c r="F554" s="59"/>
      <c r="G554" s="59">
        <v>4362.4036960381018</v>
      </c>
      <c r="H554" s="59"/>
      <c r="I554" s="59">
        <v>114340741</v>
      </c>
      <c r="J554" s="59">
        <v>0</v>
      </c>
      <c r="K554" s="59">
        <v>565.2246302200183</v>
      </c>
      <c r="L554" s="59">
        <v>7718</v>
      </c>
      <c r="M554" s="59">
        <v>4362.4036960381018</v>
      </c>
      <c r="N554" s="59">
        <v>114340741</v>
      </c>
      <c r="O554" s="59">
        <v>565.2246302200183</v>
      </c>
    </row>
    <row r="555" spans="1:15" x14ac:dyDescent="0.35">
      <c r="C555" t="s">
        <v>1223</v>
      </c>
      <c r="D555" s="59"/>
      <c r="E555" s="59">
        <v>3839</v>
      </c>
      <c r="F555" s="59"/>
      <c r="G555" s="59">
        <v>2206.2303026601876</v>
      </c>
      <c r="H555" s="59"/>
      <c r="I555" s="59">
        <v>56874074</v>
      </c>
      <c r="J555" s="59">
        <v>0</v>
      </c>
      <c r="K555" s="59">
        <v>574.68879985938725</v>
      </c>
      <c r="L555" s="59">
        <v>3839</v>
      </c>
      <c r="M555" s="59">
        <v>2206.2303026601876</v>
      </c>
      <c r="N555" s="59">
        <v>56874074</v>
      </c>
      <c r="O555" s="59">
        <v>574.68879985938725</v>
      </c>
    </row>
    <row r="556" spans="1:15" x14ac:dyDescent="0.35">
      <c r="A556" t="s">
        <v>1389</v>
      </c>
      <c r="D556" s="59">
        <v>0</v>
      </c>
      <c r="E556" s="59">
        <v>0</v>
      </c>
      <c r="F556" s="59">
        <v>-934.50568329533712</v>
      </c>
      <c r="G556" s="59">
        <v>-238.54569989809639</v>
      </c>
      <c r="H556" s="59">
        <v>-23585825</v>
      </c>
      <c r="I556" s="59">
        <v>-6306843</v>
      </c>
      <c r="J556" s="59">
        <v>0</v>
      </c>
      <c r="K556" s="59">
        <v>0</v>
      </c>
      <c r="L556" s="59">
        <v>0</v>
      </c>
      <c r="M556" s="59">
        <v>-1173.0513831934336</v>
      </c>
      <c r="N556" s="59">
        <v>-29892668</v>
      </c>
      <c r="O556" s="59">
        <v>0</v>
      </c>
    </row>
    <row r="557" spans="1:15" x14ac:dyDescent="0.35">
      <c r="B557" t="s">
        <v>1390</v>
      </c>
      <c r="D557" s="59">
        <v>0</v>
      </c>
      <c r="E557" s="59">
        <v>0</v>
      </c>
      <c r="F557" s="59">
        <v>-934.50568329533712</v>
      </c>
      <c r="G557" s="59">
        <v>-238.54569989809639</v>
      </c>
      <c r="H557" s="59">
        <v>-23585825</v>
      </c>
      <c r="I557" s="59">
        <v>-6306843</v>
      </c>
      <c r="J557" s="59">
        <v>0</v>
      </c>
      <c r="K557" s="59">
        <v>0</v>
      </c>
      <c r="L557" s="59">
        <v>0</v>
      </c>
      <c r="M557" s="59">
        <v>-1173.0513831934336</v>
      </c>
      <c r="N557" s="59">
        <v>-29892668</v>
      </c>
      <c r="O557" s="59">
        <v>0</v>
      </c>
    </row>
    <row r="558" spans="1:15" x14ac:dyDescent="0.35">
      <c r="C558" t="s">
        <v>5</v>
      </c>
      <c r="D558" s="59"/>
      <c r="E558" s="59">
        <v>0</v>
      </c>
      <c r="F558" s="59"/>
      <c r="G558" s="59">
        <v>2.00163928818165</v>
      </c>
      <c r="H558" s="59"/>
      <c r="I558" s="59">
        <v>0</v>
      </c>
      <c r="J558" s="59">
        <v>0</v>
      </c>
      <c r="K558" s="59">
        <v>0</v>
      </c>
      <c r="L558" s="59">
        <v>0</v>
      </c>
      <c r="M558" s="59">
        <v>2.00163928818165</v>
      </c>
      <c r="N558" s="59">
        <v>0</v>
      </c>
      <c r="O558" s="59">
        <v>0</v>
      </c>
    </row>
    <row r="559" spans="1:15" x14ac:dyDescent="0.35">
      <c r="C559" t="s">
        <v>46</v>
      </c>
      <c r="D559" s="59"/>
      <c r="E559" s="59">
        <v>0</v>
      </c>
      <c r="F559" s="59"/>
      <c r="G559" s="59">
        <v>0.62440726656519274</v>
      </c>
      <c r="H559" s="59"/>
      <c r="I559" s="59">
        <v>0</v>
      </c>
      <c r="J559" s="59">
        <v>0</v>
      </c>
      <c r="K559" s="59">
        <v>0</v>
      </c>
      <c r="L559" s="59">
        <v>0</v>
      </c>
      <c r="M559" s="59">
        <v>0.62440726656519274</v>
      </c>
      <c r="N559" s="59">
        <v>0</v>
      </c>
      <c r="O559" s="59">
        <v>0</v>
      </c>
    </row>
    <row r="560" spans="1:15" x14ac:dyDescent="0.35">
      <c r="C560" t="s">
        <v>1264</v>
      </c>
      <c r="D560" s="59">
        <v>0</v>
      </c>
      <c r="E560" s="59">
        <v>0</v>
      </c>
      <c r="F560" s="59">
        <v>-934.50568329533712</v>
      </c>
      <c r="G560" s="59">
        <v>2.1955841655855011</v>
      </c>
      <c r="H560" s="59">
        <v>-23585825</v>
      </c>
      <c r="I560" s="59">
        <v>0</v>
      </c>
      <c r="J560" s="59">
        <v>0</v>
      </c>
      <c r="K560" s="59">
        <v>0</v>
      </c>
      <c r="L560" s="59">
        <v>0</v>
      </c>
      <c r="M560" s="59">
        <v>-932.31009912975162</v>
      </c>
      <c r="N560" s="59">
        <v>-23585825</v>
      </c>
      <c r="O560" s="59">
        <v>0</v>
      </c>
    </row>
    <row r="561" spans="1:15" x14ac:dyDescent="0.35">
      <c r="C561" t="s">
        <v>141</v>
      </c>
      <c r="D561" s="59"/>
      <c r="E561" s="59">
        <v>0</v>
      </c>
      <c r="F561" s="59"/>
      <c r="G561" s="59">
        <v>-243.36733061842872</v>
      </c>
      <c r="H561" s="59"/>
      <c r="I561" s="59">
        <v>-6306843</v>
      </c>
      <c r="J561" s="59">
        <v>0</v>
      </c>
      <c r="K561" s="59">
        <v>0</v>
      </c>
      <c r="L561" s="59">
        <v>0</v>
      </c>
      <c r="M561" s="59">
        <v>-243.36733061842872</v>
      </c>
      <c r="N561" s="59">
        <v>-6306843</v>
      </c>
      <c r="O561" s="59">
        <v>0</v>
      </c>
    </row>
    <row r="562" spans="1:15" x14ac:dyDescent="0.35">
      <c r="A562" t="s">
        <v>1391</v>
      </c>
      <c r="D562" s="59">
        <v>0</v>
      </c>
      <c r="E562" s="59"/>
      <c r="F562" s="59">
        <v>250.68107327617327</v>
      </c>
      <c r="G562" s="59"/>
      <c r="H562" s="59">
        <v>0</v>
      </c>
      <c r="I562" s="59"/>
      <c r="J562" s="59">
        <v>0</v>
      </c>
      <c r="K562" s="59">
        <v>0</v>
      </c>
      <c r="L562" s="59">
        <v>0</v>
      </c>
      <c r="M562" s="59">
        <v>250.68107327617327</v>
      </c>
      <c r="N562" s="59">
        <v>0</v>
      </c>
      <c r="O562" s="59">
        <v>0</v>
      </c>
    </row>
    <row r="563" spans="1:15" x14ac:dyDescent="0.35">
      <c r="B563" t="s">
        <v>1392</v>
      </c>
      <c r="D563" s="59">
        <v>0</v>
      </c>
      <c r="E563" s="59"/>
      <c r="F563" s="59">
        <v>250.68107327617327</v>
      </c>
      <c r="G563" s="59"/>
      <c r="H563" s="59">
        <v>0</v>
      </c>
      <c r="I563" s="59"/>
      <c r="J563" s="59">
        <v>0</v>
      </c>
      <c r="K563" s="59">
        <v>0</v>
      </c>
      <c r="L563" s="59">
        <v>0</v>
      </c>
      <c r="M563" s="59">
        <v>250.68107327617327</v>
      </c>
      <c r="N563" s="59">
        <v>0</v>
      </c>
      <c r="O563" s="59">
        <v>0</v>
      </c>
    </row>
    <row r="564" spans="1:15" x14ac:dyDescent="0.35">
      <c r="C564" t="s">
        <v>1264</v>
      </c>
      <c r="D564" s="59">
        <v>0</v>
      </c>
      <c r="E564" s="59"/>
      <c r="F564" s="59">
        <v>250.68107327617327</v>
      </c>
      <c r="G564" s="59"/>
      <c r="H564" s="59">
        <v>0</v>
      </c>
      <c r="I564" s="59"/>
      <c r="J564" s="59">
        <v>0</v>
      </c>
      <c r="K564" s="59">
        <v>0</v>
      </c>
      <c r="L564" s="59">
        <v>0</v>
      </c>
      <c r="M564" s="59">
        <v>250.68107327617327</v>
      </c>
      <c r="N564" s="59">
        <v>0</v>
      </c>
      <c r="O564" s="59">
        <v>0</v>
      </c>
    </row>
    <row r="565" spans="1:15" x14ac:dyDescent="0.35">
      <c r="A565" t="s">
        <v>1393</v>
      </c>
      <c r="D565" s="59">
        <v>0</v>
      </c>
      <c r="E565" s="59"/>
      <c r="F565" s="59">
        <v>-149552.12335467082</v>
      </c>
      <c r="G565" s="59"/>
      <c r="H565" s="59">
        <v>-3772500000</v>
      </c>
      <c r="I565" s="59"/>
      <c r="J565" s="59">
        <v>0</v>
      </c>
      <c r="K565" s="59">
        <v>0</v>
      </c>
      <c r="L565" s="59">
        <v>0</v>
      </c>
      <c r="M565" s="59">
        <v>-149552.12335467082</v>
      </c>
      <c r="N565" s="59">
        <v>-3772500000</v>
      </c>
      <c r="O565" s="59">
        <v>0</v>
      </c>
    </row>
    <row r="566" spans="1:15" x14ac:dyDescent="0.35">
      <c r="B566" t="s">
        <v>1394</v>
      </c>
      <c r="D566" s="59">
        <v>0</v>
      </c>
      <c r="E566" s="59"/>
      <c r="F566" s="59">
        <v>-149552.12335467082</v>
      </c>
      <c r="G566" s="59"/>
      <c r="H566" s="59">
        <v>-3772500000</v>
      </c>
      <c r="I566" s="59"/>
      <c r="J566" s="59">
        <v>0</v>
      </c>
      <c r="K566" s="59">
        <v>0</v>
      </c>
      <c r="L566" s="59">
        <v>0</v>
      </c>
      <c r="M566" s="59">
        <v>-149552.12335467082</v>
      </c>
      <c r="N566" s="59">
        <v>-3772500000</v>
      </c>
      <c r="O566" s="59">
        <v>0</v>
      </c>
    </row>
    <row r="567" spans="1:15" x14ac:dyDescent="0.35">
      <c r="C567" t="s">
        <v>145</v>
      </c>
      <c r="D567" s="59">
        <v>0</v>
      </c>
      <c r="E567" s="59"/>
      <c r="F567" s="59">
        <v>-149552.12335467082</v>
      </c>
      <c r="G567" s="59"/>
      <c r="H567" s="59">
        <v>-3772500000</v>
      </c>
      <c r="I567" s="59"/>
      <c r="J567" s="59">
        <v>0</v>
      </c>
      <c r="K567" s="59">
        <v>0</v>
      </c>
      <c r="L567" s="59">
        <v>0</v>
      </c>
      <c r="M567" s="59">
        <v>-149552.12335467082</v>
      </c>
      <c r="N567" s="59">
        <v>-3772500000</v>
      </c>
      <c r="O567" s="59">
        <v>0</v>
      </c>
    </row>
    <row r="568" spans="1:15" x14ac:dyDescent="0.35">
      <c r="A568" t="s">
        <v>1395</v>
      </c>
      <c r="D568" s="59"/>
      <c r="E568" s="59">
        <v>0</v>
      </c>
      <c r="F568" s="59"/>
      <c r="G568" s="59">
        <v>5.2118670226271</v>
      </c>
      <c r="H568" s="59"/>
      <c r="I568" s="59">
        <v>0</v>
      </c>
      <c r="J568" s="59">
        <v>0</v>
      </c>
      <c r="K568" s="59">
        <v>0</v>
      </c>
      <c r="L568" s="59">
        <v>0</v>
      </c>
      <c r="M568" s="59">
        <v>5.2118670226271</v>
      </c>
      <c r="N568" s="59">
        <v>0</v>
      </c>
      <c r="O568" s="59">
        <v>0</v>
      </c>
    </row>
    <row r="569" spans="1:15" x14ac:dyDescent="0.35">
      <c r="B569" t="s">
        <v>1396</v>
      </c>
      <c r="D569" s="59"/>
      <c r="E569" s="59">
        <v>0</v>
      </c>
      <c r="F569" s="59"/>
      <c r="G569" s="59">
        <v>5.2118670226271</v>
      </c>
      <c r="H569" s="59"/>
      <c r="I569" s="59">
        <v>0</v>
      </c>
      <c r="J569" s="59">
        <v>0</v>
      </c>
      <c r="K569" s="59">
        <v>0</v>
      </c>
      <c r="L569" s="59">
        <v>0</v>
      </c>
      <c r="M569" s="59">
        <v>5.2118670226271</v>
      </c>
      <c r="N569" s="59">
        <v>0</v>
      </c>
      <c r="O569" s="59">
        <v>0</v>
      </c>
    </row>
    <row r="570" spans="1:15" x14ac:dyDescent="0.35">
      <c r="C570" t="s">
        <v>140</v>
      </c>
      <c r="D570" s="59"/>
      <c r="E570" s="59">
        <v>0</v>
      </c>
      <c r="F570" s="59"/>
      <c r="G570" s="59">
        <v>0.9245800853965136</v>
      </c>
      <c r="H570" s="59"/>
      <c r="I570" s="59">
        <v>0</v>
      </c>
      <c r="J570" s="59">
        <v>0</v>
      </c>
      <c r="K570" s="59">
        <v>0</v>
      </c>
      <c r="L570" s="59">
        <v>0</v>
      </c>
      <c r="M570" s="59">
        <v>0.9245800853965136</v>
      </c>
      <c r="N570" s="59">
        <v>0</v>
      </c>
      <c r="O570" s="59">
        <v>0</v>
      </c>
    </row>
    <row r="571" spans="1:15" x14ac:dyDescent="0.35">
      <c r="C571" t="s">
        <v>57</v>
      </c>
      <c r="D571" s="59"/>
      <c r="E571" s="59">
        <v>0</v>
      </c>
      <c r="F571" s="59"/>
      <c r="G571" s="59">
        <v>4.2872869372305864</v>
      </c>
      <c r="H571" s="59"/>
      <c r="I571" s="59">
        <v>0</v>
      </c>
      <c r="J571" s="59">
        <v>0</v>
      </c>
      <c r="K571" s="59">
        <v>0</v>
      </c>
      <c r="L571" s="59">
        <v>0</v>
      </c>
      <c r="M571" s="59">
        <v>4.2872869372305864</v>
      </c>
      <c r="N571" s="59">
        <v>0</v>
      </c>
      <c r="O571" s="59">
        <v>0</v>
      </c>
    </row>
    <row r="572" spans="1:15" x14ac:dyDescent="0.35">
      <c r="A572" t="s">
        <v>1397</v>
      </c>
      <c r="D572" s="59">
        <v>0</v>
      </c>
      <c r="E572" s="59"/>
      <c r="F572" s="59">
        <v>-334.67498277967491</v>
      </c>
      <c r="G572" s="59"/>
      <c r="H572" s="59">
        <v>-8499999.9999999963</v>
      </c>
      <c r="I572" s="59"/>
      <c r="J572" s="59">
        <v>0</v>
      </c>
      <c r="K572" s="59">
        <v>0</v>
      </c>
      <c r="L572" s="59">
        <v>0</v>
      </c>
      <c r="M572" s="59">
        <v>-334.67498277967491</v>
      </c>
      <c r="N572" s="59">
        <v>-8499999.9999999963</v>
      </c>
      <c r="O572" s="59">
        <v>0</v>
      </c>
    </row>
    <row r="573" spans="1:15" x14ac:dyDescent="0.35">
      <c r="B573" t="s">
        <v>1398</v>
      </c>
      <c r="D573" s="59">
        <v>0</v>
      </c>
      <c r="E573" s="59"/>
      <c r="F573" s="59">
        <v>-334.67498277967491</v>
      </c>
      <c r="G573" s="59"/>
      <c r="H573" s="59">
        <v>-8499999.9999999963</v>
      </c>
      <c r="I573" s="59"/>
      <c r="J573" s="59">
        <v>0</v>
      </c>
      <c r="K573" s="59">
        <v>0</v>
      </c>
      <c r="L573" s="59">
        <v>0</v>
      </c>
      <c r="M573" s="59">
        <v>-334.67498277967491</v>
      </c>
      <c r="N573" s="59">
        <v>-8499999.9999999963</v>
      </c>
      <c r="O573" s="59">
        <v>0</v>
      </c>
    </row>
    <row r="574" spans="1:15" x14ac:dyDescent="0.35">
      <c r="C574" t="s">
        <v>1264</v>
      </c>
      <c r="D574" s="59">
        <v>0</v>
      </c>
      <c r="E574" s="59"/>
      <c r="F574" s="59">
        <v>-334.67498277967491</v>
      </c>
      <c r="G574" s="59"/>
      <c r="H574" s="59">
        <v>-8499999.9999999963</v>
      </c>
      <c r="I574" s="59"/>
      <c r="J574" s="59">
        <v>0</v>
      </c>
      <c r="K574" s="59">
        <v>0</v>
      </c>
      <c r="L574" s="59">
        <v>0</v>
      </c>
      <c r="M574" s="59">
        <v>-334.67498277967491</v>
      </c>
      <c r="N574" s="59">
        <v>-8499999.9999999963</v>
      </c>
      <c r="O574" s="59">
        <v>0</v>
      </c>
    </row>
    <row r="575" spans="1:15" x14ac:dyDescent="0.35">
      <c r="A575" t="s">
        <v>1399</v>
      </c>
      <c r="D575" s="59">
        <v>0</v>
      </c>
      <c r="E575" s="59">
        <v>0</v>
      </c>
      <c r="F575" s="59">
        <v>-36449.295250037634</v>
      </c>
      <c r="G575" s="59">
        <v>3056.5622498328976</v>
      </c>
      <c r="H575" s="59">
        <v>-941517370.70481896</v>
      </c>
      <c r="I575" s="59">
        <v>81495173.096803367</v>
      </c>
      <c r="J575" s="59">
        <v>0</v>
      </c>
      <c r="K575" s="59">
        <v>0</v>
      </c>
      <c r="L575" s="59">
        <v>0</v>
      </c>
      <c r="M575" s="59">
        <v>-33392.733000204731</v>
      </c>
      <c r="N575" s="59">
        <v>-860022197.60801578</v>
      </c>
      <c r="O575" s="59">
        <v>0</v>
      </c>
    </row>
    <row r="576" spans="1:15" x14ac:dyDescent="0.35">
      <c r="B576" t="s">
        <v>1400</v>
      </c>
      <c r="D576" s="59">
        <v>0</v>
      </c>
      <c r="E576" s="59">
        <v>0</v>
      </c>
      <c r="F576" s="59">
        <v>-36449.295250037634</v>
      </c>
      <c r="G576" s="59">
        <v>3056.5622498328976</v>
      </c>
      <c r="H576" s="59">
        <v>-941517370.70481896</v>
      </c>
      <c r="I576" s="59">
        <v>81495173.096803367</v>
      </c>
      <c r="J576" s="59">
        <v>0</v>
      </c>
      <c r="K576" s="59">
        <v>0</v>
      </c>
      <c r="L576" s="59">
        <v>0</v>
      </c>
      <c r="M576" s="59">
        <v>-33392.733000204731</v>
      </c>
      <c r="N576" s="59">
        <v>-860022197.60801578</v>
      </c>
      <c r="O576" s="59">
        <v>0</v>
      </c>
    </row>
    <row r="577" spans="3:15" x14ac:dyDescent="0.35">
      <c r="C577" t="s">
        <v>127</v>
      </c>
      <c r="D577" s="59"/>
      <c r="E577" s="59">
        <v>0</v>
      </c>
      <c r="F577" s="59"/>
      <c r="G577" s="59">
        <v>1.1916415987267897</v>
      </c>
      <c r="H577" s="59"/>
      <c r="I577" s="59">
        <v>0</v>
      </c>
      <c r="J577" s="59">
        <v>0</v>
      </c>
      <c r="K577" s="59">
        <v>0</v>
      </c>
      <c r="L577" s="59">
        <v>0</v>
      </c>
      <c r="M577" s="59">
        <v>1.1916415987267897</v>
      </c>
      <c r="N577" s="59">
        <v>0</v>
      </c>
      <c r="O577" s="59">
        <v>0</v>
      </c>
    </row>
    <row r="578" spans="3:15" x14ac:dyDescent="0.35">
      <c r="C578" t="s">
        <v>130</v>
      </c>
      <c r="D578" s="59"/>
      <c r="E578" s="59">
        <v>0</v>
      </c>
      <c r="F578" s="59"/>
      <c r="G578" s="59">
        <v>0.69710398728898326</v>
      </c>
      <c r="H578" s="59"/>
      <c r="I578" s="59">
        <v>0</v>
      </c>
      <c r="J578" s="59">
        <v>0</v>
      </c>
      <c r="K578" s="59">
        <v>0</v>
      </c>
      <c r="L578" s="59">
        <v>0</v>
      </c>
      <c r="M578" s="59">
        <v>0.69710398728898326</v>
      </c>
      <c r="N578" s="59">
        <v>0</v>
      </c>
      <c r="O578" s="59">
        <v>0</v>
      </c>
    </row>
    <row r="579" spans="3:15" x14ac:dyDescent="0.35">
      <c r="C579" t="s">
        <v>6</v>
      </c>
      <c r="D579" s="59">
        <v>0</v>
      </c>
      <c r="E579" s="59">
        <v>0</v>
      </c>
      <c r="F579" s="59">
        <v>-22243.666325433773</v>
      </c>
      <c r="G579" s="59">
        <v>1395.8837587332623</v>
      </c>
      <c r="H579" s="59">
        <v>-561103576</v>
      </c>
      <c r="I579" s="59">
        <v>36058165.00000006</v>
      </c>
      <c r="J579" s="59">
        <v>0</v>
      </c>
      <c r="K579" s="59">
        <v>0</v>
      </c>
      <c r="L579" s="59">
        <v>0</v>
      </c>
      <c r="M579" s="59">
        <v>-20847.782566700509</v>
      </c>
      <c r="N579" s="59">
        <v>-525045410.99999994</v>
      </c>
      <c r="O579" s="59">
        <v>0</v>
      </c>
    </row>
    <row r="580" spans="3:15" x14ac:dyDescent="0.35">
      <c r="C580" t="s">
        <v>99</v>
      </c>
      <c r="D580" s="59"/>
      <c r="E580" s="59">
        <v>0</v>
      </c>
      <c r="F580" s="59"/>
      <c r="G580" s="59">
        <v>1.6931982193682416</v>
      </c>
      <c r="H580" s="59"/>
      <c r="I580" s="59">
        <v>0</v>
      </c>
      <c r="J580" s="59">
        <v>0</v>
      </c>
      <c r="K580" s="59">
        <v>0</v>
      </c>
      <c r="L580" s="59">
        <v>0</v>
      </c>
      <c r="M580" s="59">
        <v>1.6931982193682416</v>
      </c>
      <c r="N580" s="59">
        <v>0</v>
      </c>
      <c r="O580" s="59">
        <v>0</v>
      </c>
    </row>
    <row r="581" spans="3:15" x14ac:dyDescent="0.35">
      <c r="C581" t="s">
        <v>140</v>
      </c>
      <c r="D581" s="59"/>
      <c r="E581" s="59">
        <v>0</v>
      </c>
      <c r="F581" s="59"/>
      <c r="G581" s="59">
        <v>1.0941609453562862</v>
      </c>
      <c r="H581" s="59"/>
      <c r="I581" s="59">
        <v>0</v>
      </c>
      <c r="J581" s="59">
        <v>0</v>
      </c>
      <c r="K581" s="59">
        <v>0</v>
      </c>
      <c r="L581" s="59">
        <v>0</v>
      </c>
      <c r="M581" s="59">
        <v>1.0941609453562862</v>
      </c>
      <c r="N581" s="59">
        <v>0</v>
      </c>
      <c r="O581" s="59">
        <v>0</v>
      </c>
    </row>
    <row r="582" spans="3:15" x14ac:dyDescent="0.35">
      <c r="C582" t="s">
        <v>146</v>
      </c>
      <c r="D582" s="59"/>
      <c r="E582" s="59">
        <v>0</v>
      </c>
      <c r="F582" s="59"/>
      <c r="G582" s="59">
        <v>-0.55372242424539309</v>
      </c>
      <c r="H582" s="59"/>
      <c r="I582" s="59">
        <v>0</v>
      </c>
      <c r="J582" s="59">
        <v>0</v>
      </c>
      <c r="K582" s="59">
        <v>0</v>
      </c>
      <c r="L582" s="59">
        <v>0</v>
      </c>
      <c r="M582" s="59">
        <v>-0.55372242424539309</v>
      </c>
      <c r="N582" s="59">
        <v>0</v>
      </c>
      <c r="O582" s="59">
        <v>0</v>
      </c>
    </row>
    <row r="583" spans="3:15" x14ac:dyDescent="0.35">
      <c r="C583" t="s">
        <v>15</v>
      </c>
      <c r="D583" s="59"/>
      <c r="E583" s="59">
        <v>0</v>
      </c>
      <c r="F583" s="59"/>
      <c r="G583" s="59">
        <v>7.2289350924979772</v>
      </c>
      <c r="H583" s="59"/>
      <c r="I583" s="59">
        <v>0</v>
      </c>
      <c r="J583" s="59">
        <v>0</v>
      </c>
      <c r="K583" s="59">
        <v>0</v>
      </c>
      <c r="L583" s="59">
        <v>0</v>
      </c>
      <c r="M583" s="59">
        <v>7.2289350924979772</v>
      </c>
      <c r="N583" s="59">
        <v>0</v>
      </c>
      <c r="O583" s="59">
        <v>0</v>
      </c>
    </row>
    <row r="584" spans="3:15" x14ac:dyDescent="0.35">
      <c r="C584" t="s">
        <v>141</v>
      </c>
      <c r="D584" s="59"/>
      <c r="E584" s="59">
        <v>0</v>
      </c>
      <c r="F584" s="59"/>
      <c r="G584" s="59">
        <v>-1271.1480689753153</v>
      </c>
      <c r="H584" s="59"/>
      <c r="I584" s="59">
        <v>-32947619.00000003</v>
      </c>
      <c r="J584" s="59">
        <v>0</v>
      </c>
      <c r="K584" s="59">
        <v>0</v>
      </c>
      <c r="L584" s="59">
        <v>0</v>
      </c>
      <c r="M584" s="59">
        <v>-1271.1480689753153</v>
      </c>
      <c r="N584" s="59">
        <v>-32947619.00000003</v>
      </c>
      <c r="O584" s="59">
        <v>0</v>
      </c>
    </row>
    <row r="585" spans="3:15" x14ac:dyDescent="0.35">
      <c r="C585" t="s">
        <v>9</v>
      </c>
      <c r="D585" s="59"/>
      <c r="E585" s="59">
        <v>0</v>
      </c>
      <c r="F585" s="59"/>
      <c r="G585" s="59">
        <v>58.887181529706254</v>
      </c>
      <c r="H585" s="59"/>
      <c r="I585" s="59">
        <v>2682268.0000002682</v>
      </c>
      <c r="J585" s="59">
        <v>0</v>
      </c>
      <c r="K585" s="59">
        <v>0</v>
      </c>
      <c r="L585" s="59">
        <v>0</v>
      </c>
      <c r="M585" s="59">
        <v>58.887181529706254</v>
      </c>
      <c r="N585" s="59">
        <v>2682268.0000002682</v>
      </c>
      <c r="O585" s="59">
        <v>0</v>
      </c>
    </row>
    <row r="586" spans="3:15" x14ac:dyDescent="0.35">
      <c r="C586" t="s">
        <v>125</v>
      </c>
      <c r="D586" s="59"/>
      <c r="E586" s="59">
        <v>0</v>
      </c>
      <c r="F586" s="59"/>
      <c r="G586" s="59">
        <v>0.3778116227630175</v>
      </c>
      <c r="H586" s="59"/>
      <c r="I586" s="59">
        <v>0</v>
      </c>
      <c r="J586" s="59">
        <v>0</v>
      </c>
      <c r="K586" s="59">
        <v>0</v>
      </c>
      <c r="L586" s="59">
        <v>0</v>
      </c>
      <c r="M586" s="59">
        <v>0.3778116227630175</v>
      </c>
      <c r="N586" s="59">
        <v>0</v>
      </c>
      <c r="O586" s="59">
        <v>0</v>
      </c>
    </row>
    <row r="587" spans="3:15" x14ac:dyDescent="0.35">
      <c r="C587" t="s">
        <v>133</v>
      </c>
      <c r="D587" s="59"/>
      <c r="E587" s="59">
        <v>0</v>
      </c>
      <c r="F587" s="59"/>
      <c r="G587" s="59">
        <v>-13.209247083082118</v>
      </c>
      <c r="H587" s="59"/>
      <c r="I587" s="59">
        <v>0</v>
      </c>
      <c r="J587" s="59">
        <v>0</v>
      </c>
      <c r="K587" s="59">
        <v>0</v>
      </c>
      <c r="L587" s="59">
        <v>0</v>
      </c>
      <c r="M587" s="59">
        <v>-13.209247083082118</v>
      </c>
      <c r="N587" s="59">
        <v>0</v>
      </c>
      <c r="O587" s="59">
        <v>0</v>
      </c>
    </row>
    <row r="588" spans="3:15" x14ac:dyDescent="0.35">
      <c r="C588" t="s">
        <v>126</v>
      </c>
      <c r="D588" s="59"/>
      <c r="E588" s="59">
        <v>0</v>
      </c>
      <c r="F588" s="59"/>
      <c r="G588" s="59">
        <v>0.24038516607247828</v>
      </c>
      <c r="H588" s="59"/>
      <c r="I588" s="59">
        <v>0</v>
      </c>
      <c r="J588" s="59">
        <v>0</v>
      </c>
      <c r="K588" s="59">
        <v>0</v>
      </c>
      <c r="L588" s="59">
        <v>0</v>
      </c>
      <c r="M588" s="59">
        <v>0.24038516607247828</v>
      </c>
      <c r="N588" s="59">
        <v>0</v>
      </c>
      <c r="O588" s="59">
        <v>0</v>
      </c>
    </row>
    <row r="589" spans="3:15" x14ac:dyDescent="0.35">
      <c r="C589" t="s">
        <v>64</v>
      </c>
      <c r="D589" s="59"/>
      <c r="E589" s="59">
        <v>0</v>
      </c>
      <c r="F589" s="59"/>
      <c r="G589" s="59">
        <v>1.5882307358951664</v>
      </c>
      <c r="H589" s="59"/>
      <c r="I589" s="59">
        <v>0</v>
      </c>
      <c r="J589" s="59">
        <v>0</v>
      </c>
      <c r="K589" s="59">
        <v>0</v>
      </c>
      <c r="L589" s="59">
        <v>0</v>
      </c>
      <c r="M589" s="59">
        <v>1.5882307358951664</v>
      </c>
      <c r="N589" s="59">
        <v>0</v>
      </c>
      <c r="O589" s="59">
        <v>0</v>
      </c>
    </row>
    <row r="590" spans="3:15" x14ac:dyDescent="0.35">
      <c r="C590" t="s">
        <v>149</v>
      </c>
      <c r="D590" s="59"/>
      <c r="E590" s="59">
        <v>0</v>
      </c>
      <c r="F590" s="59"/>
      <c r="G590" s="59">
        <v>1.045163272154781</v>
      </c>
      <c r="H590" s="59"/>
      <c r="I590" s="59">
        <v>0</v>
      </c>
      <c r="J590" s="59">
        <v>0</v>
      </c>
      <c r="K590" s="59">
        <v>0</v>
      </c>
      <c r="L590" s="59">
        <v>0</v>
      </c>
      <c r="M590" s="59">
        <v>1.045163272154781</v>
      </c>
      <c r="N590" s="59">
        <v>0</v>
      </c>
      <c r="O590" s="59">
        <v>0</v>
      </c>
    </row>
    <row r="591" spans="3:15" x14ac:dyDescent="0.35">
      <c r="C591" t="s">
        <v>142</v>
      </c>
      <c r="D591" s="59"/>
      <c r="E591" s="59">
        <v>0</v>
      </c>
      <c r="F591" s="59"/>
      <c r="G591" s="59">
        <v>3.7158117109329964</v>
      </c>
      <c r="H591" s="59"/>
      <c r="I591" s="59">
        <v>100000</v>
      </c>
      <c r="J591" s="59">
        <v>0</v>
      </c>
      <c r="K591" s="59">
        <v>0</v>
      </c>
      <c r="L591" s="59">
        <v>0</v>
      </c>
      <c r="M591" s="59">
        <v>3.7158117109329964</v>
      </c>
      <c r="N591" s="59">
        <v>100000</v>
      </c>
      <c r="O591" s="59">
        <v>0</v>
      </c>
    </row>
    <row r="592" spans="3:15" x14ac:dyDescent="0.35">
      <c r="C592" t="s">
        <v>137</v>
      </c>
      <c r="D592" s="59"/>
      <c r="E592" s="59">
        <v>0</v>
      </c>
      <c r="F592" s="59"/>
      <c r="G592" s="59">
        <v>-17.064450055996986</v>
      </c>
      <c r="H592" s="59"/>
      <c r="I592" s="59">
        <v>0</v>
      </c>
      <c r="J592" s="59">
        <v>0</v>
      </c>
      <c r="K592" s="59">
        <v>0</v>
      </c>
      <c r="L592" s="59">
        <v>0</v>
      </c>
      <c r="M592" s="59">
        <v>-17.064450055996986</v>
      </c>
      <c r="N592" s="59">
        <v>0</v>
      </c>
      <c r="O592" s="59">
        <v>0</v>
      </c>
    </row>
    <row r="593" spans="3:15" x14ac:dyDescent="0.35">
      <c r="C593" t="s">
        <v>121</v>
      </c>
      <c r="D593" s="59"/>
      <c r="E593" s="59">
        <v>0</v>
      </c>
      <c r="F593" s="59"/>
      <c r="G593" s="59">
        <v>8.5602627792766128</v>
      </c>
      <c r="H593" s="59"/>
      <c r="I593" s="59">
        <v>-1.9790604710578918E-9</v>
      </c>
      <c r="J593" s="59">
        <v>0</v>
      </c>
      <c r="K593" s="59">
        <v>0</v>
      </c>
      <c r="L593" s="59">
        <v>0</v>
      </c>
      <c r="M593" s="59">
        <v>8.5602627792766128</v>
      </c>
      <c r="N593" s="59">
        <v>-1.9790604710578918E-9</v>
      </c>
      <c r="O593" s="59">
        <v>0</v>
      </c>
    </row>
    <row r="594" spans="3:15" x14ac:dyDescent="0.35">
      <c r="C594" t="s">
        <v>131</v>
      </c>
      <c r="D594" s="59"/>
      <c r="E594" s="59">
        <v>0</v>
      </c>
      <c r="F594" s="59"/>
      <c r="G594" s="59">
        <v>0.48709434991778977</v>
      </c>
      <c r="H594" s="59"/>
      <c r="I594" s="59">
        <v>0</v>
      </c>
      <c r="J594" s="59">
        <v>0</v>
      </c>
      <c r="K594" s="59">
        <v>0</v>
      </c>
      <c r="L594" s="59">
        <v>0</v>
      </c>
      <c r="M594" s="59">
        <v>0.48709434991778977</v>
      </c>
      <c r="N594" s="59">
        <v>0</v>
      </c>
      <c r="O594" s="59">
        <v>0</v>
      </c>
    </row>
    <row r="595" spans="3:15" x14ac:dyDescent="0.35">
      <c r="C595" t="s">
        <v>147</v>
      </c>
      <c r="D595" s="59"/>
      <c r="E595" s="59">
        <v>0</v>
      </c>
      <c r="F595" s="59"/>
      <c r="G595" s="59">
        <v>6.7477615120991388</v>
      </c>
      <c r="H595" s="59"/>
      <c r="I595" s="59">
        <v>0</v>
      </c>
      <c r="J595" s="59">
        <v>0</v>
      </c>
      <c r="K595" s="59">
        <v>0</v>
      </c>
      <c r="L595" s="59">
        <v>0</v>
      </c>
      <c r="M595" s="59">
        <v>6.7477615120991388</v>
      </c>
      <c r="N595" s="59">
        <v>0</v>
      </c>
      <c r="O595" s="59">
        <v>0</v>
      </c>
    </row>
    <row r="596" spans="3:15" x14ac:dyDescent="0.35">
      <c r="C596" t="s">
        <v>46</v>
      </c>
      <c r="D596" s="59"/>
      <c r="E596" s="59">
        <v>0</v>
      </c>
      <c r="F596" s="59"/>
      <c r="G596" s="59">
        <v>20.689633854944745</v>
      </c>
      <c r="H596" s="59"/>
      <c r="I596" s="59">
        <v>-1.1641532182693481E-8</v>
      </c>
      <c r="J596" s="59">
        <v>0</v>
      </c>
      <c r="K596" s="59">
        <v>0</v>
      </c>
      <c r="L596" s="59">
        <v>0</v>
      </c>
      <c r="M596" s="59">
        <v>20.689633854944745</v>
      </c>
      <c r="N596" s="59">
        <v>-1.1641532182693481E-8</v>
      </c>
      <c r="O596" s="59">
        <v>0</v>
      </c>
    </row>
    <row r="597" spans="3:15" x14ac:dyDescent="0.35">
      <c r="C597" t="s">
        <v>60</v>
      </c>
      <c r="D597" s="59"/>
      <c r="E597" s="59">
        <v>0</v>
      </c>
      <c r="F597" s="59"/>
      <c r="G597" s="59">
        <v>1.2205983521193815</v>
      </c>
      <c r="H597" s="59"/>
      <c r="I597" s="59">
        <v>0</v>
      </c>
      <c r="J597" s="59">
        <v>0</v>
      </c>
      <c r="K597" s="59">
        <v>0</v>
      </c>
      <c r="L597" s="59">
        <v>0</v>
      </c>
      <c r="M597" s="59">
        <v>1.2205983521193815</v>
      </c>
      <c r="N597" s="59">
        <v>0</v>
      </c>
      <c r="O597" s="59">
        <v>0</v>
      </c>
    </row>
    <row r="598" spans="3:15" x14ac:dyDescent="0.35">
      <c r="C598" t="s">
        <v>16</v>
      </c>
      <c r="D598" s="59"/>
      <c r="E598" s="59">
        <v>0</v>
      </c>
      <c r="F598" s="59"/>
      <c r="G598" s="59">
        <v>-7.9535687334087015</v>
      </c>
      <c r="H598" s="59"/>
      <c r="I598" s="59">
        <v>0</v>
      </c>
      <c r="J598" s="59">
        <v>0</v>
      </c>
      <c r="K598" s="59">
        <v>0</v>
      </c>
      <c r="L598" s="59">
        <v>0</v>
      </c>
      <c r="M598" s="59">
        <v>-7.9535687334087015</v>
      </c>
      <c r="N598" s="59">
        <v>0</v>
      </c>
      <c r="O598" s="59">
        <v>0</v>
      </c>
    </row>
    <row r="599" spans="3:15" x14ac:dyDescent="0.35">
      <c r="C599" t="s">
        <v>122</v>
      </c>
      <c r="D599" s="59"/>
      <c r="E599" s="59">
        <v>0</v>
      </c>
      <c r="F599" s="59"/>
      <c r="G599" s="59">
        <v>-0.2073437943473273</v>
      </c>
      <c r="H599" s="59"/>
      <c r="I599" s="59">
        <v>0</v>
      </c>
      <c r="J599" s="59">
        <v>0</v>
      </c>
      <c r="K599" s="59">
        <v>0</v>
      </c>
      <c r="L599" s="59">
        <v>0</v>
      </c>
      <c r="M599" s="59">
        <v>-0.2073437943473273</v>
      </c>
      <c r="N599" s="59">
        <v>0</v>
      </c>
      <c r="O599" s="59">
        <v>0</v>
      </c>
    </row>
    <row r="600" spans="3:15" x14ac:dyDescent="0.35">
      <c r="C600" t="s">
        <v>124</v>
      </c>
      <c r="D600" s="59"/>
      <c r="E600" s="59">
        <v>0</v>
      </c>
      <c r="F600" s="59"/>
      <c r="G600" s="59">
        <v>0.38332351068685</v>
      </c>
      <c r="H600" s="59"/>
      <c r="I600" s="59">
        <v>0</v>
      </c>
      <c r="J600" s="59">
        <v>0</v>
      </c>
      <c r="K600" s="59">
        <v>0</v>
      </c>
      <c r="L600" s="59">
        <v>0</v>
      </c>
      <c r="M600" s="59">
        <v>0.38332351068685</v>
      </c>
      <c r="N600" s="59">
        <v>0</v>
      </c>
      <c r="O600" s="59">
        <v>0</v>
      </c>
    </row>
    <row r="601" spans="3:15" x14ac:dyDescent="0.35">
      <c r="C601" t="s">
        <v>128</v>
      </c>
      <c r="D601" s="59"/>
      <c r="E601" s="59">
        <v>0</v>
      </c>
      <c r="F601" s="59"/>
      <c r="G601" s="59">
        <v>1.1629240809950332</v>
      </c>
      <c r="H601" s="59"/>
      <c r="I601" s="59">
        <v>0</v>
      </c>
      <c r="J601" s="59">
        <v>0</v>
      </c>
      <c r="K601" s="59">
        <v>0</v>
      </c>
      <c r="L601" s="59">
        <v>0</v>
      </c>
      <c r="M601" s="59">
        <v>1.1629240809950332</v>
      </c>
      <c r="N601" s="59">
        <v>0</v>
      </c>
      <c r="O601" s="59">
        <v>0</v>
      </c>
    </row>
    <row r="602" spans="3:15" x14ac:dyDescent="0.35">
      <c r="C602" t="s">
        <v>132</v>
      </c>
      <c r="D602" s="59"/>
      <c r="E602" s="59">
        <v>0</v>
      </c>
      <c r="F602" s="59"/>
      <c r="G602" s="59">
        <v>-2.0102583202219719</v>
      </c>
      <c r="H602" s="59"/>
      <c r="I602" s="59">
        <v>0</v>
      </c>
      <c r="J602" s="59">
        <v>0</v>
      </c>
      <c r="K602" s="59">
        <v>0</v>
      </c>
      <c r="L602" s="59">
        <v>0</v>
      </c>
      <c r="M602" s="59">
        <v>-2.0102583202219719</v>
      </c>
      <c r="N602" s="59">
        <v>0</v>
      </c>
      <c r="O602" s="59">
        <v>0</v>
      </c>
    </row>
    <row r="603" spans="3:15" x14ac:dyDescent="0.35">
      <c r="C603" t="s">
        <v>138</v>
      </c>
      <c r="D603" s="59"/>
      <c r="E603" s="59">
        <v>0</v>
      </c>
      <c r="F603" s="59"/>
      <c r="G603" s="59">
        <v>-13.135787588187554</v>
      </c>
      <c r="H603" s="59"/>
      <c r="I603" s="59">
        <v>0</v>
      </c>
      <c r="J603" s="59">
        <v>0</v>
      </c>
      <c r="K603" s="59">
        <v>0</v>
      </c>
      <c r="L603" s="59">
        <v>0</v>
      </c>
      <c r="M603" s="59">
        <v>-13.135787588187554</v>
      </c>
      <c r="N603" s="59">
        <v>0</v>
      </c>
      <c r="O603" s="59">
        <v>0</v>
      </c>
    </row>
    <row r="604" spans="3:15" x14ac:dyDescent="0.35">
      <c r="C604" t="s">
        <v>116</v>
      </c>
      <c r="D604" s="59"/>
      <c r="E604" s="59">
        <v>0</v>
      </c>
      <c r="F604" s="59"/>
      <c r="G604" s="59">
        <v>144.98011732270291</v>
      </c>
      <c r="H604" s="59"/>
      <c r="I604" s="59">
        <v>3800000</v>
      </c>
      <c r="J604" s="59">
        <v>0</v>
      </c>
      <c r="K604" s="59">
        <v>0</v>
      </c>
      <c r="L604" s="59">
        <v>0</v>
      </c>
      <c r="M604" s="59">
        <v>144.98011732270291</v>
      </c>
      <c r="N604" s="59">
        <v>3800000</v>
      </c>
      <c r="O604" s="59">
        <v>0</v>
      </c>
    </row>
    <row r="605" spans="3:15" x14ac:dyDescent="0.35">
      <c r="C605" t="s">
        <v>35</v>
      </c>
      <c r="D605" s="59"/>
      <c r="E605" s="59">
        <v>0</v>
      </c>
      <c r="F605" s="59"/>
      <c r="G605" s="59">
        <v>-27.728235017783305</v>
      </c>
      <c r="H605" s="59"/>
      <c r="I605" s="59">
        <v>0</v>
      </c>
      <c r="J605" s="59">
        <v>0</v>
      </c>
      <c r="K605" s="59">
        <v>0</v>
      </c>
      <c r="L605" s="59">
        <v>0</v>
      </c>
      <c r="M605" s="59">
        <v>-27.728235017783305</v>
      </c>
      <c r="N605" s="59">
        <v>0</v>
      </c>
      <c r="O605" s="59">
        <v>0</v>
      </c>
    </row>
    <row r="606" spans="3:15" x14ac:dyDescent="0.35">
      <c r="C606" t="s">
        <v>144</v>
      </c>
      <c r="D606" s="59"/>
      <c r="E606" s="59">
        <v>0</v>
      </c>
      <c r="F606" s="59"/>
      <c r="G606" s="59">
        <v>0.22482317650274553</v>
      </c>
      <c r="H606" s="59"/>
      <c r="I606" s="59">
        <v>0</v>
      </c>
      <c r="J606" s="59">
        <v>0</v>
      </c>
      <c r="K606" s="59">
        <v>0</v>
      </c>
      <c r="L606" s="59">
        <v>0</v>
      </c>
      <c r="M606" s="59">
        <v>0.22482317650274553</v>
      </c>
      <c r="N606" s="59">
        <v>0</v>
      </c>
      <c r="O606" s="59">
        <v>0</v>
      </c>
    </row>
    <row r="607" spans="3:15" x14ac:dyDescent="0.35">
      <c r="C607" t="s">
        <v>8</v>
      </c>
      <c r="D607" s="59"/>
      <c r="E607" s="59">
        <v>0</v>
      </c>
      <c r="F607" s="59"/>
      <c r="G607" s="59">
        <v>672.64964575854356</v>
      </c>
      <c r="H607" s="59"/>
      <c r="I607" s="59">
        <v>19459259.259259254</v>
      </c>
      <c r="J607" s="59">
        <v>0</v>
      </c>
      <c r="K607" s="59">
        <v>0</v>
      </c>
      <c r="L607" s="59">
        <v>0</v>
      </c>
      <c r="M607" s="59">
        <v>672.64964575854356</v>
      </c>
      <c r="N607" s="59">
        <v>19459259.259259254</v>
      </c>
      <c r="O607" s="59">
        <v>0</v>
      </c>
    </row>
    <row r="608" spans="3:15" x14ac:dyDescent="0.35">
      <c r="C608" t="s">
        <v>143</v>
      </c>
      <c r="D608" s="59"/>
      <c r="E608" s="59">
        <v>0</v>
      </c>
      <c r="F608" s="59"/>
      <c r="G608" s="59">
        <v>-0.97566465507137679</v>
      </c>
      <c r="H608" s="59"/>
      <c r="I608" s="59">
        <v>0</v>
      </c>
      <c r="J608" s="59">
        <v>0</v>
      </c>
      <c r="K608" s="59">
        <v>0</v>
      </c>
      <c r="L608" s="59">
        <v>0</v>
      </c>
      <c r="M608" s="59">
        <v>-0.97566465507137679</v>
      </c>
      <c r="N608" s="59">
        <v>0</v>
      </c>
      <c r="O608" s="59">
        <v>0</v>
      </c>
    </row>
    <row r="609" spans="1:15" x14ac:dyDescent="0.35">
      <c r="C609" t="s">
        <v>5</v>
      </c>
      <c r="D609" s="59"/>
      <c r="E609" s="59">
        <v>0</v>
      </c>
      <c r="F609" s="59"/>
      <c r="G609" s="59">
        <v>114.3468833481748</v>
      </c>
      <c r="H609" s="59"/>
      <c r="I609" s="59">
        <v>3080000</v>
      </c>
      <c r="J609" s="59">
        <v>0</v>
      </c>
      <c r="K609" s="59">
        <v>0</v>
      </c>
      <c r="L609" s="59">
        <v>0</v>
      </c>
      <c r="M609" s="59">
        <v>114.3468833481748</v>
      </c>
      <c r="N609" s="59">
        <v>3080000</v>
      </c>
      <c r="O609" s="59">
        <v>0</v>
      </c>
    </row>
    <row r="610" spans="1:15" x14ac:dyDescent="0.35">
      <c r="C610" t="s">
        <v>103</v>
      </c>
      <c r="D610" s="59"/>
      <c r="E610" s="59">
        <v>0</v>
      </c>
      <c r="F610" s="59"/>
      <c r="G610" s="59">
        <v>0.68278017402577973</v>
      </c>
      <c r="H610" s="59"/>
      <c r="I610" s="59">
        <v>0</v>
      </c>
      <c r="J610" s="59">
        <v>0</v>
      </c>
      <c r="K610" s="59">
        <v>0</v>
      </c>
      <c r="L610" s="59">
        <v>0</v>
      </c>
      <c r="M610" s="59">
        <v>0.68278017402577973</v>
      </c>
      <c r="N610" s="59">
        <v>0</v>
      </c>
      <c r="O610" s="59">
        <v>0</v>
      </c>
    </row>
    <row r="611" spans="1:15" x14ac:dyDescent="0.35">
      <c r="C611" t="s">
        <v>106</v>
      </c>
      <c r="D611" s="59"/>
      <c r="E611" s="59">
        <v>0</v>
      </c>
      <c r="F611" s="59"/>
      <c r="G611" s="59">
        <v>244.17703970139439</v>
      </c>
      <c r="H611" s="59"/>
      <c r="I611" s="59">
        <v>6400000</v>
      </c>
      <c r="J611" s="59">
        <v>0</v>
      </c>
      <c r="K611" s="59">
        <v>0</v>
      </c>
      <c r="L611" s="59">
        <v>0</v>
      </c>
      <c r="M611" s="59">
        <v>244.17703970139439</v>
      </c>
      <c r="N611" s="59">
        <v>6400000</v>
      </c>
      <c r="O611" s="59">
        <v>0</v>
      </c>
    </row>
    <row r="612" spans="1:15" x14ac:dyDescent="0.35">
      <c r="C612" t="s">
        <v>136</v>
      </c>
      <c r="D612" s="59"/>
      <c r="E612" s="59">
        <v>0</v>
      </c>
      <c r="F612" s="59"/>
      <c r="G612" s="59">
        <v>0.53896959530415955</v>
      </c>
      <c r="H612" s="59"/>
      <c r="I612" s="59">
        <v>0</v>
      </c>
      <c r="J612" s="59">
        <v>0</v>
      </c>
      <c r="K612" s="59">
        <v>0</v>
      </c>
      <c r="L612" s="59">
        <v>0</v>
      </c>
      <c r="M612" s="59">
        <v>0.53896959530415955</v>
      </c>
      <c r="N612" s="59">
        <v>0</v>
      </c>
      <c r="O612" s="59">
        <v>0</v>
      </c>
    </row>
    <row r="613" spans="1:15" x14ac:dyDescent="0.35">
      <c r="C613" t="s">
        <v>1264</v>
      </c>
      <c r="D613" s="59">
        <v>0</v>
      </c>
      <c r="E613" s="59">
        <v>0</v>
      </c>
      <c r="F613" s="59">
        <v>-14205.628924603863</v>
      </c>
      <c r="G613" s="59">
        <v>1718.6499927626958</v>
      </c>
      <c r="H613" s="59">
        <v>-380413794.70481902</v>
      </c>
      <c r="I613" s="59">
        <v>42863099.83754383</v>
      </c>
      <c r="J613" s="59">
        <v>0</v>
      </c>
      <c r="K613" s="59">
        <v>0</v>
      </c>
      <c r="L613" s="59">
        <v>0</v>
      </c>
      <c r="M613" s="59">
        <v>-12486.978931841168</v>
      </c>
      <c r="N613" s="59">
        <v>-337550694.86727518</v>
      </c>
      <c r="O613" s="59">
        <v>0</v>
      </c>
    </row>
    <row r="614" spans="1:15" x14ac:dyDescent="0.35">
      <c r="C614" t="s">
        <v>109</v>
      </c>
      <c r="D614" s="59"/>
      <c r="E614" s="59">
        <v>0</v>
      </c>
      <c r="F614" s="59"/>
      <c r="G614" s="59">
        <v>1.4033635871486325</v>
      </c>
      <c r="H614" s="59"/>
      <c r="I614" s="59">
        <v>0</v>
      </c>
      <c r="J614" s="59">
        <v>0</v>
      </c>
      <c r="K614" s="59">
        <v>0</v>
      </c>
      <c r="L614" s="59">
        <v>0</v>
      </c>
      <c r="M614" s="59">
        <v>1.4033635871486325</v>
      </c>
      <c r="N614" s="59">
        <v>0</v>
      </c>
      <c r="O614" s="59">
        <v>0</v>
      </c>
    </row>
    <row r="615" spans="1:15" x14ac:dyDescent="0.35">
      <c r="A615" t="s">
        <v>1401</v>
      </c>
      <c r="D615" s="59">
        <v>0</v>
      </c>
      <c r="E615" s="59">
        <v>0</v>
      </c>
      <c r="F615" s="59">
        <v>-14.46637795422601</v>
      </c>
      <c r="G615" s="59">
        <v>-43.99956227699068</v>
      </c>
      <c r="H615" s="59">
        <v>-350000</v>
      </c>
      <c r="I615" s="59">
        <v>-1133333</v>
      </c>
      <c r="J615" s="59">
        <v>0</v>
      </c>
      <c r="K615" s="59">
        <v>0</v>
      </c>
      <c r="L615" s="59">
        <v>0</v>
      </c>
      <c r="M615" s="59">
        <v>-58.465940231216692</v>
      </c>
      <c r="N615" s="59">
        <v>-1483333</v>
      </c>
      <c r="O615" s="59">
        <v>0</v>
      </c>
    </row>
    <row r="616" spans="1:15" x14ac:dyDescent="0.35">
      <c r="B616" t="s">
        <v>1402</v>
      </c>
      <c r="D616" s="59">
        <v>0</v>
      </c>
      <c r="E616" s="59">
        <v>0</v>
      </c>
      <c r="F616" s="59">
        <v>-14.46637795422601</v>
      </c>
      <c r="G616" s="59">
        <v>-43.99956227699068</v>
      </c>
      <c r="H616" s="59">
        <v>-350000</v>
      </c>
      <c r="I616" s="59">
        <v>-1133333</v>
      </c>
      <c r="J616" s="59">
        <v>0</v>
      </c>
      <c r="K616" s="59">
        <v>0</v>
      </c>
      <c r="L616" s="59">
        <v>0</v>
      </c>
      <c r="M616" s="59">
        <v>-58.465940231216692</v>
      </c>
      <c r="N616" s="59">
        <v>-1483333</v>
      </c>
      <c r="O616" s="59">
        <v>0</v>
      </c>
    </row>
    <row r="617" spans="1:15" x14ac:dyDescent="0.35">
      <c r="C617" t="s">
        <v>1264</v>
      </c>
      <c r="D617" s="59">
        <v>0</v>
      </c>
      <c r="E617" s="59"/>
      <c r="F617" s="59">
        <v>-14.46637795422601</v>
      </c>
      <c r="G617" s="59"/>
      <c r="H617" s="59">
        <v>-350000</v>
      </c>
      <c r="I617" s="59"/>
      <c r="J617" s="59">
        <v>0</v>
      </c>
      <c r="K617" s="59">
        <v>0</v>
      </c>
      <c r="L617" s="59">
        <v>0</v>
      </c>
      <c r="M617" s="59">
        <v>-14.46637795422601</v>
      </c>
      <c r="N617" s="59">
        <v>-350000</v>
      </c>
      <c r="O617" s="59">
        <v>0</v>
      </c>
    </row>
    <row r="618" spans="1:15" x14ac:dyDescent="0.35">
      <c r="C618" t="s">
        <v>64</v>
      </c>
      <c r="D618" s="59"/>
      <c r="E618" s="59">
        <v>0</v>
      </c>
      <c r="F618" s="59"/>
      <c r="G618" s="59">
        <v>-0.26671100547881821</v>
      </c>
      <c r="H618" s="59"/>
      <c r="I618" s="59">
        <v>0</v>
      </c>
      <c r="J618" s="59">
        <v>0</v>
      </c>
      <c r="K618" s="59">
        <v>0</v>
      </c>
      <c r="L618" s="59">
        <v>0</v>
      </c>
      <c r="M618" s="59">
        <v>-0.26671100547881821</v>
      </c>
      <c r="N618" s="59">
        <v>0</v>
      </c>
      <c r="O618" s="59">
        <v>0</v>
      </c>
    </row>
    <row r="619" spans="1:15" x14ac:dyDescent="0.35">
      <c r="C619" t="s">
        <v>141</v>
      </c>
      <c r="D619" s="59"/>
      <c r="E619" s="59">
        <v>0</v>
      </c>
      <c r="F619" s="59"/>
      <c r="G619" s="59">
        <v>-43.732851271511862</v>
      </c>
      <c r="H619" s="59"/>
      <c r="I619" s="59">
        <v>-1133333</v>
      </c>
      <c r="J619" s="59">
        <v>0</v>
      </c>
      <c r="K619" s="59">
        <v>0</v>
      </c>
      <c r="L619" s="59">
        <v>0</v>
      </c>
      <c r="M619" s="59">
        <v>-43.732851271511862</v>
      </c>
      <c r="N619" s="59">
        <v>-1133333</v>
      </c>
      <c r="O619" s="59">
        <v>0</v>
      </c>
    </row>
    <row r="620" spans="1:15" x14ac:dyDescent="0.35">
      <c r="A620" t="s">
        <v>18</v>
      </c>
      <c r="D620" s="59">
        <v>40480526</v>
      </c>
      <c r="E620" s="59">
        <v>41082298.200000003</v>
      </c>
      <c r="F620" s="59">
        <v>47019288.09337534</v>
      </c>
      <c r="G620" s="59">
        <v>47507817.281426311</v>
      </c>
      <c r="H620" s="59">
        <v>1168771277501.1995</v>
      </c>
      <c r="I620" s="59">
        <v>1221045586628.7012</v>
      </c>
      <c r="J620" s="59">
        <v>1161.5285852109562</v>
      </c>
      <c r="K620" s="59">
        <v>1156.4060279720743</v>
      </c>
      <c r="L620" s="59">
        <v>81562824.200000003</v>
      </c>
      <c r="M620" s="59">
        <v>94527105.374801606</v>
      </c>
      <c r="N620" s="59">
        <v>2389816864129.9009</v>
      </c>
      <c r="O620" s="59">
        <v>1158.9484094250085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561DF-0DC3-414A-ACEA-B1494324BADB}">
  <sheetPr>
    <tabColor theme="0" tint="-4.9989318521683403E-2"/>
  </sheetPr>
  <dimension ref="A1:AH1755"/>
  <sheetViews>
    <sheetView tabSelected="1" topLeftCell="A1743" workbookViewId="0">
      <selection activeCell="G1758" sqref="G1758"/>
    </sheetView>
  </sheetViews>
  <sheetFormatPr defaultRowHeight="14.5" x14ac:dyDescent="0.35"/>
  <cols>
    <col min="1" max="1" width="6" customWidth="1"/>
    <col min="2" max="2" width="7.33203125" customWidth="1"/>
    <col min="3" max="3" width="4.33203125" customWidth="1"/>
    <col min="4" max="4" width="9.75" bestFit="1" customWidth="1"/>
    <col min="5" max="5" width="37.75" bestFit="1" customWidth="1"/>
    <col min="6" max="6" width="19.75" bestFit="1" customWidth="1"/>
    <col min="7" max="7" width="43.33203125" bestFit="1" customWidth="1"/>
    <col min="8" max="9" width="10.5" customWidth="1"/>
    <col min="10" max="10" width="14" bestFit="1" customWidth="1"/>
    <col min="11" max="11" width="7.5" customWidth="1"/>
    <col min="12" max="12" width="46.33203125" bestFit="1" customWidth="1"/>
    <col min="13" max="13" width="13.75" bestFit="1" customWidth="1"/>
    <col min="14" max="14" width="13.5" bestFit="1" customWidth="1"/>
    <col min="15" max="15" width="17" customWidth="1"/>
    <col min="16" max="16" width="14.25" customWidth="1"/>
    <col min="17" max="17" width="16.33203125" customWidth="1"/>
    <col min="18" max="18" width="18" customWidth="1"/>
    <col min="19" max="19" width="18.33203125" customWidth="1"/>
    <col min="20" max="20" width="23.25" bestFit="1" customWidth="1"/>
    <col min="21" max="21" width="20.08203125" customWidth="1"/>
    <col min="22" max="22" width="21.33203125" bestFit="1" customWidth="1"/>
    <col min="23" max="23" width="14.08203125" customWidth="1"/>
    <col min="24" max="24" width="14.33203125" customWidth="1"/>
    <col min="25" max="25" width="16.33203125" customWidth="1"/>
    <col min="26" max="26" width="14.08203125" bestFit="1" customWidth="1"/>
    <col min="27" max="27" width="13.08203125" bestFit="1" customWidth="1"/>
    <col min="28" max="28" width="14.25" customWidth="1"/>
    <col min="29" max="29" width="16" customWidth="1"/>
    <col min="30" max="30" width="13.33203125" bestFit="1" customWidth="1"/>
    <col min="31" max="31" width="18.25" bestFit="1" customWidth="1"/>
    <col min="32" max="32" width="16.75" customWidth="1"/>
    <col min="33" max="33" width="41.5" bestFit="1" customWidth="1"/>
    <col min="34" max="34" width="60.25" bestFit="1" customWidth="1"/>
  </cols>
  <sheetData>
    <row r="1" spans="1:34" x14ac:dyDescent="0.35">
      <c r="E1" s="46">
        <v>546189.19999999995</v>
      </c>
      <c r="F1">
        <v>436.18920000000003</v>
      </c>
      <c r="G1">
        <v>88</v>
      </c>
      <c r="H1">
        <v>22</v>
      </c>
      <c r="N1" s="59"/>
      <c r="AA1" s="41">
        <f>(748003.261809891-598599.590989634-120330.822701678-29072.8481185788-0)</f>
        <v>1.2732925824820995E-10</v>
      </c>
      <c r="AB1">
        <v>-748003.26180989086</v>
      </c>
      <c r="AC1" s="41">
        <f>-598599.590989634-120330.822701678-29072.8481185788-0</f>
        <v>-748003.26180989086</v>
      </c>
      <c r="AD1">
        <v>748003.26180989051</v>
      </c>
      <c r="AE1" s="46">
        <v>748003.26180989097</v>
      </c>
      <c r="AG1" s="93" t="e">
        <f ca="1">_xlfn.XLOOKUP(Data_Actual_LG_EXW[[#This Row],[Mã KH]],MD_Customer[Mã khách],MD_Customer[Parent Account],Data_Actual_LG_EXW[[#This Row],[Tên KH]])</f>
        <v>#VALUE!</v>
      </c>
      <c r="AH1" s="93" t="e">
        <f ca="1">Data_Actual_LG_EXW[[#This Row],[Mã SKU]]&amp;" | "&amp;Data_Actual_LG_EXW[[#This Row],[Tên SKU]]</f>
        <v>#VALUE!</v>
      </c>
    </row>
    <row r="2" spans="1:34" s="1" customFormat="1" x14ac:dyDescent="0.35">
      <c r="N2" s="115">
        <f ca="1">SUBTOTAL(9,Data_Actual_LG_EXW[SL])</f>
        <v>80800968.899999991</v>
      </c>
      <c r="S2" s="115">
        <f ca="1">SUBTOTAL(9,Data_Actual_LG_EXW[Doanh thu EXW (VND)])</f>
        <v>2359547180459.9673</v>
      </c>
      <c r="AE2" s="115">
        <f ca="1">SUBTOTAL(9,Data_Actual_LG_EXW[Doanh thu EXW (USD)])</f>
        <v>93330680.710760146</v>
      </c>
    </row>
    <row r="3" spans="1:34" x14ac:dyDescent="0.35">
      <c r="A3" s="60" t="s">
        <v>1140</v>
      </c>
      <c r="B3" s="60" t="s">
        <v>1141</v>
      </c>
      <c r="C3" s="60" t="s">
        <v>1403</v>
      </c>
      <c r="D3" s="60" t="s">
        <v>1404</v>
      </c>
      <c r="E3" s="60" t="s">
        <v>1405</v>
      </c>
      <c r="F3" s="60" t="s">
        <v>992</v>
      </c>
      <c r="G3" s="60" t="s">
        <v>1151</v>
      </c>
      <c r="H3" s="60" t="s">
        <v>1406</v>
      </c>
      <c r="I3" s="60" t="s">
        <v>1407</v>
      </c>
      <c r="J3" s="60" t="s">
        <v>1154</v>
      </c>
      <c r="K3" s="60" t="s">
        <v>1408</v>
      </c>
      <c r="L3" s="60" t="s">
        <v>1409</v>
      </c>
      <c r="M3" s="60" t="s">
        <v>1138</v>
      </c>
      <c r="N3" s="60" t="s">
        <v>536</v>
      </c>
      <c r="O3" s="60" t="s">
        <v>1410</v>
      </c>
      <c r="P3" s="60" t="s">
        <v>1411</v>
      </c>
      <c r="Q3" s="60" t="s">
        <v>1412</v>
      </c>
      <c r="R3" s="60" t="s">
        <v>1413</v>
      </c>
      <c r="S3" s="60" t="s">
        <v>1414</v>
      </c>
      <c r="T3" s="60" t="s">
        <v>1415</v>
      </c>
      <c r="U3" s="60" t="s">
        <v>1416</v>
      </c>
      <c r="V3" s="60" t="s">
        <v>1417</v>
      </c>
      <c r="W3" s="60" t="s">
        <v>1418</v>
      </c>
      <c r="X3" s="60" t="s">
        <v>1419</v>
      </c>
      <c r="Y3" s="60" t="s">
        <v>1420</v>
      </c>
      <c r="Z3" s="60" t="s">
        <v>1421</v>
      </c>
      <c r="AA3" s="60" t="s">
        <v>1422</v>
      </c>
      <c r="AB3" s="60" t="s">
        <v>1423</v>
      </c>
      <c r="AC3" s="60" t="s">
        <v>1424</v>
      </c>
      <c r="AD3" s="60" t="s">
        <v>1425</v>
      </c>
      <c r="AE3" s="60" t="s">
        <v>1426</v>
      </c>
      <c r="AF3" s="60" t="s">
        <v>1427</v>
      </c>
      <c r="AG3" s="114" t="s">
        <v>1150</v>
      </c>
      <c r="AH3" s="114" t="s">
        <v>1155</v>
      </c>
    </row>
    <row r="4" spans="1:34" x14ac:dyDescent="0.35">
      <c r="A4" s="58">
        <v>2024</v>
      </c>
      <c r="B4" s="58">
        <v>1</v>
      </c>
      <c r="C4">
        <v>1</v>
      </c>
      <c r="D4" s="58" t="s">
        <v>625</v>
      </c>
      <c r="E4" t="s">
        <v>271</v>
      </c>
      <c r="F4" s="58" t="s">
        <v>713</v>
      </c>
      <c r="G4" t="s">
        <v>714</v>
      </c>
      <c r="H4" s="58" t="s">
        <v>1428</v>
      </c>
      <c r="I4" t="s">
        <v>75</v>
      </c>
      <c r="J4" s="58" t="s">
        <v>75</v>
      </c>
      <c r="K4" t="s">
        <v>1429</v>
      </c>
      <c r="L4" t="s">
        <v>20</v>
      </c>
      <c r="M4" t="s">
        <v>1430</v>
      </c>
      <c r="N4" s="59">
        <v>11000</v>
      </c>
      <c r="O4" s="59">
        <v>392018000</v>
      </c>
      <c r="P4" s="59">
        <v>0</v>
      </c>
      <c r="Q4" s="59">
        <v>0</v>
      </c>
      <c r="R4" s="59">
        <v>0</v>
      </c>
      <c r="S4" s="59">
        <v>392018000</v>
      </c>
      <c r="T4" s="41"/>
      <c r="U4" s="41"/>
      <c r="V4" s="41"/>
      <c r="W4" s="41"/>
      <c r="X4" s="41"/>
      <c r="Y4" s="41"/>
      <c r="Z4" s="41"/>
      <c r="AA4" s="41"/>
      <c r="AB4" s="41"/>
      <c r="AC4" s="41"/>
      <c r="AD4" s="41"/>
      <c r="AE4" s="59">
        <v>16082.744187773886</v>
      </c>
      <c r="AF4" s="59">
        <v>16082.744187773886</v>
      </c>
      <c r="AG4" s="59" t="s">
        <v>47</v>
      </c>
      <c r="AH4" s="59" t="s">
        <v>1195</v>
      </c>
    </row>
    <row r="5" spans="1:34" x14ac:dyDescent="0.35">
      <c r="A5" s="58">
        <v>2024</v>
      </c>
      <c r="B5" s="58">
        <v>1</v>
      </c>
      <c r="C5">
        <v>1</v>
      </c>
      <c r="D5" s="58" t="s">
        <v>625</v>
      </c>
      <c r="E5" t="s">
        <v>271</v>
      </c>
      <c r="F5" s="58" t="s">
        <v>184</v>
      </c>
      <c r="G5" t="s">
        <v>717</v>
      </c>
      <c r="H5" s="58" t="s">
        <v>1428</v>
      </c>
      <c r="I5" t="s">
        <v>75</v>
      </c>
      <c r="J5" s="58" t="s">
        <v>75</v>
      </c>
      <c r="K5" t="s">
        <v>1429</v>
      </c>
      <c r="L5" t="s">
        <v>20</v>
      </c>
      <c r="M5" t="s">
        <v>1431</v>
      </c>
      <c r="N5" s="59">
        <v>-15825</v>
      </c>
      <c r="O5" s="59">
        <v>0</v>
      </c>
      <c r="P5" s="59">
        <v>0</v>
      </c>
      <c r="Q5" s="59">
        <v>0</v>
      </c>
      <c r="R5" s="59">
        <v>0</v>
      </c>
      <c r="S5" s="59">
        <v>0</v>
      </c>
      <c r="T5" s="41"/>
      <c r="U5" s="41"/>
      <c r="V5" s="41"/>
      <c r="W5" s="41"/>
      <c r="X5" s="41"/>
      <c r="Y5" s="41"/>
      <c r="Z5" s="41"/>
      <c r="AA5" s="41"/>
      <c r="AB5" s="41"/>
      <c r="AC5" s="41"/>
      <c r="AD5" s="41"/>
      <c r="AE5" s="59">
        <v>0</v>
      </c>
      <c r="AF5" s="59">
        <v>0</v>
      </c>
      <c r="AG5" s="59" t="s">
        <v>47</v>
      </c>
      <c r="AH5" s="59" t="s">
        <v>1198</v>
      </c>
    </row>
    <row r="6" spans="1:34" x14ac:dyDescent="0.35">
      <c r="A6" s="58">
        <v>2024</v>
      </c>
      <c r="B6" s="58">
        <v>1</v>
      </c>
      <c r="C6">
        <v>1</v>
      </c>
      <c r="D6" s="58" t="s">
        <v>625</v>
      </c>
      <c r="E6" t="s">
        <v>271</v>
      </c>
      <c r="F6" s="58" t="s">
        <v>184</v>
      </c>
      <c r="G6" t="s">
        <v>717</v>
      </c>
      <c r="H6" s="58" t="s">
        <v>1428</v>
      </c>
      <c r="I6" t="s">
        <v>75</v>
      </c>
      <c r="J6" s="58" t="s">
        <v>75</v>
      </c>
      <c r="K6" t="s">
        <v>1429</v>
      </c>
      <c r="L6" t="s">
        <v>20</v>
      </c>
      <c r="M6" t="s">
        <v>1430</v>
      </c>
      <c r="N6" s="59">
        <v>100000</v>
      </c>
      <c r="O6" s="59">
        <v>3683800000</v>
      </c>
      <c r="P6" s="59">
        <v>0</v>
      </c>
      <c r="Q6" s="59">
        <v>0</v>
      </c>
      <c r="R6" s="59">
        <v>1430000</v>
      </c>
      <c r="S6" s="59">
        <v>3682370000</v>
      </c>
      <c r="T6" s="41"/>
      <c r="U6" s="41"/>
      <c r="V6" s="41"/>
      <c r="W6" s="41"/>
      <c r="X6" s="41"/>
      <c r="Y6" s="41"/>
      <c r="Z6" s="41"/>
      <c r="AA6" s="41"/>
      <c r="AB6" s="41"/>
      <c r="AC6" s="41"/>
      <c r="AD6" s="41"/>
      <c r="AE6" s="59">
        <v>151071.16182096975</v>
      </c>
      <c r="AF6" s="59">
        <v>151129.82832145828</v>
      </c>
      <c r="AG6" s="59" t="s">
        <v>47</v>
      </c>
      <c r="AH6" s="59" t="s">
        <v>1198</v>
      </c>
    </row>
    <row r="7" spans="1:34" x14ac:dyDescent="0.35">
      <c r="A7" s="58">
        <v>2024</v>
      </c>
      <c r="B7" s="58">
        <v>1</v>
      </c>
      <c r="C7">
        <v>1</v>
      </c>
      <c r="D7" s="58" t="s">
        <v>625</v>
      </c>
      <c r="E7" t="s">
        <v>271</v>
      </c>
      <c r="F7" s="58" t="s">
        <v>184</v>
      </c>
      <c r="G7" t="s">
        <v>717</v>
      </c>
      <c r="H7" s="58" t="s">
        <v>1428</v>
      </c>
      <c r="I7" t="s">
        <v>75</v>
      </c>
      <c r="J7" s="58" t="s">
        <v>75</v>
      </c>
      <c r="K7" t="s">
        <v>1429</v>
      </c>
      <c r="L7" t="s">
        <v>20</v>
      </c>
      <c r="M7" t="s">
        <v>1432</v>
      </c>
      <c r="N7" s="59">
        <v>15825</v>
      </c>
      <c r="O7" s="59">
        <v>0</v>
      </c>
      <c r="P7" s="59">
        <v>0</v>
      </c>
      <c r="Q7" s="59">
        <v>0</v>
      </c>
      <c r="R7" s="59">
        <v>0</v>
      </c>
      <c r="S7" s="59">
        <v>0</v>
      </c>
      <c r="T7" s="41"/>
      <c r="U7" s="41"/>
      <c r="V7" s="41"/>
      <c r="W7" s="41"/>
      <c r="X7" s="41"/>
      <c r="Y7" s="41"/>
      <c r="Z7" s="41"/>
      <c r="AA7" s="41"/>
      <c r="AB7" s="41"/>
      <c r="AC7" s="41"/>
      <c r="AD7" s="41"/>
      <c r="AE7" s="59">
        <v>0</v>
      </c>
      <c r="AF7" s="59">
        <v>0</v>
      </c>
      <c r="AG7" s="59" t="s">
        <v>47</v>
      </c>
      <c r="AH7" s="59" t="s">
        <v>1198</v>
      </c>
    </row>
    <row r="8" spans="1:34" x14ac:dyDescent="0.35">
      <c r="A8" s="58">
        <v>2024</v>
      </c>
      <c r="B8" s="58">
        <v>1</v>
      </c>
      <c r="C8">
        <v>1</v>
      </c>
      <c r="D8" s="58" t="s">
        <v>625</v>
      </c>
      <c r="E8" t="s">
        <v>271</v>
      </c>
      <c r="F8" s="58" t="s">
        <v>194</v>
      </c>
      <c r="G8" t="s">
        <v>743</v>
      </c>
      <c r="H8" s="58" t="s">
        <v>1428</v>
      </c>
      <c r="I8" t="s">
        <v>76</v>
      </c>
      <c r="J8" s="58" t="s">
        <v>76</v>
      </c>
      <c r="K8" t="s">
        <v>1429</v>
      </c>
      <c r="L8" t="s">
        <v>20</v>
      </c>
      <c r="M8" t="s">
        <v>1430</v>
      </c>
      <c r="N8" s="59">
        <v>9625</v>
      </c>
      <c r="O8" s="59">
        <v>205726194.00000018</v>
      </c>
      <c r="P8" s="59">
        <v>0</v>
      </c>
      <c r="Q8" s="59">
        <v>0</v>
      </c>
      <c r="R8" s="59">
        <v>0</v>
      </c>
      <c r="S8" s="59">
        <v>205726194.00000018</v>
      </c>
      <c r="T8" s="41"/>
      <c r="U8" s="41"/>
      <c r="V8" s="41"/>
      <c r="W8" s="41"/>
      <c r="X8" s="41"/>
      <c r="Y8" s="41"/>
      <c r="Z8" s="41"/>
      <c r="AA8" s="41"/>
      <c r="AB8" s="41"/>
      <c r="AC8" s="41"/>
      <c r="AD8" s="41"/>
      <c r="AE8" s="59">
        <v>8440.0250774871201</v>
      </c>
      <c r="AF8" s="59">
        <v>8440.0250774871201</v>
      </c>
      <c r="AG8" s="59" t="s">
        <v>47</v>
      </c>
      <c r="AH8" s="59" t="s">
        <v>1246</v>
      </c>
    </row>
    <row r="9" spans="1:34" x14ac:dyDescent="0.35">
      <c r="A9" s="58">
        <v>2024</v>
      </c>
      <c r="B9" s="58">
        <v>1</v>
      </c>
      <c r="C9">
        <v>1</v>
      </c>
      <c r="D9" s="58" t="s">
        <v>625</v>
      </c>
      <c r="E9" t="s">
        <v>271</v>
      </c>
      <c r="F9" s="58" t="s">
        <v>195</v>
      </c>
      <c r="G9" t="s">
        <v>746</v>
      </c>
      <c r="H9" s="58" t="s">
        <v>1428</v>
      </c>
      <c r="I9" t="s">
        <v>76</v>
      </c>
      <c r="J9" s="58" t="s">
        <v>76</v>
      </c>
      <c r="K9" t="s">
        <v>1429</v>
      </c>
      <c r="L9" t="s">
        <v>20</v>
      </c>
      <c r="M9" t="s">
        <v>1430</v>
      </c>
      <c r="N9" s="59">
        <v>9625</v>
      </c>
      <c r="O9" s="59">
        <v>205726193.99999997</v>
      </c>
      <c r="P9" s="59">
        <v>0</v>
      </c>
      <c r="Q9" s="59">
        <v>0</v>
      </c>
      <c r="R9" s="59">
        <v>0</v>
      </c>
      <c r="S9" s="59">
        <v>205726193.99999997</v>
      </c>
      <c r="T9" s="41"/>
      <c r="U9" s="41"/>
      <c r="V9" s="41"/>
      <c r="W9" s="41"/>
      <c r="X9" s="41"/>
      <c r="Y9" s="41"/>
      <c r="Z9" s="41"/>
      <c r="AA9" s="41"/>
      <c r="AB9" s="41"/>
      <c r="AC9" s="41"/>
      <c r="AD9" s="41"/>
      <c r="AE9" s="59">
        <v>8440.025077487111</v>
      </c>
      <c r="AF9" s="59">
        <v>8440.025077487111</v>
      </c>
      <c r="AG9" s="59" t="s">
        <v>47</v>
      </c>
      <c r="AH9" s="59" t="s">
        <v>1247</v>
      </c>
    </row>
    <row r="10" spans="1:34" x14ac:dyDescent="0.35">
      <c r="A10" s="58">
        <v>2024</v>
      </c>
      <c r="B10" s="58">
        <v>1</v>
      </c>
      <c r="C10">
        <v>1</v>
      </c>
      <c r="D10" s="58" t="s">
        <v>625</v>
      </c>
      <c r="E10" t="s">
        <v>271</v>
      </c>
      <c r="F10" s="58" t="s">
        <v>197</v>
      </c>
      <c r="G10" t="s">
        <v>752</v>
      </c>
      <c r="H10" s="58" t="s">
        <v>1428</v>
      </c>
      <c r="I10" t="s">
        <v>76</v>
      </c>
      <c r="J10" s="58" t="s">
        <v>76</v>
      </c>
      <c r="K10" t="s">
        <v>1429</v>
      </c>
      <c r="L10" t="s">
        <v>20</v>
      </c>
      <c r="M10" t="s">
        <v>1430</v>
      </c>
      <c r="N10" s="59">
        <v>5500</v>
      </c>
      <c r="O10" s="59">
        <v>117557825.00000001</v>
      </c>
      <c r="P10" s="59">
        <v>0</v>
      </c>
      <c r="Q10" s="59">
        <v>0</v>
      </c>
      <c r="R10" s="59">
        <v>0</v>
      </c>
      <c r="S10" s="59">
        <v>117557825.00000001</v>
      </c>
      <c r="T10" s="41"/>
      <c r="U10" s="41"/>
      <c r="V10" s="41"/>
      <c r="W10" s="41"/>
      <c r="X10" s="41"/>
      <c r="Y10" s="41"/>
      <c r="Z10" s="41"/>
      <c r="AA10" s="41"/>
      <c r="AB10" s="41"/>
      <c r="AC10" s="41"/>
      <c r="AD10" s="41"/>
      <c r="AE10" s="59">
        <v>4822.8714669889896</v>
      </c>
      <c r="AF10" s="59">
        <v>4822.8714669889896</v>
      </c>
      <c r="AG10" s="59" t="s">
        <v>47</v>
      </c>
      <c r="AH10" s="59" t="s">
        <v>1249</v>
      </c>
    </row>
    <row r="11" spans="1:34" x14ac:dyDescent="0.35">
      <c r="A11" s="58">
        <v>2024</v>
      </c>
      <c r="B11" s="58">
        <v>1</v>
      </c>
      <c r="C11">
        <v>1</v>
      </c>
      <c r="D11" s="58" t="s">
        <v>625</v>
      </c>
      <c r="E11" t="s">
        <v>271</v>
      </c>
      <c r="F11" s="58" t="s">
        <v>199</v>
      </c>
      <c r="G11" t="s">
        <v>758</v>
      </c>
      <c r="H11" s="58" t="s">
        <v>1428</v>
      </c>
      <c r="I11" t="s">
        <v>76</v>
      </c>
      <c r="J11" s="58" t="s">
        <v>76</v>
      </c>
      <c r="K11" t="s">
        <v>1429</v>
      </c>
      <c r="L11" t="s">
        <v>20</v>
      </c>
      <c r="M11" t="s">
        <v>1430</v>
      </c>
      <c r="N11" s="59">
        <v>5500</v>
      </c>
      <c r="O11" s="59">
        <v>117557825.00000001</v>
      </c>
      <c r="P11" s="59">
        <v>0</v>
      </c>
      <c r="Q11" s="59">
        <v>0</v>
      </c>
      <c r="R11" s="59">
        <v>0</v>
      </c>
      <c r="S11" s="59">
        <v>117557825.00000001</v>
      </c>
      <c r="T11" s="41"/>
      <c r="U11" s="41"/>
      <c r="V11" s="41"/>
      <c r="W11" s="41"/>
      <c r="X11" s="41"/>
      <c r="Y11" s="41"/>
      <c r="Z11" s="41"/>
      <c r="AA11" s="41"/>
      <c r="AB11" s="41"/>
      <c r="AC11" s="41"/>
      <c r="AD11" s="41"/>
      <c r="AE11" s="59">
        <v>4822.8714669889896</v>
      </c>
      <c r="AF11" s="59">
        <v>4822.8714669889896</v>
      </c>
      <c r="AG11" s="59" t="s">
        <v>47</v>
      </c>
      <c r="AH11" s="59" t="s">
        <v>1254</v>
      </c>
    </row>
    <row r="12" spans="1:34" x14ac:dyDescent="0.35">
      <c r="A12" s="58">
        <v>2024</v>
      </c>
      <c r="B12" s="58">
        <v>1</v>
      </c>
      <c r="C12">
        <v>1</v>
      </c>
      <c r="D12" s="58" t="s">
        <v>625</v>
      </c>
      <c r="E12" t="s">
        <v>271</v>
      </c>
      <c r="F12" s="58" t="s">
        <v>187</v>
      </c>
      <c r="G12" t="s">
        <v>869</v>
      </c>
      <c r="H12" s="58" t="s">
        <v>1428</v>
      </c>
      <c r="I12" t="s">
        <v>75</v>
      </c>
      <c r="J12" s="58" t="s">
        <v>75</v>
      </c>
      <c r="K12" t="s">
        <v>1429</v>
      </c>
      <c r="L12" t="s">
        <v>20</v>
      </c>
      <c r="M12" t="s">
        <v>1430</v>
      </c>
      <c r="N12" s="59">
        <v>500</v>
      </c>
      <c r="O12" s="59">
        <v>17819000</v>
      </c>
      <c r="P12" s="59">
        <v>0</v>
      </c>
      <c r="Q12" s="59">
        <v>0</v>
      </c>
      <c r="R12" s="59">
        <v>0</v>
      </c>
      <c r="S12" s="59">
        <v>17819000</v>
      </c>
      <c r="T12" s="41"/>
      <c r="U12" s="41"/>
      <c r="V12" s="41"/>
      <c r="W12" s="41"/>
      <c r="X12" s="41"/>
      <c r="Y12" s="41"/>
      <c r="Z12" s="41"/>
      <c r="AA12" s="41"/>
      <c r="AB12" s="41"/>
      <c r="AC12" s="41"/>
      <c r="AD12" s="41"/>
      <c r="AE12" s="59">
        <v>731.03382671699478</v>
      </c>
      <c r="AF12" s="59">
        <v>731.03382671699478</v>
      </c>
      <c r="AG12" s="59" t="s">
        <v>47</v>
      </c>
      <c r="AH12" s="59" t="s">
        <v>1203</v>
      </c>
    </row>
    <row r="13" spans="1:34" x14ac:dyDescent="0.35">
      <c r="A13" s="58">
        <v>2024</v>
      </c>
      <c r="B13" s="58">
        <v>1</v>
      </c>
      <c r="C13">
        <v>1</v>
      </c>
      <c r="D13" s="58" t="s">
        <v>1433</v>
      </c>
      <c r="E13" t="s">
        <v>1276</v>
      </c>
      <c r="F13" s="58" t="s">
        <v>1434</v>
      </c>
      <c r="G13" t="s">
        <v>1435</v>
      </c>
      <c r="H13" s="58" t="s">
        <v>1012</v>
      </c>
      <c r="I13" t="s">
        <v>1012</v>
      </c>
      <c r="J13" s="58" t="s">
        <v>1012</v>
      </c>
      <c r="K13" t="s">
        <v>1429</v>
      </c>
      <c r="L13" t="s">
        <v>20</v>
      </c>
      <c r="M13" t="s">
        <v>1430</v>
      </c>
      <c r="N13" s="59">
        <v>0</v>
      </c>
      <c r="O13" s="59">
        <v>0</v>
      </c>
      <c r="P13" s="59">
        <v>0</v>
      </c>
      <c r="Q13" s="59">
        <v>0</v>
      </c>
      <c r="R13" s="59">
        <v>0</v>
      </c>
      <c r="S13" s="59">
        <v>0</v>
      </c>
      <c r="T13" s="41"/>
      <c r="U13" s="41"/>
      <c r="V13" s="41"/>
      <c r="W13" s="41"/>
      <c r="X13" s="41"/>
      <c r="Y13" s="41"/>
      <c r="Z13" s="41"/>
      <c r="AA13" s="41"/>
      <c r="AB13" s="41"/>
      <c r="AC13" s="41"/>
      <c r="AD13" s="41"/>
      <c r="AE13" s="59">
        <v>0</v>
      </c>
      <c r="AF13" s="59">
        <v>0</v>
      </c>
      <c r="AG13" s="59" t="s">
        <v>1276</v>
      </c>
      <c r="AH13" s="59" t="s">
        <v>1319</v>
      </c>
    </row>
    <row r="14" spans="1:34" x14ac:dyDescent="0.35">
      <c r="A14" s="58">
        <v>2024</v>
      </c>
      <c r="B14" s="58">
        <v>1</v>
      </c>
      <c r="C14">
        <v>1</v>
      </c>
      <c r="D14" s="58" t="s">
        <v>651</v>
      </c>
      <c r="E14" t="s">
        <v>464</v>
      </c>
      <c r="F14" s="58" t="s">
        <v>184</v>
      </c>
      <c r="G14" t="s">
        <v>717</v>
      </c>
      <c r="H14" s="58" t="s">
        <v>1428</v>
      </c>
      <c r="I14" t="s">
        <v>75</v>
      </c>
      <c r="J14" s="58" t="s">
        <v>75</v>
      </c>
      <c r="K14" t="s">
        <v>1429</v>
      </c>
      <c r="L14" t="s">
        <v>20</v>
      </c>
      <c r="M14" t="s">
        <v>1430</v>
      </c>
      <c r="N14" s="59">
        <v>9625</v>
      </c>
      <c r="O14" s="59">
        <v>356567750</v>
      </c>
      <c r="P14" s="59">
        <v>0</v>
      </c>
      <c r="Q14" s="59">
        <v>0</v>
      </c>
      <c r="R14" s="59">
        <v>0</v>
      </c>
      <c r="S14" s="59">
        <v>356567750</v>
      </c>
      <c r="T14" s="41"/>
      <c r="U14" s="41"/>
      <c r="V14" s="41"/>
      <c r="W14" s="41"/>
      <c r="X14" s="41"/>
      <c r="Y14" s="41"/>
      <c r="Z14" s="41"/>
      <c r="AA14" s="41"/>
      <c r="AB14" s="41"/>
      <c r="AC14" s="41"/>
      <c r="AD14" s="41"/>
      <c r="AE14" s="59">
        <v>14628.379076624318</v>
      </c>
      <c r="AF14" s="59">
        <v>14628.379076624318</v>
      </c>
      <c r="AG14" s="59" t="s">
        <v>5</v>
      </c>
      <c r="AH14" s="59" t="s">
        <v>1198</v>
      </c>
    </row>
    <row r="15" spans="1:34" x14ac:dyDescent="0.35">
      <c r="A15" s="58">
        <v>2024</v>
      </c>
      <c r="B15" s="58">
        <v>1</v>
      </c>
      <c r="C15">
        <v>1</v>
      </c>
      <c r="D15" s="58" t="s">
        <v>640</v>
      </c>
      <c r="E15" t="s">
        <v>552</v>
      </c>
      <c r="F15" s="58" t="s">
        <v>168</v>
      </c>
      <c r="G15" t="s">
        <v>700</v>
      </c>
      <c r="H15" s="58" t="s">
        <v>4</v>
      </c>
      <c r="I15" t="s">
        <v>4</v>
      </c>
      <c r="J15" s="58" t="s">
        <v>4</v>
      </c>
      <c r="K15" t="s">
        <v>1429</v>
      </c>
      <c r="L15" t="s">
        <v>20</v>
      </c>
      <c r="M15" t="s">
        <v>1431</v>
      </c>
      <c r="N15" s="59">
        <v>-5904</v>
      </c>
      <c r="O15" s="59">
        <v>0</v>
      </c>
      <c r="P15" s="59">
        <v>0</v>
      </c>
      <c r="Q15" s="59">
        <v>0</v>
      </c>
      <c r="R15" s="59">
        <v>0</v>
      </c>
      <c r="S15" s="59">
        <v>0</v>
      </c>
      <c r="T15" s="41"/>
      <c r="U15" s="41"/>
      <c r="V15" s="41"/>
      <c r="W15" s="41"/>
      <c r="X15" s="41"/>
      <c r="Y15" s="41"/>
      <c r="Z15" s="41"/>
      <c r="AA15" s="41"/>
      <c r="AB15" s="41"/>
      <c r="AC15" s="41"/>
      <c r="AD15" s="41"/>
      <c r="AE15" s="59">
        <v>0</v>
      </c>
      <c r="AF15" s="59">
        <v>0</v>
      </c>
      <c r="AG15" s="59" t="s">
        <v>99</v>
      </c>
      <c r="AH15" s="59" t="s">
        <v>1160</v>
      </c>
    </row>
    <row r="16" spans="1:34" x14ac:dyDescent="0.35">
      <c r="A16" s="58">
        <v>2024</v>
      </c>
      <c r="B16" s="58">
        <v>1</v>
      </c>
      <c r="C16">
        <v>1</v>
      </c>
      <c r="D16" s="58" t="s">
        <v>640</v>
      </c>
      <c r="E16" t="s">
        <v>552</v>
      </c>
      <c r="F16" s="58" t="s">
        <v>168</v>
      </c>
      <c r="G16" t="s">
        <v>700</v>
      </c>
      <c r="H16" s="58" t="s">
        <v>4</v>
      </c>
      <c r="I16" t="s">
        <v>4</v>
      </c>
      <c r="J16" s="58" t="s">
        <v>4</v>
      </c>
      <c r="K16" t="s">
        <v>1429</v>
      </c>
      <c r="L16" t="s">
        <v>20</v>
      </c>
      <c r="M16" t="s">
        <v>1430</v>
      </c>
      <c r="N16" s="59">
        <v>145200</v>
      </c>
      <c r="O16" s="59">
        <v>4715515200</v>
      </c>
      <c r="P16" s="59">
        <v>24314404.963991482</v>
      </c>
      <c r="Q16" s="59">
        <v>0</v>
      </c>
      <c r="R16" s="59">
        <v>26180000</v>
      </c>
      <c r="S16" s="59">
        <v>4665020795.0360079</v>
      </c>
      <c r="T16" s="41"/>
      <c r="U16" s="41"/>
      <c r="V16" s="41"/>
      <c r="W16" s="41"/>
      <c r="X16" s="41"/>
      <c r="Y16" s="41"/>
      <c r="Z16" s="41"/>
      <c r="AA16" s="41"/>
      <c r="AB16" s="41"/>
      <c r="AC16" s="41"/>
      <c r="AD16" s="41"/>
      <c r="AE16" s="59">
        <v>191384.92639932263</v>
      </c>
      <c r="AF16" s="59">
        <v>193456.48586330068</v>
      </c>
      <c r="AG16" s="59" t="s">
        <v>99</v>
      </c>
      <c r="AH16" s="59" t="s">
        <v>1160</v>
      </c>
    </row>
    <row r="17" spans="1:34" x14ac:dyDescent="0.35">
      <c r="A17" s="58">
        <v>2024</v>
      </c>
      <c r="B17" s="58">
        <v>1</v>
      </c>
      <c r="C17">
        <v>1</v>
      </c>
      <c r="D17" s="58" t="s">
        <v>640</v>
      </c>
      <c r="E17" t="s">
        <v>552</v>
      </c>
      <c r="F17" s="58" t="s">
        <v>168</v>
      </c>
      <c r="G17" t="s">
        <v>700</v>
      </c>
      <c r="H17" s="58" t="s">
        <v>4</v>
      </c>
      <c r="I17" t="s">
        <v>4</v>
      </c>
      <c r="J17" s="58" t="s">
        <v>4</v>
      </c>
      <c r="K17" t="s">
        <v>1429</v>
      </c>
      <c r="L17" t="s">
        <v>20</v>
      </c>
      <c r="M17" t="s">
        <v>1432</v>
      </c>
      <c r="N17" s="59">
        <v>5904</v>
      </c>
      <c r="O17" s="59">
        <v>0</v>
      </c>
      <c r="P17" s="59">
        <v>0</v>
      </c>
      <c r="Q17" s="59">
        <v>0</v>
      </c>
      <c r="R17" s="59">
        <v>0</v>
      </c>
      <c r="S17" s="59">
        <v>0</v>
      </c>
      <c r="T17" s="41"/>
      <c r="U17" s="41"/>
      <c r="V17" s="41"/>
      <c r="W17" s="41"/>
      <c r="X17" s="41"/>
      <c r="Y17" s="41"/>
      <c r="Z17" s="41"/>
      <c r="AA17" s="41"/>
      <c r="AB17" s="41"/>
      <c r="AC17" s="41"/>
      <c r="AD17" s="41"/>
      <c r="AE17" s="59">
        <v>0</v>
      </c>
      <c r="AF17" s="59">
        <v>0</v>
      </c>
      <c r="AG17" s="59" t="s">
        <v>99</v>
      </c>
      <c r="AH17" s="59" t="s">
        <v>1160</v>
      </c>
    </row>
    <row r="18" spans="1:34" x14ac:dyDescent="0.35">
      <c r="A18" s="58">
        <v>2024</v>
      </c>
      <c r="B18" s="58">
        <v>1</v>
      </c>
      <c r="C18">
        <v>1</v>
      </c>
      <c r="D18" s="58" t="s">
        <v>589</v>
      </c>
      <c r="E18" t="s">
        <v>322</v>
      </c>
      <c r="F18" s="58" t="s">
        <v>171</v>
      </c>
      <c r="G18" t="s">
        <v>731</v>
      </c>
      <c r="H18" s="58" t="s">
        <v>4</v>
      </c>
      <c r="I18" t="s">
        <v>4</v>
      </c>
      <c r="J18" s="58" t="s">
        <v>4</v>
      </c>
      <c r="K18" t="s">
        <v>1429</v>
      </c>
      <c r="L18" t="s">
        <v>20</v>
      </c>
      <c r="M18" t="s">
        <v>1431</v>
      </c>
      <c r="N18" s="59">
        <v>-8600</v>
      </c>
      <c r="O18" s="59">
        <v>0</v>
      </c>
      <c r="P18" s="59">
        <v>0</v>
      </c>
      <c r="Q18" s="59">
        <v>0</v>
      </c>
      <c r="R18" s="59">
        <v>602000</v>
      </c>
      <c r="S18" s="59">
        <v>-602000</v>
      </c>
      <c r="T18" s="41"/>
      <c r="U18" s="41"/>
      <c r="V18" s="41"/>
      <c r="W18" s="41"/>
      <c r="X18" s="41"/>
      <c r="Y18" s="41"/>
      <c r="Z18" s="41"/>
      <c r="AA18" s="41"/>
      <c r="AB18" s="41"/>
      <c r="AC18" s="41"/>
      <c r="AD18" s="41"/>
      <c r="AE18" s="59">
        <v>-24.697365939931021</v>
      </c>
      <c r="AF18" s="59">
        <v>0</v>
      </c>
      <c r="AG18" s="59" t="s">
        <v>5</v>
      </c>
      <c r="AH18" s="59" t="s">
        <v>1166</v>
      </c>
    </row>
    <row r="19" spans="1:34" x14ac:dyDescent="0.35">
      <c r="A19" s="58">
        <v>2024</v>
      </c>
      <c r="B19" s="58">
        <v>1</v>
      </c>
      <c r="C19">
        <v>1</v>
      </c>
      <c r="D19" s="58" t="s">
        <v>589</v>
      </c>
      <c r="E19" t="s">
        <v>322</v>
      </c>
      <c r="F19" s="58" t="s">
        <v>171</v>
      </c>
      <c r="G19" t="s">
        <v>731</v>
      </c>
      <c r="H19" s="58" t="s">
        <v>4</v>
      </c>
      <c r="I19" t="s">
        <v>4</v>
      </c>
      <c r="J19" s="58" t="s">
        <v>4</v>
      </c>
      <c r="K19" t="s">
        <v>1429</v>
      </c>
      <c r="L19" t="s">
        <v>20</v>
      </c>
      <c r="M19" t="s">
        <v>1430</v>
      </c>
      <c r="N19" s="59">
        <v>242000</v>
      </c>
      <c r="O19" s="59">
        <v>7858730000</v>
      </c>
      <c r="P19" s="59">
        <v>40276367.588313311</v>
      </c>
      <c r="Q19" s="59">
        <v>0</v>
      </c>
      <c r="R19" s="59">
        <v>33880000</v>
      </c>
      <c r="S19" s="59">
        <v>7784573632.411685</v>
      </c>
      <c r="T19" s="41"/>
      <c r="U19" s="41"/>
      <c r="V19" s="41"/>
      <c r="W19" s="41"/>
      <c r="X19" s="41"/>
      <c r="Y19" s="41"/>
      <c r="Z19" s="41"/>
      <c r="AA19" s="41"/>
      <c r="AB19" s="41"/>
      <c r="AC19" s="41"/>
      <c r="AD19" s="41"/>
      <c r="AE19" s="59">
        <v>319366.21874752402</v>
      </c>
      <c r="AF19" s="59">
        <v>322408.52264636895</v>
      </c>
      <c r="AG19" s="59" t="s">
        <v>5</v>
      </c>
      <c r="AH19" s="59" t="s">
        <v>1166</v>
      </c>
    </row>
    <row r="20" spans="1:34" x14ac:dyDescent="0.35">
      <c r="A20" s="58">
        <v>2024</v>
      </c>
      <c r="B20" s="58">
        <v>1</v>
      </c>
      <c r="C20">
        <v>1</v>
      </c>
      <c r="D20" s="58" t="s">
        <v>589</v>
      </c>
      <c r="E20" t="s">
        <v>322</v>
      </c>
      <c r="F20" s="58" t="s">
        <v>171</v>
      </c>
      <c r="G20" t="s">
        <v>731</v>
      </c>
      <c r="H20" s="58" t="s">
        <v>4</v>
      </c>
      <c r="I20" t="s">
        <v>4</v>
      </c>
      <c r="J20" s="58" t="s">
        <v>4</v>
      </c>
      <c r="K20" t="s">
        <v>1429</v>
      </c>
      <c r="L20" t="s">
        <v>20</v>
      </c>
      <c r="M20" t="s">
        <v>1432</v>
      </c>
      <c r="N20" s="59">
        <v>8600</v>
      </c>
      <c r="O20" s="59">
        <v>0</v>
      </c>
      <c r="P20" s="59">
        <v>0</v>
      </c>
      <c r="Q20" s="59">
        <v>0</v>
      </c>
      <c r="R20" s="59">
        <v>154000</v>
      </c>
      <c r="S20" s="59">
        <v>-154000</v>
      </c>
      <c r="T20" s="41"/>
      <c r="U20" s="41"/>
      <c r="V20" s="41"/>
      <c r="W20" s="41"/>
      <c r="X20" s="41"/>
      <c r="Y20" s="41"/>
      <c r="Z20" s="41"/>
      <c r="AA20" s="41"/>
      <c r="AB20" s="41"/>
      <c r="AC20" s="41"/>
      <c r="AD20" s="41"/>
      <c r="AE20" s="59">
        <v>-6.3179308218428192</v>
      </c>
      <c r="AF20" s="59">
        <v>0</v>
      </c>
      <c r="AG20" s="59" t="s">
        <v>5</v>
      </c>
      <c r="AH20" s="59" t="s">
        <v>1166</v>
      </c>
    </row>
    <row r="21" spans="1:34" x14ac:dyDescent="0.35">
      <c r="A21" s="58">
        <v>2024</v>
      </c>
      <c r="B21" s="58">
        <v>1</v>
      </c>
      <c r="C21">
        <v>1</v>
      </c>
      <c r="D21" s="58" t="s">
        <v>621</v>
      </c>
      <c r="E21" t="s">
        <v>257</v>
      </c>
      <c r="F21" s="58" t="s">
        <v>167</v>
      </c>
      <c r="G21" t="s">
        <v>693</v>
      </c>
      <c r="H21" s="58" t="s">
        <v>4</v>
      </c>
      <c r="I21" t="s">
        <v>4</v>
      </c>
      <c r="J21" s="58" t="s">
        <v>4</v>
      </c>
      <c r="K21" t="s">
        <v>1429</v>
      </c>
      <c r="L21" t="s">
        <v>20</v>
      </c>
      <c r="M21" t="s">
        <v>1431</v>
      </c>
      <c r="N21" s="59">
        <v>-2200</v>
      </c>
      <c r="O21" s="59">
        <v>0</v>
      </c>
      <c r="P21" s="59">
        <v>0</v>
      </c>
      <c r="Q21" s="59">
        <v>0</v>
      </c>
      <c r="R21" s="59">
        <v>0</v>
      </c>
      <c r="S21" s="59">
        <v>0</v>
      </c>
      <c r="T21" s="41"/>
      <c r="U21" s="41"/>
      <c r="V21" s="41"/>
      <c r="W21" s="41"/>
      <c r="X21" s="41"/>
      <c r="Y21" s="41"/>
      <c r="Z21" s="41"/>
      <c r="AA21" s="41"/>
      <c r="AB21" s="41"/>
      <c r="AC21" s="41"/>
      <c r="AD21" s="41"/>
      <c r="AE21" s="59">
        <v>0</v>
      </c>
      <c r="AF21" s="59">
        <v>0</v>
      </c>
      <c r="AG21" s="59" t="s">
        <v>16</v>
      </c>
      <c r="AH21" s="59" t="s">
        <v>1156</v>
      </c>
    </row>
    <row r="22" spans="1:34" x14ac:dyDescent="0.35">
      <c r="A22" s="58">
        <v>2024</v>
      </c>
      <c r="B22" s="58">
        <v>1</v>
      </c>
      <c r="C22">
        <v>1</v>
      </c>
      <c r="D22" s="58" t="s">
        <v>621</v>
      </c>
      <c r="E22" t="s">
        <v>257</v>
      </c>
      <c r="F22" s="58" t="s">
        <v>167</v>
      </c>
      <c r="G22" t="s">
        <v>693</v>
      </c>
      <c r="H22" s="58" t="s">
        <v>4</v>
      </c>
      <c r="I22" t="s">
        <v>4</v>
      </c>
      <c r="J22" s="58" t="s">
        <v>4</v>
      </c>
      <c r="K22" t="s">
        <v>1429</v>
      </c>
      <c r="L22" t="s">
        <v>20</v>
      </c>
      <c r="M22" t="s">
        <v>1430</v>
      </c>
      <c r="N22" s="59">
        <v>88000</v>
      </c>
      <c r="O22" s="59">
        <v>2680920000</v>
      </c>
      <c r="P22" s="59">
        <v>7863282.874251497</v>
      </c>
      <c r="Q22" s="59">
        <v>0</v>
      </c>
      <c r="R22" s="59">
        <v>12320000</v>
      </c>
      <c r="S22" s="59">
        <v>2660736717.1257486</v>
      </c>
      <c r="T22" s="41"/>
      <c r="U22" s="41"/>
      <c r="V22" s="41"/>
      <c r="W22" s="41"/>
      <c r="X22" s="41"/>
      <c r="Y22" s="41"/>
      <c r="Z22" s="41"/>
      <c r="AA22" s="41"/>
      <c r="AB22" s="41"/>
      <c r="AC22" s="41"/>
      <c r="AD22" s="41"/>
      <c r="AE22" s="59">
        <v>109158.12022037433</v>
      </c>
      <c r="AF22" s="59">
        <v>109986.14999282372</v>
      </c>
      <c r="AG22" s="59" t="s">
        <v>16</v>
      </c>
      <c r="AH22" s="59" t="s">
        <v>1156</v>
      </c>
    </row>
    <row r="23" spans="1:34" x14ac:dyDescent="0.35">
      <c r="A23" s="58">
        <v>2024</v>
      </c>
      <c r="B23" s="58">
        <v>1</v>
      </c>
      <c r="C23">
        <v>1</v>
      </c>
      <c r="D23" s="58" t="s">
        <v>621</v>
      </c>
      <c r="E23" t="s">
        <v>257</v>
      </c>
      <c r="F23" s="58" t="s">
        <v>167</v>
      </c>
      <c r="G23" t="s">
        <v>693</v>
      </c>
      <c r="H23" s="58" t="s">
        <v>4</v>
      </c>
      <c r="I23" t="s">
        <v>4</v>
      </c>
      <c r="J23" s="58" t="s">
        <v>4</v>
      </c>
      <c r="K23" t="s">
        <v>1429</v>
      </c>
      <c r="L23" t="s">
        <v>20</v>
      </c>
      <c r="M23" t="s">
        <v>1432</v>
      </c>
      <c r="N23" s="59">
        <v>2200</v>
      </c>
      <c r="O23" s="59">
        <v>0</v>
      </c>
      <c r="P23" s="59">
        <v>0</v>
      </c>
      <c r="Q23" s="59">
        <v>0</v>
      </c>
      <c r="R23" s="59">
        <v>3080000</v>
      </c>
      <c r="S23" s="59">
        <v>-3080000</v>
      </c>
      <c r="T23" s="41"/>
      <c r="U23" s="41"/>
      <c r="V23" s="41"/>
      <c r="W23" s="41"/>
      <c r="X23" s="41"/>
      <c r="Y23" s="41"/>
      <c r="Z23" s="41"/>
      <c r="AA23" s="41"/>
      <c r="AB23" s="41"/>
      <c r="AC23" s="41"/>
      <c r="AD23" s="41"/>
      <c r="AE23" s="59">
        <v>-126.35861643685639</v>
      </c>
      <c r="AF23" s="59">
        <v>0</v>
      </c>
      <c r="AG23" s="59" t="s">
        <v>16</v>
      </c>
      <c r="AH23" s="59" t="s">
        <v>1156</v>
      </c>
    </row>
    <row r="24" spans="1:34" x14ac:dyDescent="0.35">
      <c r="A24" s="58">
        <v>2024</v>
      </c>
      <c r="B24" s="58">
        <v>1</v>
      </c>
      <c r="C24">
        <v>1</v>
      </c>
      <c r="D24" s="58" t="s">
        <v>601</v>
      </c>
      <c r="E24" t="s">
        <v>501</v>
      </c>
      <c r="F24" s="58" t="s">
        <v>171</v>
      </c>
      <c r="G24" t="s">
        <v>731</v>
      </c>
      <c r="H24" s="58" t="s">
        <v>4</v>
      </c>
      <c r="I24" t="s">
        <v>4</v>
      </c>
      <c r="J24" s="58" t="s">
        <v>4</v>
      </c>
      <c r="K24" t="s">
        <v>1429</v>
      </c>
      <c r="L24" t="s">
        <v>20</v>
      </c>
      <c r="M24" t="s">
        <v>1431</v>
      </c>
      <c r="N24" s="59">
        <v>-32392</v>
      </c>
      <c r="O24" s="59">
        <v>0</v>
      </c>
      <c r="P24" s="59">
        <v>0</v>
      </c>
      <c r="Q24" s="59">
        <v>0</v>
      </c>
      <c r="R24" s="59">
        <v>1155000</v>
      </c>
      <c r="S24" s="59">
        <v>-1155000</v>
      </c>
      <c r="T24" s="41"/>
      <c r="U24" s="41"/>
      <c r="V24" s="41"/>
      <c r="W24" s="41"/>
      <c r="X24" s="41"/>
      <c r="Y24" s="41"/>
      <c r="Z24" s="41"/>
      <c r="AA24" s="41"/>
      <c r="AB24" s="41"/>
      <c r="AC24" s="41"/>
      <c r="AD24" s="41"/>
      <c r="AE24" s="59">
        <v>-47.38448116382115</v>
      </c>
      <c r="AF24" s="59">
        <v>0</v>
      </c>
      <c r="AG24" s="59" t="s">
        <v>109</v>
      </c>
      <c r="AH24" s="59" t="s">
        <v>1166</v>
      </c>
    </row>
    <row r="25" spans="1:34" x14ac:dyDescent="0.35">
      <c r="A25" s="58">
        <v>2024</v>
      </c>
      <c r="B25" s="58">
        <v>1</v>
      </c>
      <c r="C25">
        <v>1</v>
      </c>
      <c r="D25" s="58" t="s">
        <v>601</v>
      </c>
      <c r="E25" t="s">
        <v>501</v>
      </c>
      <c r="F25" s="58" t="s">
        <v>171</v>
      </c>
      <c r="G25" t="s">
        <v>731</v>
      </c>
      <c r="H25" s="58" t="s">
        <v>4</v>
      </c>
      <c r="I25" t="s">
        <v>4</v>
      </c>
      <c r="J25" s="58" t="s">
        <v>4</v>
      </c>
      <c r="K25" t="s">
        <v>1429</v>
      </c>
      <c r="L25" t="s">
        <v>20</v>
      </c>
      <c r="M25" t="s">
        <v>1430</v>
      </c>
      <c r="N25" s="59">
        <v>202400</v>
      </c>
      <c r="O25" s="59">
        <v>5936070800</v>
      </c>
      <c r="P25" s="59">
        <v>33570874.028995693</v>
      </c>
      <c r="Q25" s="59">
        <v>0</v>
      </c>
      <c r="R25" s="59">
        <v>27580712.340335689</v>
      </c>
      <c r="S25" s="59">
        <v>5874919213.6306677</v>
      </c>
      <c r="T25" s="41"/>
      <c r="U25" s="41"/>
      <c r="V25" s="41"/>
      <c r="W25" s="41"/>
      <c r="X25" s="41"/>
      <c r="Y25" s="41"/>
      <c r="Z25" s="41"/>
      <c r="AA25" s="41"/>
      <c r="AB25" s="41"/>
      <c r="AC25" s="41"/>
      <c r="AD25" s="41"/>
      <c r="AE25" s="59">
        <v>241021.64399762193</v>
      </c>
      <c r="AF25" s="59">
        <v>243530.41992182579</v>
      </c>
      <c r="AG25" s="59" t="s">
        <v>109</v>
      </c>
      <c r="AH25" s="59" t="s">
        <v>1166</v>
      </c>
    </row>
    <row r="26" spans="1:34" x14ac:dyDescent="0.35">
      <c r="A26" s="58">
        <v>2024</v>
      </c>
      <c r="B26" s="58">
        <v>1</v>
      </c>
      <c r="C26">
        <v>1</v>
      </c>
      <c r="D26" s="58" t="s">
        <v>601</v>
      </c>
      <c r="E26" t="s">
        <v>501</v>
      </c>
      <c r="F26" s="58" t="s">
        <v>171</v>
      </c>
      <c r="G26" t="s">
        <v>731</v>
      </c>
      <c r="H26" s="58" t="s">
        <v>4</v>
      </c>
      <c r="I26" t="s">
        <v>4</v>
      </c>
      <c r="J26" s="58" t="s">
        <v>4</v>
      </c>
      <c r="K26" t="s">
        <v>1429</v>
      </c>
      <c r="L26" t="s">
        <v>20</v>
      </c>
      <c r="M26" t="s">
        <v>1432</v>
      </c>
      <c r="N26" s="59">
        <v>32392</v>
      </c>
      <c r="O26" s="59">
        <v>0</v>
      </c>
      <c r="P26" s="59">
        <v>0</v>
      </c>
      <c r="Q26" s="59">
        <v>0</v>
      </c>
      <c r="R26" s="59">
        <v>3989287.6596643091</v>
      </c>
      <c r="S26" s="59">
        <v>-3989287.6596643091</v>
      </c>
      <c r="T26" s="41"/>
      <c r="U26" s="41"/>
      <c r="V26" s="41"/>
      <c r="W26" s="41"/>
      <c r="X26" s="41"/>
      <c r="Y26" s="41"/>
      <c r="Z26" s="41"/>
      <c r="AA26" s="41"/>
      <c r="AB26" s="41"/>
      <c r="AC26" s="41"/>
      <c r="AD26" s="41"/>
      <c r="AE26" s="59">
        <v>-163.66261988435289</v>
      </c>
      <c r="AF26" s="59">
        <v>0</v>
      </c>
      <c r="AG26" s="59" t="s">
        <v>109</v>
      </c>
      <c r="AH26" s="59" t="s">
        <v>1166</v>
      </c>
    </row>
    <row r="27" spans="1:34" x14ac:dyDescent="0.35">
      <c r="A27" s="58">
        <v>2024</v>
      </c>
      <c r="B27" s="58">
        <v>1</v>
      </c>
      <c r="C27">
        <v>1</v>
      </c>
      <c r="D27" s="58" t="s">
        <v>1436</v>
      </c>
      <c r="E27" t="s">
        <v>1326</v>
      </c>
      <c r="F27" s="58" t="s">
        <v>1437</v>
      </c>
      <c r="G27" t="s">
        <v>1438</v>
      </c>
      <c r="H27" s="58" t="s">
        <v>1012</v>
      </c>
      <c r="I27" t="s">
        <v>1363</v>
      </c>
      <c r="J27" s="58" t="s">
        <v>1363</v>
      </c>
      <c r="K27" t="s">
        <v>1429</v>
      </c>
      <c r="L27" t="s">
        <v>20</v>
      </c>
      <c r="M27" t="s">
        <v>1430</v>
      </c>
      <c r="N27" s="59">
        <v>11150</v>
      </c>
      <c r="O27" s="59">
        <v>75820000</v>
      </c>
      <c r="P27" s="59">
        <v>0</v>
      </c>
      <c r="Q27" s="59">
        <v>0</v>
      </c>
      <c r="R27" s="59">
        <v>0</v>
      </c>
      <c r="S27" s="59">
        <v>75820000</v>
      </c>
      <c r="T27" s="41"/>
      <c r="U27" s="41"/>
      <c r="V27" s="41"/>
      <c r="W27" s="41"/>
      <c r="X27" s="41"/>
      <c r="Y27" s="41"/>
      <c r="Z27" s="41"/>
      <c r="AA27" s="41"/>
      <c r="AB27" s="41"/>
      <c r="AC27" s="41"/>
      <c r="AD27" s="41"/>
      <c r="AE27" s="59">
        <v>3110.5552916371598</v>
      </c>
      <c r="AF27" s="59">
        <v>3110.5552916371598</v>
      </c>
      <c r="AG27" s="59" t="s">
        <v>1326</v>
      </c>
      <c r="AH27" s="59" t="s">
        <v>1364</v>
      </c>
    </row>
    <row r="28" spans="1:34" x14ac:dyDescent="0.35">
      <c r="A28" s="58">
        <v>2024</v>
      </c>
      <c r="B28" s="58">
        <v>1</v>
      </c>
      <c r="C28">
        <v>1</v>
      </c>
      <c r="D28" s="58" t="s">
        <v>1436</v>
      </c>
      <c r="E28" t="s">
        <v>1326</v>
      </c>
      <c r="F28" s="58" t="s">
        <v>1439</v>
      </c>
      <c r="G28" t="s">
        <v>1440</v>
      </c>
      <c r="H28" s="58" t="s">
        <v>1012</v>
      </c>
      <c r="I28" t="s">
        <v>1363</v>
      </c>
      <c r="J28" s="58" t="s">
        <v>1363</v>
      </c>
      <c r="K28" t="s">
        <v>1429</v>
      </c>
      <c r="L28" t="s">
        <v>20</v>
      </c>
      <c r="M28" t="s">
        <v>1430</v>
      </c>
      <c r="N28" s="59">
        <v>35250</v>
      </c>
      <c r="O28" s="59">
        <v>112800000</v>
      </c>
      <c r="P28" s="59">
        <v>0</v>
      </c>
      <c r="Q28" s="59">
        <v>0</v>
      </c>
      <c r="R28" s="59">
        <v>0</v>
      </c>
      <c r="S28" s="59">
        <v>112800000</v>
      </c>
      <c r="T28" s="41"/>
      <c r="U28" s="41"/>
      <c r="V28" s="41"/>
      <c r="W28" s="41"/>
      <c r="X28" s="41"/>
      <c r="Y28" s="41"/>
      <c r="Z28" s="41"/>
      <c r="AA28" s="41"/>
      <c r="AB28" s="41"/>
      <c r="AC28" s="41"/>
      <c r="AD28" s="41"/>
      <c r="AE28" s="59">
        <v>4627.6791993757797</v>
      </c>
      <c r="AF28" s="59">
        <v>4627.6791993757797</v>
      </c>
      <c r="AG28" s="59" t="s">
        <v>1326</v>
      </c>
      <c r="AH28" s="59" t="s">
        <v>1365</v>
      </c>
    </row>
    <row r="29" spans="1:34" x14ac:dyDescent="0.35">
      <c r="A29" s="58">
        <v>2024</v>
      </c>
      <c r="B29" s="58">
        <v>1</v>
      </c>
      <c r="C29">
        <v>1</v>
      </c>
      <c r="D29" s="58" t="s">
        <v>1436</v>
      </c>
      <c r="E29" t="s">
        <v>1326</v>
      </c>
      <c r="F29" s="58" t="s">
        <v>1441</v>
      </c>
      <c r="G29" t="s">
        <v>1442</v>
      </c>
      <c r="H29" s="58" t="s">
        <v>1012</v>
      </c>
      <c r="I29" t="s">
        <v>1363</v>
      </c>
      <c r="J29" s="58" t="s">
        <v>1363</v>
      </c>
      <c r="K29" t="s">
        <v>1429</v>
      </c>
      <c r="L29" t="s">
        <v>20</v>
      </c>
      <c r="M29" t="s">
        <v>1430</v>
      </c>
      <c r="N29" s="59">
        <v>49250</v>
      </c>
      <c r="O29" s="59">
        <v>157600000</v>
      </c>
      <c r="P29" s="59">
        <v>0</v>
      </c>
      <c r="Q29" s="59">
        <v>0</v>
      </c>
      <c r="R29" s="59">
        <v>0</v>
      </c>
      <c r="S29" s="59">
        <v>157600000</v>
      </c>
      <c r="T29" s="41"/>
      <c r="U29" s="41"/>
      <c r="V29" s="41"/>
      <c r="W29" s="41"/>
      <c r="X29" s="41"/>
      <c r="Y29" s="41"/>
      <c r="Z29" s="41"/>
      <c r="AA29" s="41"/>
      <c r="AB29" s="41"/>
      <c r="AC29" s="41"/>
      <c r="AD29" s="41"/>
      <c r="AE29" s="59">
        <v>6465.6227111845992</v>
      </c>
      <c r="AF29" s="59">
        <v>6465.6227111845992</v>
      </c>
      <c r="AG29" s="59" t="s">
        <v>1326</v>
      </c>
      <c r="AH29" s="59" t="s">
        <v>1366</v>
      </c>
    </row>
    <row r="30" spans="1:34" x14ac:dyDescent="0.35">
      <c r="A30" s="58">
        <v>2024</v>
      </c>
      <c r="B30" s="58">
        <v>1</v>
      </c>
      <c r="C30">
        <v>1</v>
      </c>
      <c r="D30" s="58" t="s">
        <v>1436</v>
      </c>
      <c r="E30" t="s">
        <v>1326</v>
      </c>
      <c r="F30" s="58" t="s">
        <v>1443</v>
      </c>
      <c r="G30" t="s">
        <v>1444</v>
      </c>
      <c r="H30" s="58" t="s">
        <v>1012</v>
      </c>
      <c r="I30" t="s">
        <v>1363</v>
      </c>
      <c r="J30" s="58" t="s">
        <v>1363</v>
      </c>
      <c r="K30" t="s">
        <v>1429</v>
      </c>
      <c r="L30" t="s">
        <v>20</v>
      </c>
      <c r="M30" t="s">
        <v>1430</v>
      </c>
      <c r="N30" s="59">
        <v>14250</v>
      </c>
      <c r="O30" s="59">
        <v>45600000</v>
      </c>
      <c r="P30" s="59">
        <v>0</v>
      </c>
      <c r="Q30" s="59">
        <v>0</v>
      </c>
      <c r="R30" s="59">
        <v>0</v>
      </c>
      <c r="S30" s="59">
        <v>45600000</v>
      </c>
      <c r="T30" s="41"/>
      <c r="U30" s="41"/>
      <c r="V30" s="41"/>
      <c r="W30" s="41"/>
      <c r="X30" s="41"/>
      <c r="Y30" s="41"/>
      <c r="Z30" s="41"/>
      <c r="AA30" s="41"/>
      <c r="AB30" s="41"/>
      <c r="AC30" s="41"/>
      <c r="AD30" s="41"/>
      <c r="AE30" s="59">
        <v>1870.7639316625491</v>
      </c>
      <c r="AF30" s="59">
        <v>1870.7639316625491</v>
      </c>
      <c r="AG30" s="59" t="s">
        <v>1326</v>
      </c>
      <c r="AH30" s="59" t="s">
        <v>1367</v>
      </c>
    </row>
    <row r="31" spans="1:34" x14ac:dyDescent="0.35">
      <c r="A31" s="58">
        <v>2024</v>
      </c>
      <c r="B31" s="58">
        <v>1</v>
      </c>
      <c r="C31">
        <v>1</v>
      </c>
      <c r="D31" s="58" t="s">
        <v>1436</v>
      </c>
      <c r="E31" t="s">
        <v>1326</v>
      </c>
      <c r="F31" s="58" t="s">
        <v>1445</v>
      </c>
      <c r="G31" t="s">
        <v>1446</v>
      </c>
      <c r="H31" s="58" t="s">
        <v>1012</v>
      </c>
      <c r="I31" t="s">
        <v>1363</v>
      </c>
      <c r="J31" s="58" t="s">
        <v>1363</v>
      </c>
      <c r="K31" t="s">
        <v>1429</v>
      </c>
      <c r="L31" t="s">
        <v>20</v>
      </c>
      <c r="M31" t="s">
        <v>1430</v>
      </c>
      <c r="N31" s="59">
        <v>34250</v>
      </c>
      <c r="O31" s="59">
        <v>109600000</v>
      </c>
      <c r="P31" s="59">
        <v>0</v>
      </c>
      <c r="Q31" s="59">
        <v>0</v>
      </c>
      <c r="R31" s="59">
        <v>0</v>
      </c>
      <c r="S31" s="59">
        <v>109600000</v>
      </c>
      <c r="T31" s="41"/>
      <c r="U31" s="41"/>
      <c r="V31" s="41"/>
      <c r="W31" s="41"/>
      <c r="X31" s="41"/>
      <c r="Y31" s="41"/>
      <c r="Z31" s="41"/>
      <c r="AA31" s="41"/>
      <c r="AB31" s="41"/>
      <c r="AC31" s="41"/>
      <c r="AD31" s="41"/>
      <c r="AE31" s="59">
        <v>4496.397519960864</v>
      </c>
      <c r="AF31" s="59">
        <v>4496.397519960864</v>
      </c>
      <c r="AG31" s="59" t="s">
        <v>1326</v>
      </c>
      <c r="AH31" s="59" t="s">
        <v>1368</v>
      </c>
    </row>
    <row r="32" spans="1:34" x14ac:dyDescent="0.35">
      <c r="A32" s="58">
        <v>2024</v>
      </c>
      <c r="B32" s="58">
        <v>1</v>
      </c>
      <c r="C32">
        <v>1</v>
      </c>
      <c r="D32" s="58" t="s">
        <v>1436</v>
      </c>
      <c r="E32" t="s">
        <v>1326</v>
      </c>
      <c r="F32" s="58" t="s">
        <v>1447</v>
      </c>
      <c r="G32" t="s">
        <v>1448</v>
      </c>
      <c r="H32" s="58" t="s">
        <v>1012</v>
      </c>
      <c r="I32" t="s">
        <v>1363</v>
      </c>
      <c r="J32" s="58" t="s">
        <v>1363</v>
      </c>
      <c r="K32" t="s">
        <v>1429</v>
      </c>
      <c r="L32" t="s">
        <v>20</v>
      </c>
      <c r="M32" t="s">
        <v>1430</v>
      </c>
      <c r="N32" s="59">
        <v>6000</v>
      </c>
      <c r="O32" s="59">
        <v>19200000</v>
      </c>
      <c r="P32" s="59">
        <v>0</v>
      </c>
      <c r="Q32" s="59">
        <v>0</v>
      </c>
      <c r="R32" s="59">
        <v>0</v>
      </c>
      <c r="S32" s="59">
        <v>19200000</v>
      </c>
      <c r="T32" s="41"/>
      <c r="U32" s="41"/>
      <c r="V32" s="41"/>
      <c r="W32" s="41"/>
      <c r="X32" s="41"/>
      <c r="Y32" s="41"/>
      <c r="Z32" s="41"/>
      <c r="AA32" s="41"/>
      <c r="AB32" s="41"/>
      <c r="AC32" s="41"/>
      <c r="AD32" s="41"/>
      <c r="AE32" s="59">
        <v>787.69007648949446</v>
      </c>
      <c r="AF32" s="59">
        <v>787.69007648949446</v>
      </c>
      <c r="AG32" s="59" t="s">
        <v>1326</v>
      </c>
      <c r="AH32" s="59" t="s">
        <v>1369</v>
      </c>
    </row>
    <row r="33" spans="1:34" x14ac:dyDescent="0.35">
      <c r="A33" s="58">
        <v>2024</v>
      </c>
      <c r="B33" s="58">
        <v>1</v>
      </c>
      <c r="C33">
        <v>1</v>
      </c>
      <c r="D33" s="58" t="s">
        <v>1436</v>
      </c>
      <c r="E33" t="s">
        <v>1326</v>
      </c>
      <c r="F33" s="58" t="s">
        <v>1449</v>
      </c>
      <c r="G33" t="s">
        <v>1450</v>
      </c>
      <c r="H33" s="58" t="s">
        <v>1012</v>
      </c>
      <c r="I33" t="s">
        <v>1363</v>
      </c>
      <c r="J33" s="58" t="s">
        <v>1363</v>
      </c>
      <c r="K33" t="s">
        <v>1429</v>
      </c>
      <c r="L33" t="s">
        <v>20</v>
      </c>
      <c r="M33" t="s">
        <v>1430</v>
      </c>
      <c r="N33" s="59">
        <v>22910</v>
      </c>
      <c r="O33" s="59">
        <v>73312000</v>
      </c>
      <c r="P33" s="59">
        <v>0</v>
      </c>
      <c r="Q33" s="59">
        <v>0</v>
      </c>
      <c r="R33" s="59">
        <v>0</v>
      </c>
      <c r="S33" s="59">
        <v>73312000</v>
      </c>
      <c r="T33" s="41"/>
      <c r="U33" s="41"/>
      <c r="V33" s="41"/>
      <c r="W33" s="41"/>
      <c r="X33" s="41"/>
      <c r="Y33" s="41"/>
      <c r="Z33" s="41"/>
      <c r="AA33" s="41"/>
      <c r="AB33" s="41"/>
      <c r="AC33" s="41"/>
      <c r="AD33" s="41"/>
      <c r="AE33" s="59">
        <v>3007.6632753957192</v>
      </c>
      <c r="AF33" s="59">
        <v>3007.6632753957192</v>
      </c>
      <c r="AG33" s="59" t="s">
        <v>1326</v>
      </c>
      <c r="AH33" s="59" t="s">
        <v>1376</v>
      </c>
    </row>
    <row r="34" spans="1:34" x14ac:dyDescent="0.35">
      <c r="A34" s="58">
        <v>2024</v>
      </c>
      <c r="B34" s="58">
        <v>1</v>
      </c>
      <c r="C34">
        <v>1</v>
      </c>
      <c r="D34" s="58" t="s">
        <v>1436</v>
      </c>
      <c r="E34" t="s">
        <v>1326</v>
      </c>
      <c r="F34" s="58" t="s">
        <v>1451</v>
      </c>
      <c r="G34" t="s">
        <v>1444</v>
      </c>
      <c r="H34" s="58" t="s">
        <v>1012</v>
      </c>
      <c r="I34" t="s">
        <v>1363</v>
      </c>
      <c r="J34" s="58" t="s">
        <v>1363</v>
      </c>
      <c r="K34" t="s">
        <v>1429</v>
      </c>
      <c r="L34" t="s">
        <v>20</v>
      </c>
      <c r="M34" t="s">
        <v>1430</v>
      </c>
      <c r="N34" s="59">
        <v>18500</v>
      </c>
      <c r="O34" s="59">
        <v>59200000</v>
      </c>
      <c r="P34" s="59">
        <v>0</v>
      </c>
      <c r="Q34" s="59">
        <v>0</v>
      </c>
      <c r="R34" s="59">
        <v>0</v>
      </c>
      <c r="S34" s="59">
        <v>59200000</v>
      </c>
      <c r="T34" s="41"/>
      <c r="U34" s="41"/>
      <c r="V34" s="41"/>
      <c r="W34" s="41"/>
      <c r="X34" s="41"/>
      <c r="Y34" s="41"/>
      <c r="Z34" s="41"/>
      <c r="AA34" s="41"/>
      <c r="AB34" s="41"/>
      <c r="AC34" s="41"/>
      <c r="AD34" s="41"/>
      <c r="AE34" s="59">
        <v>2428.7110691759412</v>
      </c>
      <c r="AF34" s="59">
        <v>2428.7110691759412</v>
      </c>
      <c r="AG34" s="59" t="s">
        <v>1326</v>
      </c>
      <c r="AH34" s="59" t="s">
        <v>1377</v>
      </c>
    </row>
    <row r="35" spans="1:34" x14ac:dyDescent="0.35">
      <c r="A35" s="58">
        <v>2024</v>
      </c>
      <c r="B35" s="58">
        <v>1</v>
      </c>
      <c r="C35">
        <v>1</v>
      </c>
      <c r="D35" s="58" t="s">
        <v>1436</v>
      </c>
      <c r="E35" t="s">
        <v>1326</v>
      </c>
      <c r="F35" s="58" t="s">
        <v>1452</v>
      </c>
      <c r="G35" t="s">
        <v>1448</v>
      </c>
      <c r="H35" s="58" t="s">
        <v>1012</v>
      </c>
      <c r="I35" t="s">
        <v>1363</v>
      </c>
      <c r="J35" s="58" t="s">
        <v>1363</v>
      </c>
      <c r="K35" t="s">
        <v>1429</v>
      </c>
      <c r="L35" t="s">
        <v>20</v>
      </c>
      <c r="M35" t="s">
        <v>1430</v>
      </c>
      <c r="N35" s="59">
        <v>1500</v>
      </c>
      <c r="O35" s="59">
        <v>4800000</v>
      </c>
      <c r="P35" s="59">
        <v>0</v>
      </c>
      <c r="Q35" s="59">
        <v>0</v>
      </c>
      <c r="R35" s="59">
        <v>0</v>
      </c>
      <c r="S35" s="59">
        <v>4800000</v>
      </c>
      <c r="T35" s="41"/>
      <c r="U35" s="41"/>
      <c r="V35" s="41"/>
      <c r="W35" s="41"/>
      <c r="X35" s="41"/>
      <c r="Y35" s="41"/>
      <c r="Z35" s="41"/>
      <c r="AA35" s="41"/>
      <c r="AB35" s="41"/>
      <c r="AC35" s="41"/>
      <c r="AD35" s="41"/>
      <c r="AE35" s="59">
        <v>196.92251912237359</v>
      </c>
      <c r="AF35" s="59">
        <v>196.92251912237359</v>
      </c>
      <c r="AG35" s="59" t="s">
        <v>1326</v>
      </c>
      <c r="AH35" s="59" t="s">
        <v>1378</v>
      </c>
    </row>
    <row r="36" spans="1:34" x14ac:dyDescent="0.35">
      <c r="A36" s="58">
        <v>2024</v>
      </c>
      <c r="B36" s="58">
        <v>1</v>
      </c>
      <c r="C36">
        <v>1</v>
      </c>
      <c r="D36" s="58" t="s">
        <v>1436</v>
      </c>
      <c r="E36" t="s">
        <v>1326</v>
      </c>
      <c r="F36" s="58" t="s">
        <v>1453</v>
      </c>
      <c r="G36" t="s">
        <v>1454</v>
      </c>
      <c r="H36" s="58" t="s">
        <v>1012</v>
      </c>
      <c r="I36" t="s">
        <v>1363</v>
      </c>
      <c r="J36" s="58" t="s">
        <v>1363</v>
      </c>
      <c r="K36" t="s">
        <v>1429</v>
      </c>
      <c r="L36" t="s">
        <v>20</v>
      </c>
      <c r="M36" t="s">
        <v>1430</v>
      </c>
      <c r="N36" s="59">
        <v>27000</v>
      </c>
      <c r="O36" s="59">
        <v>86400000</v>
      </c>
      <c r="P36" s="59">
        <v>0</v>
      </c>
      <c r="Q36" s="59">
        <v>0</v>
      </c>
      <c r="R36" s="59">
        <v>0</v>
      </c>
      <c r="S36" s="59">
        <v>86400000</v>
      </c>
      <c r="T36" s="41"/>
      <c r="U36" s="41"/>
      <c r="V36" s="41"/>
      <c r="W36" s="41"/>
      <c r="X36" s="41"/>
      <c r="Y36" s="41"/>
      <c r="Z36" s="41"/>
      <c r="AA36" s="41"/>
      <c r="AB36" s="41"/>
      <c r="AC36" s="41"/>
      <c r="AD36" s="41"/>
      <c r="AE36" s="59">
        <v>3544.6053442027246</v>
      </c>
      <c r="AF36" s="59">
        <v>3544.6053442027246</v>
      </c>
      <c r="AG36" s="59" t="s">
        <v>1326</v>
      </c>
      <c r="AH36" s="59" t="s">
        <v>1379</v>
      </c>
    </row>
    <row r="37" spans="1:34" x14ac:dyDescent="0.35">
      <c r="A37" s="58">
        <v>2024</v>
      </c>
      <c r="B37" s="58">
        <v>1</v>
      </c>
      <c r="C37">
        <v>1</v>
      </c>
      <c r="D37" s="58" t="s">
        <v>1436</v>
      </c>
      <c r="E37" t="s">
        <v>1326</v>
      </c>
      <c r="F37" s="58" t="s">
        <v>1455</v>
      </c>
      <c r="G37" t="s">
        <v>1456</v>
      </c>
      <c r="H37" s="58" t="s">
        <v>1012</v>
      </c>
      <c r="I37" t="s">
        <v>1363</v>
      </c>
      <c r="J37" s="58" t="s">
        <v>1363</v>
      </c>
      <c r="K37" t="s">
        <v>1429</v>
      </c>
      <c r="L37" t="s">
        <v>20</v>
      </c>
      <c r="M37" t="s">
        <v>1430</v>
      </c>
      <c r="N37" s="59">
        <v>5900</v>
      </c>
      <c r="O37" s="59">
        <v>18880000</v>
      </c>
      <c r="P37" s="59">
        <v>0</v>
      </c>
      <c r="Q37" s="59">
        <v>0</v>
      </c>
      <c r="R37" s="59">
        <v>0</v>
      </c>
      <c r="S37" s="59">
        <v>18880000</v>
      </c>
      <c r="T37" s="41"/>
      <c r="U37" s="41"/>
      <c r="V37" s="41"/>
      <c r="W37" s="41"/>
      <c r="X37" s="41"/>
      <c r="Y37" s="41"/>
      <c r="Z37" s="41"/>
      <c r="AA37" s="41"/>
      <c r="AB37" s="41"/>
      <c r="AC37" s="41"/>
      <c r="AD37" s="41"/>
      <c r="AE37" s="59">
        <v>774.56190854800286</v>
      </c>
      <c r="AF37" s="59">
        <v>774.56190854800286</v>
      </c>
      <c r="AG37" s="59" t="s">
        <v>1326</v>
      </c>
      <c r="AH37" s="59" t="s">
        <v>1380</v>
      </c>
    </row>
    <row r="38" spans="1:34" x14ac:dyDescent="0.35">
      <c r="A38" s="58">
        <v>2024</v>
      </c>
      <c r="B38" s="58">
        <v>1</v>
      </c>
      <c r="C38">
        <v>1</v>
      </c>
      <c r="D38" s="58" t="s">
        <v>1436</v>
      </c>
      <c r="E38" t="s">
        <v>1326</v>
      </c>
      <c r="F38" s="58" t="s">
        <v>1457</v>
      </c>
      <c r="G38" t="s">
        <v>1458</v>
      </c>
      <c r="H38" s="58" t="s">
        <v>1012</v>
      </c>
      <c r="I38" t="s">
        <v>1363</v>
      </c>
      <c r="J38" s="58" t="s">
        <v>1363</v>
      </c>
      <c r="K38" t="s">
        <v>1429</v>
      </c>
      <c r="L38" t="s">
        <v>20</v>
      </c>
      <c r="M38" t="s">
        <v>1430</v>
      </c>
      <c r="N38" s="59">
        <v>6814</v>
      </c>
      <c r="O38" s="59">
        <v>21804800</v>
      </c>
      <c r="P38" s="59">
        <v>0</v>
      </c>
      <c r="Q38" s="59">
        <v>0</v>
      </c>
      <c r="R38" s="59">
        <v>0</v>
      </c>
      <c r="S38" s="59">
        <v>21804800</v>
      </c>
      <c r="T38" s="41"/>
      <c r="U38" s="41"/>
      <c r="V38" s="41"/>
      <c r="W38" s="41"/>
      <c r="X38" s="41"/>
      <c r="Y38" s="41"/>
      <c r="Z38" s="41"/>
      <c r="AA38" s="41"/>
      <c r="AB38" s="41"/>
      <c r="AC38" s="41"/>
      <c r="AD38" s="41"/>
      <c r="AE38" s="59">
        <v>894.55336353323582</v>
      </c>
      <c r="AF38" s="59">
        <v>894.55336353323582</v>
      </c>
      <c r="AG38" s="59" t="s">
        <v>1326</v>
      </c>
      <c r="AH38" s="59" t="s">
        <v>1381</v>
      </c>
    </row>
    <row r="39" spans="1:34" x14ac:dyDescent="0.35">
      <c r="A39" s="58">
        <v>2024</v>
      </c>
      <c r="B39" s="58">
        <v>1</v>
      </c>
      <c r="C39">
        <v>1</v>
      </c>
      <c r="D39" s="58" t="s">
        <v>1436</v>
      </c>
      <c r="E39" t="s">
        <v>1326</v>
      </c>
      <c r="F39" s="58" t="s">
        <v>1459</v>
      </c>
      <c r="G39" t="s">
        <v>1460</v>
      </c>
      <c r="H39" s="58" t="s">
        <v>1012</v>
      </c>
      <c r="I39" t="s">
        <v>1363</v>
      </c>
      <c r="J39" s="58" t="s">
        <v>1363</v>
      </c>
      <c r="K39" t="s">
        <v>1429</v>
      </c>
      <c r="L39" t="s">
        <v>20</v>
      </c>
      <c r="M39" t="s">
        <v>1430</v>
      </c>
      <c r="N39" s="59">
        <v>4374</v>
      </c>
      <c r="O39" s="59">
        <v>13996800</v>
      </c>
      <c r="P39" s="59">
        <v>0</v>
      </c>
      <c r="Q39" s="59">
        <v>0</v>
      </c>
      <c r="R39" s="59">
        <v>0</v>
      </c>
      <c r="S39" s="59">
        <v>13996800</v>
      </c>
      <c r="T39" s="41"/>
      <c r="U39" s="41"/>
      <c r="V39" s="41"/>
      <c r="W39" s="41"/>
      <c r="X39" s="41"/>
      <c r="Y39" s="41"/>
      <c r="Z39" s="41"/>
      <c r="AA39" s="41"/>
      <c r="AB39" s="41"/>
      <c r="AC39" s="41"/>
      <c r="AD39" s="41"/>
      <c r="AE39" s="59">
        <v>574.22606576084138</v>
      </c>
      <c r="AF39" s="59">
        <v>574.22606576084138</v>
      </c>
      <c r="AG39" s="59" t="s">
        <v>1326</v>
      </c>
      <c r="AH39" s="59" t="s">
        <v>1382</v>
      </c>
    </row>
    <row r="40" spans="1:34" x14ac:dyDescent="0.35">
      <c r="A40" s="58">
        <v>2024</v>
      </c>
      <c r="B40" s="58">
        <v>1</v>
      </c>
      <c r="C40">
        <v>1</v>
      </c>
      <c r="D40" s="58" t="s">
        <v>1436</v>
      </c>
      <c r="E40" t="s">
        <v>1326</v>
      </c>
      <c r="F40" s="58" t="s">
        <v>1461</v>
      </c>
      <c r="G40" t="s">
        <v>1462</v>
      </c>
      <c r="H40" s="58" t="s">
        <v>1012</v>
      </c>
      <c r="I40" t="s">
        <v>1363</v>
      </c>
      <c r="J40" s="58" t="s">
        <v>1363</v>
      </c>
      <c r="K40" t="s">
        <v>1429</v>
      </c>
      <c r="L40" t="s">
        <v>20</v>
      </c>
      <c r="M40" t="s">
        <v>1430</v>
      </c>
      <c r="N40" s="59">
        <v>96045</v>
      </c>
      <c r="O40" s="59">
        <v>307344000</v>
      </c>
      <c r="P40" s="59">
        <v>0</v>
      </c>
      <c r="Q40" s="59">
        <v>0</v>
      </c>
      <c r="R40" s="59">
        <v>0</v>
      </c>
      <c r="S40" s="59">
        <v>307344000</v>
      </c>
      <c r="T40" s="41"/>
      <c r="U40" s="41"/>
      <c r="V40" s="41"/>
      <c r="W40" s="41"/>
      <c r="X40" s="41"/>
      <c r="Y40" s="41"/>
      <c r="Z40" s="41"/>
      <c r="AA40" s="41"/>
      <c r="AB40" s="41"/>
      <c r="AC40" s="41"/>
      <c r="AD40" s="41"/>
      <c r="AE40" s="59">
        <v>12608.948899405581</v>
      </c>
      <c r="AF40" s="59">
        <v>12608.948899405581</v>
      </c>
      <c r="AG40" s="59" t="s">
        <v>1326</v>
      </c>
      <c r="AH40" s="59" t="s">
        <v>1383</v>
      </c>
    </row>
    <row r="41" spans="1:34" x14ac:dyDescent="0.35">
      <c r="A41" s="58">
        <v>2024</v>
      </c>
      <c r="B41" s="58">
        <v>1</v>
      </c>
      <c r="C41">
        <v>1</v>
      </c>
      <c r="D41" s="58" t="s">
        <v>1436</v>
      </c>
      <c r="E41" t="s">
        <v>1326</v>
      </c>
      <c r="F41" s="58" t="s">
        <v>1463</v>
      </c>
      <c r="G41" t="s">
        <v>1464</v>
      </c>
      <c r="H41" s="58" t="s">
        <v>1012</v>
      </c>
      <c r="I41" t="s">
        <v>1363</v>
      </c>
      <c r="J41" s="58" t="s">
        <v>1363</v>
      </c>
      <c r="K41" t="s">
        <v>1429</v>
      </c>
      <c r="L41" t="s">
        <v>20</v>
      </c>
      <c r="M41" t="s">
        <v>1430</v>
      </c>
      <c r="N41" s="59">
        <v>67000</v>
      </c>
      <c r="O41" s="59">
        <v>214400000</v>
      </c>
      <c r="P41" s="59">
        <v>0</v>
      </c>
      <c r="Q41" s="59">
        <v>0</v>
      </c>
      <c r="R41" s="59">
        <v>0</v>
      </c>
      <c r="S41" s="59">
        <v>214400000</v>
      </c>
      <c r="T41" s="41"/>
      <c r="U41" s="41"/>
      <c r="V41" s="41"/>
      <c r="W41" s="41"/>
      <c r="X41" s="41"/>
      <c r="Y41" s="41"/>
      <c r="Z41" s="41"/>
      <c r="AA41" s="41"/>
      <c r="AB41" s="41"/>
      <c r="AC41" s="41"/>
      <c r="AD41" s="41"/>
      <c r="AE41" s="59">
        <v>8795.8725207993539</v>
      </c>
      <c r="AF41" s="59">
        <v>8795.8725207993539</v>
      </c>
      <c r="AG41" s="59" t="s">
        <v>1326</v>
      </c>
      <c r="AH41" s="59" t="s">
        <v>1384</v>
      </c>
    </row>
    <row r="42" spans="1:34" x14ac:dyDescent="0.35">
      <c r="A42" s="58">
        <v>2024</v>
      </c>
      <c r="B42" s="58">
        <v>1</v>
      </c>
      <c r="C42">
        <v>1</v>
      </c>
      <c r="D42" s="58" t="s">
        <v>620</v>
      </c>
      <c r="E42" t="s">
        <v>324</v>
      </c>
      <c r="F42" s="58" t="s">
        <v>168</v>
      </c>
      <c r="G42" t="s">
        <v>700</v>
      </c>
      <c r="H42" s="58" t="s">
        <v>4</v>
      </c>
      <c r="I42" t="s">
        <v>4</v>
      </c>
      <c r="J42" s="58" t="s">
        <v>4</v>
      </c>
      <c r="K42" t="s">
        <v>1429</v>
      </c>
      <c r="L42" t="s">
        <v>20</v>
      </c>
      <c r="M42" t="s">
        <v>1431</v>
      </c>
      <c r="N42" s="59">
        <v>-14300</v>
      </c>
      <c r="O42" s="59">
        <v>0</v>
      </c>
      <c r="P42" s="59">
        <v>0</v>
      </c>
      <c r="Q42" s="59">
        <v>0</v>
      </c>
      <c r="R42" s="59">
        <v>0</v>
      </c>
      <c r="S42" s="59">
        <v>0</v>
      </c>
      <c r="T42" s="41"/>
      <c r="U42" s="41"/>
      <c r="V42" s="41"/>
      <c r="W42" s="41"/>
      <c r="X42" s="41"/>
      <c r="Y42" s="41"/>
      <c r="Z42" s="41"/>
      <c r="AA42" s="41"/>
      <c r="AB42" s="41"/>
      <c r="AC42" s="41"/>
      <c r="AD42" s="41"/>
      <c r="AE42" s="59">
        <v>0</v>
      </c>
      <c r="AF42" s="59">
        <v>0</v>
      </c>
      <c r="AG42" s="59" t="s">
        <v>8</v>
      </c>
      <c r="AH42" s="59" t="s">
        <v>1160</v>
      </c>
    </row>
    <row r="43" spans="1:34" x14ac:dyDescent="0.35">
      <c r="A43" s="58">
        <v>2024</v>
      </c>
      <c r="B43" s="58">
        <v>1</v>
      </c>
      <c r="C43">
        <v>1</v>
      </c>
      <c r="D43" s="58" t="s">
        <v>620</v>
      </c>
      <c r="E43" t="s">
        <v>324</v>
      </c>
      <c r="F43" s="58" t="s">
        <v>168</v>
      </c>
      <c r="G43" t="s">
        <v>700</v>
      </c>
      <c r="H43" s="58" t="s">
        <v>4</v>
      </c>
      <c r="I43" t="s">
        <v>4</v>
      </c>
      <c r="J43" s="58" t="s">
        <v>4</v>
      </c>
      <c r="K43" t="s">
        <v>1429</v>
      </c>
      <c r="L43" t="s">
        <v>20</v>
      </c>
      <c r="M43" t="s">
        <v>1430</v>
      </c>
      <c r="N43" s="59">
        <v>14300</v>
      </c>
      <c r="O43" s="59">
        <v>495666600</v>
      </c>
      <c r="P43" s="59">
        <v>2555566.9341317369</v>
      </c>
      <c r="Q43" s="59">
        <v>0</v>
      </c>
      <c r="R43" s="59">
        <v>1430000</v>
      </c>
      <c r="S43" s="59">
        <v>491681033.06586826</v>
      </c>
      <c r="T43" s="41"/>
      <c r="U43" s="41"/>
      <c r="V43" s="41"/>
      <c r="W43" s="41"/>
      <c r="X43" s="41"/>
      <c r="Y43" s="41"/>
      <c r="Z43" s="41"/>
      <c r="AA43" s="41"/>
      <c r="AB43" s="41"/>
      <c r="AC43" s="41"/>
      <c r="AD43" s="41"/>
      <c r="AE43" s="59">
        <v>20171.472424171217</v>
      </c>
      <c r="AF43" s="59">
        <v>20334.982399337896</v>
      </c>
      <c r="AG43" s="59" t="s">
        <v>8</v>
      </c>
      <c r="AH43" s="59" t="s">
        <v>1160</v>
      </c>
    </row>
    <row r="44" spans="1:34" x14ac:dyDescent="0.35">
      <c r="A44" s="58">
        <v>2024</v>
      </c>
      <c r="B44" s="58">
        <v>1</v>
      </c>
      <c r="C44">
        <v>1</v>
      </c>
      <c r="D44" s="58" t="s">
        <v>620</v>
      </c>
      <c r="E44" t="s">
        <v>324</v>
      </c>
      <c r="F44" s="58" t="s">
        <v>168</v>
      </c>
      <c r="G44" t="s">
        <v>700</v>
      </c>
      <c r="H44" s="58" t="s">
        <v>4</v>
      </c>
      <c r="I44" t="s">
        <v>4</v>
      </c>
      <c r="J44" s="58" t="s">
        <v>4</v>
      </c>
      <c r="K44" t="s">
        <v>1429</v>
      </c>
      <c r="L44" t="s">
        <v>20</v>
      </c>
      <c r="M44" t="s">
        <v>1432</v>
      </c>
      <c r="N44" s="59">
        <v>14300</v>
      </c>
      <c r="O44" s="59">
        <v>0</v>
      </c>
      <c r="P44" s="59">
        <v>0</v>
      </c>
      <c r="Q44" s="59">
        <v>0</v>
      </c>
      <c r="R44" s="59">
        <v>0</v>
      </c>
      <c r="S44" s="59">
        <v>0</v>
      </c>
      <c r="T44" s="41"/>
      <c r="U44" s="41"/>
      <c r="V44" s="41"/>
      <c r="W44" s="41"/>
      <c r="X44" s="41"/>
      <c r="Y44" s="41"/>
      <c r="Z44" s="41"/>
      <c r="AA44" s="41"/>
      <c r="AB44" s="41"/>
      <c r="AC44" s="41"/>
      <c r="AD44" s="41"/>
      <c r="AE44" s="59">
        <v>0</v>
      </c>
      <c r="AF44" s="59">
        <v>0</v>
      </c>
      <c r="AG44" s="59" t="s">
        <v>8</v>
      </c>
      <c r="AH44" s="59" t="s">
        <v>1160</v>
      </c>
    </row>
    <row r="45" spans="1:34" x14ac:dyDescent="0.35">
      <c r="A45" s="58">
        <v>2024</v>
      </c>
      <c r="B45" s="58">
        <v>1</v>
      </c>
      <c r="C45">
        <v>1</v>
      </c>
      <c r="D45" s="58" t="s">
        <v>1465</v>
      </c>
      <c r="E45" t="s">
        <v>1309</v>
      </c>
      <c r="F45" s="58" t="s">
        <v>1466</v>
      </c>
      <c r="G45" t="s">
        <v>1467</v>
      </c>
      <c r="H45" s="58" t="s">
        <v>1012</v>
      </c>
      <c r="I45" t="s">
        <v>1012</v>
      </c>
      <c r="J45" s="58" t="s">
        <v>1012</v>
      </c>
      <c r="K45" t="s">
        <v>1429</v>
      </c>
      <c r="L45" t="s">
        <v>20</v>
      </c>
      <c r="M45" t="s">
        <v>1430</v>
      </c>
      <c r="N45" s="59">
        <v>0</v>
      </c>
      <c r="O45" s="59">
        <v>168223800</v>
      </c>
      <c r="P45" s="59">
        <v>0</v>
      </c>
      <c r="Q45" s="59">
        <v>0</v>
      </c>
      <c r="R45" s="59">
        <v>0</v>
      </c>
      <c r="S45" s="59">
        <v>168223800</v>
      </c>
      <c r="T45" s="41"/>
      <c r="U45" s="41"/>
      <c r="V45" s="41"/>
      <c r="W45" s="41"/>
      <c r="X45" s="41"/>
      <c r="Y45" s="41"/>
      <c r="Z45" s="41"/>
      <c r="AA45" s="41"/>
      <c r="AB45" s="41"/>
      <c r="AC45" s="41"/>
      <c r="AD45" s="41"/>
      <c r="AE45" s="59">
        <v>6901.4696817371569</v>
      </c>
      <c r="AF45" s="59">
        <v>6901.4696817371569</v>
      </c>
      <c r="AG45" s="59" t="s">
        <v>1309</v>
      </c>
      <c r="AH45" s="59" t="s">
        <v>1306</v>
      </c>
    </row>
    <row r="46" spans="1:34" x14ac:dyDescent="0.35">
      <c r="A46" s="58">
        <v>2024</v>
      </c>
      <c r="B46" s="58">
        <v>1</v>
      </c>
      <c r="C46">
        <v>1</v>
      </c>
      <c r="D46" s="58" t="s">
        <v>682</v>
      </c>
      <c r="E46" t="s">
        <v>156</v>
      </c>
      <c r="F46" s="58" t="s">
        <v>1468</v>
      </c>
      <c r="G46" t="s">
        <v>1012</v>
      </c>
      <c r="H46" s="58" t="s">
        <v>1012</v>
      </c>
      <c r="I46" t="s">
        <v>1012</v>
      </c>
      <c r="J46" s="58" t="s">
        <v>1012</v>
      </c>
      <c r="K46" t="s">
        <v>1429</v>
      </c>
      <c r="L46" t="s">
        <v>20</v>
      </c>
      <c r="M46" t="s">
        <v>1430</v>
      </c>
      <c r="N46" s="59">
        <v>0</v>
      </c>
      <c r="O46" s="59">
        <v>24055556</v>
      </c>
      <c r="P46" s="59">
        <v>0</v>
      </c>
      <c r="Q46" s="59">
        <v>0</v>
      </c>
      <c r="R46" s="59">
        <v>0</v>
      </c>
      <c r="S46" s="59">
        <v>24055556</v>
      </c>
      <c r="T46" s="41"/>
      <c r="U46" s="41"/>
      <c r="V46" s="41"/>
      <c r="W46" s="41"/>
      <c r="X46" s="41"/>
      <c r="Y46" s="41"/>
      <c r="Z46" s="41"/>
      <c r="AA46" s="41"/>
      <c r="AB46" s="41"/>
      <c r="AC46" s="41"/>
      <c r="AD46" s="41"/>
      <c r="AE46" s="59">
        <v>986.89180966861011</v>
      </c>
      <c r="AF46" s="59">
        <v>986.89180966861011</v>
      </c>
      <c r="AG46" s="59" t="s">
        <v>156</v>
      </c>
      <c r="AH46" s="59" t="s">
        <v>1284</v>
      </c>
    </row>
    <row r="47" spans="1:34" x14ac:dyDescent="0.35">
      <c r="A47" s="58">
        <v>2024</v>
      </c>
      <c r="B47" s="58">
        <v>1</v>
      </c>
      <c r="C47">
        <v>1</v>
      </c>
      <c r="D47" s="58" t="s">
        <v>615</v>
      </c>
      <c r="E47" t="s">
        <v>320</v>
      </c>
      <c r="F47" s="58" t="s">
        <v>168</v>
      </c>
      <c r="G47" t="s">
        <v>700</v>
      </c>
      <c r="H47" s="58" t="s">
        <v>4</v>
      </c>
      <c r="I47" t="s">
        <v>4</v>
      </c>
      <c r="J47" s="58" t="s">
        <v>4</v>
      </c>
      <c r="K47" t="s">
        <v>1429</v>
      </c>
      <c r="L47" t="s">
        <v>20</v>
      </c>
      <c r="M47" t="s">
        <v>1430</v>
      </c>
      <c r="N47" s="59">
        <v>44000</v>
      </c>
      <c r="O47" s="59">
        <v>1455916000</v>
      </c>
      <c r="P47" s="59">
        <v>3931641.4371257485</v>
      </c>
      <c r="Q47" s="59">
        <v>0</v>
      </c>
      <c r="R47" s="59">
        <v>22000000</v>
      </c>
      <c r="S47" s="59">
        <v>1429984358.5628743</v>
      </c>
      <c r="T47" s="41"/>
      <c r="U47" s="41"/>
      <c r="V47" s="41"/>
      <c r="W47" s="41"/>
      <c r="X47" s="41"/>
      <c r="Y47" s="41"/>
      <c r="Z47" s="41"/>
      <c r="AA47" s="41"/>
      <c r="AB47" s="41"/>
      <c r="AC47" s="41"/>
      <c r="AD47" s="41"/>
      <c r="AE47" s="59">
        <v>58665.858790373495</v>
      </c>
      <c r="AF47" s="59">
        <v>59729.717989702018</v>
      </c>
      <c r="AG47" s="59" t="s">
        <v>99</v>
      </c>
      <c r="AH47" s="59" t="s">
        <v>1160</v>
      </c>
    </row>
    <row r="48" spans="1:34" x14ac:dyDescent="0.35">
      <c r="A48" s="58">
        <v>2024</v>
      </c>
      <c r="B48" s="58">
        <v>1</v>
      </c>
      <c r="C48">
        <v>1</v>
      </c>
      <c r="D48" s="58" t="s">
        <v>605</v>
      </c>
      <c r="E48" t="s">
        <v>479</v>
      </c>
      <c r="F48" s="58" t="s">
        <v>184</v>
      </c>
      <c r="G48" t="s">
        <v>717</v>
      </c>
      <c r="H48" s="58" t="s">
        <v>1428</v>
      </c>
      <c r="I48" t="s">
        <v>75</v>
      </c>
      <c r="J48" s="58" t="s">
        <v>75</v>
      </c>
      <c r="K48" t="s">
        <v>1429</v>
      </c>
      <c r="L48" t="s">
        <v>20</v>
      </c>
      <c r="M48" t="s">
        <v>1430</v>
      </c>
      <c r="N48" s="59">
        <v>60750</v>
      </c>
      <c r="O48" s="59">
        <v>2291306500</v>
      </c>
      <c r="P48" s="59">
        <v>0</v>
      </c>
      <c r="Q48" s="59">
        <v>0</v>
      </c>
      <c r="R48" s="59">
        <v>43500000</v>
      </c>
      <c r="S48" s="59">
        <v>2247806500</v>
      </c>
      <c r="T48" s="41"/>
      <c r="U48" s="41"/>
      <c r="V48" s="41"/>
      <c r="W48" s="41"/>
      <c r="X48" s="41"/>
      <c r="Y48" s="41"/>
      <c r="Z48" s="41"/>
      <c r="AA48" s="41"/>
      <c r="AB48" s="41"/>
      <c r="AC48" s="41"/>
      <c r="AD48" s="41"/>
      <c r="AE48" s="59">
        <v>92217.441349926172</v>
      </c>
      <c r="AF48" s="59">
        <v>94002.051679472686</v>
      </c>
      <c r="AG48" s="59" t="s">
        <v>5</v>
      </c>
      <c r="AH48" s="59" t="s">
        <v>1198</v>
      </c>
    </row>
    <row r="49" spans="1:34" x14ac:dyDescent="0.35">
      <c r="A49" s="58">
        <v>2024</v>
      </c>
      <c r="B49" s="58">
        <v>1</v>
      </c>
      <c r="C49">
        <v>1</v>
      </c>
      <c r="D49" s="58" t="s">
        <v>1469</v>
      </c>
      <c r="E49" t="s">
        <v>1211</v>
      </c>
      <c r="F49" s="58" t="s">
        <v>1470</v>
      </c>
      <c r="G49" t="s">
        <v>1471</v>
      </c>
      <c r="H49" s="58" t="s">
        <v>1012</v>
      </c>
      <c r="I49" t="s">
        <v>86</v>
      </c>
      <c r="J49" s="58" t="s">
        <v>86</v>
      </c>
      <c r="K49" t="s">
        <v>1429</v>
      </c>
      <c r="L49" t="s">
        <v>20</v>
      </c>
      <c r="M49" t="s">
        <v>1430</v>
      </c>
      <c r="N49" s="59">
        <v>6678</v>
      </c>
      <c r="O49" s="59">
        <v>150255000</v>
      </c>
      <c r="P49" s="59">
        <v>0</v>
      </c>
      <c r="Q49" s="59">
        <v>0</v>
      </c>
      <c r="R49" s="59">
        <v>0</v>
      </c>
      <c r="S49" s="59">
        <v>150255000</v>
      </c>
      <c r="T49" s="41"/>
      <c r="U49" s="41"/>
      <c r="V49" s="41"/>
      <c r="W49" s="41"/>
      <c r="X49" s="41"/>
      <c r="Y49" s="41"/>
      <c r="Z49" s="41"/>
      <c r="AA49" s="41"/>
      <c r="AB49" s="41"/>
      <c r="AC49" s="41"/>
      <c r="AD49" s="41"/>
      <c r="AE49" s="59">
        <v>6164.2902314025514</v>
      </c>
      <c r="AF49" s="59">
        <v>6164.2902314025514</v>
      </c>
      <c r="AG49" s="59" t="s">
        <v>1211</v>
      </c>
      <c r="AH49" s="59" t="s">
        <v>1210</v>
      </c>
    </row>
    <row r="50" spans="1:34" x14ac:dyDescent="0.35">
      <c r="A50" s="58">
        <v>2024</v>
      </c>
      <c r="B50" s="58">
        <v>1</v>
      </c>
      <c r="C50">
        <v>1</v>
      </c>
      <c r="D50" s="58" t="s">
        <v>1469</v>
      </c>
      <c r="E50" t="s">
        <v>1211</v>
      </c>
      <c r="F50" s="58" t="s">
        <v>1472</v>
      </c>
      <c r="G50" t="s">
        <v>1473</v>
      </c>
      <c r="H50" s="58" t="s">
        <v>1012</v>
      </c>
      <c r="I50" t="s">
        <v>86</v>
      </c>
      <c r="J50" s="58" t="s">
        <v>86</v>
      </c>
      <c r="K50" t="s">
        <v>1429</v>
      </c>
      <c r="L50" t="s">
        <v>20</v>
      </c>
      <c r="M50" t="s">
        <v>1430</v>
      </c>
      <c r="N50" s="59">
        <v>3004</v>
      </c>
      <c r="O50" s="59">
        <v>63684800</v>
      </c>
      <c r="P50" s="59">
        <v>0</v>
      </c>
      <c r="Q50" s="59">
        <v>0</v>
      </c>
      <c r="R50" s="59">
        <v>0</v>
      </c>
      <c r="S50" s="59">
        <v>63684800</v>
      </c>
      <c r="T50" s="41"/>
      <c r="U50" s="41"/>
      <c r="V50" s="41"/>
      <c r="W50" s="41"/>
      <c r="X50" s="41"/>
      <c r="Y50" s="41"/>
      <c r="Z50" s="41"/>
      <c r="AA50" s="41"/>
      <c r="AB50" s="41"/>
      <c r="AC50" s="41"/>
      <c r="AD50" s="41"/>
      <c r="AE50" s="59">
        <v>2612.7023428759458</v>
      </c>
      <c r="AF50" s="59">
        <v>2612.7023428759458</v>
      </c>
      <c r="AG50" s="59" t="s">
        <v>1211</v>
      </c>
      <c r="AH50" s="59" t="s">
        <v>1215</v>
      </c>
    </row>
    <row r="51" spans="1:34" x14ac:dyDescent="0.35">
      <c r="A51" s="58">
        <v>2024</v>
      </c>
      <c r="B51" s="58">
        <v>1</v>
      </c>
      <c r="C51">
        <v>1</v>
      </c>
      <c r="D51" s="58" t="s">
        <v>1474</v>
      </c>
      <c r="E51" t="s">
        <v>1256</v>
      </c>
      <c r="F51" s="58" t="s">
        <v>203</v>
      </c>
      <c r="G51" t="s">
        <v>472</v>
      </c>
      <c r="H51" s="58" t="s">
        <v>1428</v>
      </c>
      <c r="I51" t="s">
        <v>76</v>
      </c>
      <c r="J51" s="58" t="s">
        <v>76</v>
      </c>
      <c r="K51" t="s">
        <v>1429</v>
      </c>
      <c r="L51" t="s">
        <v>20</v>
      </c>
      <c r="M51" t="s">
        <v>1430</v>
      </c>
      <c r="N51" s="59">
        <v>2250</v>
      </c>
      <c r="O51" s="59">
        <v>45832500</v>
      </c>
      <c r="P51" s="59">
        <v>589746.21556886227</v>
      </c>
      <c r="Q51" s="59">
        <v>0</v>
      </c>
      <c r="R51" s="59">
        <v>0</v>
      </c>
      <c r="S51" s="59">
        <v>45242753.784431137</v>
      </c>
      <c r="T51" s="41"/>
      <c r="U51" s="41"/>
      <c r="V51" s="41"/>
      <c r="W51" s="41"/>
      <c r="X51" s="41"/>
      <c r="Y51" s="41"/>
      <c r="Z51" s="41"/>
      <c r="AA51" s="41"/>
      <c r="AB51" s="41"/>
      <c r="AC51" s="41"/>
      <c r="AD51" s="41"/>
      <c r="AE51" s="59">
        <v>1856.1077181798919</v>
      </c>
      <c r="AF51" s="59">
        <v>1880.3023661825391</v>
      </c>
      <c r="AG51" s="59" t="s">
        <v>1256</v>
      </c>
      <c r="AH51" s="59" t="s">
        <v>78</v>
      </c>
    </row>
    <row r="52" spans="1:34" x14ac:dyDescent="0.35">
      <c r="A52" s="58">
        <v>2024</v>
      </c>
      <c r="B52" s="58">
        <v>1</v>
      </c>
      <c r="C52">
        <v>1</v>
      </c>
      <c r="D52" s="58" t="s">
        <v>1474</v>
      </c>
      <c r="E52" t="s">
        <v>1256</v>
      </c>
      <c r="F52" s="58" t="s">
        <v>212</v>
      </c>
      <c r="G52" t="s">
        <v>481</v>
      </c>
      <c r="H52" s="58" t="s">
        <v>21</v>
      </c>
      <c r="I52" t="s">
        <v>21</v>
      </c>
      <c r="J52" s="58" t="s">
        <v>21</v>
      </c>
      <c r="K52" t="s">
        <v>1429</v>
      </c>
      <c r="L52" t="s">
        <v>20</v>
      </c>
      <c r="M52" t="s">
        <v>1430</v>
      </c>
      <c r="N52" s="59">
        <v>15000</v>
      </c>
      <c r="O52" s="59">
        <v>298605000</v>
      </c>
      <c r="P52" s="59">
        <v>3758292.9576216694</v>
      </c>
      <c r="Q52" s="59">
        <v>0</v>
      </c>
      <c r="R52" s="59">
        <v>0</v>
      </c>
      <c r="S52" s="59">
        <v>294846707.04237831</v>
      </c>
      <c r="T52" s="41"/>
      <c r="U52" s="41"/>
      <c r="V52" s="41"/>
      <c r="W52" s="41"/>
      <c r="X52" s="41"/>
      <c r="Y52" s="41"/>
      <c r="Z52" s="41"/>
      <c r="AA52" s="41"/>
      <c r="AB52" s="41"/>
      <c r="AC52" s="41"/>
      <c r="AD52" s="41"/>
      <c r="AE52" s="59">
        <v>12096.24089702534</v>
      </c>
      <c r="AF52" s="59">
        <v>12250.42683802841</v>
      </c>
      <c r="AG52" s="59" t="s">
        <v>1256</v>
      </c>
      <c r="AH52" s="59" t="s">
        <v>84</v>
      </c>
    </row>
    <row r="53" spans="1:34" x14ac:dyDescent="0.35">
      <c r="A53" s="58">
        <v>2024</v>
      </c>
      <c r="B53" s="58">
        <v>1</v>
      </c>
      <c r="C53">
        <v>1</v>
      </c>
      <c r="D53" s="58" t="s">
        <v>1475</v>
      </c>
      <c r="E53" t="s">
        <v>1159</v>
      </c>
      <c r="F53" s="58" t="s">
        <v>168</v>
      </c>
      <c r="G53" t="s">
        <v>700</v>
      </c>
      <c r="H53" s="58" t="s">
        <v>4</v>
      </c>
      <c r="I53" t="s">
        <v>4</v>
      </c>
      <c r="J53" s="58" t="s">
        <v>4</v>
      </c>
      <c r="K53" t="s">
        <v>1429</v>
      </c>
      <c r="L53" t="s">
        <v>20</v>
      </c>
      <c r="M53" t="s">
        <v>1430</v>
      </c>
      <c r="N53" s="59">
        <v>25</v>
      </c>
      <c r="O53" s="59">
        <v>859250</v>
      </c>
      <c r="P53" s="59">
        <v>0</v>
      </c>
      <c r="Q53" s="59">
        <v>0</v>
      </c>
      <c r="R53" s="59">
        <v>0</v>
      </c>
      <c r="S53" s="59">
        <v>859250</v>
      </c>
      <c r="T53" s="41"/>
      <c r="U53" s="41"/>
      <c r="V53" s="41"/>
      <c r="W53" s="41"/>
      <c r="X53" s="41"/>
      <c r="Y53" s="41"/>
      <c r="Z53" s="41"/>
      <c r="AA53" s="41"/>
      <c r="AB53" s="41"/>
      <c r="AC53" s="41"/>
      <c r="AD53" s="41"/>
      <c r="AE53" s="59">
        <v>35.251182199145731</v>
      </c>
      <c r="AF53" s="59">
        <v>35.251182199145731</v>
      </c>
      <c r="AG53" s="59" t="s">
        <v>1159</v>
      </c>
      <c r="AH53" s="59" t="s">
        <v>1160</v>
      </c>
    </row>
    <row r="54" spans="1:34" x14ac:dyDescent="0.35">
      <c r="A54" s="58">
        <v>2024</v>
      </c>
      <c r="B54" s="58">
        <v>1</v>
      </c>
      <c r="C54">
        <v>1</v>
      </c>
      <c r="D54" s="58" t="s">
        <v>1475</v>
      </c>
      <c r="E54" t="s">
        <v>1159</v>
      </c>
      <c r="F54" s="58" t="s">
        <v>803</v>
      </c>
      <c r="G54" t="s">
        <v>804</v>
      </c>
      <c r="H54" s="58" t="s">
        <v>4</v>
      </c>
      <c r="I54" t="s">
        <v>4</v>
      </c>
      <c r="J54" s="58" t="s">
        <v>4</v>
      </c>
      <c r="K54" t="s">
        <v>1429</v>
      </c>
      <c r="L54" t="s">
        <v>20</v>
      </c>
      <c r="M54" t="s">
        <v>1430</v>
      </c>
      <c r="N54" s="59">
        <v>25</v>
      </c>
      <c r="O54" s="59">
        <v>859250</v>
      </c>
      <c r="P54" s="59">
        <v>0</v>
      </c>
      <c r="Q54" s="59">
        <v>0</v>
      </c>
      <c r="R54" s="59">
        <v>0</v>
      </c>
      <c r="S54" s="59">
        <v>859250</v>
      </c>
      <c r="T54" s="41"/>
      <c r="U54" s="41"/>
      <c r="V54" s="41"/>
      <c r="W54" s="41"/>
      <c r="X54" s="41"/>
      <c r="Y54" s="41"/>
      <c r="Z54" s="41"/>
      <c r="AA54" s="41"/>
      <c r="AB54" s="41"/>
      <c r="AC54" s="41"/>
      <c r="AD54" s="41"/>
      <c r="AE54" s="59">
        <v>35.251182199145731</v>
      </c>
      <c r="AF54" s="59">
        <v>35.251182199145731</v>
      </c>
      <c r="AG54" s="59" t="s">
        <v>1159</v>
      </c>
      <c r="AH54" s="59" t="s">
        <v>1188</v>
      </c>
    </row>
    <row r="55" spans="1:34" x14ac:dyDescent="0.35">
      <c r="A55" s="58">
        <v>2024</v>
      </c>
      <c r="B55" s="58">
        <v>1</v>
      </c>
      <c r="C55">
        <v>1</v>
      </c>
      <c r="D55" s="58" t="s">
        <v>602</v>
      </c>
      <c r="E55" t="s">
        <v>122</v>
      </c>
      <c r="F55" s="58" t="s">
        <v>171</v>
      </c>
      <c r="G55" t="s">
        <v>731</v>
      </c>
      <c r="H55" s="58" t="s">
        <v>4</v>
      </c>
      <c r="I55" t="s">
        <v>4</v>
      </c>
      <c r="J55" s="58" t="s">
        <v>4</v>
      </c>
      <c r="K55" t="s">
        <v>1476</v>
      </c>
      <c r="L55" t="s">
        <v>1477</v>
      </c>
      <c r="M55" t="s">
        <v>1430</v>
      </c>
      <c r="N55" s="59">
        <v>110000</v>
      </c>
      <c r="O55" s="59">
        <v>3406724200</v>
      </c>
      <c r="P55" s="59">
        <v>8850000</v>
      </c>
      <c r="Q55" s="59">
        <v>0</v>
      </c>
      <c r="R55" s="59">
        <v>44903833</v>
      </c>
      <c r="S55" s="59">
        <v>3352970366.9999995</v>
      </c>
      <c r="T55" s="41"/>
      <c r="U55" s="41"/>
      <c r="V55" s="41"/>
      <c r="W55" s="41"/>
      <c r="X55" s="41"/>
      <c r="Y55" s="41"/>
      <c r="Z55" s="41"/>
      <c r="AA55" s="41"/>
      <c r="AB55" s="41"/>
      <c r="AC55" s="41"/>
      <c r="AD55" s="41"/>
      <c r="AE55" s="59">
        <v>137495.70322786574</v>
      </c>
      <c r="AF55" s="59">
        <v>139700</v>
      </c>
      <c r="AG55" s="59" t="s">
        <v>122</v>
      </c>
      <c r="AH55" s="59" t="s">
        <v>1166</v>
      </c>
    </row>
    <row r="56" spans="1:34" x14ac:dyDescent="0.35">
      <c r="A56" s="58">
        <v>2024</v>
      </c>
      <c r="B56" s="58">
        <v>1</v>
      </c>
      <c r="C56">
        <v>1</v>
      </c>
      <c r="D56" s="58" t="s">
        <v>587</v>
      </c>
      <c r="E56" t="s">
        <v>6</v>
      </c>
      <c r="F56" s="58" t="s">
        <v>171</v>
      </c>
      <c r="G56" t="s">
        <v>731</v>
      </c>
      <c r="H56" s="58" t="s">
        <v>4</v>
      </c>
      <c r="I56" t="s">
        <v>4</v>
      </c>
      <c r="J56" s="58" t="s">
        <v>4</v>
      </c>
      <c r="K56" t="s">
        <v>1476</v>
      </c>
      <c r="L56" t="s">
        <v>1477</v>
      </c>
      <c r="M56" t="s">
        <v>1430</v>
      </c>
      <c r="N56" s="59">
        <v>616000</v>
      </c>
      <c r="O56" s="59">
        <v>18018528000</v>
      </c>
      <c r="P56" s="59">
        <v>49560000</v>
      </c>
      <c r="Q56" s="59">
        <v>270277920</v>
      </c>
      <c r="R56" s="59">
        <v>222583412.28571412</v>
      </c>
      <c r="S56" s="59">
        <v>17476106667.714298</v>
      </c>
      <c r="T56" s="41"/>
      <c r="U56" s="41"/>
      <c r="V56" s="41"/>
      <c r="W56" s="41"/>
      <c r="X56" s="41"/>
      <c r="Y56" s="41"/>
      <c r="Z56" s="41"/>
      <c r="AA56" s="41"/>
      <c r="AB56" s="41"/>
      <c r="AC56" s="41"/>
      <c r="AD56" s="41"/>
      <c r="AE56" s="59">
        <v>716947.46035778895</v>
      </c>
      <c r="AF56" s="59">
        <v>739200</v>
      </c>
      <c r="AG56" s="59" t="s">
        <v>6</v>
      </c>
      <c r="AH56" s="59" t="s">
        <v>1166</v>
      </c>
    </row>
    <row r="57" spans="1:34" x14ac:dyDescent="0.35">
      <c r="A57" s="58">
        <v>2024</v>
      </c>
      <c r="B57" s="58">
        <v>1</v>
      </c>
      <c r="C57">
        <v>1</v>
      </c>
      <c r="D57" s="58" t="s">
        <v>587</v>
      </c>
      <c r="E57" t="s">
        <v>6</v>
      </c>
      <c r="F57" s="58" t="s">
        <v>172</v>
      </c>
      <c r="G57" t="s">
        <v>734</v>
      </c>
      <c r="H57" s="58" t="s">
        <v>4</v>
      </c>
      <c r="I57" t="s">
        <v>4</v>
      </c>
      <c r="J57" s="58" t="s">
        <v>4</v>
      </c>
      <c r="K57" t="s">
        <v>1476</v>
      </c>
      <c r="L57" t="s">
        <v>1477</v>
      </c>
      <c r="M57" t="s">
        <v>1430</v>
      </c>
      <c r="N57" s="59">
        <v>396000</v>
      </c>
      <c r="O57" s="59">
        <v>10808582400</v>
      </c>
      <c r="P57" s="59">
        <v>31860000</v>
      </c>
      <c r="Q57" s="59">
        <v>162128736</v>
      </c>
      <c r="R57" s="59">
        <v>143593277.71428567</v>
      </c>
      <c r="S57" s="59">
        <v>10471000386.285715</v>
      </c>
      <c r="T57" s="41"/>
      <c r="U57" s="41"/>
      <c r="V57" s="41"/>
      <c r="W57" s="41"/>
      <c r="X57" s="41"/>
      <c r="Y57" s="41"/>
      <c r="Z57" s="41"/>
      <c r="AA57" s="41"/>
      <c r="AB57" s="41"/>
      <c r="AC57" s="41"/>
      <c r="AD57" s="41"/>
      <c r="AE57" s="59">
        <v>429667.7405768343</v>
      </c>
      <c r="AF57" s="59">
        <v>443520</v>
      </c>
      <c r="AG57" s="59" t="s">
        <v>6</v>
      </c>
      <c r="AH57" s="59" t="s">
        <v>1175</v>
      </c>
    </row>
    <row r="58" spans="1:34" x14ac:dyDescent="0.35">
      <c r="A58" s="58">
        <v>2024</v>
      </c>
      <c r="B58" s="58">
        <v>1</v>
      </c>
      <c r="C58">
        <v>1</v>
      </c>
      <c r="D58" s="58" t="s">
        <v>1478</v>
      </c>
      <c r="E58" t="s">
        <v>1238</v>
      </c>
      <c r="F58" s="58" t="s">
        <v>796</v>
      </c>
      <c r="G58" t="s">
        <v>797</v>
      </c>
      <c r="H58" s="58" t="s">
        <v>74</v>
      </c>
      <c r="I58" t="s">
        <v>74</v>
      </c>
      <c r="J58" s="58" t="s">
        <v>74</v>
      </c>
      <c r="K58" t="s">
        <v>1476</v>
      </c>
      <c r="L58" t="s">
        <v>1479</v>
      </c>
      <c r="M58" t="s">
        <v>1430</v>
      </c>
      <c r="N58" s="59">
        <v>22000</v>
      </c>
      <c r="O58" s="59">
        <v>620194490.99999988</v>
      </c>
      <c r="P58" s="59">
        <v>1770000</v>
      </c>
      <c r="Q58" s="59">
        <v>0</v>
      </c>
      <c r="R58" s="59">
        <v>99075282</v>
      </c>
      <c r="S58" s="59">
        <v>519349208.99999988</v>
      </c>
      <c r="T58" s="41"/>
      <c r="U58" s="41"/>
      <c r="V58" s="41"/>
      <c r="W58" s="41"/>
      <c r="X58" s="41"/>
      <c r="Y58" s="41"/>
      <c r="Z58" s="41"/>
      <c r="AA58" s="41"/>
      <c r="AB58" s="41"/>
      <c r="AC58" s="41"/>
      <c r="AD58" s="41"/>
      <c r="AE58" s="59">
        <v>21460.711115702474</v>
      </c>
      <c r="AF58" s="59">
        <v>25627.871528925614</v>
      </c>
      <c r="AG58" s="59" t="s">
        <v>1238</v>
      </c>
      <c r="AH58" s="59" t="s">
        <v>1237</v>
      </c>
    </row>
    <row r="59" spans="1:34" x14ac:dyDescent="0.35">
      <c r="A59" s="58">
        <v>2024</v>
      </c>
      <c r="B59" s="58">
        <v>1</v>
      </c>
      <c r="C59">
        <v>1</v>
      </c>
      <c r="D59" s="58" t="s">
        <v>1480</v>
      </c>
      <c r="E59" t="s">
        <v>1189</v>
      </c>
      <c r="F59" s="58" t="s">
        <v>803</v>
      </c>
      <c r="G59" t="s">
        <v>804</v>
      </c>
      <c r="H59" s="58" t="s">
        <v>4</v>
      </c>
      <c r="I59" t="s">
        <v>4</v>
      </c>
      <c r="J59" s="58" t="s">
        <v>4</v>
      </c>
      <c r="K59" t="s">
        <v>1476</v>
      </c>
      <c r="L59" t="s">
        <v>1477</v>
      </c>
      <c r="M59" t="s">
        <v>1430</v>
      </c>
      <c r="N59" s="59">
        <v>44000</v>
      </c>
      <c r="O59" s="59">
        <v>2091208001</v>
      </c>
      <c r="P59" s="59">
        <v>4956000</v>
      </c>
      <c r="Q59" s="59">
        <v>0</v>
      </c>
      <c r="R59" s="59">
        <v>690804880</v>
      </c>
      <c r="S59" s="59">
        <v>1395447121</v>
      </c>
      <c r="T59" s="41"/>
      <c r="U59" s="41"/>
      <c r="V59" s="41"/>
      <c r="W59" s="41"/>
      <c r="X59" s="41"/>
      <c r="Y59" s="41"/>
      <c r="Z59" s="41"/>
      <c r="AA59" s="41"/>
      <c r="AB59" s="41"/>
      <c r="AC59" s="41"/>
      <c r="AD59" s="41"/>
      <c r="AE59" s="59">
        <v>57120.225992632011</v>
      </c>
      <c r="AF59" s="59">
        <v>85600.000040933286</v>
      </c>
      <c r="AG59" s="59" t="s">
        <v>1189</v>
      </c>
      <c r="AH59" s="59" t="s">
        <v>1188</v>
      </c>
    </row>
    <row r="60" spans="1:34" x14ac:dyDescent="0.35">
      <c r="A60" s="58">
        <v>2024</v>
      </c>
      <c r="B60" s="58">
        <v>1</v>
      </c>
      <c r="C60">
        <v>1</v>
      </c>
      <c r="D60" s="58" t="s">
        <v>1481</v>
      </c>
      <c r="E60" t="s">
        <v>1296</v>
      </c>
      <c r="F60" s="58" t="s">
        <v>1482</v>
      </c>
      <c r="G60" t="s">
        <v>1483</v>
      </c>
      <c r="H60" s="58" t="s">
        <v>1012</v>
      </c>
      <c r="I60" t="s">
        <v>1012</v>
      </c>
      <c r="J60" s="58" t="s">
        <v>1012</v>
      </c>
      <c r="K60" t="s">
        <v>1429</v>
      </c>
      <c r="L60" t="s">
        <v>20</v>
      </c>
      <c r="M60" t="s">
        <v>1430</v>
      </c>
      <c r="N60" s="59">
        <v>0</v>
      </c>
      <c r="O60" s="59">
        <v>8500000</v>
      </c>
      <c r="P60" s="59">
        <v>0</v>
      </c>
      <c r="Q60" s="59">
        <v>0</v>
      </c>
      <c r="R60" s="59">
        <v>0</v>
      </c>
      <c r="S60" s="59">
        <v>8500000</v>
      </c>
      <c r="T60" s="41"/>
      <c r="U60" s="41"/>
      <c r="V60" s="41"/>
      <c r="W60" s="41"/>
      <c r="X60" s="41"/>
      <c r="Y60" s="41"/>
      <c r="Z60" s="41"/>
      <c r="AA60" s="41"/>
      <c r="AB60" s="41"/>
      <c r="AC60" s="41"/>
      <c r="AD60" s="41"/>
      <c r="AE60" s="59">
        <v>348.71696094586991</v>
      </c>
      <c r="AF60" s="59">
        <v>348.71696094586991</v>
      </c>
      <c r="AG60" s="59" t="s">
        <v>1296</v>
      </c>
      <c r="AH60" s="59" t="s">
        <v>1325</v>
      </c>
    </row>
    <row r="61" spans="1:34" x14ac:dyDescent="0.35">
      <c r="A61" s="58">
        <v>2024</v>
      </c>
      <c r="B61" s="58">
        <v>1</v>
      </c>
      <c r="C61">
        <v>1</v>
      </c>
      <c r="D61" s="58" t="s">
        <v>1484</v>
      </c>
      <c r="E61" t="s">
        <v>1298</v>
      </c>
      <c r="F61" s="58" t="s">
        <v>1482</v>
      </c>
      <c r="G61" t="s">
        <v>1483</v>
      </c>
      <c r="H61" s="58" t="s">
        <v>1012</v>
      </c>
      <c r="I61" t="s">
        <v>1012</v>
      </c>
      <c r="J61" s="58" t="s">
        <v>1012</v>
      </c>
      <c r="K61" t="s">
        <v>1429</v>
      </c>
      <c r="L61" t="s">
        <v>20</v>
      </c>
      <c r="M61" t="s">
        <v>1430</v>
      </c>
      <c r="N61" s="59">
        <v>0</v>
      </c>
      <c r="O61" s="59">
        <v>4500000</v>
      </c>
      <c r="P61" s="59">
        <v>0</v>
      </c>
      <c r="Q61" s="59">
        <v>0</v>
      </c>
      <c r="R61" s="59">
        <v>0</v>
      </c>
      <c r="S61" s="59">
        <v>4500000</v>
      </c>
      <c r="T61" s="41"/>
      <c r="U61" s="41"/>
      <c r="V61" s="41"/>
      <c r="W61" s="41"/>
      <c r="X61" s="41"/>
      <c r="Y61" s="41"/>
      <c r="Z61" s="41"/>
      <c r="AA61" s="41"/>
      <c r="AB61" s="41"/>
      <c r="AC61" s="41"/>
      <c r="AD61" s="41"/>
      <c r="AE61" s="59">
        <v>184.61486167722524</v>
      </c>
      <c r="AF61" s="59">
        <v>184.61486167722524</v>
      </c>
      <c r="AG61" s="59" t="s">
        <v>1298</v>
      </c>
      <c r="AH61" s="59" t="s">
        <v>1325</v>
      </c>
    </row>
    <row r="62" spans="1:34" x14ac:dyDescent="0.35">
      <c r="A62" s="58">
        <v>2024</v>
      </c>
      <c r="B62" s="58">
        <v>1</v>
      </c>
      <c r="C62">
        <v>1</v>
      </c>
      <c r="D62" s="58" t="s">
        <v>1485</v>
      </c>
      <c r="E62" t="s">
        <v>1318</v>
      </c>
      <c r="F62" s="58" t="s">
        <v>1486</v>
      </c>
      <c r="G62" t="s">
        <v>1487</v>
      </c>
      <c r="H62" s="58" t="s">
        <v>1012</v>
      </c>
      <c r="I62" t="s">
        <v>1012</v>
      </c>
      <c r="J62" s="58" t="s">
        <v>1012</v>
      </c>
      <c r="K62" t="s">
        <v>1429</v>
      </c>
      <c r="L62" t="s">
        <v>20</v>
      </c>
      <c r="M62" t="s">
        <v>1430</v>
      </c>
      <c r="N62" s="59">
        <v>0</v>
      </c>
      <c r="O62" s="59">
        <v>0</v>
      </c>
      <c r="P62" s="59">
        <v>0</v>
      </c>
      <c r="Q62" s="59">
        <v>0</v>
      </c>
      <c r="R62" s="59">
        <v>0</v>
      </c>
      <c r="S62" s="59">
        <v>0</v>
      </c>
      <c r="T62" s="41"/>
      <c r="U62" s="41"/>
      <c r="V62" s="41"/>
      <c r="W62" s="41"/>
      <c r="X62" s="41"/>
      <c r="Y62" s="41"/>
      <c r="Z62" s="41"/>
      <c r="AA62" s="41"/>
      <c r="AB62" s="41"/>
      <c r="AC62" s="41"/>
      <c r="AD62" s="41"/>
      <c r="AE62" s="59">
        <v>0</v>
      </c>
      <c r="AF62" s="59">
        <v>0</v>
      </c>
      <c r="AG62" s="59" t="s">
        <v>1318</v>
      </c>
      <c r="AH62" s="59" t="s">
        <v>1317</v>
      </c>
    </row>
    <row r="63" spans="1:34" x14ac:dyDescent="0.35">
      <c r="A63" s="58">
        <v>2024</v>
      </c>
      <c r="B63" s="58">
        <v>1</v>
      </c>
      <c r="C63">
        <v>1</v>
      </c>
      <c r="D63" s="58" t="s">
        <v>1488</v>
      </c>
      <c r="E63" t="s">
        <v>1275</v>
      </c>
      <c r="F63" s="58" t="s">
        <v>1489</v>
      </c>
      <c r="G63" t="s">
        <v>1490</v>
      </c>
      <c r="H63" s="58" t="s">
        <v>1012</v>
      </c>
      <c r="I63" t="s">
        <v>1012</v>
      </c>
      <c r="J63" s="58" t="s">
        <v>1012</v>
      </c>
      <c r="K63" t="s">
        <v>1429</v>
      </c>
      <c r="L63" t="s">
        <v>20</v>
      </c>
      <c r="M63" t="s">
        <v>1430</v>
      </c>
      <c r="N63" s="59">
        <v>0</v>
      </c>
      <c r="O63" s="59">
        <v>0</v>
      </c>
      <c r="P63" s="59">
        <v>0</v>
      </c>
      <c r="Q63" s="59">
        <v>0</v>
      </c>
      <c r="R63" s="59">
        <v>0</v>
      </c>
      <c r="S63" s="59">
        <v>0</v>
      </c>
      <c r="T63" s="41"/>
      <c r="U63" s="41"/>
      <c r="V63" s="41"/>
      <c r="W63" s="41"/>
      <c r="X63" s="41"/>
      <c r="Y63" s="41"/>
      <c r="Z63" s="41"/>
      <c r="AA63" s="41"/>
      <c r="AB63" s="41"/>
      <c r="AC63" s="41"/>
      <c r="AD63" s="41"/>
      <c r="AE63" s="59">
        <v>0</v>
      </c>
      <c r="AF63" s="59">
        <v>0</v>
      </c>
      <c r="AG63" s="59" t="s">
        <v>1275</v>
      </c>
      <c r="AH63" s="59" t="s">
        <v>1274</v>
      </c>
    </row>
    <row r="64" spans="1:34" x14ac:dyDescent="0.35">
      <c r="A64" s="58">
        <v>2024</v>
      </c>
      <c r="B64" s="58">
        <v>1</v>
      </c>
      <c r="C64">
        <v>1</v>
      </c>
      <c r="D64" s="58" t="s">
        <v>1491</v>
      </c>
      <c r="E64" t="s">
        <v>1264</v>
      </c>
      <c r="F64" s="58" t="s">
        <v>1492</v>
      </c>
      <c r="G64" t="s">
        <v>1493</v>
      </c>
      <c r="H64" s="58" t="s">
        <v>1012</v>
      </c>
      <c r="I64" t="s">
        <v>1012</v>
      </c>
      <c r="J64" s="58" t="s">
        <v>1012</v>
      </c>
      <c r="K64" t="s">
        <v>1429</v>
      </c>
      <c r="L64" t="s">
        <v>20</v>
      </c>
      <c r="M64" t="s">
        <v>1430</v>
      </c>
      <c r="N64" s="59">
        <v>0</v>
      </c>
      <c r="O64" s="59">
        <v>0</v>
      </c>
      <c r="P64" s="59">
        <v>0</v>
      </c>
      <c r="Q64" s="59">
        <v>0</v>
      </c>
      <c r="R64" s="59">
        <v>999998.99999952316</v>
      </c>
      <c r="S64" s="59">
        <v>-999998.99999952316</v>
      </c>
      <c r="T64" s="41"/>
      <c r="U64" s="41"/>
      <c r="V64" s="41"/>
      <c r="W64" s="41"/>
      <c r="X64" s="41"/>
      <c r="Y64" s="41"/>
      <c r="Z64" s="41"/>
      <c r="AA64" s="41"/>
      <c r="AB64" s="41"/>
      <c r="AC64" s="41"/>
      <c r="AD64" s="41"/>
      <c r="AE64" s="59">
        <v>-41.025483791616786</v>
      </c>
      <c r="AF64" s="59">
        <v>0</v>
      </c>
      <c r="AG64" s="59" t="s">
        <v>1264</v>
      </c>
      <c r="AH64" s="59" t="s">
        <v>1269</v>
      </c>
    </row>
    <row r="65" spans="1:34" x14ac:dyDescent="0.35">
      <c r="A65" s="58">
        <v>2024</v>
      </c>
      <c r="B65" s="58">
        <v>1</v>
      </c>
      <c r="C65">
        <v>1</v>
      </c>
      <c r="D65" s="58" t="s">
        <v>1491</v>
      </c>
      <c r="E65" t="s">
        <v>1264</v>
      </c>
      <c r="F65" s="58" t="s">
        <v>1152</v>
      </c>
      <c r="G65" t="s">
        <v>1153</v>
      </c>
      <c r="H65" s="58" t="s">
        <v>1012</v>
      </c>
      <c r="I65" t="s">
        <v>1012</v>
      </c>
      <c r="J65" s="58" t="s">
        <v>1399</v>
      </c>
      <c r="K65" t="s">
        <v>1429</v>
      </c>
      <c r="L65" t="s">
        <v>20</v>
      </c>
      <c r="M65" t="s">
        <v>1430</v>
      </c>
      <c r="N65" s="59">
        <v>0</v>
      </c>
      <c r="O65" s="59">
        <v>0</v>
      </c>
      <c r="P65" s="59">
        <v>0</v>
      </c>
      <c r="Q65" s="59">
        <v>-144135552</v>
      </c>
      <c r="R65" s="59">
        <v>-385428991</v>
      </c>
      <c r="S65" s="59">
        <v>529564543</v>
      </c>
      <c r="T65" s="41"/>
      <c r="U65" s="41"/>
      <c r="V65" s="41"/>
      <c r="W65" s="41"/>
      <c r="X65" s="41"/>
      <c r="Y65" s="41"/>
      <c r="Z65" s="41"/>
      <c r="AA65" s="41"/>
      <c r="AB65" s="41"/>
      <c r="AC65" s="41"/>
      <c r="AD65" s="41"/>
      <c r="AE65" s="59">
        <v>21725.663301135064</v>
      </c>
      <c r="AF65" s="59">
        <v>0</v>
      </c>
      <c r="AG65" s="59" t="s">
        <v>1264</v>
      </c>
      <c r="AH65" s="59" t="s">
        <v>1400</v>
      </c>
    </row>
    <row r="66" spans="1:34" x14ac:dyDescent="0.35">
      <c r="A66" s="58">
        <v>2024</v>
      </c>
      <c r="B66" s="58">
        <v>1</v>
      </c>
      <c r="C66">
        <v>1</v>
      </c>
      <c r="D66" s="58" t="s">
        <v>1491</v>
      </c>
      <c r="E66" t="s">
        <v>1264</v>
      </c>
      <c r="F66" s="58" t="s">
        <v>1494</v>
      </c>
      <c r="G66" t="s">
        <v>1495</v>
      </c>
      <c r="H66" s="58" t="s">
        <v>1012</v>
      </c>
      <c r="I66" t="s">
        <v>1012</v>
      </c>
      <c r="J66" s="58" t="s">
        <v>1397</v>
      </c>
      <c r="K66" t="s">
        <v>1429</v>
      </c>
      <c r="L66" t="s">
        <v>20</v>
      </c>
      <c r="M66" t="s">
        <v>1430</v>
      </c>
      <c r="N66" s="59">
        <v>0</v>
      </c>
      <c r="O66" s="59">
        <v>0</v>
      </c>
      <c r="P66" s="59">
        <v>0</v>
      </c>
      <c r="Q66" s="59">
        <v>0</v>
      </c>
      <c r="R66" s="59">
        <v>8500000</v>
      </c>
      <c r="S66" s="59">
        <v>-8500000</v>
      </c>
      <c r="T66" s="41"/>
      <c r="U66" s="41"/>
      <c r="V66" s="41"/>
      <c r="W66" s="41"/>
      <c r="X66" s="41"/>
      <c r="Y66" s="41"/>
      <c r="Z66" s="41"/>
      <c r="AA66" s="41"/>
      <c r="AB66" s="41"/>
      <c r="AC66" s="41"/>
      <c r="AD66" s="41"/>
      <c r="AE66" s="59">
        <v>-348.71696094586991</v>
      </c>
      <c r="AF66" s="59">
        <v>0</v>
      </c>
      <c r="AG66" s="59" t="s">
        <v>1264</v>
      </c>
      <c r="AH66" s="59" t="s">
        <v>1398</v>
      </c>
    </row>
    <row r="67" spans="1:34" x14ac:dyDescent="0.35">
      <c r="A67" s="58">
        <v>2024</v>
      </c>
      <c r="B67" s="58">
        <v>1</v>
      </c>
      <c r="C67">
        <v>1</v>
      </c>
      <c r="D67" s="58" t="s">
        <v>1491</v>
      </c>
      <c r="E67" t="s">
        <v>1264</v>
      </c>
      <c r="F67" s="58" t="s">
        <v>1496</v>
      </c>
      <c r="G67" t="s">
        <v>1497</v>
      </c>
      <c r="H67" s="58" t="s">
        <v>1012</v>
      </c>
      <c r="I67" t="s">
        <v>1012</v>
      </c>
      <c r="J67" s="58" t="s">
        <v>1012</v>
      </c>
      <c r="K67" t="s">
        <v>1429</v>
      </c>
      <c r="L67" t="s">
        <v>20</v>
      </c>
      <c r="M67" t="s">
        <v>1430</v>
      </c>
      <c r="N67" s="59">
        <v>0</v>
      </c>
      <c r="O67" s="59">
        <v>0</v>
      </c>
      <c r="P67" s="59">
        <v>0</v>
      </c>
      <c r="Q67" s="59">
        <v>0</v>
      </c>
      <c r="R67" s="59">
        <v>0</v>
      </c>
      <c r="S67" s="59">
        <v>0</v>
      </c>
      <c r="T67" s="41"/>
      <c r="U67" s="41"/>
      <c r="V67" s="41"/>
      <c r="W67" s="41"/>
      <c r="X67" s="41"/>
      <c r="Y67" s="41"/>
      <c r="Z67" s="41"/>
      <c r="AA67" s="41"/>
      <c r="AB67" s="41"/>
      <c r="AC67" s="41"/>
      <c r="AD67" s="41"/>
      <c r="AE67" s="59">
        <v>0</v>
      </c>
      <c r="AF67" s="59">
        <v>0</v>
      </c>
      <c r="AG67" s="59" t="s">
        <v>1264</v>
      </c>
      <c r="AH67" s="59" t="s">
        <v>1329</v>
      </c>
    </row>
    <row r="68" spans="1:34" x14ac:dyDescent="0.35">
      <c r="A68" s="58">
        <v>2024</v>
      </c>
      <c r="B68" s="58">
        <v>1</v>
      </c>
      <c r="C68">
        <v>15</v>
      </c>
      <c r="D68" s="58" t="s">
        <v>602</v>
      </c>
      <c r="E68" t="s">
        <v>122</v>
      </c>
      <c r="F68" s="58" t="s">
        <v>1498</v>
      </c>
      <c r="G68" t="s">
        <v>1499</v>
      </c>
      <c r="H68" s="58" t="s">
        <v>1012</v>
      </c>
      <c r="I68" t="s">
        <v>1012</v>
      </c>
      <c r="J68" s="58" t="s">
        <v>1012</v>
      </c>
      <c r="K68" t="s">
        <v>1476</v>
      </c>
      <c r="L68" t="s">
        <v>1477</v>
      </c>
      <c r="M68" t="s">
        <v>1430</v>
      </c>
      <c r="N68" s="59">
        <v>44000</v>
      </c>
      <c r="O68" s="59">
        <v>1626653600</v>
      </c>
      <c r="P68" s="59">
        <v>3540000</v>
      </c>
      <c r="Q68" s="59">
        <v>0</v>
      </c>
      <c r="R68" s="59">
        <v>262694552.72727272</v>
      </c>
      <c r="S68" s="59">
        <v>1360419047.2727273</v>
      </c>
      <c r="T68" s="41"/>
      <c r="U68" s="41"/>
      <c r="V68" s="41"/>
      <c r="W68" s="41"/>
      <c r="X68" s="41"/>
      <c r="Y68" s="41"/>
      <c r="Z68" s="41"/>
      <c r="AA68" s="41"/>
      <c r="AB68" s="41"/>
      <c r="AC68" s="41"/>
      <c r="AD68" s="41"/>
      <c r="AE68" s="59">
        <v>56448.923123349676</v>
      </c>
      <c r="AF68" s="59">
        <v>67496</v>
      </c>
      <c r="AG68" s="59" t="s">
        <v>122</v>
      </c>
      <c r="AH68" s="59" t="s">
        <v>1268</v>
      </c>
    </row>
    <row r="69" spans="1:34" x14ac:dyDescent="0.35">
      <c r="A69" s="58">
        <v>2024</v>
      </c>
      <c r="B69" s="58">
        <v>1</v>
      </c>
      <c r="C69">
        <v>15</v>
      </c>
      <c r="D69" s="58" t="s">
        <v>587</v>
      </c>
      <c r="E69" t="s">
        <v>6</v>
      </c>
      <c r="F69" s="58" t="s">
        <v>1498</v>
      </c>
      <c r="G69" t="s">
        <v>1499</v>
      </c>
      <c r="H69" s="58" t="s">
        <v>1012</v>
      </c>
      <c r="I69" t="s">
        <v>1012</v>
      </c>
      <c r="J69" s="58" t="s">
        <v>1012</v>
      </c>
      <c r="K69" t="s">
        <v>1476</v>
      </c>
      <c r="L69" t="s">
        <v>1477</v>
      </c>
      <c r="M69" t="s">
        <v>1430</v>
      </c>
      <c r="N69" s="59">
        <v>176000</v>
      </c>
      <c r="O69" s="59">
        <v>5115264000</v>
      </c>
      <c r="P69" s="59">
        <v>14160000</v>
      </c>
      <c r="Q69" s="59">
        <v>51152640</v>
      </c>
      <c r="R69" s="59">
        <v>61636852</v>
      </c>
      <c r="S69" s="59">
        <v>4988314508</v>
      </c>
      <c r="T69" s="41"/>
      <c r="U69" s="41"/>
      <c r="V69" s="41"/>
      <c r="W69" s="41"/>
      <c r="X69" s="41"/>
      <c r="Y69" s="41"/>
      <c r="Z69" s="41"/>
      <c r="AA69" s="41"/>
      <c r="AB69" s="41"/>
      <c r="AC69" s="41"/>
      <c r="AD69" s="41"/>
      <c r="AE69" s="59">
        <v>205958.48505367461</v>
      </c>
      <c r="AF69" s="59">
        <v>211200</v>
      </c>
      <c r="AG69" s="59" t="s">
        <v>6</v>
      </c>
      <c r="AH69" s="59" t="s">
        <v>1268</v>
      </c>
    </row>
    <row r="70" spans="1:34" x14ac:dyDescent="0.35">
      <c r="A70" s="58">
        <v>2024</v>
      </c>
      <c r="B70" s="58">
        <v>1</v>
      </c>
      <c r="C70">
        <v>15</v>
      </c>
      <c r="D70" s="58" t="s">
        <v>1500</v>
      </c>
      <c r="E70" t="s">
        <v>1176</v>
      </c>
      <c r="F70" s="58" t="s">
        <v>1498</v>
      </c>
      <c r="G70" t="s">
        <v>1499</v>
      </c>
      <c r="H70" s="58" t="s">
        <v>1012</v>
      </c>
      <c r="I70" t="s">
        <v>1012</v>
      </c>
      <c r="J70" s="58" t="s">
        <v>1012</v>
      </c>
      <c r="K70" t="s">
        <v>1476</v>
      </c>
      <c r="L70" t="s">
        <v>1501</v>
      </c>
      <c r="M70" t="s">
        <v>1430</v>
      </c>
      <c r="N70" s="59">
        <v>330000</v>
      </c>
      <c r="O70" s="59">
        <v>9771095400</v>
      </c>
      <c r="P70" s="59">
        <v>26550000</v>
      </c>
      <c r="Q70" s="59">
        <v>0</v>
      </c>
      <c r="R70" s="59">
        <v>544196220</v>
      </c>
      <c r="S70" s="59">
        <v>9200349180</v>
      </c>
      <c r="T70" s="41"/>
      <c r="U70" s="41"/>
      <c r="V70" s="41"/>
      <c r="W70" s="41"/>
      <c r="X70" s="41"/>
      <c r="Y70" s="41"/>
      <c r="Z70" s="41"/>
      <c r="AA70" s="41"/>
      <c r="AB70" s="41"/>
      <c r="AC70" s="41"/>
      <c r="AD70" s="41"/>
      <c r="AE70" s="59">
        <v>382190.64412264642</v>
      </c>
      <c r="AF70" s="59">
        <v>405900</v>
      </c>
      <c r="AG70" s="59" t="s">
        <v>1176</v>
      </c>
      <c r="AH70" s="59" t="s">
        <v>1268</v>
      </c>
    </row>
    <row r="71" spans="1:34" x14ac:dyDescent="0.35">
      <c r="A71" s="58">
        <v>2024</v>
      </c>
      <c r="B71" s="58">
        <v>1</v>
      </c>
      <c r="C71">
        <v>15</v>
      </c>
      <c r="D71" s="58" t="s">
        <v>618</v>
      </c>
      <c r="E71" t="s">
        <v>143</v>
      </c>
      <c r="F71" s="58" t="s">
        <v>1498</v>
      </c>
      <c r="G71" t="s">
        <v>1499</v>
      </c>
      <c r="H71" s="58" t="s">
        <v>1012</v>
      </c>
      <c r="I71" t="s">
        <v>1012</v>
      </c>
      <c r="J71" s="58" t="s">
        <v>1012</v>
      </c>
      <c r="K71" t="s">
        <v>1476</v>
      </c>
      <c r="L71" t="s">
        <v>1477</v>
      </c>
      <c r="M71" t="s">
        <v>1430</v>
      </c>
      <c r="N71" s="59">
        <v>440000</v>
      </c>
      <c r="O71" s="59">
        <v>11886336000.000002</v>
      </c>
      <c r="P71" s="59">
        <v>34363600</v>
      </c>
      <c r="Q71" s="59">
        <v>0</v>
      </c>
      <c r="R71" s="59">
        <v>168649121.27272728</v>
      </c>
      <c r="S71" s="59">
        <v>11683323278.727278</v>
      </c>
      <c r="T71" s="41"/>
      <c r="U71" s="41"/>
      <c r="V71" s="41"/>
      <c r="W71" s="41"/>
      <c r="X71" s="41"/>
      <c r="Y71" s="41"/>
      <c r="Z71" s="41"/>
      <c r="AA71" s="41"/>
      <c r="AB71" s="41"/>
      <c r="AC71" s="41"/>
      <c r="AD71" s="41"/>
      <c r="AE71" s="59">
        <v>484383.12867255847</v>
      </c>
      <c r="AF71" s="59">
        <v>492800.00000000006</v>
      </c>
      <c r="AG71" s="59" t="s">
        <v>143</v>
      </c>
      <c r="AH71" s="59" t="s">
        <v>1268</v>
      </c>
    </row>
    <row r="72" spans="1:34" x14ac:dyDescent="0.35">
      <c r="A72" s="58">
        <v>2024</v>
      </c>
      <c r="B72" s="58">
        <v>2</v>
      </c>
      <c r="C72">
        <v>2</v>
      </c>
      <c r="D72" s="58" t="s">
        <v>625</v>
      </c>
      <c r="E72" t="s">
        <v>271</v>
      </c>
      <c r="F72" s="58" t="s">
        <v>167</v>
      </c>
      <c r="G72" t="s">
        <v>693</v>
      </c>
      <c r="H72" s="58" t="s">
        <v>4</v>
      </c>
      <c r="I72" t="s">
        <v>4</v>
      </c>
      <c r="J72" s="58" t="s">
        <v>4</v>
      </c>
      <c r="K72" t="s">
        <v>1429</v>
      </c>
      <c r="L72" t="s">
        <v>20</v>
      </c>
      <c r="M72" t="s">
        <v>1430</v>
      </c>
      <c r="N72" s="59">
        <v>33000</v>
      </c>
      <c r="O72" s="59">
        <v>1051501000</v>
      </c>
      <c r="P72" s="59">
        <v>6239511.656131479</v>
      </c>
      <c r="Q72" s="59">
        <v>0</v>
      </c>
      <c r="R72" s="59">
        <v>0</v>
      </c>
      <c r="S72" s="59">
        <v>1045261488.3438685</v>
      </c>
      <c r="T72" s="41"/>
      <c r="U72" s="41"/>
      <c r="V72" s="41"/>
      <c r="W72" s="41"/>
      <c r="X72" s="41"/>
      <c r="Y72" s="41"/>
      <c r="Z72" s="41"/>
      <c r="AA72" s="41"/>
      <c r="AB72" s="41"/>
      <c r="AC72" s="41"/>
      <c r="AD72" s="41"/>
      <c r="AE72" s="59">
        <v>42713.40878813008</v>
      </c>
      <c r="AF72" s="59">
        <v>42968.379257221903</v>
      </c>
      <c r="AG72" s="59" t="s">
        <v>47</v>
      </c>
      <c r="AH72" s="59" t="s">
        <v>1156</v>
      </c>
    </row>
    <row r="73" spans="1:34" x14ac:dyDescent="0.35">
      <c r="A73" s="58">
        <v>2024</v>
      </c>
      <c r="B73" s="58">
        <v>2</v>
      </c>
      <c r="C73">
        <v>2</v>
      </c>
      <c r="D73" s="58" t="s">
        <v>625</v>
      </c>
      <c r="E73" t="s">
        <v>271</v>
      </c>
      <c r="F73" s="58" t="s">
        <v>184</v>
      </c>
      <c r="G73" t="s">
        <v>717</v>
      </c>
      <c r="H73" s="58" t="s">
        <v>1428</v>
      </c>
      <c r="I73" t="s">
        <v>75</v>
      </c>
      <c r="J73" s="58" t="s">
        <v>75</v>
      </c>
      <c r="K73" t="s">
        <v>1429</v>
      </c>
      <c r="L73" t="s">
        <v>20</v>
      </c>
      <c r="M73" t="s">
        <v>1430</v>
      </c>
      <c r="N73" s="59">
        <v>100000</v>
      </c>
      <c r="O73" s="59">
        <v>3683800000</v>
      </c>
      <c r="P73" s="59">
        <v>0</v>
      </c>
      <c r="Q73" s="59">
        <v>0</v>
      </c>
      <c r="R73" s="59">
        <v>0</v>
      </c>
      <c r="S73" s="59">
        <v>3683800000</v>
      </c>
      <c r="T73" s="41"/>
      <c r="U73" s="41"/>
      <c r="V73" s="41"/>
      <c r="W73" s="41"/>
      <c r="X73" s="41"/>
      <c r="Y73" s="41"/>
      <c r="Z73" s="41"/>
      <c r="AA73" s="41"/>
      <c r="AB73" s="41"/>
      <c r="AC73" s="41"/>
      <c r="AD73" s="41"/>
      <c r="AE73" s="59">
        <v>150534.25104470088</v>
      </c>
      <c r="AF73" s="59">
        <v>150534.25104470088</v>
      </c>
      <c r="AG73" s="59" t="s">
        <v>47</v>
      </c>
      <c r="AH73" s="59" t="s">
        <v>1198</v>
      </c>
    </row>
    <row r="74" spans="1:34" x14ac:dyDescent="0.35">
      <c r="A74" s="58">
        <v>2024</v>
      </c>
      <c r="B74" s="58">
        <v>2</v>
      </c>
      <c r="C74">
        <v>2</v>
      </c>
      <c r="D74" s="58" t="s">
        <v>625</v>
      </c>
      <c r="E74" t="s">
        <v>271</v>
      </c>
      <c r="F74" s="58" t="s">
        <v>171</v>
      </c>
      <c r="G74" t="s">
        <v>731</v>
      </c>
      <c r="H74" s="58" t="s">
        <v>4</v>
      </c>
      <c r="I74" t="s">
        <v>4</v>
      </c>
      <c r="J74" s="58" t="s">
        <v>4</v>
      </c>
      <c r="K74" t="s">
        <v>1429</v>
      </c>
      <c r="L74" t="s">
        <v>20</v>
      </c>
      <c r="M74" t="s">
        <v>1430</v>
      </c>
      <c r="N74" s="59">
        <v>68200</v>
      </c>
      <c r="O74" s="59">
        <v>2215103000</v>
      </c>
      <c r="P74" s="59">
        <v>12894990.756005056</v>
      </c>
      <c r="Q74" s="59">
        <v>0</v>
      </c>
      <c r="R74" s="59">
        <v>0</v>
      </c>
      <c r="S74" s="59">
        <v>2202208009.2439952</v>
      </c>
      <c r="T74" s="41"/>
      <c r="U74" s="41"/>
      <c r="V74" s="41"/>
      <c r="W74" s="41"/>
      <c r="X74" s="41"/>
      <c r="Y74" s="41"/>
      <c r="Z74" s="41"/>
      <c r="AA74" s="41"/>
      <c r="AB74" s="41"/>
      <c r="AC74" s="41"/>
      <c r="AD74" s="41"/>
      <c r="AE74" s="59">
        <v>89990.698006457067</v>
      </c>
      <c r="AF74" s="59">
        <v>90517.636975913469</v>
      </c>
      <c r="AG74" s="59" t="s">
        <v>47</v>
      </c>
      <c r="AH74" s="59" t="s">
        <v>1166</v>
      </c>
    </row>
    <row r="75" spans="1:34" x14ac:dyDescent="0.35">
      <c r="A75" s="58">
        <v>2024</v>
      </c>
      <c r="B75" s="58">
        <v>2</v>
      </c>
      <c r="C75">
        <v>2</v>
      </c>
      <c r="D75" s="58" t="s">
        <v>625</v>
      </c>
      <c r="E75" t="s">
        <v>271</v>
      </c>
      <c r="F75" s="58" t="s">
        <v>196</v>
      </c>
      <c r="G75" t="s">
        <v>749</v>
      </c>
      <c r="H75" s="58" t="s">
        <v>1428</v>
      </c>
      <c r="I75" t="s">
        <v>76</v>
      </c>
      <c r="J75" s="58" t="s">
        <v>76</v>
      </c>
      <c r="K75" t="s">
        <v>1429</v>
      </c>
      <c r="L75" t="s">
        <v>20</v>
      </c>
      <c r="M75" t="s">
        <v>1430</v>
      </c>
      <c r="N75" s="59">
        <v>200</v>
      </c>
      <c r="O75" s="59">
        <v>3333400</v>
      </c>
      <c r="P75" s="59">
        <v>0</v>
      </c>
      <c r="Q75" s="59">
        <v>0</v>
      </c>
      <c r="R75" s="59">
        <v>0</v>
      </c>
      <c r="S75" s="59">
        <v>3333400</v>
      </c>
      <c r="T75" s="41"/>
      <c r="U75" s="41"/>
      <c r="V75" s="41"/>
      <c r="W75" s="41"/>
      <c r="X75" s="41"/>
      <c r="Y75" s="41"/>
      <c r="Z75" s="41"/>
      <c r="AA75" s="41"/>
      <c r="AB75" s="41"/>
      <c r="AC75" s="41"/>
      <c r="AD75" s="41"/>
      <c r="AE75" s="59">
        <v>136.21555796525487</v>
      </c>
      <c r="AF75" s="59">
        <v>136.21555796525487</v>
      </c>
      <c r="AG75" s="59" t="s">
        <v>47</v>
      </c>
      <c r="AH75" s="59" t="s">
        <v>1248</v>
      </c>
    </row>
    <row r="76" spans="1:34" x14ac:dyDescent="0.35">
      <c r="A76" s="58">
        <v>2024</v>
      </c>
      <c r="B76" s="58">
        <v>2</v>
      </c>
      <c r="C76">
        <v>2</v>
      </c>
      <c r="D76" s="58" t="s">
        <v>640</v>
      </c>
      <c r="E76" t="s">
        <v>552</v>
      </c>
      <c r="F76" s="58" t="s">
        <v>168</v>
      </c>
      <c r="G76" t="s">
        <v>700</v>
      </c>
      <c r="H76" s="58" t="s">
        <v>4</v>
      </c>
      <c r="I76" t="s">
        <v>4</v>
      </c>
      <c r="J76" s="58" t="s">
        <v>4</v>
      </c>
      <c r="K76" t="s">
        <v>1429</v>
      </c>
      <c r="L76" t="s">
        <v>20</v>
      </c>
      <c r="M76" t="s">
        <v>1430</v>
      </c>
      <c r="N76" s="59">
        <v>74800</v>
      </c>
      <c r="O76" s="59">
        <v>2449475600</v>
      </c>
      <c r="P76" s="59">
        <v>14142893.087231353</v>
      </c>
      <c r="Q76" s="59">
        <v>0</v>
      </c>
      <c r="R76" s="59">
        <v>13200000</v>
      </c>
      <c r="S76" s="59">
        <v>2422132706.9127684</v>
      </c>
      <c r="T76" s="41"/>
      <c r="U76" s="41"/>
      <c r="V76" s="41"/>
      <c r="W76" s="41"/>
      <c r="X76" s="41"/>
      <c r="Y76" s="41"/>
      <c r="Z76" s="41"/>
      <c r="AA76" s="41"/>
      <c r="AB76" s="41"/>
      <c r="AC76" s="41"/>
      <c r="AD76" s="41"/>
      <c r="AE76" s="59">
        <v>98977.667888047043</v>
      </c>
      <c r="AF76" s="59">
        <v>100095.00377280779</v>
      </c>
      <c r="AG76" s="59" t="s">
        <v>99</v>
      </c>
      <c r="AH76" s="59" t="s">
        <v>1160</v>
      </c>
    </row>
    <row r="77" spans="1:34" x14ac:dyDescent="0.35">
      <c r="A77" s="58">
        <v>2024</v>
      </c>
      <c r="B77" s="58">
        <v>2</v>
      </c>
      <c r="C77">
        <v>2</v>
      </c>
      <c r="D77" s="58" t="s">
        <v>640</v>
      </c>
      <c r="E77" t="s">
        <v>552</v>
      </c>
      <c r="F77" s="58" t="s">
        <v>1466</v>
      </c>
      <c r="G77" t="s">
        <v>1467</v>
      </c>
      <c r="H77" s="58" t="s">
        <v>1012</v>
      </c>
      <c r="I77" t="s">
        <v>1012</v>
      </c>
      <c r="J77" s="58" t="s">
        <v>1012</v>
      </c>
      <c r="K77" t="s">
        <v>1429</v>
      </c>
      <c r="L77" t="s">
        <v>20</v>
      </c>
      <c r="M77" t="s">
        <v>1430</v>
      </c>
      <c r="N77" s="59">
        <v>0</v>
      </c>
      <c r="O77" s="59">
        <v>1016685281</v>
      </c>
      <c r="P77" s="59">
        <v>0</v>
      </c>
      <c r="Q77" s="59">
        <v>0</v>
      </c>
      <c r="R77" s="59">
        <v>0</v>
      </c>
      <c r="S77" s="59">
        <v>1016685281</v>
      </c>
      <c r="T77" s="41"/>
      <c r="U77" s="41"/>
      <c r="V77" s="41"/>
      <c r="W77" s="41"/>
      <c r="X77" s="41"/>
      <c r="Y77" s="41"/>
      <c r="Z77" s="41"/>
      <c r="AA77" s="41"/>
      <c r="AB77" s="41"/>
      <c r="AC77" s="41"/>
      <c r="AD77" s="41"/>
      <c r="AE77" s="59">
        <v>41545.674934444396</v>
      </c>
      <c r="AF77" s="59">
        <v>41545.674934444396</v>
      </c>
      <c r="AG77" s="59" t="s">
        <v>99</v>
      </c>
      <c r="AH77" s="59" t="s">
        <v>1306</v>
      </c>
    </row>
    <row r="78" spans="1:34" x14ac:dyDescent="0.35">
      <c r="A78" s="58">
        <v>2024</v>
      </c>
      <c r="B78" s="58">
        <v>2</v>
      </c>
      <c r="C78">
        <v>2</v>
      </c>
      <c r="D78" s="58" t="s">
        <v>589</v>
      </c>
      <c r="E78" t="s">
        <v>322</v>
      </c>
      <c r="F78" s="58" t="s">
        <v>171</v>
      </c>
      <c r="G78" t="s">
        <v>731</v>
      </c>
      <c r="H78" s="58" t="s">
        <v>4</v>
      </c>
      <c r="I78" t="s">
        <v>4</v>
      </c>
      <c r="J78" s="58" t="s">
        <v>4</v>
      </c>
      <c r="K78" t="s">
        <v>1429</v>
      </c>
      <c r="L78" t="s">
        <v>20</v>
      </c>
      <c r="M78" t="s">
        <v>1430</v>
      </c>
      <c r="N78" s="59">
        <v>352000</v>
      </c>
      <c r="O78" s="59">
        <v>11451616000</v>
      </c>
      <c r="P78" s="59">
        <v>66554790.998735778</v>
      </c>
      <c r="Q78" s="59">
        <v>0</v>
      </c>
      <c r="R78" s="59">
        <v>49280000</v>
      </c>
      <c r="S78" s="59">
        <v>11335781209.001263</v>
      </c>
      <c r="T78" s="41"/>
      <c r="U78" s="41"/>
      <c r="V78" s="41"/>
      <c r="W78" s="41"/>
      <c r="X78" s="41"/>
      <c r="Y78" s="41"/>
      <c r="Z78" s="41"/>
      <c r="AA78" s="41"/>
      <c r="AB78" s="41"/>
      <c r="AC78" s="41"/>
      <c r="AD78" s="41"/>
      <c r="AE78" s="59">
        <v>463223.66423356312</v>
      </c>
      <c r="AF78" s="59">
        <v>467957.11977075686</v>
      </c>
      <c r="AG78" s="59" t="s">
        <v>5</v>
      </c>
      <c r="AH78" s="59" t="s">
        <v>1166</v>
      </c>
    </row>
    <row r="79" spans="1:34" x14ac:dyDescent="0.35">
      <c r="A79" s="58">
        <v>2024</v>
      </c>
      <c r="B79" s="58">
        <v>2</v>
      </c>
      <c r="C79">
        <v>2</v>
      </c>
      <c r="D79" s="58" t="s">
        <v>621</v>
      </c>
      <c r="E79" t="s">
        <v>257</v>
      </c>
      <c r="F79" s="58" t="s">
        <v>167</v>
      </c>
      <c r="G79" t="s">
        <v>693</v>
      </c>
      <c r="H79" s="58" t="s">
        <v>4</v>
      </c>
      <c r="I79" t="s">
        <v>4</v>
      </c>
      <c r="J79" s="58" t="s">
        <v>4</v>
      </c>
      <c r="K79" t="s">
        <v>1429</v>
      </c>
      <c r="L79" t="s">
        <v>20</v>
      </c>
      <c r="M79" t="s">
        <v>1430</v>
      </c>
      <c r="N79" s="59">
        <v>176000</v>
      </c>
      <c r="O79" s="59">
        <v>5340280000</v>
      </c>
      <c r="P79" s="59">
        <v>16638697.749683946</v>
      </c>
      <c r="Q79" s="59">
        <v>0</v>
      </c>
      <c r="R79" s="59">
        <v>0</v>
      </c>
      <c r="S79" s="59">
        <v>5323641302.2503157</v>
      </c>
      <c r="T79" s="41"/>
      <c r="U79" s="41"/>
      <c r="V79" s="41"/>
      <c r="W79" s="41"/>
      <c r="X79" s="41"/>
      <c r="Y79" s="41"/>
      <c r="Z79" s="41"/>
      <c r="AA79" s="41"/>
      <c r="AB79" s="41"/>
      <c r="AC79" s="41"/>
      <c r="AD79" s="41"/>
      <c r="AE79" s="59">
        <v>217544.48022826633</v>
      </c>
      <c r="AF79" s="59">
        <v>218224.40147917782</v>
      </c>
      <c r="AG79" s="59" t="s">
        <v>16</v>
      </c>
      <c r="AH79" s="59" t="s">
        <v>1156</v>
      </c>
    </row>
    <row r="80" spans="1:34" x14ac:dyDescent="0.35">
      <c r="A80" s="58">
        <v>2024</v>
      </c>
      <c r="B80" s="58">
        <v>2</v>
      </c>
      <c r="C80">
        <v>2</v>
      </c>
      <c r="D80" s="58" t="s">
        <v>601</v>
      </c>
      <c r="E80" t="s">
        <v>501</v>
      </c>
      <c r="F80" s="58" t="s">
        <v>171</v>
      </c>
      <c r="G80" t="s">
        <v>731</v>
      </c>
      <c r="H80" s="58" t="s">
        <v>4</v>
      </c>
      <c r="I80" t="s">
        <v>4</v>
      </c>
      <c r="J80" s="58" t="s">
        <v>4</v>
      </c>
      <c r="K80" t="s">
        <v>1429</v>
      </c>
      <c r="L80" t="s">
        <v>20</v>
      </c>
      <c r="M80" t="s">
        <v>1430</v>
      </c>
      <c r="N80" s="59">
        <v>88000</v>
      </c>
      <c r="O80" s="59">
        <v>2577696000</v>
      </c>
      <c r="P80" s="59">
        <v>16638697.749683945</v>
      </c>
      <c r="Q80" s="59">
        <v>0</v>
      </c>
      <c r="R80" s="59">
        <v>12320000</v>
      </c>
      <c r="S80" s="59">
        <v>2548737302.2503161</v>
      </c>
      <c r="T80" s="41"/>
      <c r="U80" s="41"/>
      <c r="V80" s="41"/>
      <c r="W80" s="41"/>
      <c r="X80" s="41"/>
      <c r="Y80" s="41"/>
      <c r="Z80" s="41"/>
      <c r="AA80" s="41"/>
      <c r="AB80" s="41"/>
      <c r="AC80" s="41"/>
      <c r="AD80" s="41"/>
      <c r="AE80" s="59">
        <v>104151.21909548368</v>
      </c>
      <c r="AF80" s="59">
        <v>105334.58297978211</v>
      </c>
      <c r="AG80" s="59" t="s">
        <v>109</v>
      </c>
      <c r="AH80" s="59" t="s">
        <v>1166</v>
      </c>
    </row>
    <row r="81" spans="1:34" x14ac:dyDescent="0.35">
      <c r="A81" s="58">
        <v>2024</v>
      </c>
      <c r="B81" s="58">
        <v>2</v>
      </c>
      <c r="C81">
        <v>2</v>
      </c>
      <c r="D81" s="58" t="s">
        <v>620</v>
      </c>
      <c r="E81" t="s">
        <v>324</v>
      </c>
      <c r="F81" s="58" t="s">
        <v>168</v>
      </c>
      <c r="G81" t="s">
        <v>700</v>
      </c>
      <c r="H81" s="58" t="s">
        <v>4</v>
      </c>
      <c r="I81" t="s">
        <v>4</v>
      </c>
      <c r="J81" s="58" t="s">
        <v>4</v>
      </c>
      <c r="K81" t="s">
        <v>1429</v>
      </c>
      <c r="L81" t="s">
        <v>20</v>
      </c>
      <c r="M81" t="s">
        <v>1430</v>
      </c>
      <c r="N81" s="59">
        <v>44000</v>
      </c>
      <c r="O81" s="59">
        <v>1539194799.9999998</v>
      </c>
      <c r="P81" s="59">
        <v>8319348.8748419723</v>
      </c>
      <c r="Q81" s="59">
        <v>0</v>
      </c>
      <c r="R81" s="59">
        <v>3200000</v>
      </c>
      <c r="S81" s="59">
        <v>1527675451.1251578</v>
      </c>
      <c r="T81" s="41"/>
      <c r="U81" s="41"/>
      <c r="V81" s="41"/>
      <c r="W81" s="41"/>
      <c r="X81" s="41"/>
      <c r="Y81" s="41"/>
      <c r="Z81" s="41"/>
      <c r="AA81" s="41"/>
      <c r="AB81" s="41"/>
      <c r="AC81" s="41"/>
      <c r="AD81" s="41"/>
      <c r="AE81" s="59">
        <v>62426.700655437642</v>
      </c>
      <c r="AF81" s="59">
        <v>62897.425601253635</v>
      </c>
      <c r="AG81" s="59" t="s">
        <v>8</v>
      </c>
      <c r="AH81" s="59" t="s">
        <v>1160</v>
      </c>
    </row>
    <row r="82" spans="1:34" x14ac:dyDescent="0.35">
      <c r="A82" s="58">
        <v>2024</v>
      </c>
      <c r="B82" s="58">
        <v>2</v>
      </c>
      <c r="C82">
        <v>2</v>
      </c>
      <c r="D82" s="58" t="s">
        <v>682</v>
      </c>
      <c r="E82" t="s">
        <v>156</v>
      </c>
      <c r="F82" s="58" t="s">
        <v>1468</v>
      </c>
      <c r="G82" t="s">
        <v>1012</v>
      </c>
      <c r="H82" s="58" t="s">
        <v>1012</v>
      </c>
      <c r="I82" t="s">
        <v>1012</v>
      </c>
      <c r="J82" s="58" t="s">
        <v>1012</v>
      </c>
      <c r="K82" t="s">
        <v>1429</v>
      </c>
      <c r="L82" t="s">
        <v>20</v>
      </c>
      <c r="M82" t="s">
        <v>1430</v>
      </c>
      <c r="N82" s="59">
        <v>0</v>
      </c>
      <c r="O82" s="59">
        <v>12512500</v>
      </c>
      <c r="P82" s="59">
        <v>0</v>
      </c>
      <c r="Q82" s="59">
        <v>0</v>
      </c>
      <c r="R82" s="59">
        <v>0</v>
      </c>
      <c r="S82" s="59">
        <v>12512500</v>
      </c>
      <c r="T82" s="41"/>
      <c r="U82" s="41"/>
      <c r="V82" s="41"/>
      <c r="W82" s="41"/>
      <c r="X82" s="41"/>
      <c r="Y82" s="41"/>
      <c r="Z82" s="41"/>
      <c r="AA82" s="41"/>
      <c r="AB82" s="41"/>
      <c r="AC82" s="41"/>
      <c r="AD82" s="41"/>
      <c r="AE82" s="59">
        <v>511.3089245335849</v>
      </c>
      <c r="AF82" s="59">
        <v>511.3089245335849</v>
      </c>
      <c r="AG82" s="59" t="s">
        <v>156</v>
      </c>
      <c r="AH82" s="59" t="s">
        <v>1284</v>
      </c>
    </row>
    <row r="83" spans="1:34" x14ac:dyDescent="0.35">
      <c r="A83" s="58">
        <v>2024</v>
      </c>
      <c r="B83" s="58">
        <v>2</v>
      </c>
      <c r="C83">
        <v>2</v>
      </c>
      <c r="D83" s="58" t="s">
        <v>615</v>
      </c>
      <c r="E83" t="s">
        <v>320</v>
      </c>
      <c r="F83" s="58" t="s">
        <v>168</v>
      </c>
      <c r="G83" t="s">
        <v>700</v>
      </c>
      <c r="H83" s="58" t="s">
        <v>4</v>
      </c>
      <c r="I83" t="s">
        <v>4</v>
      </c>
      <c r="J83" s="58" t="s">
        <v>4</v>
      </c>
      <c r="K83" t="s">
        <v>1429</v>
      </c>
      <c r="L83" t="s">
        <v>20</v>
      </c>
      <c r="M83" t="s">
        <v>1430</v>
      </c>
      <c r="N83" s="59">
        <v>90200</v>
      </c>
      <c r="O83" s="59">
        <v>3009523000</v>
      </c>
      <c r="P83" s="59">
        <v>8735316.3185840715</v>
      </c>
      <c r="Q83" s="59">
        <v>0</v>
      </c>
      <c r="R83" s="59">
        <v>48500000</v>
      </c>
      <c r="S83" s="59">
        <v>2952287683.6814156</v>
      </c>
      <c r="T83" s="41"/>
      <c r="U83" s="41"/>
      <c r="V83" s="41"/>
      <c r="W83" s="41"/>
      <c r="X83" s="41"/>
      <c r="Y83" s="41"/>
      <c r="Z83" s="41"/>
      <c r="AA83" s="41"/>
      <c r="AB83" s="41"/>
      <c r="AC83" s="41"/>
      <c r="AD83" s="41"/>
      <c r="AE83" s="59">
        <v>120641.84139515628</v>
      </c>
      <c r="AF83" s="59">
        <v>122980.69678234469</v>
      </c>
      <c r="AG83" s="59" t="s">
        <v>99</v>
      </c>
      <c r="AH83" s="59" t="s">
        <v>1160</v>
      </c>
    </row>
    <row r="84" spans="1:34" x14ac:dyDescent="0.35">
      <c r="A84" s="58">
        <v>2024</v>
      </c>
      <c r="B84" s="58">
        <v>2</v>
      </c>
      <c r="C84">
        <v>2</v>
      </c>
      <c r="D84" s="58" t="s">
        <v>1502</v>
      </c>
      <c r="E84" t="s">
        <v>1236</v>
      </c>
      <c r="F84" s="58" t="s">
        <v>879</v>
      </c>
      <c r="G84" t="s">
        <v>880</v>
      </c>
      <c r="H84" s="58" t="s">
        <v>1234</v>
      </c>
      <c r="I84" t="s">
        <v>1234</v>
      </c>
      <c r="J84" s="58" t="s">
        <v>1234</v>
      </c>
      <c r="K84" t="s">
        <v>1429</v>
      </c>
      <c r="L84" t="s">
        <v>20</v>
      </c>
      <c r="M84" t="s">
        <v>1430</v>
      </c>
      <c r="N84" s="59">
        <v>165000</v>
      </c>
      <c r="O84" s="59">
        <v>2881500000</v>
      </c>
      <c r="P84" s="59">
        <v>0</v>
      </c>
      <c r="Q84" s="59">
        <v>205650000</v>
      </c>
      <c r="R84" s="59">
        <v>0</v>
      </c>
      <c r="S84" s="59">
        <v>2675850000</v>
      </c>
      <c r="T84" s="41"/>
      <c r="U84" s="41"/>
      <c r="V84" s="41"/>
      <c r="W84" s="41"/>
      <c r="X84" s="41"/>
      <c r="Y84" s="41"/>
      <c r="Z84" s="41"/>
      <c r="AA84" s="41"/>
      <c r="AB84" s="41"/>
      <c r="AC84" s="41"/>
      <c r="AD84" s="41"/>
      <c r="AE84" s="59">
        <v>109345.53332373171</v>
      </c>
      <c r="AF84" s="59">
        <v>117749.1840993826</v>
      </c>
      <c r="AG84" s="59" t="s">
        <v>1236</v>
      </c>
      <c r="AH84" s="59" t="s">
        <v>1235</v>
      </c>
    </row>
    <row r="85" spans="1:34" x14ac:dyDescent="0.35">
      <c r="A85" s="58">
        <v>2024</v>
      </c>
      <c r="B85" s="58">
        <v>2</v>
      </c>
      <c r="C85">
        <v>2</v>
      </c>
      <c r="D85" s="58" t="s">
        <v>1503</v>
      </c>
      <c r="E85" t="s">
        <v>1170</v>
      </c>
      <c r="F85" s="58" t="s">
        <v>171</v>
      </c>
      <c r="G85" t="s">
        <v>731</v>
      </c>
      <c r="H85" s="58" t="s">
        <v>4</v>
      </c>
      <c r="I85" t="s">
        <v>4</v>
      </c>
      <c r="J85" s="58" t="s">
        <v>4</v>
      </c>
      <c r="K85" t="s">
        <v>1429</v>
      </c>
      <c r="L85" t="s">
        <v>20</v>
      </c>
      <c r="M85" t="s">
        <v>1430</v>
      </c>
      <c r="N85" s="59">
        <v>2200</v>
      </c>
      <c r="O85" s="59">
        <v>71127760</v>
      </c>
      <c r="P85" s="59">
        <v>0</v>
      </c>
      <c r="Q85" s="59">
        <v>0</v>
      </c>
      <c r="R85" s="59">
        <v>0</v>
      </c>
      <c r="S85" s="59">
        <v>71127760</v>
      </c>
      <c r="T85" s="41"/>
      <c r="U85" s="41"/>
      <c r="V85" s="41"/>
      <c r="W85" s="41"/>
      <c r="X85" s="41"/>
      <c r="Y85" s="41"/>
      <c r="Z85" s="41"/>
      <c r="AA85" s="41"/>
      <c r="AB85" s="41"/>
      <c r="AC85" s="41"/>
      <c r="AD85" s="41"/>
      <c r="AE85" s="59">
        <v>2906.5541234831517</v>
      </c>
      <c r="AF85" s="59">
        <v>2906.5541234831517</v>
      </c>
      <c r="AG85" s="59" t="s">
        <v>1170</v>
      </c>
      <c r="AH85" s="59" t="s">
        <v>1166</v>
      </c>
    </row>
    <row r="86" spans="1:34" x14ac:dyDescent="0.35">
      <c r="A86" s="58">
        <v>2024</v>
      </c>
      <c r="B86" s="58">
        <v>2</v>
      </c>
      <c r="C86">
        <v>2</v>
      </c>
      <c r="D86" s="58" t="s">
        <v>1504</v>
      </c>
      <c r="E86" t="s">
        <v>1241</v>
      </c>
      <c r="F86" s="58" t="s">
        <v>181</v>
      </c>
      <c r="G86" t="s">
        <v>800</v>
      </c>
      <c r="H86" s="58" t="s">
        <v>74</v>
      </c>
      <c r="I86" t="s">
        <v>74</v>
      </c>
      <c r="J86" s="58" t="s">
        <v>74</v>
      </c>
      <c r="K86" t="s">
        <v>1429</v>
      </c>
      <c r="L86" t="s">
        <v>20</v>
      </c>
      <c r="M86" t="s">
        <v>1430</v>
      </c>
      <c r="N86" s="59">
        <v>25</v>
      </c>
      <c r="O86" s="59">
        <v>680900</v>
      </c>
      <c r="P86" s="59">
        <v>0</v>
      </c>
      <c r="Q86" s="59">
        <v>0</v>
      </c>
      <c r="R86" s="59">
        <v>0</v>
      </c>
      <c r="S86" s="59">
        <v>680900</v>
      </c>
      <c r="T86" s="41"/>
      <c r="U86" s="41"/>
      <c r="V86" s="41"/>
      <c r="W86" s="41"/>
      <c r="X86" s="41"/>
      <c r="Y86" s="41"/>
      <c r="Z86" s="41"/>
      <c r="AA86" s="41"/>
      <c r="AB86" s="41"/>
      <c r="AC86" s="41"/>
      <c r="AD86" s="41"/>
      <c r="AE86" s="59">
        <v>27.824195541651783</v>
      </c>
      <c r="AF86" s="59">
        <v>27.824195541651783</v>
      </c>
      <c r="AG86" s="59" t="s">
        <v>1241</v>
      </c>
      <c r="AH86" s="59" t="s">
        <v>1240</v>
      </c>
    </row>
    <row r="87" spans="1:34" x14ac:dyDescent="0.35">
      <c r="A87" s="58">
        <v>2024</v>
      </c>
      <c r="B87" s="58">
        <v>2</v>
      </c>
      <c r="C87">
        <v>2</v>
      </c>
      <c r="D87" s="58" t="s">
        <v>1469</v>
      </c>
      <c r="E87" t="s">
        <v>1211</v>
      </c>
      <c r="F87" s="58" t="s">
        <v>1472</v>
      </c>
      <c r="G87" t="s">
        <v>1473</v>
      </c>
      <c r="H87" s="58" t="s">
        <v>1012</v>
      </c>
      <c r="I87" t="s">
        <v>86</v>
      </c>
      <c r="J87" s="58" t="s">
        <v>86</v>
      </c>
      <c r="K87" t="s">
        <v>1429</v>
      </c>
      <c r="L87" t="s">
        <v>20</v>
      </c>
      <c r="M87" t="s">
        <v>1430</v>
      </c>
      <c r="N87" s="59">
        <v>12202</v>
      </c>
      <c r="O87" s="59">
        <v>258682400</v>
      </c>
      <c r="P87" s="59">
        <v>0</v>
      </c>
      <c r="Q87" s="59">
        <v>0</v>
      </c>
      <c r="R87" s="59">
        <v>5002200</v>
      </c>
      <c r="S87" s="59">
        <v>253680200</v>
      </c>
      <c r="T87" s="41"/>
      <c r="U87" s="41"/>
      <c r="V87" s="41"/>
      <c r="W87" s="41"/>
      <c r="X87" s="41"/>
      <c r="Y87" s="41"/>
      <c r="Z87" s="41"/>
      <c r="AA87" s="41"/>
      <c r="AB87" s="41"/>
      <c r="AC87" s="41"/>
      <c r="AD87" s="41"/>
      <c r="AE87" s="59">
        <v>10366.349669327848</v>
      </c>
      <c r="AF87" s="59">
        <v>10570.758820360968</v>
      </c>
      <c r="AG87" s="59" t="s">
        <v>1211</v>
      </c>
      <c r="AH87" s="59" t="s">
        <v>1215</v>
      </c>
    </row>
    <row r="88" spans="1:34" x14ac:dyDescent="0.35">
      <c r="A88" s="58">
        <v>2024</v>
      </c>
      <c r="B88" s="58">
        <v>2</v>
      </c>
      <c r="C88">
        <v>2</v>
      </c>
      <c r="D88" s="58" t="s">
        <v>635</v>
      </c>
      <c r="E88" t="s">
        <v>62</v>
      </c>
      <c r="F88" s="58" t="s">
        <v>203</v>
      </c>
      <c r="G88" t="s">
        <v>472</v>
      </c>
      <c r="H88" s="58" t="s">
        <v>1428</v>
      </c>
      <c r="I88" t="s">
        <v>76</v>
      </c>
      <c r="J88" s="58" t="s">
        <v>76</v>
      </c>
      <c r="K88" t="s">
        <v>1429</v>
      </c>
      <c r="L88" t="s">
        <v>20</v>
      </c>
      <c r="M88" t="s">
        <v>1430</v>
      </c>
      <c r="N88" s="59">
        <v>19500</v>
      </c>
      <c r="O88" s="59">
        <v>415272000</v>
      </c>
      <c r="P88" s="59">
        <v>5407576.7686472824</v>
      </c>
      <c r="Q88" s="59">
        <v>0</v>
      </c>
      <c r="R88" s="59">
        <v>0</v>
      </c>
      <c r="S88" s="59">
        <v>409864423.23135275</v>
      </c>
      <c r="T88" s="41"/>
      <c r="U88" s="41"/>
      <c r="V88" s="41"/>
      <c r="W88" s="41"/>
      <c r="X88" s="41"/>
      <c r="Y88" s="41"/>
      <c r="Z88" s="41"/>
      <c r="AA88" s="41"/>
      <c r="AB88" s="41"/>
      <c r="AC88" s="41"/>
      <c r="AD88" s="41"/>
      <c r="AE88" s="59">
        <v>16748.638357402677</v>
      </c>
      <c r="AF88" s="59">
        <v>16969.61276394892</v>
      </c>
      <c r="AG88" s="59" t="s">
        <v>62</v>
      </c>
      <c r="AH88" s="59" t="s">
        <v>78</v>
      </c>
    </row>
    <row r="89" spans="1:34" x14ac:dyDescent="0.35">
      <c r="A89" s="58">
        <v>2024</v>
      </c>
      <c r="B89" s="58">
        <v>2</v>
      </c>
      <c r="C89">
        <v>2</v>
      </c>
      <c r="D89" s="58" t="s">
        <v>1505</v>
      </c>
      <c r="E89" t="s">
        <v>1216</v>
      </c>
      <c r="F89" s="58" t="s">
        <v>1472</v>
      </c>
      <c r="G89" t="s">
        <v>1473</v>
      </c>
      <c r="H89" s="58" t="s">
        <v>1012</v>
      </c>
      <c r="I89" t="s">
        <v>86</v>
      </c>
      <c r="J89" s="58" t="s">
        <v>86</v>
      </c>
      <c r="K89" t="s">
        <v>1429</v>
      </c>
      <c r="L89" t="s">
        <v>20</v>
      </c>
      <c r="M89" t="s">
        <v>1430</v>
      </c>
      <c r="N89" s="59">
        <v>43474</v>
      </c>
      <c r="O89" s="59">
        <v>921648800</v>
      </c>
      <c r="P89" s="59">
        <v>0</v>
      </c>
      <c r="Q89" s="59">
        <v>0</v>
      </c>
      <c r="R89" s="59">
        <v>0</v>
      </c>
      <c r="S89" s="59">
        <v>921648800</v>
      </c>
      <c r="T89" s="41"/>
      <c r="U89" s="41"/>
      <c r="V89" s="41"/>
      <c r="W89" s="41"/>
      <c r="X89" s="41"/>
      <c r="Y89" s="41"/>
      <c r="Z89" s="41"/>
      <c r="AA89" s="41"/>
      <c r="AB89" s="41"/>
      <c r="AC89" s="41"/>
      <c r="AD89" s="41"/>
      <c r="AE89" s="59">
        <v>37662.118419633895</v>
      </c>
      <c r="AF89" s="59">
        <v>37662.118419633895</v>
      </c>
      <c r="AG89" s="59" t="s">
        <v>1216</v>
      </c>
      <c r="AH89" s="59" t="s">
        <v>1215</v>
      </c>
    </row>
    <row r="90" spans="1:34" x14ac:dyDescent="0.35">
      <c r="A90" s="58">
        <v>2024</v>
      </c>
      <c r="B90" s="58">
        <v>2</v>
      </c>
      <c r="C90">
        <v>2</v>
      </c>
      <c r="D90" s="58" t="s">
        <v>1506</v>
      </c>
      <c r="E90" t="s">
        <v>1507</v>
      </c>
      <c r="F90" s="58" t="s">
        <v>796</v>
      </c>
      <c r="G90" t="s">
        <v>797</v>
      </c>
      <c r="H90" s="58" t="s">
        <v>74</v>
      </c>
      <c r="I90" t="s">
        <v>74</v>
      </c>
      <c r="J90" s="58" t="s">
        <v>74</v>
      </c>
      <c r="K90" t="s">
        <v>1429</v>
      </c>
      <c r="L90" t="s">
        <v>20</v>
      </c>
      <c r="M90" t="s">
        <v>1508</v>
      </c>
      <c r="N90" s="59">
        <v>-50000</v>
      </c>
      <c r="O90" s="59">
        <v>-1166125000</v>
      </c>
      <c r="P90" s="59">
        <v>0</v>
      </c>
      <c r="Q90" s="59">
        <v>0</v>
      </c>
      <c r="R90" s="59">
        <v>5016900</v>
      </c>
      <c r="S90" s="59">
        <v>-1171141900</v>
      </c>
      <c r="T90" s="41"/>
      <c r="U90" s="41"/>
      <c r="V90" s="41"/>
      <c r="W90" s="41"/>
      <c r="X90" s="41"/>
      <c r="Y90" s="41"/>
      <c r="Z90" s="41"/>
      <c r="AA90" s="41"/>
      <c r="AB90" s="41"/>
      <c r="AC90" s="41"/>
      <c r="AD90" s="41"/>
      <c r="AE90" s="59">
        <v>-47857.367062155383</v>
      </c>
      <c r="AF90" s="59">
        <v>-47652.357212525603</v>
      </c>
      <c r="AG90" s="59" t="s">
        <v>1507</v>
      </c>
      <c r="AH90" s="59" t="s">
        <v>1237</v>
      </c>
    </row>
    <row r="91" spans="1:34" x14ac:dyDescent="0.35">
      <c r="A91" s="58">
        <v>2024</v>
      </c>
      <c r="B91" s="58">
        <v>2</v>
      </c>
      <c r="C91">
        <v>2</v>
      </c>
      <c r="D91" s="58" t="s">
        <v>1474</v>
      </c>
      <c r="E91" t="s">
        <v>1256</v>
      </c>
      <c r="F91" s="58" t="s">
        <v>202</v>
      </c>
      <c r="G91" t="s">
        <v>473</v>
      </c>
      <c r="H91" s="58" t="s">
        <v>1428</v>
      </c>
      <c r="I91" t="s">
        <v>76</v>
      </c>
      <c r="J91" s="58" t="s">
        <v>76</v>
      </c>
      <c r="K91" t="s">
        <v>1429</v>
      </c>
      <c r="L91" t="s">
        <v>20</v>
      </c>
      <c r="M91" t="s">
        <v>1430</v>
      </c>
      <c r="N91" s="59">
        <v>9750</v>
      </c>
      <c r="O91" s="59">
        <v>198607500</v>
      </c>
      <c r="P91" s="59">
        <v>2703788.3843236412</v>
      </c>
      <c r="Q91" s="59">
        <v>0</v>
      </c>
      <c r="R91" s="59">
        <v>0</v>
      </c>
      <c r="S91" s="59">
        <v>195903711.61567634</v>
      </c>
      <c r="T91" s="41"/>
      <c r="U91" s="41"/>
      <c r="V91" s="41"/>
      <c r="W91" s="41"/>
      <c r="X91" s="41"/>
      <c r="Y91" s="41"/>
      <c r="Z91" s="41"/>
      <c r="AA91" s="41"/>
      <c r="AB91" s="41"/>
      <c r="AC91" s="41"/>
      <c r="AD91" s="41"/>
      <c r="AE91" s="59">
        <v>8005.379907959963</v>
      </c>
      <c r="AF91" s="59">
        <v>8115.8671112330831</v>
      </c>
      <c r="AG91" s="59" t="s">
        <v>1256</v>
      </c>
      <c r="AH91" s="59" t="s">
        <v>80</v>
      </c>
    </row>
    <row r="92" spans="1:34" x14ac:dyDescent="0.35">
      <c r="A92" s="58">
        <v>2024</v>
      </c>
      <c r="B92" s="58">
        <v>2</v>
      </c>
      <c r="C92">
        <v>2</v>
      </c>
      <c r="D92" s="58" t="s">
        <v>1474</v>
      </c>
      <c r="E92" t="s">
        <v>1256</v>
      </c>
      <c r="F92" s="58" t="s">
        <v>203</v>
      </c>
      <c r="G92" t="s">
        <v>472</v>
      </c>
      <c r="H92" s="58" t="s">
        <v>1428</v>
      </c>
      <c r="I92" t="s">
        <v>76</v>
      </c>
      <c r="J92" s="58" t="s">
        <v>76</v>
      </c>
      <c r="K92" t="s">
        <v>1429</v>
      </c>
      <c r="L92" t="s">
        <v>20</v>
      </c>
      <c r="M92" t="s">
        <v>1430</v>
      </c>
      <c r="N92" s="59">
        <v>7500</v>
      </c>
      <c r="O92" s="59">
        <v>152775000</v>
      </c>
      <c r="P92" s="59">
        <v>2079837.2187104931</v>
      </c>
      <c r="Q92" s="59">
        <v>0</v>
      </c>
      <c r="R92" s="59">
        <v>0</v>
      </c>
      <c r="S92" s="59">
        <v>150695162.78128952</v>
      </c>
      <c r="T92" s="41"/>
      <c r="U92" s="41"/>
      <c r="V92" s="41"/>
      <c r="W92" s="41"/>
      <c r="X92" s="41"/>
      <c r="Y92" s="41"/>
      <c r="Z92" s="41"/>
      <c r="AA92" s="41"/>
      <c r="AB92" s="41"/>
      <c r="AC92" s="41"/>
      <c r="AD92" s="41"/>
      <c r="AE92" s="59">
        <v>6157.9845445845867</v>
      </c>
      <c r="AF92" s="59">
        <v>6242.9747009485254</v>
      </c>
      <c r="AG92" s="59" t="s">
        <v>1256</v>
      </c>
      <c r="AH92" s="59" t="s">
        <v>78</v>
      </c>
    </row>
    <row r="93" spans="1:34" x14ac:dyDescent="0.35">
      <c r="A93" s="58">
        <v>2024</v>
      </c>
      <c r="B93" s="58">
        <v>2</v>
      </c>
      <c r="C93">
        <v>2</v>
      </c>
      <c r="D93" s="58" t="s">
        <v>1474</v>
      </c>
      <c r="E93" t="s">
        <v>1256</v>
      </c>
      <c r="F93" s="58" t="s">
        <v>212</v>
      </c>
      <c r="G93" t="s">
        <v>481</v>
      </c>
      <c r="H93" s="58" t="s">
        <v>21</v>
      </c>
      <c r="I93" t="s">
        <v>21</v>
      </c>
      <c r="J93" s="58" t="s">
        <v>21</v>
      </c>
      <c r="K93" t="s">
        <v>1429</v>
      </c>
      <c r="L93" t="s">
        <v>20</v>
      </c>
      <c r="M93" t="s">
        <v>1430</v>
      </c>
      <c r="N93" s="59">
        <v>15000</v>
      </c>
      <c r="O93" s="59">
        <v>298605000</v>
      </c>
      <c r="P93" s="59">
        <v>4159674.4374209861</v>
      </c>
      <c r="Q93" s="59">
        <v>0</v>
      </c>
      <c r="R93" s="59">
        <v>0</v>
      </c>
      <c r="S93" s="59">
        <v>294445325.56257904</v>
      </c>
      <c r="T93" s="41"/>
      <c r="U93" s="41"/>
      <c r="V93" s="41"/>
      <c r="W93" s="41"/>
      <c r="X93" s="41"/>
      <c r="Y93" s="41"/>
      <c r="Z93" s="41"/>
      <c r="AA93" s="41"/>
      <c r="AB93" s="41"/>
      <c r="AC93" s="41"/>
      <c r="AD93" s="41"/>
      <c r="AE93" s="59">
        <v>12032.169650137346</v>
      </c>
      <c r="AF93" s="59">
        <v>12202.149962865224</v>
      </c>
      <c r="AG93" s="59" t="s">
        <v>1256</v>
      </c>
      <c r="AH93" s="59" t="s">
        <v>84</v>
      </c>
    </row>
    <row r="94" spans="1:34" x14ac:dyDescent="0.35">
      <c r="A94" s="58">
        <v>2024</v>
      </c>
      <c r="B94" s="58">
        <v>2</v>
      </c>
      <c r="C94">
        <v>2</v>
      </c>
      <c r="D94" s="58" t="s">
        <v>602</v>
      </c>
      <c r="E94" t="s">
        <v>122</v>
      </c>
      <c r="F94" s="58" t="s">
        <v>171</v>
      </c>
      <c r="G94" t="s">
        <v>731</v>
      </c>
      <c r="H94" s="58" t="s">
        <v>4</v>
      </c>
      <c r="I94" t="s">
        <v>4</v>
      </c>
      <c r="J94" s="58" t="s">
        <v>4</v>
      </c>
      <c r="K94" t="s">
        <v>1476</v>
      </c>
      <c r="L94" t="s">
        <v>1477</v>
      </c>
      <c r="M94" t="s">
        <v>1430</v>
      </c>
      <c r="N94" s="59">
        <v>66000</v>
      </c>
      <c r="O94" s="59">
        <v>2017709654.999999</v>
      </c>
      <c r="P94" s="59">
        <v>5310000</v>
      </c>
      <c r="Q94" s="59">
        <v>0</v>
      </c>
      <c r="R94" s="59">
        <v>26912400</v>
      </c>
      <c r="S94" s="59">
        <v>1985487254.999999</v>
      </c>
      <c r="T94" s="41"/>
      <c r="U94" s="41"/>
      <c r="V94" s="41"/>
      <c r="W94" s="41"/>
      <c r="X94" s="41"/>
      <c r="Y94" s="41"/>
      <c r="Z94" s="41"/>
      <c r="AA94" s="41"/>
      <c r="AB94" s="41"/>
      <c r="AC94" s="41"/>
      <c r="AD94" s="41"/>
      <c r="AE94" s="59">
        <v>81106.505514705845</v>
      </c>
      <c r="AF94" s="59">
        <v>82422.780024509761</v>
      </c>
      <c r="AG94" s="59" t="s">
        <v>122</v>
      </c>
      <c r="AH94" s="59" t="s">
        <v>1166</v>
      </c>
    </row>
    <row r="95" spans="1:34" x14ac:dyDescent="0.35">
      <c r="A95" s="58">
        <v>2024</v>
      </c>
      <c r="B95" s="58">
        <v>2</v>
      </c>
      <c r="C95">
        <v>2</v>
      </c>
      <c r="D95" s="58" t="s">
        <v>587</v>
      </c>
      <c r="E95" t="s">
        <v>6</v>
      </c>
      <c r="F95" s="58" t="s">
        <v>171</v>
      </c>
      <c r="G95" t="s">
        <v>731</v>
      </c>
      <c r="H95" s="58" t="s">
        <v>4</v>
      </c>
      <c r="I95" t="s">
        <v>4</v>
      </c>
      <c r="J95" s="58" t="s">
        <v>4</v>
      </c>
      <c r="K95" t="s">
        <v>1476</v>
      </c>
      <c r="L95" t="s">
        <v>1509</v>
      </c>
      <c r="M95" t="s">
        <v>1430</v>
      </c>
      <c r="N95" s="59">
        <v>220000</v>
      </c>
      <c r="O95" s="59">
        <v>6468000000</v>
      </c>
      <c r="P95" s="59">
        <v>17700000</v>
      </c>
      <c r="Q95" s="59">
        <v>97020000</v>
      </c>
      <c r="R95" s="59">
        <v>86054140.999999985</v>
      </c>
      <c r="S95" s="59">
        <v>6267225858.999999</v>
      </c>
      <c r="T95" s="41"/>
      <c r="U95" s="41"/>
      <c r="V95" s="41"/>
      <c r="W95" s="41"/>
      <c r="X95" s="41"/>
      <c r="Y95" s="41"/>
      <c r="Z95" s="41"/>
      <c r="AA95" s="41"/>
      <c r="AB95" s="41"/>
      <c r="AC95" s="41"/>
      <c r="AD95" s="41"/>
      <c r="AE95" s="59">
        <v>255805.13710204078</v>
      </c>
      <c r="AF95" s="59">
        <v>264000</v>
      </c>
      <c r="AG95" s="59" t="s">
        <v>6</v>
      </c>
      <c r="AH95" s="59" t="s">
        <v>1166</v>
      </c>
    </row>
    <row r="96" spans="1:34" x14ac:dyDescent="0.35">
      <c r="A96" s="58">
        <v>2024</v>
      </c>
      <c r="B96" s="58">
        <v>2</v>
      </c>
      <c r="C96">
        <v>2</v>
      </c>
      <c r="D96" s="58" t="s">
        <v>587</v>
      </c>
      <c r="E96" t="s">
        <v>6</v>
      </c>
      <c r="F96" s="58" t="s">
        <v>171</v>
      </c>
      <c r="G96" t="s">
        <v>731</v>
      </c>
      <c r="H96" s="58" t="s">
        <v>4</v>
      </c>
      <c r="I96" t="s">
        <v>4</v>
      </c>
      <c r="J96" s="58" t="s">
        <v>4</v>
      </c>
      <c r="K96" t="s">
        <v>1476</v>
      </c>
      <c r="L96" t="s">
        <v>1477</v>
      </c>
      <c r="M96" t="s">
        <v>1430</v>
      </c>
      <c r="N96" s="59">
        <v>484000</v>
      </c>
      <c r="O96" s="59">
        <v>14236200000</v>
      </c>
      <c r="P96" s="59">
        <v>38940000</v>
      </c>
      <c r="Q96" s="59">
        <v>213543000</v>
      </c>
      <c r="R96" s="59">
        <v>171781348</v>
      </c>
      <c r="S96" s="59">
        <v>13811935652.000006</v>
      </c>
      <c r="T96" s="41"/>
      <c r="U96" s="41"/>
      <c r="V96" s="41"/>
      <c r="W96" s="41"/>
      <c r="X96" s="41"/>
      <c r="Y96" s="41"/>
      <c r="Z96" s="41"/>
      <c r="AA96" s="41"/>
      <c r="AB96" s="41"/>
      <c r="AC96" s="41"/>
      <c r="AD96" s="41"/>
      <c r="AE96" s="59">
        <v>563491.20250454696</v>
      </c>
      <c r="AF96" s="59">
        <v>580800</v>
      </c>
      <c r="AG96" s="59" t="s">
        <v>6</v>
      </c>
      <c r="AH96" s="59" t="s">
        <v>1166</v>
      </c>
    </row>
    <row r="97" spans="1:34" x14ac:dyDescent="0.35">
      <c r="A97" s="58">
        <v>2024</v>
      </c>
      <c r="B97" s="58">
        <v>2</v>
      </c>
      <c r="C97">
        <v>2</v>
      </c>
      <c r="D97" s="58" t="s">
        <v>641</v>
      </c>
      <c r="E97" t="s">
        <v>125</v>
      </c>
      <c r="F97" s="58" t="s">
        <v>172</v>
      </c>
      <c r="G97" t="s">
        <v>734</v>
      </c>
      <c r="H97" s="58" t="s">
        <v>4</v>
      </c>
      <c r="I97" t="s">
        <v>4</v>
      </c>
      <c r="J97" s="58" t="s">
        <v>4</v>
      </c>
      <c r="K97" t="s">
        <v>1476</v>
      </c>
      <c r="L97" t="s">
        <v>1510</v>
      </c>
      <c r="M97" t="s">
        <v>1430</v>
      </c>
      <c r="N97" s="59">
        <v>44000</v>
      </c>
      <c r="O97" s="59">
        <v>1369702400</v>
      </c>
      <c r="P97" s="59">
        <v>3540000</v>
      </c>
      <c r="Q97" s="59">
        <v>0</v>
      </c>
      <c r="R97" s="59">
        <v>25457300</v>
      </c>
      <c r="S97" s="59">
        <v>1340705100</v>
      </c>
      <c r="T97" s="41"/>
      <c r="U97" s="41"/>
      <c r="V97" s="41"/>
      <c r="W97" s="41"/>
      <c r="X97" s="41"/>
      <c r="Y97" s="41"/>
      <c r="Z97" s="41"/>
      <c r="AA97" s="41"/>
      <c r="AB97" s="41"/>
      <c r="AC97" s="41"/>
      <c r="AD97" s="41"/>
      <c r="AE97" s="59">
        <v>55127.580241193471</v>
      </c>
      <c r="AF97" s="59">
        <v>56320</v>
      </c>
      <c r="AG97" s="59" t="s">
        <v>125</v>
      </c>
      <c r="AH97" s="59" t="s">
        <v>1175</v>
      </c>
    </row>
    <row r="98" spans="1:34" x14ac:dyDescent="0.35">
      <c r="A98" s="58">
        <v>2024</v>
      </c>
      <c r="B98" s="58">
        <v>2</v>
      </c>
      <c r="C98">
        <v>2</v>
      </c>
      <c r="D98" s="58" t="s">
        <v>1511</v>
      </c>
      <c r="E98" t="s">
        <v>1167</v>
      </c>
      <c r="F98" s="58" t="s">
        <v>171</v>
      </c>
      <c r="G98" t="s">
        <v>731</v>
      </c>
      <c r="H98" s="58" t="s">
        <v>4</v>
      </c>
      <c r="I98" t="s">
        <v>4</v>
      </c>
      <c r="J98" s="58" t="s">
        <v>4</v>
      </c>
      <c r="K98" t="s">
        <v>1476</v>
      </c>
      <c r="L98" t="s">
        <v>301</v>
      </c>
      <c r="M98" t="s">
        <v>1430</v>
      </c>
      <c r="N98" s="59">
        <v>220000</v>
      </c>
      <c r="O98" s="59">
        <v>6437640000</v>
      </c>
      <c r="P98" s="59">
        <v>17700000</v>
      </c>
      <c r="Q98" s="59">
        <v>96564600</v>
      </c>
      <c r="R98" s="59">
        <v>85555322.999999985</v>
      </c>
      <c r="S98" s="59">
        <v>6237820076.999999</v>
      </c>
      <c r="T98" s="41"/>
      <c r="U98" s="41"/>
      <c r="V98" s="41"/>
      <c r="W98" s="41"/>
      <c r="X98" s="41"/>
      <c r="Y98" s="41"/>
      <c r="Z98" s="41"/>
      <c r="AA98" s="41"/>
      <c r="AB98" s="41"/>
      <c r="AC98" s="41"/>
      <c r="AD98" s="41"/>
      <c r="AE98" s="59">
        <v>255805.61264228672</v>
      </c>
      <c r="AF98" s="59">
        <v>264000</v>
      </c>
      <c r="AG98" s="59" t="s">
        <v>1167</v>
      </c>
      <c r="AH98" s="59" t="s">
        <v>1166</v>
      </c>
    </row>
    <row r="99" spans="1:34" x14ac:dyDescent="0.35">
      <c r="A99" s="58">
        <v>2024</v>
      </c>
      <c r="B99" s="58">
        <v>2</v>
      </c>
      <c r="C99">
        <v>2</v>
      </c>
      <c r="D99" s="58" t="s">
        <v>1481</v>
      </c>
      <c r="E99" t="s">
        <v>1296</v>
      </c>
      <c r="F99" s="58" t="s">
        <v>1482</v>
      </c>
      <c r="G99" t="s">
        <v>1483</v>
      </c>
      <c r="H99" s="58" t="s">
        <v>1012</v>
      </c>
      <c r="I99" t="s">
        <v>1012</v>
      </c>
      <c r="J99" s="58" t="s">
        <v>1012</v>
      </c>
      <c r="K99" t="s">
        <v>1429</v>
      </c>
      <c r="L99" t="s">
        <v>20</v>
      </c>
      <c r="M99" t="s">
        <v>1430</v>
      </c>
      <c r="N99" s="59">
        <v>0</v>
      </c>
      <c r="O99" s="59">
        <v>9000000</v>
      </c>
      <c r="P99" s="59">
        <v>0</v>
      </c>
      <c r="Q99" s="59">
        <v>0</v>
      </c>
      <c r="R99" s="59">
        <v>0</v>
      </c>
      <c r="S99" s="59">
        <v>9000000</v>
      </c>
      <c r="T99" s="41"/>
      <c r="U99" s="41"/>
      <c r="V99" s="41"/>
      <c r="W99" s="41"/>
      <c r="X99" s="41"/>
      <c r="Y99" s="41"/>
      <c r="Z99" s="41"/>
      <c r="AA99" s="41"/>
      <c r="AB99" s="41"/>
      <c r="AC99" s="41"/>
      <c r="AD99" s="41"/>
      <c r="AE99" s="59">
        <v>367.77465101316795</v>
      </c>
      <c r="AF99" s="59">
        <v>367.77465101316795</v>
      </c>
      <c r="AG99" s="59" t="s">
        <v>1296</v>
      </c>
      <c r="AH99" s="59" t="s">
        <v>1325</v>
      </c>
    </row>
    <row r="100" spans="1:34" x14ac:dyDescent="0.35">
      <c r="A100" s="58">
        <v>2024</v>
      </c>
      <c r="B100" s="58">
        <v>2</v>
      </c>
      <c r="C100">
        <v>2</v>
      </c>
      <c r="D100" s="58" t="s">
        <v>1484</v>
      </c>
      <c r="E100" t="s">
        <v>1298</v>
      </c>
      <c r="F100" s="58" t="s">
        <v>1482</v>
      </c>
      <c r="G100" t="s">
        <v>1483</v>
      </c>
      <c r="H100" s="58" t="s">
        <v>1012</v>
      </c>
      <c r="I100" t="s">
        <v>1012</v>
      </c>
      <c r="J100" s="58" t="s">
        <v>1012</v>
      </c>
      <c r="K100" t="s">
        <v>1429</v>
      </c>
      <c r="L100" t="s">
        <v>20</v>
      </c>
      <c r="M100" t="s">
        <v>1430</v>
      </c>
      <c r="N100" s="59">
        <v>0</v>
      </c>
      <c r="O100" s="59">
        <v>18000000</v>
      </c>
      <c r="P100" s="59">
        <v>0</v>
      </c>
      <c r="Q100" s="59">
        <v>0</v>
      </c>
      <c r="R100" s="59">
        <v>0</v>
      </c>
      <c r="S100" s="59">
        <v>18000000</v>
      </c>
      <c r="T100" s="41"/>
      <c r="U100" s="41"/>
      <c r="V100" s="41"/>
      <c r="W100" s="41"/>
      <c r="X100" s="41"/>
      <c r="Y100" s="41"/>
      <c r="Z100" s="41"/>
      <c r="AA100" s="41"/>
      <c r="AB100" s="41"/>
      <c r="AC100" s="41"/>
      <c r="AD100" s="41"/>
      <c r="AE100" s="59">
        <v>735.54930202633591</v>
      </c>
      <c r="AF100" s="59">
        <v>735.54930202633591</v>
      </c>
      <c r="AG100" s="59" t="s">
        <v>1298</v>
      </c>
      <c r="AH100" s="59" t="s">
        <v>1325</v>
      </c>
    </row>
    <row r="101" spans="1:34" x14ac:dyDescent="0.35">
      <c r="A101" s="58">
        <v>2024</v>
      </c>
      <c r="B101" s="58">
        <v>2</v>
      </c>
      <c r="C101">
        <v>2</v>
      </c>
      <c r="D101" s="58" t="s">
        <v>1491</v>
      </c>
      <c r="E101" t="s">
        <v>1264</v>
      </c>
      <c r="F101" s="58" t="s">
        <v>1492</v>
      </c>
      <c r="G101" t="s">
        <v>1493</v>
      </c>
      <c r="H101" s="58" t="s">
        <v>1012</v>
      </c>
      <c r="I101" t="s">
        <v>1012</v>
      </c>
      <c r="J101" s="58" t="s">
        <v>1012</v>
      </c>
      <c r="K101" t="s">
        <v>1429</v>
      </c>
      <c r="L101" t="s">
        <v>20</v>
      </c>
      <c r="M101" t="s">
        <v>1430</v>
      </c>
      <c r="N101" s="59">
        <v>0</v>
      </c>
      <c r="O101" s="59">
        <v>0</v>
      </c>
      <c r="P101" s="59">
        <v>0</v>
      </c>
      <c r="Q101" s="59">
        <v>0</v>
      </c>
      <c r="R101" s="59">
        <v>2500000</v>
      </c>
      <c r="S101" s="59">
        <v>-2500000</v>
      </c>
      <c r="T101" s="41"/>
      <c r="U101" s="41"/>
      <c r="V101" s="41"/>
      <c r="W101" s="41"/>
      <c r="X101" s="41"/>
      <c r="Y101" s="41"/>
      <c r="Z101" s="41"/>
      <c r="AA101" s="41"/>
      <c r="AB101" s="41"/>
      <c r="AC101" s="41"/>
      <c r="AD101" s="41"/>
      <c r="AE101" s="59">
        <v>-102.15962528143554</v>
      </c>
      <c r="AF101" s="59">
        <v>0</v>
      </c>
      <c r="AG101" s="59" t="s">
        <v>1264</v>
      </c>
      <c r="AH101" s="59" t="s">
        <v>1269</v>
      </c>
    </row>
    <row r="102" spans="1:34" x14ac:dyDescent="0.35">
      <c r="A102" s="58">
        <v>2024</v>
      </c>
      <c r="B102" s="58">
        <v>2</v>
      </c>
      <c r="C102">
        <v>2</v>
      </c>
      <c r="D102" s="58" t="s">
        <v>1491</v>
      </c>
      <c r="E102" t="s">
        <v>1264</v>
      </c>
      <c r="F102" s="58" t="s">
        <v>1512</v>
      </c>
      <c r="G102" t="s">
        <v>1513</v>
      </c>
      <c r="H102" s="58" t="s">
        <v>1012</v>
      </c>
      <c r="I102" t="s">
        <v>1012</v>
      </c>
      <c r="J102" s="58" t="s">
        <v>1391</v>
      </c>
      <c r="K102" t="s">
        <v>1429</v>
      </c>
      <c r="L102" t="s">
        <v>20</v>
      </c>
      <c r="M102" t="s">
        <v>1430</v>
      </c>
      <c r="N102" s="59">
        <v>0</v>
      </c>
      <c r="O102" s="59">
        <v>0</v>
      </c>
      <c r="P102" s="59">
        <v>0</v>
      </c>
      <c r="Q102" s="59">
        <v>-205650000</v>
      </c>
      <c r="R102" s="59">
        <v>0</v>
      </c>
      <c r="S102" s="59">
        <v>205650000</v>
      </c>
      <c r="T102" s="41"/>
      <c r="U102" s="41"/>
      <c r="V102" s="41"/>
      <c r="W102" s="41"/>
      <c r="X102" s="41"/>
      <c r="Y102" s="41"/>
      <c r="Z102" s="41"/>
      <c r="AA102" s="41"/>
      <c r="AB102" s="41"/>
      <c r="AC102" s="41"/>
      <c r="AD102" s="41"/>
      <c r="AE102" s="59">
        <v>8403.6507756508872</v>
      </c>
      <c r="AF102" s="59">
        <v>0</v>
      </c>
      <c r="AG102" s="59" t="s">
        <v>1264</v>
      </c>
      <c r="AH102" s="59" t="s">
        <v>1392</v>
      </c>
    </row>
    <row r="103" spans="1:34" x14ac:dyDescent="0.35">
      <c r="A103" s="58">
        <v>2024</v>
      </c>
      <c r="B103" s="58">
        <v>2</v>
      </c>
      <c r="C103">
        <v>2</v>
      </c>
      <c r="D103" s="58" t="s">
        <v>1491</v>
      </c>
      <c r="E103" t="s">
        <v>1264</v>
      </c>
      <c r="F103" s="58" t="s">
        <v>1152</v>
      </c>
      <c r="G103" t="s">
        <v>1153</v>
      </c>
      <c r="H103" s="58" t="s">
        <v>1012</v>
      </c>
      <c r="I103" t="s">
        <v>1012</v>
      </c>
      <c r="J103" s="58" t="s">
        <v>1399</v>
      </c>
      <c r="K103" t="s">
        <v>1429</v>
      </c>
      <c r="L103" t="s">
        <v>20</v>
      </c>
      <c r="M103" t="s">
        <v>1430</v>
      </c>
      <c r="N103" s="59">
        <v>0</v>
      </c>
      <c r="O103" s="59">
        <v>0</v>
      </c>
      <c r="P103" s="59">
        <v>0</v>
      </c>
      <c r="Q103" s="59">
        <v>-135709200</v>
      </c>
      <c r="R103" s="59">
        <v>3438077</v>
      </c>
      <c r="S103" s="59">
        <v>132271123</v>
      </c>
      <c r="T103" s="41"/>
      <c r="U103" s="41"/>
      <c r="V103" s="41"/>
      <c r="W103" s="41"/>
      <c r="X103" s="41"/>
      <c r="Y103" s="41"/>
      <c r="Z103" s="41"/>
      <c r="AA103" s="41"/>
      <c r="AB103" s="41"/>
      <c r="AC103" s="41"/>
      <c r="AD103" s="41"/>
      <c r="AE103" s="59">
        <v>5405.1073444938675</v>
      </c>
      <c r="AF103" s="59">
        <v>0</v>
      </c>
      <c r="AG103" s="59" t="s">
        <v>1264</v>
      </c>
      <c r="AH103" s="59" t="s">
        <v>1400</v>
      </c>
    </row>
    <row r="104" spans="1:34" x14ac:dyDescent="0.35">
      <c r="A104" s="58">
        <v>2024</v>
      </c>
      <c r="B104" s="58">
        <v>2</v>
      </c>
      <c r="C104">
        <v>2</v>
      </c>
      <c r="D104" s="58" t="s">
        <v>1491</v>
      </c>
      <c r="E104" t="s">
        <v>1264</v>
      </c>
      <c r="F104" s="58" t="s">
        <v>1514</v>
      </c>
      <c r="G104" t="s">
        <v>1515</v>
      </c>
      <c r="H104" s="58" t="s">
        <v>1012</v>
      </c>
      <c r="I104" t="s">
        <v>1012</v>
      </c>
      <c r="J104" s="58" t="s">
        <v>1401</v>
      </c>
      <c r="K104" t="s">
        <v>1429</v>
      </c>
      <c r="L104" t="s">
        <v>20</v>
      </c>
      <c r="M104" t="s">
        <v>1430</v>
      </c>
      <c r="N104" s="59">
        <v>0</v>
      </c>
      <c r="O104" s="59">
        <v>0</v>
      </c>
      <c r="P104" s="59">
        <v>0</v>
      </c>
      <c r="Q104" s="59">
        <v>0</v>
      </c>
      <c r="R104" s="59">
        <v>0</v>
      </c>
      <c r="S104" s="59">
        <v>0</v>
      </c>
      <c r="T104" s="41"/>
      <c r="U104" s="41"/>
      <c r="V104" s="41"/>
      <c r="W104" s="41"/>
      <c r="X104" s="41"/>
      <c r="Y104" s="41"/>
      <c r="Z104" s="41"/>
      <c r="AA104" s="41"/>
      <c r="AB104" s="41"/>
      <c r="AC104" s="41"/>
      <c r="AD104" s="41"/>
      <c r="AE104" s="59">
        <v>0</v>
      </c>
      <c r="AF104" s="59">
        <v>0</v>
      </c>
      <c r="AG104" s="59" t="s">
        <v>1264</v>
      </c>
      <c r="AH104" s="59" t="s">
        <v>1402</v>
      </c>
    </row>
    <row r="105" spans="1:34" x14ac:dyDescent="0.35">
      <c r="A105" s="58">
        <v>2024</v>
      </c>
      <c r="B105" s="58">
        <v>2</v>
      </c>
      <c r="C105">
        <v>2</v>
      </c>
      <c r="D105" s="58" t="s">
        <v>1491</v>
      </c>
      <c r="E105" t="s">
        <v>1264</v>
      </c>
      <c r="F105" s="58" t="s">
        <v>1489</v>
      </c>
      <c r="G105" t="s">
        <v>1490</v>
      </c>
      <c r="H105" s="58" t="s">
        <v>1012</v>
      </c>
      <c r="I105" t="s">
        <v>1012</v>
      </c>
      <c r="J105" s="58" t="s">
        <v>1012</v>
      </c>
      <c r="K105" t="s">
        <v>1429</v>
      </c>
      <c r="L105" t="s">
        <v>20</v>
      </c>
      <c r="M105" t="s">
        <v>1430</v>
      </c>
      <c r="N105" s="59">
        <v>0</v>
      </c>
      <c r="O105" s="59">
        <v>0</v>
      </c>
      <c r="P105" s="59">
        <v>0</v>
      </c>
      <c r="Q105" s="59">
        <v>0</v>
      </c>
      <c r="R105" s="59">
        <v>0</v>
      </c>
      <c r="S105" s="59">
        <v>0</v>
      </c>
      <c r="T105" s="41"/>
      <c r="U105" s="41"/>
      <c r="V105" s="41"/>
      <c r="W105" s="41"/>
      <c r="X105" s="41"/>
      <c r="Y105" s="41"/>
      <c r="Z105" s="41"/>
      <c r="AA105" s="41"/>
      <c r="AB105" s="41"/>
      <c r="AC105" s="41"/>
      <c r="AD105" s="41"/>
      <c r="AE105" s="59">
        <v>0</v>
      </c>
      <c r="AF105" s="59">
        <v>0</v>
      </c>
      <c r="AG105" s="59" t="s">
        <v>1264</v>
      </c>
      <c r="AH105" s="59" t="s">
        <v>1274</v>
      </c>
    </row>
    <row r="106" spans="1:34" x14ac:dyDescent="0.35">
      <c r="A106" s="58">
        <v>2024</v>
      </c>
      <c r="B106" s="58">
        <v>2</v>
      </c>
      <c r="C106">
        <v>2</v>
      </c>
      <c r="D106" s="58" t="s">
        <v>1491</v>
      </c>
      <c r="E106" t="s">
        <v>1264</v>
      </c>
      <c r="F106" s="58" t="s">
        <v>1486</v>
      </c>
      <c r="G106" t="s">
        <v>1487</v>
      </c>
      <c r="H106" s="58" t="s">
        <v>1012</v>
      </c>
      <c r="I106" t="s">
        <v>1012</v>
      </c>
      <c r="J106" s="58" t="s">
        <v>1012</v>
      </c>
      <c r="K106" t="s">
        <v>1429</v>
      </c>
      <c r="L106" t="s">
        <v>20</v>
      </c>
      <c r="M106" t="s">
        <v>1430</v>
      </c>
      <c r="N106" s="59">
        <v>0</v>
      </c>
      <c r="O106" s="59">
        <v>0</v>
      </c>
      <c r="P106" s="59">
        <v>0</v>
      </c>
      <c r="Q106" s="59">
        <v>0</v>
      </c>
      <c r="R106" s="59">
        <v>0</v>
      </c>
      <c r="S106" s="59">
        <v>0</v>
      </c>
      <c r="T106" s="41"/>
      <c r="U106" s="41"/>
      <c r="V106" s="41"/>
      <c r="W106" s="41"/>
      <c r="X106" s="41"/>
      <c r="Y106" s="41"/>
      <c r="Z106" s="41"/>
      <c r="AA106" s="41"/>
      <c r="AB106" s="41"/>
      <c r="AC106" s="41"/>
      <c r="AD106" s="41"/>
      <c r="AE106" s="59">
        <v>0</v>
      </c>
      <c r="AF106" s="59">
        <v>0</v>
      </c>
      <c r="AG106" s="59" t="s">
        <v>1264</v>
      </c>
      <c r="AH106" s="59" t="s">
        <v>1317</v>
      </c>
    </row>
    <row r="107" spans="1:34" x14ac:dyDescent="0.35">
      <c r="A107" s="58">
        <v>2024</v>
      </c>
      <c r="B107" s="58">
        <v>2</v>
      </c>
      <c r="C107">
        <v>2</v>
      </c>
      <c r="D107" s="58" t="s">
        <v>1491</v>
      </c>
      <c r="E107" t="s">
        <v>1264</v>
      </c>
      <c r="F107" s="58" t="s">
        <v>1434</v>
      </c>
      <c r="G107" t="s">
        <v>1435</v>
      </c>
      <c r="H107" s="58" t="s">
        <v>1012</v>
      </c>
      <c r="I107" t="s">
        <v>1012</v>
      </c>
      <c r="J107" s="58" t="s">
        <v>1012</v>
      </c>
      <c r="K107" t="s">
        <v>1429</v>
      </c>
      <c r="L107" t="s">
        <v>20</v>
      </c>
      <c r="M107" t="s">
        <v>1430</v>
      </c>
      <c r="N107" s="59">
        <v>0</v>
      </c>
      <c r="O107" s="59">
        <v>0</v>
      </c>
      <c r="P107" s="59">
        <v>0</v>
      </c>
      <c r="Q107" s="59">
        <v>0</v>
      </c>
      <c r="R107" s="59">
        <v>0</v>
      </c>
      <c r="S107" s="59">
        <v>0</v>
      </c>
      <c r="T107" s="41"/>
      <c r="U107" s="41"/>
      <c r="V107" s="41"/>
      <c r="W107" s="41"/>
      <c r="X107" s="41"/>
      <c r="Y107" s="41"/>
      <c r="Z107" s="41"/>
      <c r="AA107" s="41"/>
      <c r="AB107" s="41"/>
      <c r="AC107" s="41"/>
      <c r="AD107" s="41"/>
      <c r="AE107" s="59">
        <v>0</v>
      </c>
      <c r="AF107" s="59">
        <v>0</v>
      </c>
      <c r="AG107" s="59" t="s">
        <v>1264</v>
      </c>
      <c r="AH107" s="59" t="s">
        <v>1319</v>
      </c>
    </row>
    <row r="108" spans="1:34" x14ac:dyDescent="0.35">
      <c r="A108" s="58">
        <v>2024</v>
      </c>
      <c r="B108" s="58">
        <v>2</v>
      </c>
      <c r="C108">
        <v>2</v>
      </c>
      <c r="D108" s="58" t="s">
        <v>1491</v>
      </c>
      <c r="E108" t="s">
        <v>1264</v>
      </c>
      <c r="F108" s="58" t="s">
        <v>1496</v>
      </c>
      <c r="G108" t="s">
        <v>1497</v>
      </c>
      <c r="H108" s="58" t="s">
        <v>1012</v>
      </c>
      <c r="I108" t="s">
        <v>1012</v>
      </c>
      <c r="J108" s="58" t="s">
        <v>1012</v>
      </c>
      <c r="K108" t="s">
        <v>1429</v>
      </c>
      <c r="L108" t="s">
        <v>20</v>
      </c>
      <c r="M108" t="s">
        <v>1430</v>
      </c>
      <c r="N108" s="59">
        <v>0</v>
      </c>
      <c r="O108" s="59">
        <v>0</v>
      </c>
      <c r="P108" s="59">
        <v>0</v>
      </c>
      <c r="Q108" s="59">
        <v>0</v>
      </c>
      <c r="R108" s="59">
        <v>0</v>
      </c>
      <c r="S108" s="59">
        <v>0</v>
      </c>
      <c r="T108" s="41"/>
      <c r="U108" s="41"/>
      <c r="V108" s="41"/>
      <c r="W108" s="41"/>
      <c r="X108" s="41"/>
      <c r="Y108" s="41"/>
      <c r="Z108" s="41"/>
      <c r="AA108" s="41"/>
      <c r="AB108" s="41"/>
      <c r="AC108" s="41"/>
      <c r="AD108" s="41"/>
      <c r="AE108" s="59">
        <v>0</v>
      </c>
      <c r="AF108" s="59">
        <v>0</v>
      </c>
      <c r="AG108" s="59" t="s">
        <v>1264</v>
      </c>
      <c r="AH108" s="59" t="s">
        <v>1329</v>
      </c>
    </row>
    <row r="109" spans="1:34" x14ac:dyDescent="0.35">
      <c r="A109" s="58">
        <v>2024</v>
      </c>
      <c r="B109" s="58">
        <v>3</v>
      </c>
      <c r="C109">
        <v>3</v>
      </c>
      <c r="D109" s="58" t="s">
        <v>625</v>
      </c>
      <c r="E109" t="s">
        <v>271</v>
      </c>
      <c r="F109" s="58" t="s">
        <v>167</v>
      </c>
      <c r="G109" t="s">
        <v>693</v>
      </c>
      <c r="H109" s="58" t="s">
        <v>4</v>
      </c>
      <c r="I109" t="s">
        <v>4</v>
      </c>
      <c r="J109" s="58" t="s">
        <v>4</v>
      </c>
      <c r="K109" t="s">
        <v>1429</v>
      </c>
      <c r="L109" t="s">
        <v>20</v>
      </c>
      <c r="M109" t="s">
        <v>1430</v>
      </c>
      <c r="N109" s="59">
        <v>99000</v>
      </c>
      <c r="O109" s="59">
        <v>3070237500</v>
      </c>
      <c r="P109" s="59">
        <v>16881070</v>
      </c>
      <c r="Q109" s="59">
        <v>0</v>
      </c>
      <c r="R109" s="59">
        <v>0</v>
      </c>
      <c r="S109" s="59">
        <v>3053356430</v>
      </c>
      <c r="T109" s="41"/>
      <c r="U109" s="41"/>
      <c r="V109" s="41"/>
      <c r="W109" s="41"/>
      <c r="X109" s="41"/>
      <c r="Y109" s="41"/>
      <c r="Z109" s="41"/>
      <c r="AA109" s="41"/>
      <c r="AB109" s="41"/>
      <c r="AC109" s="41"/>
      <c r="AD109" s="41"/>
      <c r="AE109" s="59">
        <v>124208.37542667465</v>
      </c>
      <c r="AF109" s="59">
        <v>124895.08538937756</v>
      </c>
      <c r="AG109" s="59" t="s">
        <v>47</v>
      </c>
      <c r="AH109" s="59" t="s">
        <v>1156</v>
      </c>
    </row>
    <row r="110" spans="1:34" x14ac:dyDescent="0.35">
      <c r="A110" s="58">
        <v>2024</v>
      </c>
      <c r="B110" s="58">
        <v>3</v>
      </c>
      <c r="C110">
        <v>3</v>
      </c>
      <c r="D110" s="58" t="s">
        <v>625</v>
      </c>
      <c r="E110" t="s">
        <v>271</v>
      </c>
      <c r="F110" s="58" t="s">
        <v>713</v>
      </c>
      <c r="G110" t="s">
        <v>714</v>
      </c>
      <c r="H110" s="58" t="s">
        <v>1428</v>
      </c>
      <c r="I110" t="s">
        <v>75</v>
      </c>
      <c r="J110" s="58" t="s">
        <v>75</v>
      </c>
      <c r="K110" t="s">
        <v>1429</v>
      </c>
      <c r="L110" t="s">
        <v>20</v>
      </c>
      <c r="M110" t="s">
        <v>1430</v>
      </c>
      <c r="N110" s="59">
        <v>300</v>
      </c>
      <c r="O110" s="59">
        <v>10691400</v>
      </c>
      <c r="P110" s="59">
        <v>0</v>
      </c>
      <c r="Q110" s="59">
        <v>0</v>
      </c>
      <c r="R110" s="59">
        <v>0</v>
      </c>
      <c r="S110" s="59">
        <v>10691400</v>
      </c>
      <c r="T110" s="41"/>
      <c r="U110" s="41"/>
      <c r="V110" s="41"/>
      <c r="W110" s="41"/>
      <c r="X110" s="41"/>
      <c r="Y110" s="41"/>
      <c r="Z110" s="41"/>
      <c r="AA110" s="41"/>
      <c r="AB110" s="41"/>
      <c r="AC110" s="41"/>
      <c r="AD110" s="41"/>
      <c r="AE110" s="59">
        <v>434.91857419238448</v>
      </c>
      <c r="AF110" s="59">
        <v>434.91857419238448</v>
      </c>
      <c r="AG110" s="59" t="s">
        <v>47</v>
      </c>
      <c r="AH110" s="59" t="s">
        <v>1195</v>
      </c>
    </row>
    <row r="111" spans="1:34" x14ac:dyDescent="0.35">
      <c r="A111" s="58">
        <v>2024</v>
      </c>
      <c r="B111" s="58">
        <v>3</v>
      </c>
      <c r="C111">
        <v>3</v>
      </c>
      <c r="D111" s="58" t="s">
        <v>625</v>
      </c>
      <c r="E111" t="s">
        <v>271</v>
      </c>
      <c r="F111" s="58" t="s">
        <v>184</v>
      </c>
      <c r="G111" t="s">
        <v>717</v>
      </c>
      <c r="H111" s="58" t="s">
        <v>1428</v>
      </c>
      <c r="I111" t="s">
        <v>75</v>
      </c>
      <c r="J111" s="58" t="s">
        <v>75</v>
      </c>
      <c r="K111" t="s">
        <v>1429</v>
      </c>
      <c r="L111" t="s">
        <v>20</v>
      </c>
      <c r="M111" t="s">
        <v>1430</v>
      </c>
      <c r="N111" s="59">
        <v>110300</v>
      </c>
      <c r="O111" s="59">
        <v>4063231400</v>
      </c>
      <c r="P111" s="59">
        <v>0</v>
      </c>
      <c r="Q111" s="59">
        <v>0</v>
      </c>
      <c r="R111" s="59">
        <v>0</v>
      </c>
      <c r="S111" s="59">
        <v>4063231400</v>
      </c>
      <c r="T111" s="41"/>
      <c r="U111" s="41"/>
      <c r="V111" s="41"/>
      <c r="W111" s="41"/>
      <c r="X111" s="41"/>
      <c r="Y111" s="41"/>
      <c r="Z111" s="41"/>
      <c r="AA111" s="41"/>
      <c r="AB111" s="41"/>
      <c r="AC111" s="41"/>
      <c r="AD111" s="41"/>
      <c r="AE111" s="59">
        <v>165289.37343114338</v>
      </c>
      <c r="AF111" s="59">
        <v>165289.37343114338</v>
      </c>
      <c r="AG111" s="59" t="s">
        <v>47</v>
      </c>
      <c r="AH111" s="59" t="s">
        <v>1198</v>
      </c>
    </row>
    <row r="112" spans="1:34" x14ac:dyDescent="0.35">
      <c r="A112" s="58">
        <v>2024</v>
      </c>
      <c r="B112" s="58">
        <v>3</v>
      </c>
      <c r="C112">
        <v>3</v>
      </c>
      <c r="D112" s="58" t="s">
        <v>625</v>
      </c>
      <c r="E112" t="s">
        <v>271</v>
      </c>
      <c r="F112" s="58" t="s">
        <v>171</v>
      </c>
      <c r="G112" t="s">
        <v>731</v>
      </c>
      <c r="H112" s="58" t="s">
        <v>4</v>
      </c>
      <c r="I112" t="s">
        <v>4</v>
      </c>
      <c r="J112" s="58" t="s">
        <v>4</v>
      </c>
      <c r="K112" t="s">
        <v>1429</v>
      </c>
      <c r="L112" t="s">
        <v>20</v>
      </c>
      <c r="M112" t="s">
        <v>1431</v>
      </c>
      <c r="N112" s="59">
        <v>-6600</v>
      </c>
      <c r="O112" s="59">
        <v>0</v>
      </c>
      <c r="P112" s="59">
        <v>0</v>
      </c>
      <c r="Q112" s="59">
        <v>0</v>
      </c>
      <c r="R112" s="59">
        <v>0</v>
      </c>
      <c r="S112" s="59">
        <v>0</v>
      </c>
      <c r="T112" s="41"/>
      <c r="U112" s="41"/>
      <c r="V112" s="41"/>
      <c r="W112" s="41"/>
      <c r="X112" s="41"/>
      <c r="Y112" s="41"/>
      <c r="Z112" s="41"/>
      <c r="AA112" s="41"/>
      <c r="AB112" s="41"/>
      <c r="AC112" s="41"/>
      <c r="AD112" s="41"/>
      <c r="AE112" s="59">
        <v>0</v>
      </c>
      <c r="AF112" s="59">
        <v>0</v>
      </c>
      <c r="AG112" s="59" t="s">
        <v>47</v>
      </c>
      <c r="AH112" s="59" t="s">
        <v>1166</v>
      </c>
    </row>
    <row r="113" spans="1:34" x14ac:dyDescent="0.35">
      <c r="A113" s="58">
        <v>2024</v>
      </c>
      <c r="B113" s="58">
        <v>3</v>
      </c>
      <c r="C113">
        <v>3</v>
      </c>
      <c r="D113" s="58" t="s">
        <v>625</v>
      </c>
      <c r="E113" t="s">
        <v>271</v>
      </c>
      <c r="F113" s="58" t="s">
        <v>171</v>
      </c>
      <c r="G113" t="s">
        <v>731</v>
      </c>
      <c r="H113" s="58" t="s">
        <v>4</v>
      </c>
      <c r="I113" t="s">
        <v>4</v>
      </c>
      <c r="J113" s="58" t="s">
        <v>4</v>
      </c>
      <c r="K113" t="s">
        <v>1429</v>
      </c>
      <c r="L113" t="s">
        <v>20</v>
      </c>
      <c r="M113" t="s">
        <v>1432</v>
      </c>
      <c r="N113" s="59">
        <v>6600</v>
      </c>
      <c r="O113" s="59">
        <v>0</v>
      </c>
      <c r="P113" s="59">
        <v>0</v>
      </c>
      <c r="Q113" s="59">
        <v>0</v>
      </c>
      <c r="R113" s="59">
        <v>0</v>
      </c>
      <c r="S113" s="59">
        <v>0</v>
      </c>
      <c r="T113" s="41"/>
      <c r="U113" s="41"/>
      <c r="V113" s="41"/>
      <c r="W113" s="41"/>
      <c r="X113" s="41"/>
      <c r="Y113" s="41"/>
      <c r="Z113" s="41"/>
      <c r="AA113" s="41"/>
      <c r="AB113" s="41"/>
      <c r="AC113" s="41"/>
      <c r="AD113" s="41"/>
      <c r="AE113" s="59">
        <v>0</v>
      </c>
      <c r="AF113" s="59">
        <v>0</v>
      </c>
      <c r="AG113" s="59" t="s">
        <v>47</v>
      </c>
      <c r="AH113" s="59" t="s">
        <v>1166</v>
      </c>
    </row>
    <row r="114" spans="1:34" x14ac:dyDescent="0.35">
      <c r="A114" s="58">
        <v>2024</v>
      </c>
      <c r="B114" s="58">
        <v>3</v>
      </c>
      <c r="C114">
        <v>3</v>
      </c>
      <c r="D114" s="58" t="s">
        <v>625</v>
      </c>
      <c r="E114" t="s">
        <v>271</v>
      </c>
      <c r="F114" s="58" t="s">
        <v>761</v>
      </c>
      <c r="G114" t="s">
        <v>762</v>
      </c>
      <c r="H114" s="58" t="s">
        <v>21</v>
      </c>
      <c r="I114" t="s">
        <v>21</v>
      </c>
      <c r="J114" s="58" t="s">
        <v>21</v>
      </c>
      <c r="K114" t="s">
        <v>1429</v>
      </c>
      <c r="L114" t="s">
        <v>20</v>
      </c>
      <c r="M114" t="s">
        <v>1430</v>
      </c>
      <c r="N114" s="59">
        <v>10000</v>
      </c>
      <c r="O114" s="59">
        <v>223041001</v>
      </c>
      <c r="P114" s="59">
        <v>0</v>
      </c>
      <c r="Q114" s="59">
        <v>0</v>
      </c>
      <c r="R114" s="59">
        <v>0</v>
      </c>
      <c r="S114" s="59">
        <v>223041001</v>
      </c>
      <c r="T114" s="41"/>
      <c r="U114" s="41"/>
      <c r="V114" s="41"/>
      <c r="W114" s="41"/>
      <c r="X114" s="41"/>
      <c r="Y114" s="41"/>
      <c r="Z114" s="41"/>
      <c r="AA114" s="41"/>
      <c r="AB114" s="41"/>
      <c r="AC114" s="41"/>
      <c r="AD114" s="41"/>
      <c r="AE114" s="59">
        <v>9073.1498345737891</v>
      </c>
      <c r="AF114" s="59">
        <v>9073.1498345737891</v>
      </c>
      <c r="AG114" s="59" t="s">
        <v>47</v>
      </c>
      <c r="AH114" s="59" t="s">
        <v>1351</v>
      </c>
    </row>
    <row r="115" spans="1:34" x14ac:dyDescent="0.35">
      <c r="A115" s="58">
        <v>2024</v>
      </c>
      <c r="B115" s="58">
        <v>3</v>
      </c>
      <c r="C115">
        <v>3</v>
      </c>
      <c r="D115" s="58" t="s">
        <v>625</v>
      </c>
      <c r="E115" t="s">
        <v>271</v>
      </c>
      <c r="F115" s="58" t="s">
        <v>188</v>
      </c>
      <c r="G115" t="s">
        <v>872</v>
      </c>
      <c r="H115" s="58" t="s">
        <v>1428</v>
      </c>
      <c r="I115" t="s">
        <v>75</v>
      </c>
      <c r="J115" s="58" t="s">
        <v>75</v>
      </c>
      <c r="K115" t="s">
        <v>1429</v>
      </c>
      <c r="L115" t="s">
        <v>20</v>
      </c>
      <c r="M115" t="s">
        <v>1430</v>
      </c>
      <c r="N115" s="59">
        <v>33000</v>
      </c>
      <c r="O115" s="59">
        <v>1176054000</v>
      </c>
      <c r="P115" s="59">
        <v>0</v>
      </c>
      <c r="Q115" s="59">
        <v>0</v>
      </c>
      <c r="R115" s="59">
        <v>0</v>
      </c>
      <c r="S115" s="59">
        <v>1176054000</v>
      </c>
      <c r="T115" s="41"/>
      <c r="U115" s="41"/>
      <c r="V115" s="41"/>
      <c r="W115" s="41"/>
      <c r="X115" s="41"/>
      <c r="Y115" s="41"/>
      <c r="Z115" s="41"/>
      <c r="AA115" s="41"/>
      <c r="AB115" s="41"/>
      <c r="AC115" s="41"/>
      <c r="AD115" s="41"/>
      <c r="AE115" s="59">
        <v>47841.043161162292</v>
      </c>
      <c r="AF115" s="59">
        <v>47841.043161162292</v>
      </c>
      <c r="AG115" s="59" t="s">
        <v>47</v>
      </c>
      <c r="AH115" s="59" t="s">
        <v>1204</v>
      </c>
    </row>
    <row r="116" spans="1:34" x14ac:dyDescent="0.35">
      <c r="A116" s="58">
        <v>2024</v>
      </c>
      <c r="B116" s="58">
        <v>3</v>
      </c>
      <c r="C116">
        <v>3</v>
      </c>
      <c r="D116" s="58" t="s">
        <v>1433</v>
      </c>
      <c r="E116" t="s">
        <v>1276</v>
      </c>
      <c r="F116" s="58" t="s">
        <v>1434</v>
      </c>
      <c r="G116" t="s">
        <v>1435</v>
      </c>
      <c r="H116" s="58" t="s">
        <v>1012</v>
      </c>
      <c r="I116" t="s">
        <v>1012</v>
      </c>
      <c r="J116" s="58" t="s">
        <v>1012</v>
      </c>
      <c r="K116" t="s">
        <v>1429</v>
      </c>
      <c r="L116" t="s">
        <v>20</v>
      </c>
      <c r="M116" t="s">
        <v>1430</v>
      </c>
      <c r="N116" s="59">
        <v>0</v>
      </c>
      <c r="O116" s="59">
        <v>0</v>
      </c>
      <c r="P116" s="59">
        <v>0</v>
      </c>
      <c r="Q116" s="59">
        <v>0</v>
      </c>
      <c r="R116" s="59">
        <v>0</v>
      </c>
      <c r="S116" s="59">
        <v>0</v>
      </c>
      <c r="T116" s="41"/>
      <c r="U116" s="41"/>
      <c r="V116" s="41"/>
      <c r="W116" s="41"/>
      <c r="X116" s="41"/>
      <c r="Y116" s="41"/>
      <c r="Z116" s="41"/>
      <c r="AA116" s="41"/>
      <c r="AB116" s="41"/>
      <c r="AC116" s="41"/>
      <c r="AD116" s="41"/>
      <c r="AE116" s="59">
        <v>0</v>
      </c>
      <c r="AF116" s="59">
        <v>0</v>
      </c>
      <c r="AG116" s="59" t="s">
        <v>1276</v>
      </c>
      <c r="AH116" s="59" t="s">
        <v>1319</v>
      </c>
    </row>
    <row r="117" spans="1:34" x14ac:dyDescent="0.35">
      <c r="A117" s="58">
        <v>2024</v>
      </c>
      <c r="B117" s="58">
        <v>3</v>
      </c>
      <c r="C117">
        <v>3</v>
      </c>
      <c r="D117" s="58" t="s">
        <v>589</v>
      </c>
      <c r="E117" t="s">
        <v>322</v>
      </c>
      <c r="F117" s="58" t="s">
        <v>171</v>
      </c>
      <c r="G117" t="s">
        <v>731</v>
      </c>
      <c r="H117" s="58" t="s">
        <v>4</v>
      </c>
      <c r="I117" t="s">
        <v>4</v>
      </c>
      <c r="J117" s="58" t="s">
        <v>4</v>
      </c>
      <c r="K117" t="s">
        <v>1429</v>
      </c>
      <c r="L117" t="s">
        <v>20</v>
      </c>
      <c r="M117" t="s">
        <v>1430</v>
      </c>
      <c r="N117" s="59">
        <v>330000</v>
      </c>
      <c r="O117" s="59">
        <v>10735890000</v>
      </c>
      <c r="P117" s="59">
        <v>63304012.5</v>
      </c>
      <c r="Q117" s="59">
        <v>0</v>
      </c>
      <c r="R117" s="59">
        <v>46200000</v>
      </c>
      <c r="S117" s="59">
        <v>10626385987.5</v>
      </c>
      <c r="T117" s="41"/>
      <c r="U117" s="41"/>
      <c r="V117" s="41"/>
      <c r="W117" s="41"/>
      <c r="X117" s="41"/>
      <c r="Y117" s="41"/>
      <c r="Z117" s="41"/>
      <c r="AA117" s="41"/>
      <c r="AB117" s="41"/>
      <c r="AC117" s="41"/>
      <c r="AD117" s="41"/>
      <c r="AE117" s="59">
        <v>432273.8502442555</v>
      </c>
      <c r="AF117" s="59">
        <v>436728.39585894084</v>
      </c>
      <c r="AG117" s="59" t="s">
        <v>5</v>
      </c>
      <c r="AH117" s="59" t="s">
        <v>1166</v>
      </c>
    </row>
    <row r="118" spans="1:34" x14ac:dyDescent="0.35">
      <c r="A118" s="58">
        <v>2024</v>
      </c>
      <c r="B118" s="58">
        <v>3</v>
      </c>
      <c r="C118">
        <v>3</v>
      </c>
      <c r="D118" s="58" t="s">
        <v>621</v>
      </c>
      <c r="E118" t="s">
        <v>257</v>
      </c>
      <c r="F118" s="58" t="s">
        <v>167</v>
      </c>
      <c r="G118" t="s">
        <v>693</v>
      </c>
      <c r="H118" s="58" t="s">
        <v>4</v>
      </c>
      <c r="I118" t="s">
        <v>4</v>
      </c>
      <c r="J118" s="58" t="s">
        <v>4</v>
      </c>
      <c r="K118" t="s">
        <v>1429</v>
      </c>
      <c r="L118" t="s">
        <v>20</v>
      </c>
      <c r="M118" t="s">
        <v>1430</v>
      </c>
      <c r="N118" s="59">
        <v>286000</v>
      </c>
      <c r="O118" s="59">
        <v>8688350000</v>
      </c>
      <c r="P118" s="59">
        <v>31652006.25</v>
      </c>
      <c r="Q118" s="59">
        <v>0</v>
      </c>
      <c r="R118" s="59">
        <v>9240000</v>
      </c>
      <c r="S118" s="59">
        <v>8647457993.75</v>
      </c>
      <c r="T118" s="41"/>
      <c r="U118" s="41"/>
      <c r="V118" s="41"/>
      <c r="W118" s="41"/>
      <c r="X118" s="41"/>
      <c r="Y118" s="41"/>
      <c r="Z118" s="41"/>
      <c r="AA118" s="41"/>
      <c r="AB118" s="41"/>
      <c r="AC118" s="41"/>
      <c r="AD118" s="41"/>
      <c r="AE118" s="59">
        <v>351772.46207515267</v>
      </c>
      <c r="AF118" s="59">
        <v>353435.91990613053</v>
      </c>
      <c r="AG118" s="59" t="s">
        <v>16</v>
      </c>
      <c r="AH118" s="59" t="s">
        <v>1156</v>
      </c>
    </row>
    <row r="119" spans="1:34" x14ac:dyDescent="0.35">
      <c r="A119" s="58">
        <v>2024</v>
      </c>
      <c r="B119" s="58">
        <v>3</v>
      </c>
      <c r="C119">
        <v>3</v>
      </c>
      <c r="D119" s="58" t="s">
        <v>601</v>
      </c>
      <c r="E119" t="s">
        <v>501</v>
      </c>
      <c r="F119" s="58" t="s">
        <v>168</v>
      </c>
      <c r="G119" t="s">
        <v>700</v>
      </c>
      <c r="H119" s="58" t="s">
        <v>4</v>
      </c>
      <c r="I119" t="s">
        <v>4</v>
      </c>
      <c r="J119" s="58" t="s">
        <v>4</v>
      </c>
      <c r="K119" t="s">
        <v>1429</v>
      </c>
      <c r="L119" t="s">
        <v>20</v>
      </c>
      <c r="M119" t="s">
        <v>1431</v>
      </c>
      <c r="N119" s="59">
        <v>-16500</v>
      </c>
      <c r="O119" s="59">
        <v>0</v>
      </c>
      <c r="P119" s="59">
        <v>0</v>
      </c>
      <c r="Q119" s="59">
        <v>0</v>
      </c>
      <c r="R119" s="59">
        <v>0</v>
      </c>
      <c r="S119" s="59">
        <v>0</v>
      </c>
      <c r="T119" s="41"/>
      <c r="U119" s="41"/>
      <c r="V119" s="41"/>
      <c r="W119" s="41"/>
      <c r="X119" s="41"/>
      <c r="Y119" s="41"/>
      <c r="Z119" s="41"/>
      <c r="AA119" s="41"/>
      <c r="AB119" s="41"/>
      <c r="AC119" s="41"/>
      <c r="AD119" s="41"/>
      <c r="AE119" s="59">
        <v>0</v>
      </c>
      <c r="AF119" s="59">
        <v>0</v>
      </c>
      <c r="AG119" s="59" t="s">
        <v>109</v>
      </c>
      <c r="AH119" s="59" t="s">
        <v>1160</v>
      </c>
    </row>
    <row r="120" spans="1:34" x14ac:dyDescent="0.35">
      <c r="A120" s="58">
        <v>2024</v>
      </c>
      <c r="B120" s="58">
        <v>3</v>
      </c>
      <c r="C120">
        <v>3</v>
      </c>
      <c r="D120" s="58" t="s">
        <v>601</v>
      </c>
      <c r="E120" t="s">
        <v>501</v>
      </c>
      <c r="F120" s="58" t="s">
        <v>168</v>
      </c>
      <c r="G120" t="s">
        <v>700</v>
      </c>
      <c r="H120" s="58" t="s">
        <v>4</v>
      </c>
      <c r="I120" t="s">
        <v>4</v>
      </c>
      <c r="J120" s="58" t="s">
        <v>4</v>
      </c>
      <c r="K120" t="s">
        <v>1429</v>
      </c>
      <c r="L120" t="s">
        <v>20</v>
      </c>
      <c r="M120" t="s">
        <v>1430</v>
      </c>
      <c r="N120" s="59">
        <v>16500</v>
      </c>
      <c r="O120" s="59">
        <v>576612300</v>
      </c>
      <c r="P120" s="59">
        <v>3165200.625</v>
      </c>
      <c r="Q120" s="59">
        <v>0</v>
      </c>
      <c r="R120" s="59">
        <v>0</v>
      </c>
      <c r="S120" s="59">
        <v>573447099.375</v>
      </c>
      <c r="T120" s="41"/>
      <c r="U120" s="41"/>
      <c r="V120" s="41"/>
      <c r="W120" s="41"/>
      <c r="X120" s="41"/>
      <c r="Y120" s="41"/>
      <c r="Z120" s="41"/>
      <c r="AA120" s="41"/>
      <c r="AB120" s="41"/>
      <c r="AC120" s="41"/>
      <c r="AD120" s="41"/>
      <c r="AE120" s="59">
        <v>23327.421557039641</v>
      </c>
      <c r="AF120" s="59">
        <v>23456.179675046435</v>
      </c>
      <c r="AG120" s="59" t="s">
        <v>109</v>
      </c>
      <c r="AH120" s="59" t="s">
        <v>1160</v>
      </c>
    </row>
    <row r="121" spans="1:34" x14ac:dyDescent="0.35">
      <c r="A121" s="58">
        <v>2024</v>
      </c>
      <c r="B121" s="58">
        <v>3</v>
      </c>
      <c r="C121">
        <v>3</v>
      </c>
      <c r="D121" s="58" t="s">
        <v>601</v>
      </c>
      <c r="E121" t="s">
        <v>501</v>
      </c>
      <c r="F121" s="58" t="s">
        <v>168</v>
      </c>
      <c r="G121" t="s">
        <v>700</v>
      </c>
      <c r="H121" s="58" t="s">
        <v>4</v>
      </c>
      <c r="I121" t="s">
        <v>4</v>
      </c>
      <c r="J121" s="58" t="s">
        <v>4</v>
      </c>
      <c r="K121" t="s">
        <v>1429</v>
      </c>
      <c r="L121" t="s">
        <v>20</v>
      </c>
      <c r="M121" t="s">
        <v>1432</v>
      </c>
      <c r="N121" s="59">
        <v>16500</v>
      </c>
      <c r="O121" s="59">
        <v>0</v>
      </c>
      <c r="P121" s="59">
        <v>0</v>
      </c>
      <c r="Q121" s="59">
        <v>0</v>
      </c>
      <c r="R121" s="59">
        <v>0</v>
      </c>
      <c r="S121" s="59">
        <v>0</v>
      </c>
      <c r="T121" s="41"/>
      <c r="U121" s="41"/>
      <c r="V121" s="41"/>
      <c r="W121" s="41"/>
      <c r="X121" s="41"/>
      <c r="Y121" s="41"/>
      <c r="Z121" s="41"/>
      <c r="AA121" s="41"/>
      <c r="AB121" s="41"/>
      <c r="AC121" s="41"/>
      <c r="AD121" s="41"/>
      <c r="AE121" s="59">
        <v>0</v>
      </c>
      <c r="AF121" s="59">
        <v>0</v>
      </c>
      <c r="AG121" s="59" t="s">
        <v>109</v>
      </c>
      <c r="AH121" s="59" t="s">
        <v>1160</v>
      </c>
    </row>
    <row r="122" spans="1:34" x14ac:dyDescent="0.35">
      <c r="A122" s="58">
        <v>2024</v>
      </c>
      <c r="B122" s="58">
        <v>3</v>
      </c>
      <c r="C122">
        <v>3</v>
      </c>
      <c r="D122" s="58" t="s">
        <v>601</v>
      </c>
      <c r="E122" t="s">
        <v>501</v>
      </c>
      <c r="F122" s="58" t="s">
        <v>171</v>
      </c>
      <c r="G122" t="s">
        <v>731</v>
      </c>
      <c r="H122" s="58" t="s">
        <v>4</v>
      </c>
      <c r="I122" t="s">
        <v>4</v>
      </c>
      <c r="J122" s="58" t="s">
        <v>4</v>
      </c>
      <c r="K122" t="s">
        <v>1429</v>
      </c>
      <c r="L122" t="s">
        <v>20</v>
      </c>
      <c r="M122" t="s">
        <v>1430</v>
      </c>
      <c r="N122" s="59">
        <v>66000</v>
      </c>
      <c r="O122" s="59">
        <v>1964952000</v>
      </c>
      <c r="P122" s="59">
        <v>12660802.5</v>
      </c>
      <c r="Q122" s="59">
        <v>0</v>
      </c>
      <c r="R122" s="59">
        <v>9240000</v>
      </c>
      <c r="S122" s="59">
        <v>1943051197.5</v>
      </c>
      <c r="T122" s="41"/>
      <c r="U122" s="41"/>
      <c r="V122" s="41"/>
      <c r="W122" s="41"/>
      <c r="X122" s="41"/>
      <c r="Y122" s="41"/>
      <c r="Z122" s="41"/>
      <c r="AA122" s="41"/>
      <c r="AB122" s="41"/>
      <c r="AC122" s="41"/>
      <c r="AD122" s="41"/>
      <c r="AE122" s="59">
        <v>79041.945526264593</v>
      </c>
      <c r="AF122" s="59">
        <v>79932.854649201618</v>
      </c>
      <c r="AG122" s="59" t="s">
        <v>109</v>
      </c>
      <c r="AH122" s="59" t="s">
        <v>1166</v>
      </c>
    </row>
    <row r="123" spans="1:34" x14ac:dyDescent="0.35">
      <c r="A123" s="58">
        <v>2024</v>
      </c>
      <c r="B123" s="58">
        <v>3</v>
      </c>
      <c r="C123">
        <v>3</v>
      </c>
      <c r="D123" s="58" t="s">
        <v>601</v>
      </c>
      <c r="E123" t="s">
        <v>501</v>
      </c>
      <c r="F123" s="58" t="s">
        <v>172</v>
      </c>
      <c r="G123" t="s">
        <v>734</v>
      </c>
      <c r="H123" s="58" t="s">
        <v>4</v>
      </c>
      <c r="I123" t="s">
        <v>4</v>
      </c>
      <c r="J123" s="58" t="s">
        <v>4</v>
      </c>
      <c r="K123" t="s">
        <v>1429</v>
      </c>
      <c r="L123" t="s">
        <v>20</v>
      </c>
      <c r="M123" t="s">
        <v>1430</v>
      </c>
      <c r="N123" s="59">
        <v>6600</v>
      </c>
      <c r="O123" s="59">
        <v>219271800</v>
      </c>
      <c r="P123" s="59">
        <v>1266080.25</v>
      </c>
      <c r="Q123" s="59">
        <v>0</v>
      </c>
      <c r="R123" s="59">
        <v>0</v>
      </c>
      <c r="S123" s="59">
        <v>218005719.75</v>
      </c>
      <c r="T123" s="41"/>
      <c r="U123" s="41"/>
      <c r="V123" s="41"/>
      <c r="W123" s="41"/>
      <c r="X123" s="41"/>
      <c r="Y123" s="41"/>
      <c r="Z123" s="41"/>
      <c r="AA123" s="41"/>
      <c r="AB123" s="41"/>
      <c r="AC123" s="41"/>
      <c r="AD123" s="41"/>
      <c r="AE123" s="59">
        <v>8868.3181622102402</v>
      </c>
      <c r="AF123" s="59">
        <v>8919.821409412958</v>
      </c>
      <c r="AG123" s="59" t="s">
        <v>109</v>
      </c>
      <c r="AH123" s="59" t="s">
        <v>1175</v>
      </c>
    </row>
    <row r="124" spans="1:34" x14ac:dyDescent="0.35">
      <c r="A124" s="58">
        <v>2024</v>
      </c>
      <c r="B124" s="58">
        <v>3</v>
      </c>
      <c r="C124">
        <v>3</v>
      </c>
      <c r="D124" s="58" t="s">
        <v>620</v>
      </c>
      <c r="E124" t="s">
        <v>324</v>
      </c>
      <c r="F124" s="58" t="s">
        <v>168</v>
      </c>
      <c r="G124" t="s">
        <v>700</v>
      </c>
      <c r="H124" s="58" t="s">
        <v>4</v>
      </c>
      <c r="I124" t="s">
        <v>4</v>
      </c>
      <c r="J124" s="58" t="s">
        <v>4</v>
      </c>
      <c r="K124" t="s">
        <v>1429</v>
      </c>
      <c r="L124" t="s">
        <v>20</v>
      </c>
      <c r="M124" t="s">
        <v>1431</v>
      </c>
      <c r="N124" s="59">
        <v>-25137</v>
      </c>
      <c r="O124" s="59">
        <v>0</v>
      </c>
      <c r="P124" s="59">
        <v>0</v>
      </c>
      <c r="Q124" s="59">
        <v>0</v>
      </c>
      <c r="R124" s="59">
        <v>0</v>
      </c>
      <c r="S124" s="59">
        <v>0</v>
      </c>
      <c r="T124" s="41"/>
      <c r="U124" s="41"/>
      <c r="V124" s="41"/>
      <c r="W124" s="41"/>
      <c r="X124" s="41"/>
      <c r="Y124" s="41"/>
      <c r="Z124" s="41"/>
      <c r="AA124" s="41"/>
      <c r="AB124" s="41"/>
      <c r="AC124" s="41"/>
      <c r="AD124" s="41"/>
      <c r="AE124" s="59">
        <v>0</v>
      </c>
      <c r="AF124" s="59">
        <v>0</v>
      </c>
      <c r="AG124" s="59" t="s">
        <v>8</v>
      </c>
      <c r="AH124" s="59" t="s">
        <v>1160</v>
      </c>
    </row>
    <row r="125" spans="1:34" x14ac:dyDescent="0.35">
      <c r="A125" s="58">
        <v>2024</v>
      </c>
      <c r="B125" s="58">
        <v>3</v>
      </c>
      <c r="C125">
        <v>3</v>
      </c>
      <c r="D125" s="58" t="s">
        <v>620</v>
      </c>
      <c r="E125" t="s">
        <v>324</v>
      </c>
      <c r="F125" s="58" t="s">
        <v>168</v>
      </c>
      <c r="G125" t="s">
        <v>700</v>
      </c>
      <c r="H125" s="58" t="s">
        <v>4</v>
      </c>
      <c r="I125" t="s">
        <v>4</v>
      </c>
      <c r="J125" s="58" t="s">
        <v>4</v>
      </c>
      <c r="K125" t="s">
        <v>1429</v>
      </c>
      <c r="L125" t="s">
        <v>20</v>
      </c>
      <c r="M125" t="s">
        <v>1430</v>
      </c>
      <c r="N125" s="59">
        <v>31900</v>
      </c>
      <c r="O125" s="59">
        <v>1114783780</v>
      </c>
      <c r="P125" s="59">
        <v>6119387.875</v>
      </c>
      <c r="Q125" s="59">
        <v>0</v>
      </c>
      <c r="R125" s="59">
        <v>4800000</v>
      </c>
      <c r="S125" s="59">
        <v>1103864392.125</v>
      </c>
      <c r="T125" s="41"/>
      <c r="U125" s="41"/>
      <c r="V125" s="41"/>
      <c r="W125" s="41"/>
      <c r="X125" s="41"/>
      <c r="Y125" s="41"/>
      <c r="Z125" s="41"/>
      <c r="AA125" s="41"/>
      <c r="AB125" s="41"/>
      <c r="AC125" s="41"/>
      <c r="AD125" s="41"/>
      <c r="AE125" s="59">
        <v>44904.421079068052</v>
      </c>
      <c r="AF125" s="59">
        <v>45348.614038423111</v>
      </c>
      <c r="AG125" s="59" t="s">
        <v>8</v>
      </c>
      <c r="AH125" s="59" t="s">
        <v>1160</v>
      </c>
    </row>
    <row r="126" spans="1:34" x14ac:dyDescent="0.35">
      <c r="A126" s="58">
        <v>2024</v>
      </c>
      <c r="B126" s="58">
        <v>3</v>
      </c>
      <c r="C126">
        <v>3</v>
      </c>
      <c r="D126" s="58" t="s">
        <v>620</v>
      </c>
      <c r="E126" t="s">
        <v>324</v>
      </c>
      <c r="F126" s="58" t="s">
        <v>168</v>
      </c>
      <c r="G126" t="s">
        <v>700</v>
      </c>
      <c r="H126" s="58" t="s">
        <v>4</v>
      </c>
      <c r="I126" t="s">
        <v>4</v>
      </c>
      <c r="J126" s="58" t="s">
        <v>4</v>
      </c>
      <c r="K126" t="s">
        <v>1429</v>
      </c>
      <c r="L126" t="s">
        <v>20</v>
      </c>
      <c r="M126" t="s">
        <v>1432</v>
      </c>
      <c r="N126" s="59">
        <v>25137</v>
      </c>
      <c r="O126" s="59">
        <v>0</v>
      </c>
      <c r="P126" s="59">
        <v>0</v>
      </c>
      <c r="Q126" s="59">
        <v>0</v>
      </c>
      <c r="R126" s="59">
        <v>2500000</v>
      </c>
      <c r="S126" s="59">
        <v>-2500000</v>
      </c>
      <c r="T126" s="41"/>
      <c r="U126" s="41"/>
      <c r="V126" s="41"/>
      <c r="W126" s="41"/>
      <c r="X126" s="41"/>
      <c r="Y126" s="41"/>
      <c r="Z126" s="41"/>
      <c r="AA126" s="41"/>
      <c r="AB126" s="41"/>
      <c r="AC126" s="41"/>
      <c r="AD126" s="41"/>
      <c r="AE126" s="59">
        <v>-101.69822806002593</v>
      </c>
      <c r="AF126" s="59">
        <v>0</v>
      </c>
      <c r="AG126" s="59" t="s">
        <v>8</v>
      </c>
      <c r="AH126" s="59" t="s">
        <v>1160</v>
      </c>
    </row>
    <row r="127" spans="1:34" x14ac:dyDescent="0.35">
      <c r="A127" s="58">
        <v>2024</v>
      </c>
      <c r="B127" s="58">
        <v>3</v>
      </c>
      <c r="C127">
        <v>3</v>
      </c>
      <c r="D127" s="58" t="s">
        <v>682</v>
      </c>
      <c r="E127" t="s">
        <v>156</v>
      </c>
      <c r="F127" s="58" t="s">
        <v>1468</v>
      </c>
      <c r="G127" t="s">
        <v>1012</v>
      </c>
      <c r="H127" s="58" t="s">
        <v>1012</v>
      </c>
      <c r="I127" t="s">
        <v>1012</v>
      </c>
      <c r="J127" s="58" t="s">
        <v>1012</v>
      </c>
      <c r="K127" t="s">
        <v>1429</v>
      </c>
      <c r="L127" t="s">
        <v>20</v>
      </c>
      <c r="M127" t="s">
        <v>1430</v>
      </c>
      <c r="N127" s="59">
        <v>0</v>
      </c>
      <c r="O127" s="59">
        <v>4282602</v>
      </c>
      <c r="P127" s="59">
        <v>0</v>
      </c>
      <c r="Q127" s="59">
        <v>0</v>
      </c>
      <c r="R127" s="59">
        <v>0</v>
      </c>
      <c r="S127" s="59">
        <v>4282602</v>
      </c>
      <c r="T127" s="41"/>
      <c r="U127" s="41"/>
      <c r="V127" s="41"/>
      <c r="W127" s="41"/>
      <c r="X127" s="41"/>
      <c r="Y127" s="41"/>
      <c r="Z127" s="41"/>
      <c r="AA127" s="41"/>
      <c r="AB127" s="41"/>
      <c r="AC127" s="41"/>
      <c r="AD127" s="41"/>
      <c r="AE127" s="59">
        <v>174.21321395452927</v>
      </c>
      <c r="AF127" s="59">
        <v>174.21321395452927</v>
      </c>
      <c r="AG127" s="59" t="s">
        <v>156</v>
      </c>
      <c r="AH127" s="59" t="s">
        <v>1284</v>
      </c>
    </row>
    <row r="128" spans="1:34" x14ac:dyDescent="0.35">
      <c r="A128" s="58">
        <v>2024</v>
      </c>
      <c r="B128" s="58">
        <v>3</v>
      </c>
      <c r="C128">
        <v>3</v>
      </c>
      <c r="D128" s="58" t="s">
        <v>1502</v>
      </c>
      <c r="E128" t="s">
        <v>1236</v>
      </c>
      <c r="F128" s="58" t="s">
        <v>879</v>
      </c>
      <c r="G128" t="s">
        <v>880</v>
      </c>
      <c r="H128" s="58" t="s">
        <v>1234</v>
      </c>
      <c r="I128" t="s">
        <v>1234</v>
      </c>
      <c r="J128" s="58" t="s">
        <v>1234</v>
      </c>
      <c r="K128" t="s">
        <v>1429</v>
      </c>
      <c r="L128" t="s">
        <v>20</v>
      </c>
      <c r="M128" t="s">
        <v>1430</v>
      </c>
      <c r="N128" s="59">
        <v>58000</v>
      </c>
      <c r="O128" s="59">
        <v>1017500000</v>
      </c>
      <c r="P128" s="59">
        <v>0</v>
      </c>
      <c r="Q128" s="59">
        <v>72000000</v>
      </c>
      <c r="R128" s="59">
        <v>0</v>
      </c>
      <c r="S128" s="59">
        <v>945500000</v>
      </c>
      <c r="T128" s="41"/>
      <c r="U128" s="41"/>
      <c r="V128" s="41"/>
      <c r="W128" s="41"/>
      <c r="X128" s="41"/>
      <c r="Y128" s="41"/>
      <c r="Z128" s="41"/>
      <c r="AA128" s="41"/>
      <c r="AB128" s="41"/>
      <c r="AC128" s="41"/>
      <c r="AD128" s="41"/>
      <c r="AE128" s="59">
        <v>38462.269852301804</v>
      </c>
      <c r="AF128" s="59">
        <v>41391.178820430556</v>
      </c>
      <c r="AG128" s="59" t="s">
        <v>1236</v>
      </c>
      <c r="AH128" s="59" t="s">
        <v>1235</v>
      </c>
    </row>
    <row r="129" spans="1:34" x14ac:dyDescent="0.35">
      <c r="A129" s="58">
        <v>2024</v>
      </c>
      <c r="B129" s="58">
        <v>3</v>
      </c>
      <c r="C129">
        <v>3</v>
      </c>
      <c r="D129" s="58" t="s">
        <v>1469</v>
      </c>
      <c r="E129" t="s">
        <v>1211</v>
      </c>
      <c r="F129" s="58" t="s">
        <v>1472</v>
      </c>
      <c r="G129" t="s">
        <v>1473</v>
      </c>
      <c r="H129" s="58" t="s">
        <v>1012</v>
      </c>
      <c r="I129" t="s">
        <v>86</v>
      </c>
      <c r="J129" s="58" t="s">
        <v>86</v>
      </c>
      <c r="K129" t="s">
        <v>1429</v>
      </c>
      <c r="L129" t="s">
        <v>20</v>
      </c>
      <c r="M129" t="s">
        <v>1430</v>
      </c>
      <c r="N129" s="59">
        <v>5668</v>
      </c>
      <c r="O129" s="59">
        <v>120161600</v>
      </c>
      <c r="P129" s="59">
        <v>0</v>
      </c>
      <c r="Q129" s="59">
        <v>0</v>
      </c>
      <c r="R129" s="59">
        <v>0</v>
      </c>
      <c r="S129" s="59">
        <v>120161600</v>
      </c>
      <c r="T129" s="41"/>
      <c r="U129" s="41"/>
      <c r="V129" s="41"/>
      <c r="W129" s="41"/>
      <c r="X129" s="41"/>
      <c r="Y129" s="41"/>
      <c r="Z129" s="41"/>
      <c r="AA129" s="41"/>
      <c r="AB129" s="41"/>
      <c r="AC129" s="41"/>
      <c r="AD129" s="41"/>
      <c r="AE129" s="59">
        <v>4888.0887203430448</v>
      </c>
      <c r="AF129" s="59">
        <v>4888.0887203430448</v>
      </c>
      <c r="AG129" s="59" t="s">
        <v>1211</v>
      </c>
      <c r="AH129" s="59" t="s">
        <v>1215</v>
      </c>
    </row>
    <row r="130" spans="1:34" x14ac:dyDescent="0.35">
      <c r="A130" s="58">
        <v>2024</v>
      </c>
      <c r="B130" s="58">
        <v>3</v>
      </c>
      <c r="C130">
        <v>3</v>
      </c>
      <c r="D130" s="58" t="s">
        <v>635</v>
      </c>
      <c r="E130" t="s">
        <v>62</v>
      </c>
      <c r="F130" s="58" t="s">
        <v>212</v>
      </c>
      <c r="G130" t="s">
        <v>481</v>
      </c>
      <c r="H130" s="58" t="s">
        <v>21</v>
      </c>
      <c r="I130" t="s">
        <v>21</v>
      </c>
      <c r="J130" s="58" t="s">
        <v>21</v>
      </c>
      <c r="K130" t="s">
        <v>1429</v>
      </c>
      <c r="L130" t="s">
        <v>20</v>
      </c>
      <c r="M130" t="s">
        <v>1430</v>
      </c>
      <c r="N130" s="59">
        <v>39000</v>
      </c>
      <c r="O130" s="59">
        <v>862329000</v>
      </c>
      <c r="P130" s="59">
        <v>10972695.5</v>
      </c>
      <c r="Q130" s="59">
        <v>0</v>
      </c>
      <c r="R130" s="59">
        <v>0</v>
      </c>
      <c r="S130" s="59">
        <v>851356304.5</v>
      </c>
      <c r="T130" s="41"/>
      <c r="U130" s="41"/>
      <c r="V130" s="41"/>
      <c r="W130" s="41"/>
      <c r="X130" s="41"/>
      <c r="Y130" s="41"/>
      <c r="Z130" s="41"/>
      <c r="AA130" s="41"/>
      <c r="AB130" s="41"/>
      <c r="AC130" s="41"/>
      <c r="AD130" s="41"/>
      <c r="AE130" s="59">
        <v>34632.571046152749</v>
      </c>
      <c r="AF130" s="59">
        <v>35078.932521909643</v>
      </c>
      <c r="AG130" s="59" t="s">
        <v>62</v>
      </c>
      <c r="AH130" s="59" t="s">
        <v>84</v>
      </c>
    </row>
    <row r="131" spans="1:34" x14ac:dyDescent="0.35">
      <c r="A131" s="58">
        <v>2024</v>
      </c>
      <c r="B131" s="58">
        <v>3</v>
      </c>
      <c r="C131">
        <v>3</v>
      </c>
      <c r="D131" s="58" t="s">
        <v>1474</v>
      </c>
      <c r="E131" t="s">
        <v>1256</v>
      </c>
      <c r="F131" s="58" t="s">
        <v>200</v>
      </c>
      <c r="G131" t="s">
        <v>470</v>
      </c>
      <c r="H131" s="58" t="s">
        <v>1428</v>
      </c>
      <c r="I131" t="s">
        <v>76</v>
      </c>
      <c r="J131" s="58" t="s">
        <v>76</v>
      </c>
      <c r="K131" t="s">
        <v>1429</v>
      </c>
      <c r="L131" t="s">
        <v>20</v>
      </c>
      <c r="M131" t="s">
        <v>1430</v>
      </c>
      <c r="N131" s="59">
        <v>6000</v>
      </c>
      <c r="O131" s="59">
        <v>132666000</v>
      </c>
      <c r="P131" s="59">
        <v>1688106.9999999998</v>
      </c>
      <c r="Q131" s="59">
        <v>0</v>
      </c>
      <c r="R131" s="59">
        <v>0</v>
      </c>
      <c r="S131" s="59">
        <v>130977893</v>
      </c>
      <c r="T131" s="41"/>
      <c r="U131" s="41"/>
      <c r="V131" s="41"/>
      <c r="W131" s="41"/>
      <c r="X131" s="41"/>
      <c r="Y131" s="41"/>
      <c r="Z131" s="41"/>
      <c r="AA131" s="41"/>
      <c r="AB131" s="41"/>
      <c r="AC131" s="41"/>
      <c r="AD131" s="41"/>
      <c r="AE131" s="59">
        <v>5328.0878532542692</v>
      </c>
      <c r="AF131" s="59">
        <v>5396.75884952456</v>
      </c>
      <c r="AG131" s="59" t="s">
        <v>1256</v>
      </c>
      <c r="AH131" s="59" t="s">
        <v>79</v>
      </c>
    </row>
    <row r="132" spans="1:34" x14ac:dyDescent="0.35">
      <c r="A132" s="58">
        <v>2024</v>
      </c>
      <c r="B132" s="58">
        <v>3</v>
      </c>
      <c r="C132">
        <v>3</v>
      </c>
      <c r="D132" s="58" t="s">
        <v>1474</v>
      </c>
      <c r="E132" t="s">
        <v>1256</v>
      </c>
      <c r="F132" s="58" t="s">
        <v>204</v>
      </c>
      <c r="G132" t="s">
        <v>474</v>
      </c>
      <c r="H132" s="58" t="s">
        <v>1428</v>
      </c>
      <c r="I132" t="s">
        <v>76</v>
      </c>
      <c r="J132" s="58" t="s">
        <v>76</v>
      </c>
      <c r="K132" t="s">
        <v>1429</v>
      </c>
      <c r="L132" t="s">
        <v>20</v>
      </c>
      <c r="M132" t="s">
        <v>1430</v>
      </c>
      <c r="N132" s="59">
        <v>6000</v>
      </c>
      <c r="O132" s="59">
        <v>132666000</v>
      </c>
      <c r="P132" s="59">
        <v>1688106.9999999998</v>
      </c>
      <c r="Q132" s="59">
        <v>0</v>
      </c>
      <c r="R132" s="59">
        <v>0</v>
      </c>
      <c r="S132" s="59">
        <v>130977893</v>
      </c>
      <c r="T132" s="41"/>
      <c r="U132" s="41"/>
      <c r="V132" s="41"/>
      <c r="W132" s="41"/>
      <c r="X132" s="41"/>
      <c r="Y132" s="41"/>
      <c r="Z132" s="41"/>
      <c r="AA132" s="41"/>
      <c r="AB132" s="41"/>
      <c r="AC132" s="41"/>
      <c r="AD132" s="41"/>
      <c r="AE132" s="59">
        <v>5328.0878532542692</v>
      </c>
      <c r="AF132" s="59">
        <v>5396.75884952456</v>
      </c>
      <c r="AG132" s="59" t="s">
        <v>1256</v>
      </c>
      <c r="AH132" s="59" t="s">
        <v>81</v>
      </c>
    </row>
    <row r="133" spans="1:34" x14ac:dyDescent="0.35">
      <c r="A133" s="58">
        <v>2024</v>
      </c>
      <c r="B133" s="58">
        <v>3</v>
      </c>
      <c r="C133">
        <v>3</v>
      </c>
      <c r="D133" s="58" t="s">
        <v>1516</v>
      </c>
      <c r="E133" t="s">
        <v>1187</v>
      </c>
      <c r="F133" s="58" t="s">
        <v>784</v>
      </c>
      <c r="G133" t="s">
        <v>785</v>
      </c>
      <c r="H133" s="58" t="s">
        <v>4</v>
      </c>
      <c r="I133" t="s">
        <v>4</v>
      </c>
      <c r="J133" s="58" t="s">
        <v>4</v>
      </c>
      <c r="K133" t="s">
        <v>1429</v>
      </c>
      <c r="L133" t="s">
        <v>20</v>
      </c>
      <c r="M133" t="s">
        <v>1430</v>
      </c>
      <c r="N133" s="59">
        <v>25</v>
      </c>
      <c r="O133" s="59">
        <v>798200</v>
      </c>
      <c r="P133" s="59">
        <v>0</v>
      </c>
      <c r="Q133" s="59">
        <v>0</v>
      </c>
      <c r="R133" s="59">
        <v>0</v>
      </c>
      <c r="S133" s="59">
        <v>798200</v>
      </c>
      <c r="T133" s="41"/>
      <c r="U133" s="41"/>
      <c r="V133" s="41"/>
      <c r="W133" s="41"/>
      <c r="X133" s="41"/>
      <c r="Y133" s="41"/>
      <c r="Z133" s="41"/>
      <c r="AA133" s="41"/>
      <c r="AB133" s="41"/>
      <c r="AC133" s="41"/>
      <c r="AD133" s="41"/>
      <c r="AE133" s="59">
        <v>32.470210255005078</v>
      </c>
      <c r="AF133" s="59">
        <v>32.470210255005078</v>
      </c>
      <c r="AG133" s="59" t="s">
        <v>1187</v>
      </c>
      <c r="AH133" s="59" t="s">
        <v>1186</v>
      </c>
    </row>
    <row r="134" spans="1:34" x14ac:dyDescent="0.35">
      <c r="A134" s="58">
        <v>2024</v>
      </c>
      <c r="B134" s="58">
        <v>3</v>
      </c>
      <c r="C134">
        <v>3</v>
      </c>
      <c r="D134" s="58" t="s">
        <v>595</v>
      </c>
      <c r="E134" t="s">
        <v>478</v>
      </c>
      <c r="F134" s="58" t="s">
        <v>171</v>
      </c>
      <c r="G134" t="s">
        <v>731</v>
      </c>
      <c r="H134" s="58" t="s">
        <v>4</v>
      </c>
      <c r="I134" t="s">
        <v>4</v>
      </c>
      <c r="J134" s="58" t="s">
        <v>4</v>
      </c>
      <c r="K134" t="s">
        <v>1429</v>
      </c>
      <c r="L134" t="s">
        <v>20</v>
      </c>
      <c r="M134" t="s">
        <v>1430</v>
      </c>
      <c r="N134" s="59">
        <v>33000</v>
      </c>
      <c r="O134" s="59">
        <v>1073589000</v>
      </c>
      <c r="P134" s="59">
        <v>6330401.25</v>
      </c>
      <c r="Q134" s="59">
        <v>0</v>
      </c>
      <c r="R134" s="59">
        <v>0</v>
      </c>
      <c r="S134" s="59">
        <v>1067258598.75</v>
      </c>
      <c r="T134" s="41"/>
      <c r="U134" s="41"/>
      <c r="V134" s="41"/>
      <c r="W134" s="41"/>
      <c r="X134" s="41"/>
      <c r="Y134" s="41"/>
      <c r="Z134" s="41"/>
      <c r="AA134" s="41"/>
      <c r="AB134" s="41"/>
      <c r="AC134" s="41"/>
      <c r="AD134" s="41"/>
      <c r="AE134" s="59">
        <v>43415.323349880477</v>
      </c>
      <c r="AF134" s="59">
        <v>43672.839585894071</v>
      </c>
      <c r="AG134" s="59" t="s">
        <v>5</v>
      </c>
      <c r="AH134" s="59" t="s">
        <v>1166</v>
      </c>
    </row>
    <row r="135" spans="1:34" x14ac:dyDescent="0.35">
      <c r="A135" s="58">
        <v>2024</v>
      </c>
      <c r="B135" s="58">
        <v>3</v>
      </c>
      <c r="C135">
        <v>3</v>
      </c>
      <c r="D135" s="58" t="s">
        <v>595</v>
      </c>
      <c r="E135" t="s">
        <v>478</v>
      </c>
      <c r="F135" s="58" t="s">
        <v>187</v>
      </c>
      <c r="G135" t="s">
        <v>869</v>
      </c>
      <c r="H135" s="58" t="s">
        <v>1428</v>
      </c>
      <c r="I135" t="s">
        <v>75</v>
      </c>
      <c r="J135" s="58" t="s">
        <v>75</v>
      </c>
      <c r="K135" t="s">
        <v>1429</v>
      </c>
      <c r="L135" t="s">
        <v>20</v>
      </c>
      <c r="M135" t="s">
        <v>1430</v>
      </c>
      <c r="N135" s="59">
        <v>300</v>
      </c>
      <c r="O135" s="59">
        <v>10625100</v>
      </c>
      <c r="P135" s="59">
        <v>0</v>
      </c>
      <c r="Q135" s="59">
        <v>0</v>
      </c>
      <c r="R135" s="59">
        <v>0</v>
      </c>
      <c r="S135" s="59">
        <v>10625100</v>
      </c>
      <c r="T135" s="41"/>
      <c r="U135" s="41"/>
      <c r="V135" s="41"/>
      <c r="W135" s="41"/>
      <c r="X135" s="41"/>
      <c r="Y135" s="41"/>
      <c r="Z135" s="41"/>
      <c r="AA135" s="41"/>
      <c r="AB135" s="41"/>
      <c r="AC135" s="41"/>
      <c r="AD135" s="41"/>
      <c r="AE135" s="59">
        <v>432.2215371842326</v>
      </c>
      <c r="AF135" s="59">
        <v>432.2215371842326</v>
      </c>
      <c r="AG135" s="59" t="s">
        <v>5</v>
      </c>
      <c r="AH135" s="59" t="s">
        <v>1203</v>
      </c>
    </row>
    <row r="136" spans="1:34" x14ac:dyDescent="0.35">
      <c r="A136" s="58">
        <v>2024</v>
      </c>
      <c r="B136" s="58">
        <v>3</v>
      </c>
      <c r="C136">
        <v>3</v>
      </c>
      <c r="D136" s="58" t="s">
        <v>1517</v>
      </c>
      <c r="E136" t="s">
        <v>1174</v>
      </c>
      <c r="F136" s="58" t="s">
        <v>713</v>
      </c>
      <c r="G136" t="s">
        <v>714</v>
      </c>
      <c r="H136" s="58" t="s">
        <v>1428</v>
      </c>
      <c r="I136" t="s">
        <v>75</v>
      </c>
      <c r="J136" s="58" t="s">
        <v>75</v>
      </c>
      <c r="K136" t="s">
        <v>1429</v>
      </c>
      <c r="L136" t="s">
        <v>20</v>
      </c>
      <c r="M136" t="s">
        <v>1430</v>
      </c>
      <c r="N136" s="59">
        <v>1000</v>
      </c>
      <c r="O136" s="59">
        <v>33534000</v>
      </c>
      <c r="P136" s="59">
        <v>0</v>
      </c>
      <c r="Q136" s="59">
        <v>0</v>
      </c>
      <c r="R136" s="59">
        <v>0</v>
      </c>
      <c r="S136" s="59">
        <v>33534000</v>
      </c>
      <c r="T136" s="41"/>
      <c r="U136" s="41"/>
      <c r="V136" s="41"/>
      <c r="W136" s="41"/>
      <c r="X136" s="41"/>
      <c r="Y136" s="41"/>
      <c r="Z136" s="41"/>
      <c r="AA136" s="41"/>
      <c r="AB136" s="41"/>
      <c r="AC136" s="41"/>
      <c r="AD136" s="41"/>
      <c r="AE136" s="59">
        <v>1364.1393519059638</v>
      </c>
      <c r="AF136" s="59">
        <v>1364.1393519059638</v>
      </c>
      <c r="AG136" s="59" t="s">
        <v>1174</v>
      </c>
      <c r="AH136" s="59" t="s">
        <v>1195</v>
      </c>
    </row>
    <row r="137" spans="1:34" x14ac:dyDescent="0.35">
      <c r="A137" s="58">
        <v>2024</v>
      </c>
      <c r="B137" s="58">
        <v>3</v>
      </c>
      <c r="C137">
        <v>3</v>
      </c>
      <c r="D137" s="58" t="s">
        <v>1517</v>
      </c>
      <c r="E137" t="s">
        <v>1174</v>
      </c>
      <c r="F137" s="58" t="s">
        <v>723</v>
      </c>
      <c r="G137" t="s">
        <v>724</v>
      </c>
      <c r="H137" s="58" t="s">
        <v>1428</v>
      </c>
      <c r="I137" t="s">
        <v>75</v>
      </c>
      <c r="J137" s="58" t="s">
        <v>75</v>
      </c>
      <c r="K137" t="s">
        <v>1429</v>
      </c>
      <c r="L137" t="s">
        <v>20</v>
      </c>
      <c r="M137" t="s">
        <v>1430</v>
      </c>
      <c r="N137" s="59">
        <v>1000</v>
      </c>
      <c r="O137" s="59">
        <v>33534000</v>
      </c>
      <c r="P137" s="59">
        <v>0</v>
      </c>
      <c r="Q137" s="59">
        <v>0</v>
      </c>
      <c r="R137" s="59">
        <v>0</v>
      </c>
      <c r="S137" s="59">
        <v>33534000</v>
      </c>
      <c r="T137" s="41"/>
      <c r="U137" s="41"/>
      <c r="V137" s="41"/>
      <c r="W137" s="41"/>
      <c r="X137" s="41"/>
      <c r="Y137" s="41"/>
      <c r="Z137" s="41"/>
      <c r="AA137" s="41"/>
      <c r="AB137" s="41"/>
      <c r="AC137" s="41"/>
      <c r="AD137" s="41"/>
      <c r="AE137" s="59">
        <v>1364.1393519059638</v>
      </c>
      <c r="AF137" s="59">
        <v>1364.1393519059638</v>
      </c>
      <c r="AG137" s="59" t="s">
        <v>1174</v>
      </c>
      <c r="AH137" s="59" t="s">
        <v>1200</v>
      </c>
    </row>
    <row r="138" spans="1:34" x14ac:dyDescent="0.35">
      <c r="A138" s="58">
        <v>2024</v>
      </c>
      <c r="B138" s="58">
        <v>3</v>
      </c>
      <c r="C138">
        <v>3</v>
      </c>
      <c r="D138" s="58" t="s">
        <v>1517</v>
      </c>
      <c r="E138" t="s">
        <v>1174</v>
      </c>
      <c r="F138" s="58" t="s">
        <v>727</v>
      </c>
      <c r="G138" t="s">
        <v>728</v>
      </c>
      <c r="H138" s="58" t="s">
        <v>1428</v>
      </c>
      <c r="I138" t="s">
        <v>75</v>
      </c>
      <c r="J138" s="58" t="s">
        <v>75</v>
      </c>
      <c r="K138" t="s">
        <v>1429</v>
      </c>
      <c r="L138" t="s">
        <v>20</v>
      </c>
      <c r="M138" t="s">
        <v>1430</v>
      </c>
      <c r="N138" s="59">
        <v>1000</v>
      </c>
      <c r="O138" s="59">
        <v>33534000</v>
      </c>
      <c r="P138" s="59">
        <v>0</v>
      </c>
      <c r="Q138" s="59">
        <v>0</v>
      </c>
      <c r="R138" s="59">
        <v>0</v>
      </c>
      <c r="S138" s="59">
        <v>33534000</v>
      </c>
      <c r="T138" s="41"/>
      <c r="U138" s="41"/>
      <c r="V138" s="41"/>
      <c r="W138" s="41"/>
      <c r="X138" s="41"/>
      <c r="Y138" s="41"/>
      <c r="Z138" s="41"/>
      <c r="AA138" s="41"/>
      <c r="AB138" s="41"/>
      <c r="AC138" s="41"/>
      <c r="AD138" s="41"/>
      <c r="AE138" s="59">
        <v>1364.1393519059638</v>
      </c>
      <c r="AF138" s="59">
        <v>1364.1393519059638</v>
      </c>
      <c r="AG138" s="59" t="s">
        <v>1174</v>
      </c>
      <c r="AH138" s="59" t="s">
        <v>1201</v>
      </c>
    </row>
    <row r="139" spans="1:34" x14ac:dyDescent="0.35">
      <c r="A139" s="58">
        <v>2024</v>
      </c>
      <c r="B139" s="58">
        <v>3</v>
      </c>
      <c r="C139">
        <v>3</v>
      </c>
      <c r="D139" s="58" t="s">
        <v>1517</v>
      </c>
      <c r="E139" t="s">
        <v>1174</v>
      </c>
      <c r="F139" s="58" t="s">
        <v>171</v>
      </c>
      <c r="G139" t="s">
        <v>731</v>
      </c>
      <c r="H139" s="58" t="s">
        <v>4</v>
      </c>
      <c r="I139" t="s">
        <v>4</v>
      </c>
      <c r="J139" s="58" t="s">
        <v>4</v>
      </c>
      <c r="K139" t="s">
        <v>1429</v>
      </c>
      <c r="L139" t="s">
        <v>20</v>
      </c>
      <c r="M139" t="s">
        <v>1430</v>
      </c>
      <c r="N139" s="59">
        <v>300</v>
      </c>
      <c r="O139" s="59">
        <v>9315000</v>
      </c>
      <c r="P139" s="59">
        <v>0</v>
      </c>
      <c r="Q139" s="59">
        <v>0</v>
      </c>
      <c r="R139" s="59">
        <v>0</v>
      </c>
      <c r="S139" s="59">
        <v>9315000</v>
      </c>
      <c r="T139" s="41"/>
      <c r="U139" s="41"/>
      <c r="V139" s="41"/>
      <c r="W139" s="41"/>
      <c r="X139" s="41"/>
      <c r="Y139" s="41"/>
      <c r="Z139" s="41"/>
      <c r="AA139" s="41"/>
      <c r="AB139" s="41"/>
      <c r="AC139" s="41"/>
      <c r="AD139" s="41"/>
      <c r="AE139" s="59">
        <v>378.92759775165661</v>
      </c>
      <c r="AF139" s="59">
        <v>378.92759775165661</v>
      </c>
      <c r="AG139" s="59" t="s">
        <v>1174</v>
      </c>
      <c r="AH139" s="59" t="s">
        <v>1166</v>
      </c>
    </row>
    <row r="140" spans="1:34" x14ac:dyDescent="0.35">
      <c r="A140" s="58">
        <v>2024</v>
      </c>
      <c r="B140" s="58">
        <v>3</v>
      </c>
      <c r="C140">
        <v>3</v>
      </c>
      <c r="D140" s="58" t="s">
        <v>1517</v>
      </c>
      <c r="E140" t="s">
        <v>1174</v>
      </c>
      <c r="F140" s="58" t="s">
        <v>189</v>
      </c>
      <c r="G140" t="s">
        <v>895</v>
      </c>
      <c r="H140" s="58" t="s">
        <v>1428</v>
      </c>
      <c r="I140" t="s">
        <v>75</v>
      </c>
      <c r="J140" s="58" t="s">
        <v>75</v>
      </c>
      <c r="K140" t="s">
        <v>1429</v>
      </c>
      <c r="L140" t="s">
        <v>20</v>
      </c>
      <c r="M140" t="s">
        <v>1430</v>
      </c>
      <c r="N140" s="59">
        <v>1000</v>
      </c>
      <c r="O140" s="59">
        <v>33534000</v>
      </c>
      <c r="P140" s="59">
        <v>0</v>
      </c>
      <c r="Q140" s="59">
        <v>0</v>
      </c>
      <c r="R140" s="59">
        <v>0</v>
      </c>
      <c r="S140" s="59">
        <v>33534000</v>
      </c>
      <c r="T140" s="41"/>
      <c r="U140" s="41"/>
      <c r="V140" s="41"/>
      <c r="W140" s="41"/>
      <c r="X140" s="41"/>
      <c r="Y140" s="41"/>
      <c r="Z140" s="41"/>
      <c r="AA140" s="41"/>
      <c r="AB140" s="41"/>
      <c r="AC140" s="41"/>
      <c r="AD140" s="41"/>
      <c r="AE140" s="59">
        <v>1364.1393519059638</v>
      </c>
      <c r="AF140" s="59">
        <v>1364.1393519059638</v>
      </c>
      <c r="AG140" s="59" t="s">
        <v>1174</v>
      </c>
      <c r="AH140" s="59" t="s">
        <v>1205</v>
      </c>
    </row>
    <row r="141" spans="1:34" x14ac:dyDescent="0.35">
      <c r="A141" s="58">
        <v>2024</v>
      </c>
      <c r="B141" s="58">
        <v>3</v>
      </c>
      <c r="C141">
        <v>3</v>
      </c>
      <c r="D141" s="58" t="s">
        <v>654</v>
      </c>
      <c r="E141" t="s">
        <v>118</v>
      </c>
      <c r="F141" s="58" t="s">
        <v>171</v>
      </c>
      <c r="G141" t="s">
        <v>731</v>
      </c>
      <c r="H141" s="58" t="s">
        <v>4</v>
      </c>
      <c r="I141" t="s">
        <v>4</v>
      </c>
      <c r="J141" s="58" t="s">
        <v>4</v>
      </c>
      <c r="K141" t="s">
        <v>1429</v>
      </c>
      <c r="L141" t="s">
        <v>20</v>
      </c>
      <c r="M141" t="s">
        <v>1430</v>
      </c>
      <c r="N141" s="59">
        <v>6600</v>
      </c>
      <c r="O141" s="59">
        <v>204682500</v>
      </c>
      <c r="P141" s="59">
        <v>1266080.25</v>
      </c>
      <c r="Q141" s="59">
        <v>0</v>
      </c>
      <c r="R141" s="59">
        <v>0</v>
      </c>
      <c r="S141" s="59">
        <v>203416419.75</v>
      </c>
      <c r="T141" s="41"/>
      <c r="U141" s="41"/>
      <c r="V141" s="41"/>
      <c r="W141" s="41"/>
      <c r="X141" s="41"/>
      <c r="Y141" s="41"/>
      <c r="Z141" s="41"/>
      <c r="AA141" s="41"/>
      <c r="AB141" s="41"/>
      <c r="AC141" s="41"/>
      <c r="AD141" s="41"/>
      <c r="AE141" s="59">
        <v>8274.8357787557852</v>
      </c>
      <c r="AF141" s="59">
        <v>8326.339025958503</v>
      </c>
      <c r="AG141" s="59" t="s">
        <v>118</v>
      </c>
      <c r="AH141" s="59" t="s">
        <v>1166</v>
      </c>
    </row>
    <row r="142" spans="1:34" x14ac:dyDescent="0.35">
      <c r="A142" s="58">
        <v>2024</v>
      </c>
      <c r="B142" s="58">
        <v>3</v>
      </c>
      <c r="C142">
        <v>3</v>
      </c>
      <c r="D142" s="58" t="s">
        <v>1518</v>
      </c>
      <c r="E142" t="s">
        <v>1172</v>
      </c>
      <c r="F142" s="58" t="s">
        <v>784</v>
      </c>
      <c r="G142" t="s">
        <v>785</v>
      </c>
      <c r="H142" s="58" t="s">
        <v>4</v>
      </c>
      <c r="I142" t="s">
        <v>4</v>
      </c>
      <c r="J142" s="58" t="s">
        <v>4</v>
      </c>
      <c r="K142" t="s">
        <v>1429</v>
      </c>
      <c r="L142" t="s">
        <v>20</v>
      </c>
      <c r="M142" t="s">
        <v>1430</v>
      </c>
      <c r="N142" s="59">
        <v>500</v>
      </c>
      <c r="O142" s="59">
        <v>15680000</v>
      </c>
      <c r="P142" s="59">
        <v>0</v>
      </c>
      <c r="Q142" s="59">
        <v>0</v>
      </c>
      <c r="R142" s="59">
        <v>0</v>
      </c>
      <c r="S142" s="59">
        <v>15680000</v>
      </c>
      <c r="T142" s="41"/>
      <c r="U142" s="41"/>
      <c r="V142" s="41"/>
      <c r="W142" s="41"/>
      <c r="X142" s="41"/>
      <c r="Y142" s="41"/>
      <c r="Z142" s="41"/>
      <c r="AA142" s="41"/>
      <c r="AB142" s="41"/>
      <c r="AC142" s="41"/>
      <c r="AD142" s="41"/>
      <c r="AE142" s="59">
        <v>637.85128639248262</v>
      </c>
      <c r="AF142" s="59">
        <v>637.85128639248262</v>
      </c>
      <c r="AG142" s="59" t="s">
        <v>1172</v>
      </c>
      <c r="AH142" s="59" t="s">
        <v>1186</v>
      </c>
    </row>
    <row r="143" spans="1:34" x14ac:dyDescent="0.35">
      <c r="A143" s="58">
        <v>2024</v>
      </c>
      <c r="B143" s="58">
        <v>3</v>
      </c>
      <c r="C143">
        <v>3</v>
      </c>
      <c r="D143" s="58" t="s">
        <v>684</v>
      </c>
      <c r="E143" t="s">
        <v>63</v>
      </c>
      <c r="F143" s="58" t="s">
        <v>214</v>
      </c>
      <c r="G143" t="s">
        <v>902</v>
      </c>
      <c r="H143" s="58" t="s">
        <v>21</v>
      </c>
      <c r="I143" t="s">
        <v>21</v>
      </c>
      <c r="J143" s="58" t="s">
        <v>21</v>
      </c>
      <c r="K143" t="s">
        <v>1429</v>
      </c>
      <c r="L143" t="s">
        <v>20</v>
      </c>
      <c r="M143" t="s">
        <v>1430</v>
      </c>
      <c r="N143" s="59">
        <v>7000</v>
      </c>
      <c r="O143" s="59">
        <v>171500000</v>
      </c>
      <c r="P143" s="59">
        <v>0</v>
      </c>
      <c r="Q143" s="59">
        <v>0</v>
      </c>
      <c r="R143" s="59">
        <v>0</v>
      </c>
      <c r="S143" s="59">
        <v>171500000</v>
      </c>
      <c r="T143" s="41"/>
      <c r="U143" s="41"/>
      <c r="V143" s="41"/>
      <c r="W143" s="41"/>
      <c r="X143" s="41"/>
      <c r="Y143" s="41"/>
      <c r="Z143" s="41"/>
      <c r="AA143" s="41"/>
      <c r="AB143" s="41"/>
      <c r="AC143" s="41"/>
      <c r="AD143" s="41"/>
      <c r="AE143" s="59">
        <v>6976.4984449177782</v>
      </c>
      <c r="AF143" s="59">
        <v>6976.4984449177782</v>
      </c>
      <c r="AG143" s="59" t="s">
        <v>63</v>
      </c>
      <c r="AH143" s="59" t="s">
        <v>1355</v>
      </c>
    </row>
    <row r="144" spans="1:34" x14ac:dyDescent="0.35">
      <c r="A144" s="58">
        <v>2024</v>
      </c>
      <c r="B144" s="58">
        <v>3</v>
      </c>
      <c r="C144">
        <v>3</v>
      </c>
      <c r="D144" s="58" t="s">
        <v>602</v>
      </c>
      <c r="E144" t="s">
        <v>122</v>
      </c>
      <c r="F144" s="58" t="s">
        <v>171</v>
      </c>
      <c r="G144" t="s">
        <v>731</v>
      </c>
      <c r="H144" s="58" t="s">
        <v>4</v>
      </c>
      <c r="I144" t="s">
        <v>4</v>
      </c>
      <c r="J144" s="58" t="s">
        <v>4</v>
      </c>
      <c r="K144" t="s">
        <v>1476</v>
      </c>
      <c r="L144" t="s">
        <v>1477</v>
      </c>
      <c r="M144" t="s">
        <v>1430</v>
      </c>
      <c r="N144" s="59">
        <v>110000</v>
      </c>
      <c r="O144" s="59">
        <v>3310100200</v>
      </c>
      <c r="P144" s="59">
        <v>14160000</v>
      </c>
      <c r="Q144" s="59">
        <v>0</v>
      </c>
      <c r="R144" s="59">
        <v>42840213.330000006</v>
      </c>
      <c r="S144" s="59">
        <v>3253099986.6700001</v>
      </c>
      <c r="T144" s="41"/>
      <c r="U144" s="41"/>
      <c r="V144" s="41"/>
      <c r="W144" s="41"/>
      <c r="X144" s="41"/>
      <c r="Y144" s="41"/>
      <c r="Z144" s="41"/>
      <c r="AA144" s="41"/>
      <c r="AB144" s="41"/>
      <c r="AC144" s="41"/>
      <c r="AD144" s="41"/>
      <c r="AE144" s="59">
        <v>132105.5041181095</v>
      </c>
      <c r="AF144" s="59">
        <v>134420</v>
      </c>
      <c r="AG144" s="59" t="s">
        <v>122</v>
      </c>
      <c r="AH144" s="59" t="s">
        <v>1166</v>
      </c>
    </row>
    <row r="145" spans="1:34" x14ac:dyDescent="0.35">
      <c r="A145" s="58">
        <v>2024</v>
      </c>
      <c r="B145" s="58">
        <v>3</v>
      </c>
      <c r="C145">
        <v>3</v>
      </c>
      <c r="D145" s="58" t="s">
        <v>587</v>
      </c>
      <c r="E145" t="s">
        <v>6</v>
      </c>
      <c r="F145" s="58" t="s">
        <v>171</v>
      </c>
      <c r="G145" t="s">
        <v>731</v>
      </c>
      <c r="H145" s="58" t="s">
        <v>4</v>
      </c>
      <c r="I145" t="s">
        <v>4</v>
      </c>
      <c r="J145" s="58" t="s">
        <v>4</v>
      </c>
      <c r="K145" t="s">
        <v>1476</v>
      </c>
      <c r="L145" t="s">
        <v>1509</v>
      </c>
      <c r="M145" t="s">
        <v>1430</v>
      </c>
      <c r="N145" s="59">
        <v>110000</v>
      </c>
      <c r="O145" s="59">
        <v>3255120000</v>
      </c>
      <c r="P145" s="59">
        <v>8850000</v>
      </c>
      <c r="Q145" s="59">
        <v>48826800</v>
      </c>
      <c r="R145" s="59">
        <v>43414273.000000007</v>
      </c>
      <c r="S145" s="59">
        <v>3154028927</v>
      </c>
      <c r="T145" s="41"/>
      <c r="U145" s="41"/>
      <c r="V145" s="41"/>
      <c r="W145" s="41"/>
      <c r="X145" s="41"/>
      <c r="Y145" s="41"/>
      <c r="Z145" s="41"/>
      <c r="AA145" s="41"/>
      <c r="AB145" s="41"/>
      <c r="AC145" s="41"/>
      <c r="AD145" s="41"/>
      <c r="AE145" s="59">
        <v>127900.60531224655</v>
      </c>
      <c r="AF145" s="59">
        <v>132000</v>
      </c>
      <c r="AG145" s="59" t="s">
        <v>6</v>
      </c>
      <c r="AH145" s="59" t="s">
        <v>1166</v>
      </c>
    </row>
    <row r="146" spans="1:34" x14ac:dyDescent="0.35">
      <c r="A146" s="58">
        <v>2024</v>
      </c>
      <c r="B146" s="58">
        <v>3</v>
      </c>
      <c r="C146">
        <v>3</v>
      </c>
      <c r="D146" s="58" t="s">
        <v>587</v>
      </c>
      <c r="E146" t="s">
        <v>6</v>
      </c>
      <c r="F146" s="58" t="s">
        <v>171</v>
      </c>
      <c r="G146" t="s">
        <v>731</v>
      </c>
      <c r="H146" s="58" t="s">
        <v>4</v>
      </c>
      <c r="I146" t="s">
        <v>4</v>
      </c>
      <c r="J146" s="58" t="s">
        <v>4</v>
      </c>
      <c r="K146" t="s">
        <v>1476</v>
      </c>
      <c r="L146" t="s">
        <v>1477</v>
      </c>
      <c r="M146" t="s">
        <v>1430</v>
      </c>
      <c r="N146" s="59">
        <v>484000</v>
      </c>
      <c r="O146" s="59">
        <v>14252832000</v>
      </c>
      <c r="P146" s="59">
        <v>38940000</v>
      </c>
      <c r="Q146" s="59">
        <v>213792480</v>
      </c>
      <c r="R146" s="59">
        <v>174919337.00000012</v>
      </c>
      <c r="S146" s="59">
        <v>13825180182.999994</v>
      </c>
      <c r="T146" s="41"/>
      <c r="U146" s="41"/>
      <c r="V146" s="41"/>
      <c r="W146" s="41"/>
      <c r="X146" s="41"/>
      <c r="Y146" s="41"/>
      <c r="Z146" s="41"/>
      <c r="AA146" s="41"/>
      <c r="AB146" s="41"/>
      <c r="AC146" s="41"/>
      <c r="AD146" s="41"/>
      <c r="AE146" s="59">
        <v>563373.46874695248</v>
      </c>
      <c r="AF146" s="59">
        <v>580800</v>
      </c>
      <c r="AG146" s="59" t="s">
        <v>6</v>
      </c>
      <c r="AH146" s="59" t="s">
        <v>1166</v>
      </c>
    </row>
    <row r="147" spans="1:34" x14ac:dyDescent="0.35">
      <c r="A147" s="58">
        <v>2024</v>
      </c>
      <c r="B147" s="58">
        <v>3</v>
      </c>
      <c r="C147">
        <v>3</v>
      </c>
      <c r="D147" s="58" t="s">
        <v>643</v>
      </c>
      <c r="E147" t="s">
        <v>138</v>
      </c>
      <c r="F147" s="58" t="s">
        <v>184</v>
      </c>
      <c r="G147" t="s">
        <v>717</v>
      </c>
      <c r="H147" s="58" t="s">
        <v>1428</v>
      </c>
      <c r="I147" t="s">
        <v>75</v>
      </c>
      <c r="J147" s="58" t="s">
        <v>75</v>
      </c>
      <c r="K147" t="s">
        <v>1476</v>
      </c>
      <c r="L147" t="s">
        <v>303</v>
      </c>
      <c r="M147" t="s">
        <v>1430</v>
      </c>
      <c r="N147" s="59">
        <v>12000</v>
      </c>
      <c r="O147" s="59">
        <v>411162000</v>
      </c>
      <c r="P147" s="59">
        <v>0</v>
      </c>
      <c r="Q147" s="59">
        <v>0</v>
      </c>
      <c r="R147" s="59">
        <v>9458990</v>
      </c>
      <c r="S147" s="59">
        <v>401703010</v>
      </c>
      <c r="T147" s="41"/>
      <c r="U147" s="41"/>
      <c r="V147" s="41"/>
      <c r="W147" s="41"/>
      <c r="X147" s="41"/>
      <c r="Y147" s="41"/>
      <c r="Z147" s="41"/>
      <c r="AA147" s="41"/>
      <c r="AB147" s="41"/>
      <c r="AC147" s="41"/>
      <c r="AD147" s="41"/>
      <c r="AE147" s="59">
        <v>16296.268154158215</v>
      </c>
      <c r="AF147" s="59">
        <v>16680</v>
      </c>
      <c r="AG147" s="59" t="s">
        <v>138</v>
      </c>
      <c r="AH147" s="59" t="s">
        <v>1198</v>
      </c>
    </row>
    <row r="148" spans="1:34" x14ac:dyDescent="0.35">
      <c r="A148" s="58">
        <v>2024</v>
      </c>
      <c r="B148" s="58">
        <v>3</v>
      </c>
      <c r="C148">
        <v>3</v>
      </c>
      <c r="D148" s="58" t="s">
        <v>1500</v>
      </c>
      <c r="E148" t="s">
        <v>1176</v>
      </c>
      <c r="F148" s="58" t="s">
        <v>172</v>
      </c>
      <c r="G148" t="s">
        <v>734</v>
      </c>
      <c r="H148" s="58" t="s">
        <v>4</v>
      </c>
      <c r="I148" t="s">
        <v>4</v>
      </c>
      <c r="J148" s="58" t="s">
        <v>4</v>
      </c>
      <c r="K148" t="s">
        <v>1476</v>
      </c>
      <c r="L148" t="s">
        <v>1501</v>
      </c>
      <c r="M148" t="s">
        <v>1430</v>
      </c>
      <c r="N148" s="59">
        <v>660000</v>
      </c>
      <c r="O148" s="59">
        <v>22358077500</v>
      </c>
      <c r="P148" s="59">
        <v>53100000</v>
      </c>
      <c r="Q148" s="59">
        <v>0</v>
      </c>
      <c r="R148" s="59">
        <v>1728644858.999999</v>
      </c>
      <c r="S148" s="59">
        <v>20576332641.000011</v>
      </c>
      <c r="T148" s="41"/>
      <c r="U148" s="41"/>
      <c r="V148" s="41"/>
      <c r="W148" s="41"/>
      <c r="X148" s="41"/>
      <c r="Y148" s="41"/>
      <c r="Z148" s="41"/>
      <c r="AA148" s="41"/>
      <c r="AB148" s="41"/>
      <c r="AC148" s="41"/>
      <c r="AD148" s="41"/>
      <c r="AE148" s="59">
        <v>835180.10578424018</v>
      </c>
      <c r="AF148" s="59">
        <v>907500</v>
      </c>
      <c r="AG148" s="59" t="s">
        <v>1176</v>
      </c>
      <c r="AH148" s="59" t="s">
        <v>1175</v>
      </c>
    </row>
    <row r="149" spans="1:34" x14ac:dyDescent="0.35">
      <c r="A149" s="58">
        <v>2024</v>
      </c>
      <c r="B149" s="58">
        <v>3</v>
      </c>
      <c r="C149">
        <v>3</v>
      </c>
      <c r="D149" s="58" t="s">
        <v>1519</v>
      </c>
      <c r="E149" t="s">
        <v>1168</v>
      </c>
      <c r="F149" s="58" t="s">
        <v>171</v>
      </c>
      <c r="G149" t="s">
        <v>731</v>
      </c>
      <c r="H149" s="58" t="s">
        <v>4</v>
      </c>
      <c r="I149" t="s">
        <v>4</v>
      </c>
      <c r="J149" s="58" t="s">
        <v>4</v>
      </c>
      <c r="K149" t="s">
        <v>1476</v>
      </c>
      <c r="L149" t="s">
        <v>1520</v>
      </c>
      <c r="M149" t="s">
        <v>1430</v>
      </c>
      <c r="N149" s="59">
        <v>44000</v>
      </c>
      <c r="O149" s="59">
        <v>1377442000</v>
      </c>
      <c r="P149" s="59">
        <v>3540000</v>
      </c>
      <c r="Q149" s="59">
        <v>0</v>
      </c>
      <c r="R149" s="59">
        <v>48080699</v>
      </c>
      <c r="S149" s="59">
        <v>1325821301</v>
      </c>
      <c r="T149" s="41"/>
      <c r="U149" s="41"/>
      <c r="V149" s="41"/>
      <c r="W149" s="41"/>
      <c r="X149" s="41"/>
      <c r="Y149" s="41"/>
      <c r="Z149" s="41"/>
      <c r="AA149" s="41"/>
      <c r="AB149" s="41"/>
      <c r="AC149" s="41"/>
      <c r="AD149" s="41"/>
      <c r="AE149" s="59">
        <v>53785.853995943202</v>
      </c>
      <c r="AF149" s="59">
        <v>55880</v>
      </c>
      <c r="AG149" s="59" t="s">
        <v>1168</v>
      </c>
      <c r="AH149" s="59" t="s">
        <v>1166</v>
      </c>
    </row>
    <row r="150" spans="1:34" x14ac:dyDescent="0.35">
      <c r="A150" s="58">
        <v>2024</v>
      </c>
      <c r="B150" s="58">
        <v>3</v>
      </c>
      <c r="C150">
        <v>3</v>
      </c>
      <c r="D150" s="58" t="s">
        <v>618</v>
      </c>
      <c r="E150" t="s">
        <v>143</v>
      </c>
      <c r="F150" s="58" t="s">
        <v>174</v>
      </c>
      <c r="G150" t="s">
        <v>740</v>
      </c>
      <c r="H150" s="58" t="s">
        <v>4</v>
      </c>
      <c r="I150" t="s">
        <v>4</v>
      </c>
      <c r="J150" s="58" t="s">
        <v>4</v>
      </c>
      <c r="K150" t="s">
        <v>1476</v>
      </c>
      <c r="L150" t="s">
        <v>1477</v>
      </c>
      <c r="M150" t="s">
        <v>1430</v>
      </c>
      <c r="N150" s="59">
        <v>176000</v>
      </c>
      <c r="O150" s="59">
        <v>4833382400</v>
      </c>
      <c r="P150" s="59">
        <v>14160000</v>
      </c>
      <c r="Q150" s="59">
        <v>96667648</v>
      </c>
      <c r="R150" s="59">
        <v>66329864</v>
      </c>
      <c r="S150" s="59">
        <v>4656224888</v>
      </c>
      <c r="T150" s="41"/>
      <c r="U150" s="41"/>
      <c r="V150" s="41"/>
      <c r="W150" s="41"/>
      <c r="X150" s="41"/>
      <c r="Y150" s="41"/>
      <c r="Z150" s="41"/>
      <c r="AA150" s="41"/>
      <c r="AB150" s="41"/>
      <c r="AC150" s="41"/>
      <c r="AD150" s="41"/>
      <c r="AE150" s="59">
        <v>189894.9785731025</v>
      </c>
      <c r="AF150" s="59">
        <v>197120</v>
      </c>
      <c r="AG150" s="59" t="s">
        <v>143</v>
      </c>
      <c r="AH150" s="59" t="s">
        <v>1185</v>
      </c>
    </row>
    <row r="151" spans="1:34" x14ac:dyDescent="0.35">
      <c r="A151" s="58">
        <v>2024</v>
      </c>
      <c r="B151" s="58">
        <v>3</v>
      </c>
      <c r="C151">
        <v>3</v>
      </c>
      <c r="D151" s="58" t="s">
        <v>1511</v>
      </c>
      <c r="E151" t="s">
        <v>1167</v>
      </c>
      <c r="F151" s="58" t="s">
        <v>171</v>
      </c>
      <c r="G151" t="s">
        <v>731</v>
      </c>
      <c r="H151" s="58" t="s">
        <v>4</v>
      </c>
      <c r="I151" t="s">
        <v>4</v>
      </c>
      <c r="J151" s="58" t="s">
        <v>4</v>
      </c>
      <c r="K151" t="s">
        <v>1476</v>
      </c>
      <c r="L151" t="s">
        <v>301</v>
      </c>
      <c r="M151" t="s">
        <v>1430</v>
      </c>
      <c r="N151" s="59">
        <v>220000</v>
      </c>
      <c r="O151" s="59">
        <v>6507600000</v>
      </c>
      <c r="P151" s="59">
        <v>17700000</v>
      </c>
      <c r="Q151" s="59">
        <v>97614000</v>
      </c>
      <c r="R151" s="59">
        <v>79576974</v>
      </c>
      <c r="S151" s="59">
        <v>6312709026.000001</v>
      </c>
      <c r="T151" s="41"/>
      <c r="U151" s="41"/>
      <c r="V151" s="41"/>
      <c r="W151" s="41"/>
      <c r="X151" s="41"/>
      <c r="Y151" s="41"/>
      <c r="Z151" s="41"/>
      <c r="AA151" s="41"/>
      <c r="AB151" s="41"/>
      <c r="AC151" s="41"/>
      <c r="AD151" s="41"/>
      <c r="AE151" s="59">
        <v>256093.67245436111</v>
      </c>
      <c r="AF151" s="59">
        <v>264000</v>
      </c>
      <c r="AG151" s="59" t="s">
        <v>1167</v>
      </c>
      <c r="AH151" s="59" t="s">
        <v>1166</v>
      </c>
    </row>
    <row r="152" spans="1:34" x14ac:dyDescent="0.35">
      <c r="A152" s="58">
        <v>2024</v>
      </c>
      <c r="B152" s="58">
        <v>3</v>
      </c>
      <c r="C152">
        <v>3</v>
      </c>
      <c r="D152" s="58" t="s">
        <v>1521</v>
      </c>
      <c r="E152" t="s">
        <v>1239</v>
      </c>
      <c r="F152" s="58" t="s">
        <v>796</v>
      </c>
      <c r="G152" t="s">
        <v>797</v>
      </c>
      <c r="H152" s="58" t="s">
        <v>74</v>
      </c>
      <c r="I152" t="s">
        <v>74</v>
      </c>
      <c r="J152" s="58" t="s">
        <v>74</v>
      </c>
      <c r="K152" t="s">
        <v>1476</v>
      </c>
      <c r="L152" t="s">
        <v>1477</v>
      </c>
      <c r="M152" t="s">
        <v>1430</v>
      </c>
      <c r="N152" s="59">
        <v>75</v>
      </c>
      <c r="O152" s="59">
        <v>7745850</v>
      </c>
      <c r="P152" s="59">
        <v>0</v>
      </c>
      <c r="Q152" s="59">
        <v>0</v>
      </c>
      <c r="R152" s="59">
        <v>6082756</v>
      </c>
      <c r="S152" s="59">
        <v>1663094</v>
      </c>
      <c r="T152" s="41"/>
      <c r="U152" s="41"/>
      <c r="V152" s="41"/>
      <c r="W152" s="41"/>
      <c r="X152" s="41"/>
      <c r="Y152" s="41"/>
      <c r="Z152" s="41"/>
      <c r="AA152" s="41"/>
      <c r="AB152" s="41"/>
      <c r="AC152" s="41"/>
      <c r="AD152" s="41"/>
      <c r="AE152" s="59">
        <v>67.632940219601466</v>
      </c>
      <c r="AF152" s="59">
        <v>315</v>
      </c>
      <c r="AG152" s="59" t="s">
        <v>1239</v>
      </c>
      <c r="AH152" s="59" t="s">
        <v>1237</v>
      </c>
    </row>
    <row r="153" spans="1:34" x14ac:dyDescent="0.35">
      <c r="A153" s="58">
        <v>2024</v>
      </c>
      <c r="B153" s="58">
        <v>3</v>
      </c>
      <c r="C153">
        <v>3</v>
      </c>
      <c r="D153" s="58" t="s">
        <v>1481</v>
      </c>
      <c r="E153" t="s">
        <v>1296</v>
      </c>
      <c r="F153" s="58" t="s">
        <v>1482</v>
      </c>
      <c r="G153" t="s">
        <v>1483</v>
      </c>
      <c r="H153" s="58" t="s">
        <v>1012</v>
      </c>
      <c r="I153" t="s">
        <v>1012</v>
      </c>
      <c r="J153" s="58" t="s">
        <v>1012</v>
      </c>
      <c r="K153" t="s">
        <v>1429</v>
      </c>
      <c r="L153" t="s">
        <v>20</v>
      </c>
      <c r="M153" t="s">
        <v>1430</v>
      </c>
      <c r="N153" s="59">
        <v>0</v>
      </c>
      <c r="O153" s="59">
        <v>54000000</v>
      </c>
      <c r="P153" s="59">
        <v>0</v>
      </c>
      <c r="Q153" s="59">
        <v>0</v>
      </c>
      <c r="R153" s="59">
        <v>0</v>
      </c>
      <c r="S153" s="59">
        <v>54000000</v>
      </c>
      <c r="T153" s="41"/>
      <c r="U153" s="41"/>
      <c r="V153" s="41"/>
      <c r="W153" s="41"/>
      <c r="X153" s="41"/>
      <c r="Y153" s="41"/>
      <c r="Z153" s="41"/>
      <c r="AA153" s="41"/>
      <c r="AB153" s="41"/>
      <c r="AC153" s="41"/>
      <c r="AD153" s="41"/>
      <c r="AE153" s="59">
        <v>2196.6817260965599</v>
      </c>
      <c r="AF153" s="59">
        <v>2196.6817260965599</v>
      </c>
      <c r="AG153" s="59" t="s">
        <v>1296</v>
      </c>
      <c r="AH153" s="59" t="s">
        <v>1325</v>
      </c>
    </row>
    <row r="154" spans="1:34" x14ac:dyDescent="0.35">
      <c r="A154" s="58">
        <v>2024</v>
      </c>
      <c r="B154" s="58">
        <v>3</v>
      </c>
      <c r="C154">
        <v>3</v>
      </c>
      <c r="D154" s="58" t="s">
        <v>1484</v>
      </c>
      <c r="E154" t="s">
        <v>1298</v>
      </c>
      <c r="F154" s="58" t="s">
        <v>1482</v>
      </c>
      <c r="G154" t="s">
        <v>1483</v>
      </c>
      <c r="H154" s="58" t="s">
        <v>1012</v>
      </c>
      <c r="I154" t="s">
        <v>1012</v>
      </c>
      <c r="J154" s="58" t="s">
        <v>1012</v>
      </c>
      <c r="K154" t="s">
        <v>1429</v>
      </c>
      <c r="L154" t="s">
        <v>20</v>
      </c>
      <c r="M154" t="s">
        <v>1430</v>
      </c>
      <c r="N154" s="59">
        <v>0</v>
      </c>
      <c r="O154" s="59">
        <v>9000000</v>
      </c>
      <c r="P154" s="59">
        <v>0</v>
      </c>
      <c r="Q154" s="59">
        <v>0</v>
      </c>
      <c r="R154" s="59">
        <v>0</v>
      </c>
      <c r="S154" s="59">
        <v>9000000</v>
      </c>
      <c r="T154" s="41"/>
      <c r="U154" s="41"/>
      <c r="V154" s="41"/>
      <c r="W154" s="41"/>
      <c r="X154" s="41"/>
      <c r="Y154" s="41"/>
      <c r="Z154" s="41"/>
      <c r="AA154" s="41"/>
      <c r="AB154" s="41"/>
      <c r="AC154" s="41"/>
      <c r="AD154" s="41"/>
      <c r="AE154" s="59">
        <v>366.11362101609336</v>
      </c>
      <c r="AF154" s="59">
        <v>366.11362101609336</v>
      </c>
      <c r="AG154" s="59" t="s">
        <v>1298</v>
      </c>
      <c r="AH154" s="59" t="s">
        <v>1325</v>
      </c>
    </row>
    <row r="155" spans="1:34" x14ac:dyDescent="0.35">
      <c r="A155" s="58">
        <v>2024</v>
      </c>
      <c r="B155" s="58">
        <v>3</v>
      </c>
      <c r="C155">
        <v>3</v>
      </c>
      <c r="D155" s="58" t="s">
        <v>1491</v>
      </c>
      <c r="E155" t="s">
        <v>1264</v>
      </c>
      <c r="F155" s="58" t="s">
        <v>1492</v>
      </c>
      <c r="G155" t="s">
        <v>1493</v>
      </c>
      <c r="H155" s="58" t="s">
        <v>1012</v>
      </c>
      <c r="I155" t="s">
        <v>1012</v>
      </c>
      <c r="J155" s="58" t="s">
        <v>1012</v>
      </c>
      <c r="K155" t="s">
        <v>1429</v>
      </c>
      <c r="L155" t="s">
        <v>20</v>
      </c>
      <c r="M155" t="s">
        <v>1430</v>
      </c>
      <c r="N155" s="59">
        <v>0</v>
      </c>
      <c r="O155" s="59">
        <v>0</v>
      </c>
      <c r="P155" s="59">
        <v>0</v>
      </c>
      <c r="Q155" s="59">
        <v>0</v>
      </c>
      <c r="R155" s="59">
        <v>402009357.67000198</v>
      </c>
      <c r="S155" s="59">
        <v>-402009357.67000198</v>
      </c>
      <c r="T155" s="41"/>
      <c r="U155" s="41"/>
      <c r="V155" s="41"/>
      <c r="W155" s="41"/>
      <c r="X155" s="41"/>
      <c r="Y155" s="41"/>
      <c r="Z155" s="41"/>
      <c r="AA155" s="41"/>
      <c r="AB155" s="41"/>
      <c r="AC155" s="41"/>
      <c r="AD155" s="41"/>
      <c r="AE155" s="59">
        <v>-16353.455735435358</v>
      </c>
      <c r="AF155" s="59">
        <v>0</v>
      </c>
      <c r="AG155" s="59" t="s">
        <v>1264</v>
      </c>
      <c r="AH155" s="59" t="s">
        <v>1269</v>
      </c>
    </row>
    <row r="156" spans="1:34" x14ac:dyDescent="0.35">
      <c r="A156" s="58">
        <v>2024</v>
      </c>
      <c r="B156" s="58">
        <v>3</v>
      </c>
      <c r="C156">
        <v>3</v>
      </c>
      <c r="D156" s="58" t="s">
        <v>1491</v>
      </c>
      <c r="E156" t="s">
        <v>1264</v>
      </c>
      <c r="F156" s="58" t="s">
        <v>1512</v>
      </c>
      <c r="G156" t="s">
        <v>1513</v>
      </c>
      <c r="H156" s="58" t="s">
        <v>1012</v>
      </c>
      <c r="I156" t="s">
        <v>1012</v>
      </c>
      <c r="J156" s="58" t="s">
        <v>1391</v>
      </c>
      <c r="K156" t="s">
        <v>1429</v>
      </c>
      <c r="L156" t="s">
        <v>20</v>
      </c>
      <c r="M156" t="s">
        <v>1430</v>
      </c>
      <c r="N156" s="59">
        <v>0</v>
      </c>
      <c r="O156" s="59">
        <v>0</v>
      </c>
      <c r="P156" s="59">
        <v>0</v>
      </c>
      <c r="Q156" s="59">
        <v>-72000000</v>
      </c>
      <c r="R156" s="59">
        <v>0</v>
      </c>
      <c r="S156" s="59">
        <v>72000000</v>
      </c>
      <c r="T156" s="41"/>
      <c r="U156" s="41"/>
      <c r="V156" s="41"/>
      <c r="W156" s="41"/>
      <c r="X156" s="41"/>
      <c r="Y156" s="41"/>
      <c r="Z156" s="41"/>
      <c r="AA156" s="41"/>
      <c r="AB156" s="41"/>
      <c r="AC156" s="41"/>
      <c r="AD156" s="41"/>
      <c r="AE156" s="59">
        <v>2928.9089681287469</v>
      </c>
      <c r="AF156" s="59">
        <v>0</v>
      </c>
      <c r="AG156" s="59" t="s">
        <v>1264</v>
      </c>
      <c r="AH156" s="59" t="s">
        <v>1392</v>
      </c>
    </row>
    <row r="157" spans="1:34" x14ac:dyDescent="0.35">
      <c r="A157" s="58">
        <v>2024</v>
      </c>
      <c r="B157" s="58">
        <v>3</v>
      </c>
      <c r="C157">
        <v>3</v>
      </c>
      <c r="D157" s="58" t="s">
        <v>1491</v>
      </c>
      <c r="E157" t="s">
        <v>1264</v>
      </c>
      <c r="F157" s="58" t="s">
        <v>1522</v>
      </c>
      <c r="G157" t="s">
        <v>1523</v>
      </c>
      <c r="H157" s="58" t="s">
        <v>1012</v>
      </c>
      <c r="I157" t="s">
        <v>1012</v>
      </c>
      <c r="J157" s="58" t="s">
        <v>1389</v>
      </c>
      <c r="K157" t="s">
        <v>1429</v>
      </c>
      <c r="L157" t="s">
        <v>20</v>
      </c>
      <c r="M157" t="s">
        <v>1430</v>
      </c>
      <c r="N157" s="59">
        <v>0</v>
      </c>
      <c r="O157" s="59">
        <v>0</v>
      </c>
      <c r="P157" s="59">
        <v>0</v>
      </c>
      <c r="Q157" s="59">
        <v>0</v>
      </c>
      <c r="R157" s="59">
        <v>1835825</v>
      </c>
      <c r="S157" s="59">
        <v>-1835825</v>
      </c>
      <c r="T157" s="41"/>
      <c r="U157" s="41"/>
      <c r="V157" s="41"/>
      <c r="W157" s="41"/>
      <c r="X157" s="41"/>
      <c r="Y157" s="41"/>
      <c r="Z157" s="41"/>
      <c r="AA157" s="41"/>
      <c r="AB157" s="41"/>
      <c r="AC157" s="41"/>
      <c r="AD157" s="41"/>
      <c r="AE157" s="59">
        <v>-74.680059811318841</v>
      </c>
      <c r="AF157" s="59">
        <v>0</v>
      </c>
      <c r="AG157" s="59" t="s">
        <v>1264</v>
      </c>
      <c r="AH157" s="59" t="s">
        <v>1390</v>
      </c>
    </row>
    <row r="158" spans="1:34" x14ac:dyDescent="0.35">
      <c r="A158" s="58">
        <v>2024</v>
      </c>
      <c r="B158" s="58">
        <v>3</v>
      </c>
      <c r="C158">
        <v>3</v>
      </c>
      <c r="D158" s="58" t="s">
        <v>1491</v>
      </c>
      <c r="E158" t="s">
        <v>1264</v>
      </c>
      <c r="F158" s="58" t="s">
        <v>1152</v>
      </c>
      <c r="G158" t="s">
        <v>1153</v>
      </c>
      <c r="H158" s="58" t="s">
        <v>1012</v>
      </c>
      <c r="I158" t="s">
        <v>1012</v>
      </c>
      <c r="J158" s="58" t="s">
        <v>1399</v>
      </c>
      <c r="K158" t="s">
        <v>1429</v>
      </c>
      <c r="L158" t="s">
        <v>20</v>
      </c>
      <c r="M158" t="s">
        <v>1430</v>
      </c>
      <c r="N158" s="59">
        <v>0</v>
      </c>
      <c r="O158" s="59">
        <v>0</v>
      </c>
      <c r="P158" s="59">
        <v>0</v>
      </c>
      <c r="Q158" s="59">
        <v>27781952</v>
      </c>
      <c r="R158" s="59">
        <v>103320667</v>
      </c>
      <c r="S158" s="59">
        <v>-131102619</v>
      </c>
      <c r="T158" s="41"/>
      <c r="U158" s="41"/>
      <c r="V158" s="41"/>
      <c r="W158" s="41"/>
      <c r="X158" s="41"/>
      <c r="Y158" s="41"/>
      <c r="Z158" s="41"/>
      <c r="AA158" s="41"/>
      <c r="AB158" s="41"/>
      <c r="AC158" s="41"/>
      <c r="AD158" s="41"/>
      <c r="AE158" s="59">
        <v>-5333.1616185314879</v>
      </c>
      <c r="AF158" s="59">
        <v>0</v>
      </c>
      <c r="AG158" s="59" t="s">
        <v>1264</v>
      </c>
      <c r="AH158" s="59" t="s">
        <v>1400</v>
      </c>
    </row>
    <row r="159" spans="1:34" x14ac:dyDescent="0.35">
      <c r="A159" s="58">
        <v>2024</v>
      </c>
      <c r="B159" s="58">
        <v>3</v>
      </c>
      <c r="C159">
        <v>3</v>
      </c>
      <c r="D159" s="58" t="s">
        <v>1491</v>
      </c>
      <c r="E159" t="s">
        <v>1264</v>
      </c>
      <c r="F159" s="58" t="s">
        <v>1514</v>
      </c>
      <c r="G159" t="s">
        <v>1515</v>
      </c>
      <c r="H159" s="58" t="s">
        <v>1012</v>
      </c>
      <c r="I159" t="s">
        <v>1012</v>
      </c>
      <c r="J159" s="58" t="s">
        <v>1401</v>
      </c>
      <c r="K159" t="s">
        <v>1429</v>
      </c>
      <c r="L159" t="s">
        <v>20</v>
      </c>
      <c r="M159" t="s">
        <v>1430</v>
      </c>
      <c r="N159" s="59">
        <v>0</v>
      </c>
      <c r="O159" s="59">
        <v>0</v>
      </c>
      <c r="P159" s="59">
        <v>0</v>
      </c>
      <c r="Q159" s="59">
        <v>0</v>
      </c>
      <c r="R159" s="59">
        <v>0</v>
      </c>
      <c r="S159" s="59">
        <v>0</v>
      </c>
      <c r="T159" s="41"/>
      <c r="U159" s="41"/>
      <c r="V159" s="41"/>
      <c r="W159" s="41"/>
      <c r="X159" s="41"/>
      <c r="Y159" s="41"/>
      <c r="Z159" s="41"/>
      <c r="AA159" s="41"/>
      <c r="AB159" s="41"/>
      <c r="AC159" s="41"/>
      <c r="AD159" s="41"/>
      <c r="AE159" s="59">
        <v>0</v>
      </c>
      <c r="AF159" s="59">
        <v>0</v>
      </c>
      <c r="AG159" s="59" t="s">
        <v>1264</v>
      </c>
      <c r="AH159" s="59" t="s">
        <v>1402</v>
      </c>
    </row>
    <row r="160" spans="1:34" x14ac:dyDescent="0.35">
      <c r="A160" s="58">
        <v>2024</v>
      </c>
      <c r="B160" s="58">
        <v>3</v>
      </c>
      <c r="C160">
        <v>3</v>
      </c>
      <c r="D160" s="58" t="s">
        <v>1491</v>
      </c>
      <c r="E160" t="s">
        <v>1264</v>
      </c>
      <c r="F160" s="58" t="s">
        <v>1494</v>
      </c>
      <c r="G160" t="s">
        <v>1495</v>
      </c>
      <c r="H160" s="58" t="s">
        <v>1012</v>
      </c>
      <c r="I160" t="s">
        <v>1012</v>
      </c>
      <c r="J160" s="58" t="s">
        <v>1397</v>
      </c>
      <c r="K160" t="s">
        <v>1429</v>
      </c>
      <c r="L160" t="s">
        <v>20</v>
      </c>
      <c r="M160" t="s">
        <v>1430</v>
      </c>
      <c r="N160" s="59">
        <v>0</v>
      </c>
      <c r="O160" s="59">
        <v>0</v>
      </c>
      <c r="P160" s="59">
        <v>0</v>
      </c>
      <c r="Q160" s="59">
        <v>0</v>
      </c>
      <c r="R160" s="59">
        <v>-418976</v>
      </c>
      <c r="S160" s="59">
        <v>418976</v>
      </c>
      <c r="T160" s="41"/>
      <c r="U160" s="41"/>
      <c r="V160" s="41"/>
      <c r="W160" s="41"/>
      <c r="X160" s="41"/>
      <c r="Y160" s="41"/>
      <c r="Z160" s="41"/>
      <c r="AA160" s="41"/>
      <c r="AB160" s="41"/>
      <c r="AC160" s="41"/>
      <c r="AD160" s="41"/>
      <c r="AE160" s="59">
        <v>17.043646719870971</v>
      </c>
      <c r="AF160" s="59">
        <v>0</v>
      </c>
      <c r="AG160" s="59" t="s">
        <v>1264</v>
      </c>
      <c r="AH160" s="59" t="s">
        <v>1398</v>
      </c>
    </row>
    <row r="161" spans="1:34" x14ac:dyDescent="0.35">
      <c r="A161" s="58">
        <v>2024</v>
      </c>
      <c r="B161" s="58">
        <v>3</v>
      </c>
      <c r="C161">
        <v>3</v>
      </c>
      <c r="D161" s="58" t="s">
        <v>1491</v>
      </c>
      <c r="E161" t="s">
        <v>1264</v>
      </c>
      <c r="F161" s="58" t="s">
        <v>1489</v>
      </c>
      <c r="G161" t="s">
        <v>1490</v>
      </c>
      <c r="H161" s="58" t="s">
        <v>1012</v>
      </c>
      <c r="I161" t="s">
        <v>1012</v>
      </c>
      <c r="J161" s="58" t="s">
        <v>1012</v>
      </c>
      <c r="K161" t="s">
        <v>1429</v>
      </c>
      <c r="L161" t="s">
        <v>20</v>
      </c>
      <c r="M161" t="s">
        <v>1430</v>
      </c>
      <c r="N161" s="59">
        <v>0</v>
      </c>
      <c r="O161" s="59">
        <v>0</v>
      </c>
      <c r="P161" s="59">
        <v>0</v>
      </c>
      <c r="Q161" s="59">
        <v>0</v>
      </c>
      <c r="R161" s="59">
        <v>0</v>
      </c>
      <c r="S161" s="59">
        <v>0</v>
      </c>
      <c r="T161" s="41"/>
      <c r="U161" s="41"/>
      <c r="V161" s="41"/>
      <c r="W161" s="41"/>
      <c r="X161" s="41"/>
      <c r="Y161" s="41"/>
      <c r="Z161" s="41"/>
      <c r="AA161" s="41"/>
      <c r="AB161" s="41"/>
      <c r="AC161" s="41"/>
      <c r="AD161" s="41"/>
      <c r="AE161" s="59">
        <v>0</v>
      </c>
      <c r="AF161" s="59">
        <v>0</v>
      </c>
      <c r="AG161" s="59" t="s">
        <v>1264</v>
      </c>
      <c r="AH161" s="59" t="s">
        <v>1274</v>
      </c>
    </row>
    <row r="162" spans="1:34" x14ac:dyDescent="0.35">
      <c r="A162" s="58">
        <v>2024</v>
      </c>
      <c r="B162" s="58">
        <v>3</v>
      </c>
      <c r="C162">
        <v>3</v>
      </c>
      <c r="D162" s="58" t="s">
        <v>1491</v>
      </c>
      <c r="E162" t="s">
        <v>1264</v>
      </c>
      <c r="F162" s="58" t="s">
        <v>1524</v>
      </c>
      <c r="G162" t="s">
        <v>1525</v>
      </c>
      <c r="H162" s="58" t="s">
        <v>1012</v>
      </c>
      <c r="I162" t="s">
        <v>1012</v>
      </c>
      <c r="J162" s="58" t="s">
        <v>1012</v>
      </c>
      <c r="K162" t="s">
        <v>1429</v>
      </c>
      <c r="L162" t="s">
        <v>20</v>
      </c>
      <c r="M162" t="s">
        <v>1430</v>
      </c>
      <c r="N162" s="59">
        <v>0</v>
      </c>
      <c r="O162" s="59">
        <v>0</v>
      </c>
      <c r="P162" s="59">
        <v>0</v>
      </c>
      <c r="Q162" s="59">
        <v>0</v>
      </c>
      <c r="R162" s="59">
        <v>0</v>
      </c>
      <c r="S162" s="59">
        <v>0</v>
      </c>
      <c r="T162" s="41"/>
      <c r="U162" s="41"/>
      <c r="V162" s="41"/>
      <c r="W162" s="41"/>
      <c r="X162" s="41"/>
      <c r="Y162" s="41"/>
      <c r="Z162" s="41"/>
      <c r="AA162" s="41"/>
      <c r="AB162" s="41"/>
      <c r="AC162" s="41"/>
      <c r="AD162" s="41"/>
      <c r="AE162" s="59">
        <v>0</v>
      </c>
      <c r="AF162" s="59">
        <v>0</v>
      </c>
      <c r="AG162" s="59" t="s">
        <v>1264</v>
      </c>
      <c r="AH162" s="59" t="s">
        <v>1277</v>
      </c>
    </row>
    <row r="163" spans="1:34" x14ac:dyDescent="0.35">
      <c r="A163" s="58">
        <v>2024</v>
      </c>
      <c r="B163" s="58">
        <v>3</v>
      </c>
      <c r="C163">
        <v>3</v>
      </c>
      <c r="D163" s="58" t="s">
        <v>1491</v>
      </c>
      <c r="E163" t="s">
        <v>1264</v>
      </c>
      <c r="F163" s="58" t="s">
        <v>1486</v>
      </c>
      <c r="G163" t="s">
        <v>1487</v>
      </c>
      <c r="H163" s="58" t="s">
        <v>1012</v>
      </c>
      <c r="I163" t="s">
        <v>1012</v>
      </c>
      <c r="J163" s="58" t="s">
        <v>1012</v>
      </c>
      <c r="K163" t="s">
        <v>1429</v>
      </c>
      <c r="L163" t="s">
        <v>20</v>
      </c>
      <c r="M163" t="s">
        <v>1430</v>
      </c>
      <c r="N163" s="59">
        <v>0</v>
      </c>
      <c r="O163" s="59">
        <v>0</v>
      </c>
      <c r="P163" s="59">
        <v>0</v>
      </c>
      <c r="Q163" s="59">
        <v>0</v>
      </c>
      <c r="R163" s="59">
        <v>0</v>
      </c>
      <c r="S163" s="59">
        <v>0</v>
      </c>
      <c r="T163" s="41"/>
      <c r="U163" s="41"/>
      <c r="V163" s="41"/>
      <c r="W163" s="41"/>
      <c r="X163" s="41"/>
      <c r="Y163" s="41"/>
      <c r="Z163" s="41"/>
      <c r="AA163" s="41"/>
      <c r="AB163" s="41"/>
      <c r="AC163" s="41"/>
      <c r="AD163" s="41"/>
      <c r="AE163" s="59">
        <v>0</v>
      </c>
      <c r="AF163" s="59">
        <v>0</v>
      </c>
      <c r="AG163" s="59" t="s">
        <v>1264</v>
      </c>
      <c r="AH163" s="59" t="s">
        <v>1317</v>
      </c>
    </row>
    <row r="164" spans="1:34" x14ac:dyDescent="0.35">
      <c r="A164" s="58">
        <v>2024</v>
      </c>
      <c r="B164" s="58">
        <v>3</v>
      </c>
      <c r="C164">
        <v>3</v>
      </c>
      <c r="D164" s="58" t="s">
        <v>1491</v>
      </c>
      <c r="E164" t="s">
        <v>1264</v>
      </c>
      <c r="F164" s="58" t="s">
        <v>1434</v>
      </c>
      <c r="G164" t="s">
        <v>1435</v>
      </c>
      <c r="H164" s="58" t="s">
        <v>1012</v>
      </c>
      <c r="I164" t="s">
        <v>1012</v>
      </c>
      <c r="J164" s="58" t="s">
        <v>1012</v>
      </c>
      <c r="K164" t="s">
        <v>1429</v>
      </c>
      <c r="L164" t="s">
        <v>20</v>
      </c>
      <c r="M164" t="s">
        <v>1430</v>
      </c>
      <c r="N164" s="59">
        <v>0</v>
      </c>
      <c r="O164" s="59">
        <v>0</v>
      </c>
      <c r="P164" s="59">
        <v>0</v>
      </c>
      <c r="Q164" s="59">
        <v>0</v>
      </c>
      <c r="R164" s="59">
        <v>0</v>
      </c>
      <c r="S164" s="59">
        <v>0</v>
      </c>
      <c r="T164" s="41"/>
      <c r="U164" s="41"/>
      <c r="V164" s="41"/>
      <c r="W164" s="41"/>
      <c r="X164" s="41"/>
      <c r="Y164" s="41"/>
      <c r="Z164" s="41"/>
      <c r="AA164" s="41"/>
      <c r="AB164" s="41"/>
      <c r="AC164" s="41"/>
      <c r="AD164" s="41"/>
      <c r="AE164" s="59">
        <v>0</v>
      </c>
      <c r="AF164" s="59">
        <v>0</v>
      </c>
      <c r="AG164" s="59" t="s">
        <v>1264</v>
      </c>
      <c r="AH164" s="59" t="s">
        <v>1319</v>
      </c>
    </row>
    <row r="165" spans="1:34" x14ac:dyDescent="0.35">
      <c r="A165" s="58">
        <v>2024</v>
      </c>
      <c r="B165" s="58">
        <v>3</v>
      </c>
      <c r="C165">
        <v>3</v>
      </c>
      <c r="D165" s="58" t="s">
        <v>1491</v>
      </c>
      <c r="E165" t="s">
        <v>1264</v>
      </c>
      <c r="F165" s="58" t="s">
        <v>1496</v>
      </c>
      <c r="G165" t="s">
        <v>1497</v>
      </c>
      <c r="H165" s="58" t="s">
        <v>1012</v>
      </c>
      <c r="I165" t="s">
        <v>1012</v>
      </c>
      <c r="J165" s="58" t="s">
        <v>1012</v>
      </c>
      <c r="K165" t="s">
        <v>1429</v>
      </c>
      <c r="L165" t="s">
        <v>20</v>
      </c>
      <c r="M165" t="s">
        <v>1430</v>
      </c>
      <c r="N165" s="59">
        <v>0</v>
      </c>
      <c r="O165" s="59">
        <v>0</v>
      </c>
      <c r="P165" s="59">
        <v>0</v>
      </c>
      <c r="Q165" s="59">
        <v>0</v>
      </c>
      <c r="R165" s="59">
        <v>0</v>
      </c>
      <c r="S165" s="59">
        <v>0</v>
      </c>
      <c r="T165" s="41"/>
      <c r="U165" s="41"/>
      <c r="V165" s="41"/>
      <c r="W165" s="41"/>
      <c r="X165" s="41"/>
      <c r="Y165" s="41"/>
      <c r="Z165" s="41"/>
      <c r="AA165" s="41"/>
      <c r="AB165" s="41"/>
      <c r="AC165" s="41"/>
      <c r="AD165" s="41"/>
      <c r="AE165" s="59">
        <v>0</v>
      </c>
      <c r="AF165" s="59">
        <v>0</v>
      </c>
      <c r="AG165" s="59" t="s">
        <v>1264</v>
      </c>
      <c r="AH165" s="59" t="s">
        <v>1329</v>
      </c>
    </row>
    <row r="166" spans="1:34" x14ac:dyDescent="0.35">
      <c r="A166" s="58">
        <v>2024</v>
      </c>
      <c r="B166" s="58">
        <v>4</v>
      </c>
      <c r="C166">
        <v>4</v>
      </c>
      <c r="D166" s="58" t="s">
        <v>625</v>
      </c>
      <c r="E166" t="s">
        <v>271</v>
      </c>
      <c r="F166" s="58" t="s">
        <v>167</v>
      </c>
      <c r="G166" t="s">
        <v>693</v>
      </c>
      <c r="H166" s="58" t="s">
        <v>4</v>
      </c>
      <c r="I166" t="s">
        <v>4</v>
      </c>
      <c r="J166" s="58" t="s">
        <v>4</v>
      </c>
      <c r="K166" t="s">
        <v>1429</v>
      </c>
      <c r="L166" t="s">
        <v>20</v>
      </c>
      <c r="M166" t="s">
        <v>1430</v>
      </c>
      <c r="N166" s="59">
        <v>88000</v>
      </c>
      <c r="O166" s="59">
        <v>2729100000</v>
      </c>
      <c r="P166" s="59">
        <v>17036670.627062708</v>
      </c>
      <c r="Q166" s="59">
        <v>0</v>
      </c>
      <c r="R166" s="59">
        <v>0</v>
      </c>
      <c r="S166" s="59">
        <v>2712063329.3729367</v>
      </c>
      <c r="T166" s="41"/>
      <c r="U166" s="41"/>
      <c r="V166" s="41"/>
      <c r="W166" s="41"/>
      <c r="X166" s="41"/>
      <c r="Y166" s="41"/>
      <c r="Z166" s="41"/>
      <c r="AA166" s="41"/>
      <c r="AB166" s="41"/>
      <c r="AC166" s="41"/>
      <c r="AD166" s="41"/>
      <c r="AE166" s="59">
        <v>108246.91792844431</v>
      </c>
      <c r="AF166" s="59">
        <v>108926.90466296056</v>
      </c>
      <c r="AG166" s="59" t="s">
        <v>47</v>
      </c>
      <c r="AH166" s="59" t="s">
        <v>1156</v>
      </c>
    </row>
    <row r="167" spans="1:34" x14ac:dyDescent="0.35">
      <c r="A167" s="58">
        <v>2024</v>
      </c>
      <c r="B167" s="58">
        <v>4</v>
      </c>
      <c r="C167">
        <v>4</v>
      </c>
      <c r="D167" s="58" t="s">
        <v>625</v>
      </c>
      <c r="E167" t="s">
        <v>271</v>
      </c>
      <c r="F167" s="58" t="s">
        <v>184</v>
      </c>
      <c r="G167" t="s">
        <v>717</v>
      </c>
      <c r="H167" s="58" t="s">
        <v>1428</v>
      </c>
      <c r="I167" t="s">
        <v>75</v>
      </c>
      <c r="J167" s="58" t="s">
        <v>75</v>
      </c>
      <c r="K167" t="s">
        <v>1429</v>
      </c>
      <c r="L167" t="s">
        <v>20</v>
      </c>
      <c r="M167" t="s">
        <v>1431</v>
      </c>
      <c r="N167" s="59">
        <v>-1250</v>
      </c>
      <c r="O167" s="59">
        <v>0</v>
      </c>
      <c r="P167" s="59">
        <v>0</v>
      </c>
      <c r="Q167" s="59">
        <v>0</v>
      </c>
      <c r="R167" s="59">
        <v>0</v>
      </c>
      <c r="S167" s="59">
        <v>0</v>
      </c>
      <c r="T167" s="41"/>
      <c r="U167" s="41"/>
      <c r="V167" s="41"/>
      <c r="W167" s="41"/>
      <c r="X167" s="41"/>
      <c r="Y167" s="41"/>
      <c r="Z167" s="41"/>
      <c r="AA167" s="41"/>
      <c r="AB167" s="41"/>
      <c r="AC167" s="41"/>
      <c r="AD167" s="41"/>
      <c r="AE167" s="59">
        <v>0</v>
      </c>
      <c r="AF167" s="59">
        <v>0</v>
      </c>
      <c r="AG167" s="59" t="s">
        <v>47</v>
      </c>
      <c r="AH167" s="59" t="s">
        <v>1198</v>
      </c>
    </row>
    <row r="168" spans="1:34" x14ac:dyDescent="0.35">
      <c r="A168" s="58">
        <v>2024</v>
      </c>
      <c r="B168" s="58">
        <v>4</v>
      </c>
      <c r="C168">
        <v>4</v>
      </c>
      <c r="D168" s="58" t="s">
        <v>625</v>
      </c>
      <c r="E168" t="s">
        <v>271</v>
      </c>
      <c r="F168" s="58" t="s">
        <v>184</v>
      </c>
      <c r="G168" t="s">
        <v>717</v>
      </c>
      <c r="H168" s="58" t="s">
        <v>1428</v>
      </c>
      <c r="I168" t="s">
        <v>75</v>
      </c>
      <c r="J168" s="58" t="s">
        <v>75</v>
      </c>
      <c r="K168" t="s">
        <v>1429</v>
      </c>
      <c r="L168" t="s">
        <v>20</v>
      </c>
      <c r="M168" t="s">
        <v>1430</v>
      </c>
      <c r="N168" s="59">
        <v>10000</v>
      </c>
      <c r="O168" s="59">
        <v>368380000</v>
      </c>
      <c r="P168" s="59">
        <v>0</v>
      </c>
      <c r="Q168" s="59">
        <v>0</v>
      </c>
      <c r="R168" s="59">
        <v>0</v>
      </c>
      <c r="S168" s="59">
        <v>368380000</v>
      </c>
      <c r="T168" s="41"/>
      <c r="U168" s="41"/>
      <c r="V168" s="41"/>
      <c r="W168" s="41"/>
      <c r="X168" s="41"/>
      <c r="Y168" s="41"/>
      <c r="Z168" s="41"/>
      <c r="AA168" s="41"/>
      <c r="AB168" s="41"/>
      <c r="AC168" s="41"/>
      <c r="AD168" s="41"/>
      <c r="AE168" s="59">
        <v>14703.196343022024</v>
      </c>
      <c r="AF168" s="59">
        <v>14703.196343022024</v>
      </c>
      <c r="AG168" s="59" t="s">
        <v>47</v>
      </c>
      <c r="AH168" s="59" t="s">
        <v>1198</v>
      </c>
    </row>
    <row r="169" spans="1:34" x14ac:dyDescent="0.35">
      <c r="A169" s="58">
        <v>2024</v>
      </c>
      <c r="B169" s="58">
        <v>4</v>
      </c>
      <c r="C169">
        <v>4</v>
      </c>
      <c r="D169" s="58" t="s">
        <v>625</v>
      </c>
      <c r="E169" t="s">
        <v>271</v>
      </c>
      <c r="F169" s="58" t="s">
        <v>184</v>
      </c>
      <c r="G169" t="s">
        <v>717</v>
      </c>
      <c r="H169" s="58" t="s">
        <v>1428</v>
      </c>
      <c r="I169" t="s">
        <v>75</v>
      </c>
      <c r="J169" s="58" t="s">
        <v>75</v>
      </c>
      <c r="K169" t="s">
        <v>1429</v>
      </c>
      <c r="L169" t="s">
        <v>20</v>
      </c>
      <c r="M169" t="s">
        <v>1432</v>
      </c>
      <c r="N169" s="59">
        <v>1250</v>
      </c>
      <c r="O169" s="59">
        <v>0</v>
      </c>
      <c r="P169" s="59">
        <v>0</v>
      </c>
      <c r="Q169" s="59">
        <v>0</v>
      </c>
      <c r="R169" s="59">
        <v>0</v>
      </c>
      <c r="S169" s="59">
        <v>0</v>
      </c>
      <c r="T169" s="41"/>
      <c r="U169" s="41"/>
      <c r="V169" s="41"/>
      <c r="W169" s="41"/>
      <c r="X169" s="41"/>
      <c r="Y169" s="41"/>
      <c r="Z169" s="41"/>
      <c r="AA169" s="41"/>
      <c r="AB169" s="41"/>
      <c r="AC169" s="41"/>
      <c r="AD169" s="41"/>
      <c r="AE169" s="59">
        <v>0</v>
      </c>
      <c r="AF169" s="59">
        <v>0</v>
      </c>
      <c r="AG169" s="59" t="s">
        <v>47</v>
      </c>
      <c r="AH169" s="59" t="s">
        <v>1198</v>
      </c>
    </row>
    <row r="170" spans="1:34" x14ac:dyDescent="0.35">
      <c r="A170" s="58">
        <v>2024</v>
      </c>
      <c r="B170" s="58">
        <v>4</v>
      </c>
      <c r="C170">
        <v>4</v>
      </c>
      <c r="D170" s="58" t="s">
        <v>625</v>
      </c>
      <c r="E170" t="s">
        <v>271</v>
      </c>
      <c r="F170" s="58" t="s">
        <v>196</v>
      </c>
      <c r="G170" t="s">
        <v>749</v>
      </c>
      <c r="H170" s="58" t="s">
        <v>1428</v>
      </c>
      <c r="I170" t="s">
        <v>76</v>
      </c>
      <c r="J170" s="58" t="s">
        <v>76</v>
      </c>
      <c r="K170" t="s">
        <v>1429</v>
      </c>
      <c r="L170" t="s">
        <v>20</v>
      </c>
      <c r="M170" t="s">
        <v>1430</v>
      </c>
      <c r="N170" s="59">
        <v>150</v>
      </c>
      <c r="O170" s="59">
        <v>2500050</v>
      </c>
      <c r="P170" s="59">
        <v>0</v>
      </c>
      <c r="Q170" s="59">
        <v>0</v>
      </c>
      <c r="R170" s="59">
        <v>0</v>
      </c>
      <c r="S170" s="59">
        <v>2500050</v>
      </c>
      <c r="T170" s="41"/>
      <c r="U170" s="41"/>
      <c r="V170" s="41"/>
      <c r="W170" s="41"/>
      <c r="X170" s="41"/>
      <c r="Y170" s="41"/>
      <c r="Z170" s="41"/>
      <c r="AA170" s="41"/>
      <c r="AB170" s="41"/>
      <c r="AC170" s="41"/>
      <c r="AD170" s="41"/>
      <c r="AE170" s="59">
        <v>99.784803782431766</v>
      </c>
      <c r="AF170" s="59">
        <v>99.784803782431766</v>
      </c>
      <c r="AG170" s="59" t="s">
        <v>47</v>
      </c>
      <c r="AH170" s="59" t="s">
        <v>1248</v>
      </c>
    </row>
    <row r="171" spans="1:34" x14ac:dyDescent="0.35">
      <c r="A171" s="58">
        <v>2024</v>
      </c>
      <c r="B171" s="58">
        <v>4</v>
      </c>
      <c r="C171">
        <v>4</v>
      </c>
      <c r="D171" s="58" t="s">
        <v>625</v>
      </c>
      <c r="E171" t="s">
        <v>271</v>
      </c>
      <c r="F171" s="58" t="s">
        <v>197</v>
      </c>
      <c r="G171" t="s">
        <v>752</v>
      </c>
      <c r="H171" s="58" t="s">
        <v>1428</v>
      </c>
      <c r="I171" t="s">
        <v>76</v>
      </c>
      <c r="J171" s="58" t="s">
        <v>76</v>
      </c>
      <c r="K171" t="s">
        <v>1429</v>
      </c>
      <c r="L171" t="s">
        <v>20</v>
      </c>
      <c r="M171" t="s">
        <v>1430</v>
      </c>
      <c r="N171" s="59">
        <v>2750</v>
      </c>
      <c r="O171" s="59">
        <v>62658750</v>
      </c>
      <c r="P171" s="59">
        <v>0</v>
      </c>
      <c r="Q171" s="59">
        <v>0</v>
      </c>
      <c r="R171" s="59">
        <v>0</v>
      </c>
      <c r="S171" s="59">
        <v>62658750</v>
      </c>
      <c r="T171" s="41"/>
      <c r="U171" s="41"/>
      <c r="V171" s="41"/>
      <c r="W171" s="41"/>
      <c r="X171" s="41"/>
      <c r="Y171" s="41"/>
      <c r="Z171" s="41"/>
      <c r="AA171" s="41"/>
      <c r="AB171" s="41"/>
      <c r="AC171" s="41"/>
      <c r="AD171" s="41"/>
      <c r="AE171" s="59">
        <v>2500.9064114727489</v>
      </c>
      <c r="AF171" s="59">
        <v>2500.9064114727489</v>
      </c>
      <c r="AG171" s="59" t="s">
        <v>47</v>
      </c>
      <c r="AH171" s="59" t="s">
        <v>1249</v>
      </c>
    </row>
    <row r="172" spans="1:34" x14ac:dyDescent="0.35">
      <c r="A172" s="58">
        <v>2024</v>
      </c>
      <c r="B172" s="58">
        <v>4</v>
      </c>
      <c r="C172">
        <v>4</v>
      </c>
      <c r="D172" s="58" t="s">
        <v>625</v>
      </c>
      <c r="E172" t="s">
        <v>271</v>
      </c>
      <c r="F172" s="58" t="s">
        <v>777</v>
      </c>
      <c r="G172" t="s">
        <v>778</v>
      </c>
      <c r="H172" s="58" t="s">
        <v>1428</v>
      </c>
      <c r="I172" t="s">
        <v>76</v>
      </c>
      <c r="J172" s="58" t="s">
        <v>76</v>
      </c>
      <c r="K172" t="s">
        <v>1429</v>
      </c>
      <c r="L172" t="s">
        <v>20</v>
      </c>
      <c r="M172" t="s">
        <v>1430</v>
      </c>
      <c r="N172" s="59">
        <v>2750</v>
      </c>
      <c r="O172" s="59">
        <v>62658750</v>
      </c>
      <c r="P172" s="59">
        <v>0</v>
      </c>
      <c r="Q172" s="59">
        <v>0</v>
      </c>
      <c r="R172" s="59">
        <v>0</v>
      </c>
      <c r="S172" s="59">
        <v>62658750</v>
      </c>
      <c r="T172" s="41"/>
      <c r="U172" s="41"/>
      <c r="V172" s="41"/>
      <c r="W172" s="41"/>
      <c r="X172" s="41"/>
      <c r="Y172" s="41"/>
      <c r="Z172" s="41"/>
      <c r="AA172" s="41"/>
      <c r="AB172" s="41"/>
      <c r="AC172" s="41"/>
      <c r="AD172" s="41"/>
      <c r="AE172" s="59">
        <v>2500.9064114727489</v>
      </c>
      <c r="AF172" s="59">
        <v>2500.9064114727489</v>
      </c>
      <c r="AG172" s="59" t="s">
        <v>47</v>
      </c>
      <c r="AH172" s="59" t="s">
        <v>1255</v>
      </c>
    </row>
    <row r="173" spans="1:34" x14ac:dyDescent="0.35">
      <c r="A173" s="58">
        <v>2024</v>
      </c>
      <c r="B173" s="58">
        <v>4</v>
      </c>
      <c r="C173">
        <v>4</v>
      </c>
      <c r="D173" s="58" t="s">
        <v>625</v>
      </c>
      <c r="E173" t="s">
        <v>271</v>
      </c>
      <c r="F173" s="58" t="s">
        <v>188</v>
      </c>
      <c r="G173" t="s">
        <v>872</v>
      </c>
      <c r="H173" s="58" t="s">
        <v>1428</v>
      </c>
      <c r="I173" t="s">
        <v>75</v>
      </c>
      <c r="J173" s="58" t="s">
        <v>75</v>
      </c>
      <c r="K173" t="s">
        <v>1429</v>
      </c>
      <c r="L173" t="s">
        <v>20</v>
      </c>
      <c r="M173" t="s">
        <v>1430</v>
      </c>
      <c r="N173" s="59">
        <v>17000</v>
      </c>
      <c r="O173" s="59">
        <v>605846000</v>
      </c>
      <c r="P173" s="59">
        <v>0</v>
      </c>
      <c r="Q173" s="59">
        <v>0</v>
      </c>
      <c r="R173" s="59">
        <v>0</v>
      </c>
      <c r="S173" s="59">
        <v>605846000</v>
      </c>
      <c r="T173" s="41"/>
      <c r="U173" s="41"/>
      <c r="V173" s="41"/>
      <c r="W173" s="41"/>
      <c r="X173" s="41"/>
      <c r="Y173" s="41"/>
      <c r="Z173" s="41"/>
      <c r="AA173" s="41"/>
      <c r="AB173" s="41"/>
      <c r="AC173" s="41"/>
      <c r="AD173" s="41"/>
      <c r="AE173" s="59">
        <v>24181.206068827087</v>
      </c>
      <c r="AF173" s="59">
        <v>24181.206068827087</v>
      </c>
      <c r="AG173" s="59" t="s">
        <v>47</v>
      </c>
      <c r="AH173" s="59" t="s">
        <v>1204</v>
      </c>
    </row>
    <row r="174" spans="1:34" x14ac:dyDescent="0.35">
      <c r="A174" s="58">
        <v>2024</v>
      </c>
      <c r="B174" s="58">
        <v>4</v>
      </c>
      <c r="C174">
        <v>4</v>
      </c>
      <c r="D174" s="58" t="s">
        <v>1433</v>
      </c>
      <c r="E174" t="s">
        <v>1276</v>
      </c>
      <c r="F174" s="58" t="s">
        <v>1434</v>
      </c>
      <c r="G174" t="s">
        <v>1435</v>
      </c>
      <c r="H174" s="58" t="s">
        <v>1012</v>
      </c>
      <c r="I174" t="s">
        <v>1012</v>
      </c>
      <c r="J174" s="58" t="s">
        <v>1012</v>
      </c>
      <c r="K174" t="s">
        <v>1429</v>
      </c>
      <c r="L174" t="s">
        <v>20</v>
      </c>
      <c r="M174" t="s">
        <v>1430</v>
      </c>
      <c r="N174" s="59">
        <v>0</v>
      </c>
      <c r="O174" s="59">
        <v>0</v>
      </c>
      <c r="P174" s="59">
        <v>0</v>
      </c>
      <c r="Q174" s="59">
        <v>0</v>
      </c>
      <c r="R174" s="59">
        <v>0</v>
      </c>
      <c r="S174" s="59">
        <v>0</v>
      </c>
      <c r="T174" s="41"/>
      <c r="U174" s="41"/>
      <c r="V174" s="41"/>
      <c r="W174" s="41"/>
      <c r="X174" s="41"/>
      <c r="Y174" s="41"/>
      <c r="Z174" s="41"/>
      <c r="AA174" s="41"/>
      <c r="AB174" s="41"/>
      <c r="AC174" s="41"/>
      <c r="AD174" s="41"/>
      <c r="AE174" s="59">
        <v>0</v>
      </c>
      <c r="AF174" s="59">
        <v>0</v>
      </c>
      <c r="AG174" s="59" t="s">
        <v>1276</v>
      </c>
      <c r="AH174" s="59" t="s">
        <v>1319</v>
      </c>
    </row>
    <row r="175" spans="1:34" x14ac:dyDescent="0.35">
      <c r="A175" s="58">
        <v>2024</v>
      </c>
      <c r="B175" s="58">
        <v>4</v>
      </c>
      <c r="C175">
        <v>4</v>
      </c>
      <c r="D175" s="58" t="s">
        <v>651</v>
      </c>
      <c r="E175" t="s">
        <v>464</v>
      </c>
      <c r="F175" s="58" t="s">
        <v>184</v>
      </c>
      <c r="G175" t="s">
        <v>717</v>
      </c>
      <c r="H175" s="58" t="s">
        <v>1428</v>
      </c>
      <c r="I175" t="s">
        <v>75</v>
      </c>
      <c r="J175" s="58" t="s">
        <v>75</v>
      </c>
      <c r="K175" t="s">
        <v>1429</v>
      </c>
      <c r="L175" t="s">
        <v>20</v>
      </c>
      <c r="M175" t="s">
        <v>1430</v>
      </c>
      <c r="N175" s="59">
        <v>9625</v>
      </c>
      <c r="O175" s="59">
        <v>356567750</v>
      </c>
      <c r="P175" s="59">
        <v>0</v>
      </c>
      <c r="Q175" s="59">
        <v>0</v>
      </c>
      <c r="R175" s="59">
        <v>0</v>
      </c>
      <c r="S175" s="59">
        <v>356567750</v>
      </c>
      <c r="T175" s="41"/>
      <c r="U175" s="41"/>
      <c r="V175" s="41"/>
      <c r="W175" s="41"/>
      <c r="X175" s="41"/>
      <c r="Y175" s="41"/>
      <c r="Z175" s="41"/>
      <c r="AA175" s="41"/>
      <c r="AB175" s="41"/>
      <c r="AC175" s="41"/>
      <c r="AD175" s="41"/>
      <c r="AE175" s="59">
        <v>14231.732552906215</v>
      </c>
      <c r="AF175" s="59">
        <v>14231.732552906215</v>
      </c>
      <c r="AG175" s="59" t="s">
        <v>5</v>
      </c>
      <c r="AH175" s="59" t="s">
        <v>1198</v>
      </c>
    </row>
    <row r="176" spans="1:34" x14ac:dyDescent="0.35">
      <c r="A176" s="58">
        <v>2024</v>
      </c>
      <c r="B176" s="58">
        <v>4</v>
      </c>
      <c r="C176">
        <v>4</v>
      </c>
      <c r="D176" s="58" t="s">
        <v>640</v>
      </c>
      <c r="E176" t="s">
        <v>552</v>
      </c>
      <c r="F176" s="58" t="s">
        <v>168</v>
      </c>
      <c r="G176" t="s">
        <v>700</v>
      </c>
      <c r="H176" s="58" t="s">
        <v>4</v>
      </c>
      <c r="I176" t="s">
        <v>4</v>
      </c>
      <c r="J176" s="58" t="s">
        <v>4</v>
      </c>
      <c r="K176" t="s">
        <v>1429</v>
      </c>
      <c r="L176" t="s">
        <v>20</v>
      </c>
      <c r="M176" t="s">
        <v>1430</v>
      </c>
      <c r="N176" s="59">
        <v>72600</v>
      </c>
      <c r="O176" s="59">
        <v>2400083400</v>
      </c>
      <c r="P176" s="59">
        <v>14055253.267326735</v>
      </c>
      <c r="Q176" s="59">
        <v>0</v>
      </c>
      <c r="R176" s="59">
        <v>13200000</v>
      </c>
      <c r="S176" s="59">
        <v>2372828146.7326736</v>
      </c>
      <c r="T176" s="41"/>
      <c r="U176" s="41"/>
      <c r="V176" s="41"/>
      <c r="W176" s="41"/>
      <c r="X176" s="41"/>
      <c r="Y176" s="41"/>
      <c r="Z176" s="41"/>
      <c r="AA176" s="41"/>
      <c r="AB176" s="41"/>
      <c r="AC176" s="41"/>
      <c r="AD176" s="41"/>
      <c r="AE176" s="59">
        <v>94706.982272814945</v>
      </c>
      <c r="AF176" s="59">
        <v>95794.82455569756</v>
      </c>
      <c r="AG176" s="59" t="s">
        <v>99</v>
      </c>
      <c r="AH176" s="59" t="s">
        <v>1160</v>
      </c>
    </row>
    <row r="177" spans="1:34" x14ac:dyDescent="0.35">
      <c r="A177" s="58">
        <v>2024</v>
      </c>
      <c r="B177" s="58">
        <v>4</v>
      </c>
      <c r="C177">
        <v>4</v>
      </c>
      <c r="D177" s="58" t="s">
        <v>589</v>
      </c>
      <c r="E177" t="s">
        <v>322</v>
      </c>
      <c r="F177" s="58" t="s">
        <v>171</v>
      </c>
      <c r="G177" t="s">
        <v>731</v>
      </c>
      <c r="H177" s="58" t="s">
        <v>4</v>
      </c>
      <c r="I177" t="s">
        <v>4</v>
      </c>
      <c r="J177" s="58" t="s">
        <v>4</v>
      </c>
      <c r="K177" t="s">
        <v>1429</v>
      </c>
      <c r="L177" t="s">
        <v>20</v>
      </c>
      <c r="M177" t="s">
        <v>1430</v>
      </c>
      <c r="N177" s="59">
        <v>198000</v>
      </c>
      <c r="O177" s="59">
        <v>6441534000</v>
      </c>
      <c r="P177" s="59">
        <v>36202925.082508251</v>
      </c>
      <c r="Q177" s="59">
        <v>0</v>
      </c>
      <c r="R177" s="59">
        <v>27720000</v>
      </c>
      <c r="S177" s="59">
        <v>6377611074.917491</v>
      </c>
      <c r="T177" s="41"/>
      <c r="U177" s="41"/>
      <c r="V177" s="41"/>
      <c r="W177" s="41"/>
      <c r="X177" s="41"/>
      <c r="Y177" s="41"/>
      <c r="Z177" s="41"/>
      <c r="AA177" s="41"/>
      <c r="AB177" s="41"/>
      <c r="AC177" s="41"/>
      <c r="AD177" s="41"/>
      <c r="AE177" s="59">
        <v>254550.37687698472</v>
      </c>
      <c r="AF177" s="59">
        <v>257101.74046433583</v>
      </c>
      <c r="AG177" s="59" t="s">
        <v>5</v>
      </c>
      <c r="AH177" s="59" t="s">
        <v>1166</v>
      </c>
    </row>
    <row r="178" spans="1:34" x14ac:dyDescent="0.35">
      <c r="A178" s="58">
        <v>2024</v>
      </c>
      <c r="B178" s="58">
        <v>4</v>
      </c>
      <c r="C178">
        <v>4</v>
      </c>
      <c r="D178" s="58" t="s">
        <v>621</v>
      </c>
      <c r="E178" t="s">
        <v>257</v>
      </c>
      <c r="F178" s="58" t="s">
        <v>167</v>
      </c>
      <c r="G178" t="s">
        <v>693</v>
      </c>
      <c r="H178" s="58" t="s">
        <v>4</v>
      </c>
      <c r="I178" t="s">
        <v>4</v>
      </c>
      <c r="J178" s="58" t="s">
        <v>4</v>
      </c>
      <c r="K178" t="s">
        <v>1429</v>
      </c>
      <c r="L178" t="s">
        <v>20</v>
      </c>
      <c r="M178" t="s">
        <v>1431</v>
      </c>
      <c r="N178" s="59">
        <v>-2200</v>
      </c>
      <c r="O178" s="59">
        <v>0</v>
      </c>
      <c r="P178" s="59">
        <v>0</v>
      </c>
      <c r="Q178" s="59">
        <v>0</v>
      </c>
      <c r="R178" s="59">
        <v>0</v>
      </c>
      <c r="S178" s="59">
        <v>0</v>
      </c>
      <c r="T178" s="41"/>
      <c r="U178" s="41"/>
      <c r="V178" s="41"/>
      <c r="W178" s="41"/>
      <c r="X178" s="41"/>
      <c r="Y178" s="41"/>
      <c r="Z178" s="41"/>
      <c r="AA178" s="41"/>
      <c r="AB178" s="41"/>
      <c r="AC178" s="41"/>
      <c r="AD178" s="41"/>
      <c r="AE178" s="59">
        <v>0</v>
      </c>
      <c r="AF178" s="59">
        <v>0</v>
      </c>
      <c r="AG178" s="59" t="s">
        <v>16</v>
      </c>
      <c r="AH178" s="59" t="s">
        <v>1156</v>
      </c>
    </row>
    <row r="179" spans="1:34" x14ac:dyDescent="0.35">
      <c r="A179" s="58">
        <v>2024</v>
      </c>
      <c r="B179" s="58">
        <v>4</v>
      </c>
      <c r="C179">
        <v>4</v>
      </c>
      <c r="D179" s="58" t="s">
        <v>621</v>
      </c>
      <c r="E179" t="s">
        <v>257</v>
      </c>
      <c r="F179" s="58" t="s">
        <v>167</v>
      </c>
      <c r="G179" t="s">
        <v>693</v>
      </c>
      <c r="H179" s="58" t="s">
        <v>4</v>
      </c>
      <c r="I179" t="s">
        <v>4</v>
      </c>
      <c r="J179" s="58" t="s">
        <v>4</v>
      </c>
      <c r="K179" t="s">
        <v>1429</v>
      </c>
      <c r="L179" t="s">
        <v>20</v>
      </c>
      <c r="M179" t="s">
        <v>1432</v>
      </c>
      <c r="N179" s="59">
        <v>2200</v>
      </c>
      <c r="O179" s="59">
        <v>0</v>
      </c>
      <c r="P179" s="59">
        <v>0</v>
      </c>
      <c r="Q179" s="59">
        <v>0</v>
      </c>
      <c r="R179" s="59">
        <v>0</v>
      </c>
      <c r="S179" s="59">
        <v>0</v>
      </c>
      <c r="T179" s="41"/>
      <c r="U179" s="41"/>
      <c r="V179" s="41"/>
      <c r="W179" s="41"/>
      <c r="X179" s="41"/>
      <c r="Y179" s="41"/>
      <c r="Z179" s="41"/>
      <c r="AA179" s="41"/>
      <c r="AB179" s="41"/>
      <c r="AC179" s="41"/>
      <c r="AD179" s="41"/>
      <c r="AE179" s="59">
        <v>0</v>
      </c>
      <c r="AF179" s="59">
        <v>0</v>
      </c>
      <c r="AG179" s="59" t="s">
        <v>16</v>
      </c>
      <c r="AH179" s="59" t="s">
        <v>1156</v>
      </c>
    </row>
    <row r="180" spans="1:34" x14ac:dyDescent="0.35">
      <c r="A180" s="58">
        <v>2024</v>
      </c>
      <c r="B180" s="58">
        <v>4</v>
      </c>
      <c r="C180">
        <v>4</v>
      </c>
      <c r="D180" s="58" t="s">
        <v>671</v>
      </c>
      <c r="E180" t="s">
        <v>273</v>
      </c>
      <c r="F180" s="58" t="s">
        <v>184</v>
      </c>
      <c r="G180" t="s">
        <v>717</v>
      </c>
      <c r="H180" s="58" t="s">
        <v>1428</v>
      </c>
      <c r="I180" t="s">
        <v>75</v>
      </c>
      <c r="J180" s="58" t="s">
        <v>75</v>
      </c>
      <c r="K180" t="s">
        <v>1429</v>
      </c>
      <c r="L180" t="s">
        <v>20</v>
      </c>
      <c r="M180" t="s">
        <v>1430</v>
      </c>
      <c r="N180" s="59">
        <v>2000</v>
      </c>
      <c r="O180" s="59">
        <v>63250000</v>
      </c>
      <c r="P180" s="59">
        <v>0</v>
      </c>
      <c r="Q180" s="59">
        <v>0</v>
      </c>
      <c r="R180" s="59">
        <v>0</v>
      </c>
      <c r="S180" s="59">
        <v>63250000</v>
      </c>
      <c r="T180" s="41"/>
      <c r="U180" s="41"/>
      <c r="V180" s="41"/>
      <c r="W180" s="41"/>
      <c r="X180" s="41"/>
      <c r="Y180" s="41"/>
      <c r="Z180" s="41"/>
      <c r="AA180" s="41"/>
      <c r="AB180" s="41"/>
      <c r="AC180" s="41"/>
      <c r="AD180" s="41"/>
      <c r="AE180" s="59">
        <v>2524.5050455946116</v>
      </c>
      <c r="AF180" s="59">
        <v>2524.5050455946116</v>
      </c>
      <c r="AG180" s="59" t="s">
        <v>154</v>
      </c>
      <c r="AH180" s="59" t="s">
        <v>1198</v>
      </c>
    </row>
    <row r="181" spans="1:34" x14ac:dyDescent="0.35">
      <c r="A181" s="58">
        <v>2024</v>
      </c>
      <c r="B181" s="58">
        <v>4</v>
      </c>
      <c r="C181">
        <v>4</v>
      </c>
      <c r="D181" s="58" t="s">
        <v>590</v>
      </c>
      <c r="E181" t="s">
        <v>500</v>
      </c>
      <c r="F181" s="58" t="s">
        <v>172</v>
      </c>
      <c r="G181" t="s">
        <v>734</v>
      </c>
      <c r="H181" s="58" t="s">
        <v>4</v>
      </c>
      <c r="I181" t="s">
        <v>4</v>
      </c>
      <c r="J181" s="58" t="s">
        <v>4</v>
      </c>
      <c r="K181" t="s">
        <v>1429</v>
      </c>
      <c r="L181" t="s">
        <v>20</v>
      </c>
      <c r="M181" t="s">
        <v>1430</v>
      </c>
      <c r="N181" s="59">
        <v>4400</v>
      </c>
      <c r="O181" s="59">
        <v>153183399.59999999</v>
      </c>
      <c r="P181" s="59">
        <v>851833.53135313536</v>
      </c>
      <c r="Q181" s="59">
        <v>0</v>
      </c>
      <c r="R181" s="59">
        <v>7000000</v>
      </c>
      <c r="S181" s="59">
        <v>145331566.06864685</v>
      </c>
      <c r="T181" s="41"/>
      <c r="U181" s="41"/>
      <c r="V181" s="41"/>
      <c r="W181" s="41"/>
      <c r="X181" s="41"/>
      <c r="Y181" s="41"/>
      <c r="Z181" s="41"/>
      <c r="AA181" s="41"/>
      <c r="AB181" s="41"/>
      <c r="AC181" s="41"/>
      <c r="AD181" s="41"/>
      <c r="AE181" s="59">
        <v>5800.6367086872042</v>
      </c>
      <c r="AF181" s="59">
        <v>6114.0279081665713</v>
      </c>
      <c r="AG181" s="59" t="s">
        <v>8</v>
      </c>
      <c r="AH181" s="59" t="s">
        <v>1175</v>
      </c>
    </row>
    <row r="182" spans="1:34" x14ac:dyDescent="0.35">
      <c r="A182" s="58">
        <v>2024</v>
      </c>
      <c r="B182" s="58">
        <v>4</v>
      </c>
      <c r="C182">
        <v>4</v>
      </c>
      <c r="D182" s="58" t="s">
        <v>601</v>
      </c>
      <c r="E182" t="s">
        <v>501</v>
      </c>
      <c r="F182" s="58" t="s">
        <v>171</v>
      </c>
      <c r="G182" t="s">
        <v>731</v>
      </c>
      <c r="H182" s="58" t="s">
        <v>4</v>
      </c>
      <c r="I182" t="s">
        <v>4</v>
      </c>
      <c r="J182" s="58" t="s">
        <v>4</v>
      </c>
      <c r="K182" t="s">
        <v>1429</v>
      </c>
      <c r="L182" t="s">
        <v>20</v>
      </c>
      <c r="M182" t="s">
        <v>1430</v>
      </c>
      <c r="N182" s="59">
        <v>110000</v>
      </c>
      <c r="O182" s="59">
        <v>3274920000</v>
      </c>
      <c r="P182" s="59">
        <v>21295838.283828385</v>
      </c>
      <c r="Q182" s="59">
        <v>0</v>
      </c>
      <c r="R182" s="59">
        <v>15400000</v>
      </c>
      <c r="S182" s="59">
        <v>3238224161.7161713</v>
      </c>
      <c r="T182" s="41"/>
      <c r="U182" s="41"/>
      <c r="V182" s="41"/>
      <c r="W182" s="41"/>
      <c r="X182" s="41"/>
      <c r="Y182" s="41"/>
      <c r="Z182" s="41"/>
      <c r="AA182" s="41"/>
      <c r="AB182" s="41"/>
      <c r="AC182" s="41"/>
      <c r="AD182" s="41"/>
      <c r="AE182" s="59">
        <v>129247.64007934951</v>
      </c>
      <c r="AF182" s="59">
        <v>130712.28559555266</v>
      </c>
      <c r="AG182" s="59" t="s">
        <v>109</v>
      </c>
      <c r="AH182" s="59" t="s">
        <v>1166</v>
      </c>
    </row>
    <row r="183" spans="1:34" x14ac:dyDescent="0.35">
      <c r="A183" s="58">
        <v>2024</v>
      </c>
      <c r="B183" s="58">
        <v>4</v>
      </c>
      <c r="C183">
        <v>4</v>
      </c>
      <c r="D183" s="58" t="s">
        <v>1436</v>
      </c>
      <c r="E183" t="s">
        <v>1326</v>
      </c>
      <c r="F183" s="58" t="s">
        <v>1482</v>
      </c>
      <c r="G183" t="s">
        <v>1483</v>
      </c>
      <c r="H183" s="58" t="s">
        <v>1012</v>
      </c>
      <c r="I183" t="s">
        <v>1012</v>
      </c>
      <c r="J183" s="58" t="s">
        <v>1012</v>
      </c>
      <c r="K183" t="s">
        <v>1429</v>
      </c>
      <c r="L183" t="s">
        <v>20</v>
      </c>
      <c r="M183" t="s">
        <v>1430</v>
      </c>
      <c r="N183" s="59">
        <v>0</v>
      </c>
      <c r="O183" s="59">
        <v>5400000</v>
      </c>
      <c r="P183" s="59">
        <v>0</v>
      </c>
      <c r="Q183" s="59">
        <v>0</v>
      </c>
      <c r="R183" s="59">
        <v>0</v>
      </c>
      <c r="S183" s="59">
        <v>5400000</v>
      </c>
      <c r="T183" s="41"/>
      <c r="U183" s="41"/>
      <c r="V183" s="41"/>
      <c r="W183" s="41"/>
      <c r="X183" s="41"/>
      <c r="Y183" s="41"/>
      <c r="Z183" s="41"/>
      <c r="AA183" s="41"/>
      <c r="AB183" s="41"/>
      <c r="AC183" s="41"/>
      <c r="AD183" s="41"/>
      <c r="AE183" s="59">
        <v>215.53086555274155</v>
      </c>
      <c r="AF183" s="59">
        <v>215.53086555274155</v>
      </c>
      <c r="AG183" s="59" t="s">
        <v>1326</v>
      </c>
      <c r="AH183" s="59" t="s">
        <v>1325</v>
      </c>
    </row>
    <row r="184" spans="1:34" x14ac:dyDescent="0.35">
      <c r="A184" s="58">
        <v>2024</v>
      </c>
      <c r="B184" s="58">
        <v>4</v>
      </c>
      <c r="C184">
        <v>4</v>
      </c>
      <c r="D184" s="58" t="s">
        <v>620</v>
      </c>
      <c r="E184" t="s">
        <v>324</v>
      </c>
      <c r="F184" s="58" t="s">
        <v>168</v>
      </c>
      <c r="G184" t="s">
        <v>700</v>
      </c>
      <c r="H184" s="58" t="s">
        <v>4</v>
      </c>
      <c r="I184" t="s">
        <v>4</v>
      </c>
      <c r="J184" s="58" t="s">
        <v>4</v>
      </c>
      <c r="K184" t="s">
        <v>1429</v>
      </c>
      <c r="L184" t="s">
        <v>20</v>
      </c>
      <c r="M184" t="s">
        <v>1430</v>
      </c>
      <c r="N184" s="59">
        <v>44000</v>
      </c>
      <c r="O184" s="59">
        <v>1555127200.0000002</v>
      </c>
      <c r="P184" s="59">
        <v>8518335.3135313541</v>
      </c>
      <c r="Q184" s="59">
        <v>0</v>
      </c>
      <c r="R184" s="59">
        <v>6400000</v>
      </c>
      <c r="S184" s="59">
        <v>1540208864.6864688</v>
      </c>
      <c r="T184" s="41"/>
      <c r="U184" s="41"/>
      <c r="V184" s="41"/>
      <c r="W184" s="41"/>
      <c r="X184" s="41"/>
      <c r="Y184" s="41"/>
      <c r="Z184" s="41"/>
      <c r="AA184" s="41"/>
      <c r="AB184" s="41"/>
      <c r="AC184" s="41"/>
      <c r="AD184" s="41"/>
      <c r="AE184" s="59">
        <v>61474.546247755556</v>
      </c>
      <c r="AF184" s="59">
        <v>62069.983603816938</v>
      </c>
      <c r="AG184" s="59" t="s">
        <v>8</v>
      </c>
      <c r="AH184" s="59" t="s">
        <v>1160</v>
      </c>
    </row>
    <row r="185" spans="1:34" x14ac:dyDescent="0.35">
      <c r="A185" s="58">
        <v>2024</v>
      </c>
      <c r="B185" s="58">
        <v>4</v>
      </c>
      <c r="C185">
        <v>4</v>
      </c>
      <c r="D185" s="58" t="s">
        <v>682</v>
      </c>
      <c r="E185" t="s">
        <v>156</v>
      </c>
      <c r="F185" s="58" t="s">
        <v>1468</v>
      </c>
      <c r="G185" t="s">
        <v>1012</v>
      </c>
      <c r="H185" s="58" t="s">
        <v>1012</v>
      </c>
      <c r="I185" t="s">
        <v>1012</v>
      </c>
      <c r="J185" s="58" t="s">
        <v>1012</v>
      </c>
      <c r="K185" t="s">
        <v>1429</v>
      </c>
      <c r="L185" t="s">
        <v>20</v>
      </c>
      <c r="M185" t="s">
        <v>1430</v>
      </c>
      <c r="N185" s="59">
        <v>0</v>
      </c>
      <c r="O185" s="59">
        <v>41492594</v>
      </c>
      <c r="P185" s="59">
        <v>0</v>
      </c>
      <c r="Q185" s="59">
        <v>0</v>
      </c>
      <c r="R185" s="59">
        <v>0</v>
      </c>
      <c r="S185" s="59">
        <v>41492594</v>
      </c>
      <c r="T185" s="41"/>
      <c r="U185" s="41"/>
      <c r="V185" s="41"/>
      <c r="W185" s="41"/>
      <c r="X185" s="41"/>
      <c r="Y185" s="41"/>
      <c r="Z185" s="41"/>
      <c r="AA185" s="41"/>
      <c r="AB185" s="41"/>
      <c r="AC185" s="41"/>
      <c r="AD185" s="41"/>
      <c r="AE185" s="59">
        <v>1656.0990183052759</v>
      </c>
      <c r="AF185" s="59">
        <v>1656.0990183052759</v>
      </c>
      <c r="AG185" s="59" t="s">
        <v>156</v>
      </c>
      <c r="AH185" s="59" t="s">
        <v>1284</v>
      </c>
    </row>
    <row r="186" spans="1:34" x14ac:dyDescent="0.35">
      <c r="A186" s="58">
        <v>2024</v>
      </c>
      <c r="B186" s="58">
        <v>4</v>
      </c>
      <c r="C186">
        <v>4</v>
      </c>
      <c r="D186" s="58" t="s">
        <v>605</v>
      </c>
      <c r="E186" t="s">
        <v>479</v>
      </c>
      <c r="F186" s="58" t="s">
        <v>184</v>
      </c>
      <c r="G186" t="s">
        <v>717</v>
      </c>
      <c r="H186" s="58" t="s">
        <v>1428</v>
      </c>
      <c r="I186" t="s">
        <v>75</v>
      </c>
      <c r="J186" s="58" t="s">
        <v>75</v>
      </c>
      <c r="K186" t="s">
        <v>1429</v>
      </c>
      <c r="L186" t="s">
        <v>20</v>
      </c>
      <c r="M186" t="s">
        <v>1430</v>
      </c>
      <c r="N186" s="59">
        <v>11000</v>
      </c>
      <c r="O186" s="59">
        <v>418418000</v>
      </c>
      <c r="P186" s="59">
        <v>0</v>
      </c>
      <c r="Q186" s="59">
        <v>0</v>
      </c>
      <c r="R186" s="59">
        <v>11574074</v>
      </c>
      <c r="S186" s="59">
        <v>406843926</v>
      </c>
      <c r="T186" s="41"/>
      <c r="U186" s="41"/>
      <c r="V186" s="41"/>
      <c r="W186" s="41"/>
      <c r="X186" s="41"/>
      <c r="Y186" s="41"/>
      <c r="Z186" s="41"/>
      <c r="AA186" s="41"/>
      <c r="AB186" s="41"/>
      <c r="AC186" s="41"/>
      <c r="AD186" s="41"/>
      <c r="AE186" s="59">
        <v>16238.411762158432</v>
      </c>
      <c r="AF186" s="59">
        <v>16700.36920423093</v>
      </c>
      <c r="AG186" s="59" t="s">
        <v>5</v>
      </c>
      <c r="AH186" s="59" t="s">
        <v>1198</v>
      </c>
    </row>
    <row r="187" spans="1:34" x14ac:dyDescent="0.35">
      <c r="A187" s="58">
        <v>2024</v>
      </c>
      <c r="B187" s="58">
        <v>4</v>
      </c>
      <c r="C187">
        <v>4</v>
      </c>
      <c r="D187" s="58" t="s">
        <v>1469</v>
      </c>
      <c r="E187" t="s">
        <v>1211</v>
      </c>
      <c r="F187" s="58" t="s">
        <v>1472</v>
      </c>
      <c r="G187" t="s">
        <v>1473</v>
      </c>
      <c r="H187" s="58" t="s">
        <v>1012</v>
      </c>
      <c r="I187" t="s">
        <v>86</v>
      </c>
      <c r="J187" s="58" t="s">
        <v>86</v>
      </c>
      <c r="K187" t="s">
        <v>1429</v>
      </c>
      <c r="L187" t="s">
        <v>20</v>
      </c>
      <c r="M187" t="s">
        <v>1430</v>
      </c>
      <c r="N187" s="59">
        <v>2002</v>
      </c>
      <c r="O187" s="59">
        <v>40440400</v>
      </c>
      <c r="P187" s="59">
        <v>0</v>
      </c>
      <c r="Q187" s="59">
        <v>0</v>
      </c>
      <c r="R187" s="59">
        <v>0</v>
      </c>
      <c r="S187" s="59">
        <v>40440400</v>
      </c>
      <c r="T187" s="41"/>
      <c r="U187" s="41"/>
      <c r="V187" s="41"/>
      <c r="W187" s="41"/>
      <c r="X187" s="41"/>
      <c r="Y187" s="41"/>
      <c r="Z187" s="41"/>
      <c r="AA187" s="41"/>
      <c r="AB187" s="41"/>
      <c r="AC187" s="41"/>
      <c r="AD187" s="41"/>
      <c r="AE187" s="59">
        <v>1614.1026694998313</v>
      </c>
      <c r="AF187" s="59">
        <v>1614.1026694998313</v>
      </c>
      <c r="AG187" s="59" t="s">
        <v>1211</v>
      </c>
      <c r="AH187" s="59" t="s">
        <v>1215</v>
      </c>
    </row>
    <row r="188" spans="1:34" x14ac:dyDescent="0.35">
      <c r="A188" s="58">
        <v>2024</v>
      </c>
      <c r="B188" s="58">
        <v>4</v>
      </c>
      <c r="C188">
        <v>4</v>
      </c>
      <c r="D188" s="58" t="s">
        <v>635</v>
      </c>
      <c r="E188" t="s">
        <v>62</v>
      </c>
      <c r="F188" s="58" t="s">
        <v>212</v>
      </c>
      <c r="G188" t="s">
        <v>481</v>
      </c>
      <c r="H188" s="58" t="s">
        <v>21</v>
      </c>
      <c r="I188" t="s">
        <v>21</v>
      </c>
      <c r="J188" s="58" t="s">
        <v>21</v>
      </c>
      <c r="K188" t="s">
        <v>1429</v>
      </c>
      <c r="L188" t="s">
        <v>20</v>
      </c>
      <c r="M188" t="s">
        <v>1430</v>
      </c>
      <c r="N188" s="59">
        <v>30500</v>
      </c>
      <c r="O188" s="59">
        <v>674385500</v>
      </c>
      <c r="P188" s="59">
        <v>8731293.6963696368</v>
      </c>
      <c r="Q188" s="59">
        <v>0</v>
      </c>
      <c r="R188" s="59">
        <v>0</v>
      </c>
      <c r="S188" s="59">
        <v>665654206.30363035</v>
      </c>
      <c r="T188" s="41"/>
      <c r="U188" s="41"/>
      <c r="V188" s="41"/>
      <c r="W188" s="41"/>
      <c r="X188" s="41"/>
      <c r="Y188" s="41"/>
      <c r="Z188" s="41"/>
      <c r="AA188" s="41"/>
      <c r="AB188" s="41"/>
      <c r="AC188" s="41"/>
      <c r="AD188" s="41"/>
      <c r="AE188" s="59">
        <v>26568.338378415676</v>
      </c>
      <c r="AF188" s="59">
        <v>26916.831579855258</v>
      </c>
      <c r="AG188" s="59" t="s">
        <v>62</v>
      </c>
      <c r="AH188" s="59" t="s">
        <v>84</v>
      </c>
    </row>
    <row r="189" spans="1:34" x14ac:dyDescent="0.35">
      <c r="A189" s="58">
        <v>2024</v>
      </c>
      <c r="B189" s="58">
        <v>4</v>
      </c>
      <c r="C189">
        <v>4</v>
      </c>
      <c r="D189" s="58" t="s">
        <v>1474</v>
      </c>
      <c r="E189" t="s">
        <v>1256</v>
      </c>
      <c r="F189" s="58" t="s">
        <v>200</v>
      </c>
      <c r="G189" t="s">
        <v>470</v>
      </c>
      <c r="H189" s="58" t="s">
        <v>1428</v>
      </c>
      <c r="I189" t="s">
        <v>76</v>
      </c>
      <c r="J189" s="58" t="s">
        <v>76</v>
      </c>
      <c r="K189" t="s">
        <v>1429</v>
      </c>
      <c r="L189" t="s">
        <v>20</v>
      </c>
      <c r="M189" t="s">
        <v>1430</v>
      </c>
      <c r="N189" s="59">
        <v>13750</v>
      </c>
      <c r="O189" s="59">
        <v>311972500</v>
      </c>
      <c r="P189" s="59">
        <v>3947920.7895404929</v>
      </c>
      <c r="Q189" s="59">
        <v>0</v>
      </c>
      <c r="R189" s="59">
        <v>0</v>
      </c>
      <c r="S189" s="59">
        <v>308024579.21045947</v>
      </c>
      <c r="T189" s="41"/>
      <c r="U189" s="41"/>
      <c r="V189" s="41"/>
      <c r="W189" s="41"/>
      <c r="X189" s="41"/>
      <c r="Y189" s="41"/>
      <c r="Z189" s="41"/>
      <c r="AA189" s="41"/>
      <c r="AB189" s="41"/>
      <c r="AC189" s="41"/>
      <c r="AD189" s="41"/>
      <c r="AE189" s="59">
        <v>12294.222994212842</v>
      </c>
      <c r="AF189" s="59">
        <v>12451.796843269012</v>
      </c>
      <c r="AG189" s="59" t="s">
        <v>1256</v>
      </c>
      <c r="AH189" s="59" t="s">
        <v>79</v>
      </c>
    </row>
    <row r="190" spans="1:34" x14ac:dyDescent="0.35">
      <c r="A190" s="58">
        <v>2024</v>
      </c>
      <c r="B190" s="58">
        <v>4</v>
      </c>
      <c r="C190">
        <v>4</v>
      </c>
      <c r="D190" s="58" t="s">
        <v>1474</v>
      </c>
      <c r="E190" t="s">
        <v>1256</v>
      </c>
      <c r="F190" s="58" t="s">
        <v>204</v>
      </c>
      <c r="G190" t="s">
        <v>474</v>
      </c>
      <c r="H190" s="58" t="s">
        <v>1428</v>
      </c>
      <c r="I190" t="s">
        <v>76</v>
      </c>
      <c r="J190" s="58" t="s">
        <v>76</v>
      </c>
      <c r="K190" t="s">
        <v>1429</v>
      </c>
      <c r="L190" t="s">
        <v>20</v>
      </c>
      <c r="M190" t="s">
        <v>1430</v>
      </c>
      <c r="N190" s="59">
        <v>9000</v>
      </c>
      <c r="O190" s="59">
        <v>198999000</v>
      </c>
      <c r="P190" s="59">
        <v>2653789.0784463063</v>
      </c>
      <c r="Q190" s="59">
        <v>0</v>
      </c>
      <c r="R190" s="59">
        <v>0</v>
      </c>
      <c r="S190" s="59">
        <v>196345210.9215537</v>
      </c>
      <c r="T190" s="41"/>
      <c r="U190" s="41"/>
      <c r="V190" s="41"/>
      <c r="W190" s="41"/>
      <c r="X190" s="41"/>
      <c r="Y190" s="41"/>
      <c r="Z190" s="41"/>
      <c r="AA190" s="41"/>
      <c r="AB190" s="41"/>
      <c r="AC190" s="41"/>
      <c r="AD190" s="41"/>
      <c r="AE190" s="59">
        <v>7836.7506031589028</v>
      </c>
      <c r="AF190" s="59">
        <v>7942.6716137277808</v>
      </c>
      <c r="AG190" s="59" t="s">
        <v>1256</v>
      </c>
      <c r="AH190" s="59" t="s">
        <v>81</v>
      </c>
    </row>
    <row r="191" spans="1:34" x14ac:dyDescent="0.35">
      <c r="A191" s="58">
        <v>2024</v>
      </c>
      <c r="B191" s="58">
        <v>4</v>
      </c>
      <c r="C191">
        <v>4</v>
      </c>
      <c r="D191" s="58" t="s">
        <v>595</v>
      </c>
      <c r="E191" t="s">
        <v>478</v>
      </c>
      <c r="F191" s="58" t="s">
        <v>184</v>
      </c>
      <c r="G191" t="s">
        <v>717</v>
      </c>
      <c r="H191" s="58" t="s">
        <v>1428</v>
      </c>
      <c r="I191" t="s">
        <v>75</v>
      </c>
      <c r="J191" s="58" t="s">
        <v>75</v>
      </c>
      <c r="K191" t="s">
        <v>1429</v>
      </c>
      <c r="L191" t="s">
        <v>20</v>
      </c>
      <c r="M191" t="s">
        <v>1430</v>
      </c>
      <c r="N191" s="59">
        <v>100000</v>
      </c>
      <c r="O191" s="59">
        <v>3509400000</v>
      </c>
      <c r="P191" s="59">
        <v>3848645.4729810338</v>
      </c>
      <c r="Q191" s="59">
        <v>0</v>
      </c>
      <c r="R191" s="59">
        <v>0</v>
      </c>
      <c r="S191" s="59">
        <v>3505551354.52702</v>
      </c>
      <c r="T191" s="41"/>
      <c r="U191" s="41"/>
      <c r="V191" s="41"/>
      <c r="W191" s="41"/>
      <c r="X191" s="41"/>
      <c r="Y191" s="41"/>
      <c r="Z191" s="41"/>
      <c r="AA191" s="41"/>
      <c r="AB191" s="41"/>
      <c r="AC191" s="41"/>
      <c r="AD191" s="41"/>
      <c r="AE191" s="59">
        <v>139917.50327422109</v>
      </c>
      <c r="AF191" s="59">
        <v>140071.11473533174</v>
      </c>
      <c r="AG191" s="59" t="s">
        <v>5</v>
      </c>
      <c r="AH191" s="59" t="s">
        <v>1198</v>
      </c>
    </row>
    <row r="192" spans="1:34" x14ac:dyDescent="0.35">
      <c r="A192" s="58">
        <v>2024</v>
      </c>
      <c r="B192" s="58">
        <v>4</v>
      </c>
      <c r="C192">
        <v>4</v>
      </c>
      <c r="D192" s="58" t="s">
        <v>595</v>
      </c>
      <c r="E192" t="s">
        <v>478</v>
      </c>
      <c r="F192" s="58" t="s">
        <v>171</v>
      </c>
      <c r="G192" t="s">
        <v>731</v>
      </c>
      <c r="H192" s="58" t="s">
        <v>4</v>
      </c>
      <c r="I192" t="s">
        <v>4</v>
      </c>
      <c r="J192" s="58" t="s">
        <v>4</v>
      </c>
      <c r="K192" t="s">
        <v>1429</v>
      </c>
      <c r="L192" t="s">
        <v>20</v>
      </c>
      <c r="M192" t="s">
        <v>1430</v>
      </c>
      <c r="N192" s="59">
        <v>33000</v>
      </c>
      <c r="O192" s="59">
        <v>1072269000</v>
      </c>
      <c r="P192" s="59">
        <v>1270053.0060837409</v>
      </c>
      <c r="Q192" s="59">
        <v>0</v>
      </c>
      <c r="R192" s="59">
        <v>0</v>
      </c>
      <c r="S192" s="59">
        <v>1070998946.9939163</v>
      </c>
      <c r="T192" s="41"/>
      <c r="U192" s="41"/>
      <c r="V192" s="41"/>
      <c r="W192" s="41"/>
      <c r="X192" s="41"/>
      <c r="Y192" s="41"/>
      <c r="Z192" s="41"/>
      <c r="AA192" s="41"/>
      <c r="AB192" s="41"/>
      <c r="AC192" s="41"/>
      <c r="AD192" s="41"/>
      <c r="AE192" s="59">
        <v>42746.91297253214</v>
      </c>
      <c r="AF192" s="59">
        <v>42797.604754698637</v>
      </c>
      <c r="AG192" s="59" t="s">
        <v>5</v>
      </c>
      <c r="AH192" s="59" t="s">
        <v>1166</v>
      </c>
    </row>
    <row r="193" spans="1:34" x14ac:dyDescent="0.35">
      <c r="A193" s="58">
        <v>2024</v>
      </c>
      <c r="B193" s="58">
        <v>4</v>
      </c>
      <c r="C193">
        <v>4</v>
      </c>
      <c r="D193" s="58" t="s">
        <v>595</v>
      </c>
      <c r="E193" t="s">
        <v>478</v>
      </c>
      <c r="F193" s="58" t="s">
        <v>188</v>
      </c>
      <c r="G193" t="s">
        <v>872</v>
      </c>
      <c r="H193" s="58" t="s">
        <v>1428</v>
      </c>
      <c r="I193" t="s">
        <v>75</v>
      </c>
      <c r="J193" s="58" t="s">
        <v>75</v>
      </c>
      <c r="K193" t="s">
        <v>1429</v>
      </c>
      <c r="L193" t="s">
        <v>20</v>
      </c>
      <c r="M193" t="s">
        <v>1430</v>
      </c>
      <c r="N193" s="59">
        <v>33000</v>
      </c>
      <c r="O193" s="59">
        <v>1116918000</v>
      </c>
      <c r="P193" s="59">
        <v>1270053.0060837409</v>
      </c>
      <c r="Q193" s="59">
        <v>0</v>
      </c>
      <c r="R193" s="59">
        <v>0</v>
      </c>
      <c r="S193" s="59">
        <v>1115647946.9939163</v>
      </c>
      <c r="T193" s="41"/>
      <c r="U193" s="41"/>
      <c r="V193" s="41"/>
      <c r="W193" s="41"/>
      <c r="X193" s="41"/>
      <c r="Y193" s="41"/>
      <c r="Z193" s="41"/>
      <c r="AA193" s="41"/>
      <c r="AB193" s="41"/>
      <c r="AC193" s="41"/>
      <c r="AD193" s="41"/>
      <c r="AE193" s="59">
        <v>44528.994012544055</v>
      </c>
      <c r="AF193" s="59">
        <v>44579.685794710553</v>
      </c>
      <c r="AG193" s="59" t="s">
        <v>5</v>
      </c>
      <c r="AH193" s="59" t="s">
        <v>1204</v>
      </c>
    </row>
    <row r="194" spans="1:34" x14ac:dyDescent="0.35">
      <c r="A194" s="58">
        <v>2024</v>
      </c>
      <c r="B194" s="58">
        <v>4</v>
      </c>
      <c r="C194">
        <v>4</v>
      </c>
      <c r="D194" s="58" t="s">
        <v>1518</v>
      </c>
      <c r="E194" t="s">
        <v>1172</v>
      </c>
      <c r="F194" s="58" t="s">
        <v>784</v>
      </c>
      <c r="G194" t="s">
        <v>785</v>
      </c>
      <c r="H194" s="58" t="s">
        <v>4</v>
      </c>
      <c r="I194" t="s">
        <v>4</v>
      </c>
      <c r="J194" s="58" t="s">
        <v>4</v>
      </c>
      <c r="K194" t="s">
        <v>1429</v>
      </c>
      <c r="L194" t="s">
        <v>20</v>
      </c>
      <c r="M194" t="s">
        <v>1430</v>
      </c>
      <c r="N194" s="59">
        <v>225</v>
      </c>
      <c r="O194" s="59">
        <v>7056000</v>
      </c>
      <c r="P194" s="59">
        <v>0</v>
      </c>
      <c r="Q194" s="59">
        <v>0</v>
      </c>
      <c r="R194" s="59">
        <v>0</v>
      </c>
      <c r="S194" s="59">
        <v>7056000</v>
      </c>
      <c r="T194" s="41"/>
      <c r="U194" s="41"/>
      <c r="V194" s="41"/>
      <c r="W194" s="41"/>
      <c r="X194" s="41"/>
      <c r="Y194" s="41"/>
      <c r="Z194" s="41"/>
      <c r="AA194" s="41"/>
      <c r="AB194" s="41"/>
      <c r="AC194" s="41"/>
      <c r="AD194" s="41"/>
      <c r="AE194" s="59">
        <v>281.62699765558227</v>
      </c>
      <c r="AF194" s="59">
        <v>281.62699765558227</v>
      </c>
      <c r="AG194" s="59" t="s">
        <v>1172</v>
      </c>
      <c r="AH194" s="59" t="s">
        <v>1186</v>
      </c>
    </row>
    <row r="195" spans="1:34" x14ac:dyDescent="0.35">
      <c r="A195" s="58">
        <v>2024</v>
      </c>
      <c r="B195" s="58">
        <v>4</v>
      </c>
      <c r="C195">
        <v>4</v>
      </c>
      <c r="D195" s="58" t="s">
        <v>1526</v>
      </c>
      <c r="E195" t="s">
        <v>1180</v>
      </c>
      <c r="F195" s="58" t="s">
        <v>172</v>
      </c>
      <c r="G195" t="s">
        <v>734</v>
      </c>
      <c r="H195" s="58" t="s">
        <v>4</v>
      </c>
      <c r="I195" t="s">
        <v>4</v>
      </c>
      <c r="J195" s="58" t="s">
        <v>4</v>
      </c>
      <c r="K195" t="s">
        <v>1429</v>
      </c>
      <c r="L195" t="s">
        <v>20</v>
      </c>
      <c r="M195" t="s">
        <v>1430</v>
      </c>
      <c r="N195" s="59">
        <v>4400</v>
      </c>
      <c r="O195" s="59">
        <v>146183400</v>
      </c>
      <c r="P195" s="59">
        <v>851833.53135313536</v>
      </c>
      <c r="Q195" s="59">
        <v>0</v>
      </c>
      <c r="R195" s="59">
        <v>0</v>
      </c>
      <c r="S195" s="59">
        <v>145331566.46864685</v>
      </c>
      <c r="T195" s="41"/>
      <c r="U195" s="41"/>
      <c r="V195" s="41"/>
      <c r="W195" s="41"/>
      <c r="X195" s="41"/>
      <c r="Y195" s="41"/>
      <c r="Z195" s="41"/>
      <c r="AA195" s="41"/>
      <c r="AB195" s="41"/>
      <c r="AC195" s="41"/>
      <c r="AD195" s="41"/>
      <c r="AE195" s="59">
        <v>5800.6367246524533</v>
      </c>
      <c r="AF195" s="59">
        <v>5834.6360613782663</v>
      </c>
      <c r="AG195" s="59" t="s">
        <v>1180</v>
      </c>
      <c r="AH195" s="59" t="s">
        <v>1175</v>
      </c>
    </row>
    <row r="196" spans="1:34" x14ac:dyDescent="0.35">
      <c r="A196" s="58">
        <v>2024</v>
      </c>
      <c r="B196" s="58">
        <v>4</v>
      </c>
      <c r="C196">
        <v>4</v>
      </c>
      <c r="D196" s="58" t="s">
        <v>606</v>
      </c>
      <c r="E196" t="s">
        <v>325</v>
      </c>
      <c r="F196" s="58" t="s">
        <v>168</v>
      </c>
      <c r="G196" t="s">
        <v>700</v>
      </c>
      <c r="H196" s="58" t="s">
        <v>4</v>
      </c>
      <c r="I196" t="s">
        <v>4</v>
      </c>
      <c r="J196" s="58" t="s">
        <v>4</v>
      </c>
      <c r="K196" t="s">
        <v>1429</v>
      </c>
      <c r="L196" t="s">
        <v>20</v>
      </c>
      <c r="M196" t="s">
        <v>1430</v>
      </c>
      <c r="N196" s="59">
        <v>44000</v>
      </c>
      <c r="O196" s="59">
        <v>1555127200.0000002</v>
      </c>
      <c r="P196" s="59">
        <v>8518335.3135313541</v>
      </c>
      <c r="Q196" s="59">
        <v>0</v>
      </c>
      <c r="R196" s="59">
        <v>6160000</v>
      </c>
      <c r="S196" s="59">
        <v>1540448864.6864688</v>
      </c>
      <c r="T196" s="41"/>
      <c r="U196" s="41"/>
      <c r="V196" s="41"/>
      <c r="W196" s="41"/>
      <c r="X196" s="41"/>
      <c r="Y196" s="41"/>
      <c r="Z196" s="41"/>
      <c r="AA196" s="41"/>
      <c r="AB196" s="41"/>
      <c r="AC196" s="41"/>
      <c r="AD196" s="41"/>
      <c r="AE196" s="59">
        <v>61484.12539733568</v>
      </c>
      <c r="AF196" s="59">
        <v>62069.983603816938</v>
      </c>
      <c r="AG196" s="59" t="s">
        <v>8</v>
      </c>
      <c r="AH196" s="59" t="s">
        <v>1160</v>
      </c>
    </row>
    <row r="197" spans="1:34" x14ac:dyDescent="0.35">
      <c r="A197" s="58">
        <v>2024</v>
      </c>
      <c r="B197" s="58">
        <v>4</v>
      </c>
      <c r="C197">
        <v>4</v>
      </c>
      <c r="D197" s="58" t="s">
        <v>634</v>
      </c>
      <c r="E197" t="s">
        <v>148</v>
      </c>
      <c r="F197" s="58" t="s">
        <v>182</v>
      </c>
      <c r="G197" t="s">
        <v>905</v>
      </c>
      <c r="H197" s="58" t="s">
        <v>74</v>
      </c>
      <c r="I197" t="s">
        <v>74</v>
      </c>
      <c r="J197" s="58" t="s">
        <v>74</v>
      </c>
      <c r="K197" t="s">
        <v>1429</v>
      </c>
      <c r="L197" t="s">
        <v>20</v>
      </c>
      <c r="M197" t="s">
        <v>1430</v>
      </c>
      <c r="N197" s="59">
        <v>5500</v>
      </c>
      <c r="O197" s="59">
        <v>108372000</v>
      </c>
      <c r="P197" s="59">
        <v>0</v>
      </c>
      <c r="Q197" s="59">
        <v>0</v>
      </c>
      <c r="R197" s="59">
        <v>0</v>
      </c>
      <c r="S197" s="59">
        <v>108372000</v>
      </c>
      <c r="T197" s="41"/>
      <c r="U197" s="41"/>
      <c r="V197" s="41"/>
      <c r="W197" s="41"/>
      <c r="X197" s="41"/>
      <c r="Y197" s="41"/>
      <c r="Z197" s="41"/>
      <c r="AA197" s="41"/>
      <c r="AB197" s="41"/>
      <c r="AC197" s="41"/>
      <c r="AD197" s="41"/>
      <c r="AE197" s="59">
        <v>4325.4649929040197</v>
      </c>
      <c r="AF197" s="59">
        <v>4325.4649929040197</v>
      </c>
      <c r="AG197" s="59" t="s">
        <v>148</v>
      </c>
      <c r="AH197" s="59" t="s">
        <v>1242</v>
      </c>
    </row>
    <row r="198" spans="1:34" x14ac:dyDescent="0.35">
      <c r="A198" s="58">
        <v>2024</v>
      </c>
      <c r="B198" s="58">
        <v>4</v>
      </c>
      <c r="C198">
        <v>4</v>
      </c>
      <c r="D198" s="58" t="s">
        <v>602</v>
      </c>
      <c r="E198" t="s">
        <v>122</v>
      </c>
      <c r="F198" s="58" t="s">
        <v>171</v>
      </c>
      <c r="G198" t="s">
        <v>731</v>
      </c>
      <c r="H198" s="58" t="s">
        <v>4</v>
      </c>
      <c r="I198" t="s">
        <v>4</v>
      </c>
      <c r="J198" s="58" t="s">
        <v>4</v>
      </c>
      <c r="K198" t="s">
        <v>1476</v>
      </c>
      <c r="L198" t="s">
        <v>1477</v>
      </c>
      <c r="M198" t="s">
        <v>1430</v>
      </c>
      <c r="N198" s="59">
        <v>110000</v>
      </c>
      <c r="O198" s="59">
        <v>3277736000</v>
      </c>
      <c r="P198" s="59">
        <v>8850000</v>
      </c>
      <c r="Q198" s="59">
        <v>0</v>
      </c>
      <c r="R198" s="59">
        <v>46034265</v>
      </c>
      <c r="S198" s="59">
        <v>3222851735</v>
      </c>
      <c r="T198" s="41"/>
      <c r="U198" s="41"/>
      <c r="V198" s="41"/>
      <c r="W198" s="41"/>
      <c r="X198" s="41"/>
      <c r="Y198" s="41"/>
      <c r="Z198" s="41"/>
      <c r="AA198" s="41"/>
      <c r="AB198" s="41"/>
      <c r="AC198" s="41"/>
      <c r="AD198" s="41"/>
      <c r="AE198" s="59">
        <v>128707.78626173025</v>
      </c>
      <c r="AF198" s="59">
        <v>130900</v>
      </c>
      <c r="AG198" s="59" t="s">
        <v>122</v>
      </c>
      <c r="AH198" s="59" t="s">
        <v>1166</v>
      </c>
    </row>
    <row r="199" spans="1:34" x14ac:dyDescent="0.35">
      <c r="A199" s="58">
        <v>2024</v>
      </c>
      <c r="B199" s="58">
        <v>4</v>
      </c>
      <c r="C199">
        <v>4</v>
      </c>
      <c r="D199" s="58" t="s">
        <v>587</v>
      </c>
      <c r="E199" t="s">
        <v>6</v>
      </c>
      <c r="F199" s="58" t="s">
        <v>171</v>
      </c>
      <c r="G199" t="s">
        <v>731</v>
      </c>
      <c r="H199" s="58" t="s">
        <v>4</v>
      </c>
      <c r="I199" t="s">
        <v>4</v>
      </c>
      <c r="J199" s="58" t="s">
        <v>4</v>
      </c>
      <c r="K199" t="s">
        <v>1476</v>
      </c>
      <c r="L199" t="s">
        <v>1509</v>
      </c>
      <c r="M199" t="s">
        <v>1430</v>
      </c>
      <c r="N199" s="59">
        <v>110000</v>
      </c>
      <c r="O199" s="59">
        <v>3321120000</v>
      </c>
      <c r="P199" s="59">
        <v>8850000</v>
      </c>
      <c r="Q199" s="59">
        <v>49816800</v>
      </c>
      <c r="R199" s="59">
        <v>44637408</v>
      </c>
      <c r="S199" s="59">
        <v>3217815792</v>
      </c>
      <c r="T199" s="41"/>
      <c r="U199" s="41"/>
      <c r="V199" s="41"/>
      <c r="W199" s="41"/>
      <c r="X199" s="41"/>
      <c r="Y199" s="41"/>
      <c r="Z199" s="41"/>
      <c r="AA199" s="41"/>
      <c r="AB199" s="41"/>
      <c r="AC199" s="41"/>
      <c r="AD199" s="41"/>
      <c r="AE199" s="59">
        <v>127894.1093799682</v>
      </c>
      <c r="AF199" s="59">
        <v>132000</v>
      </c>
      <c r="AG199" s="59" t="s">
        <v>6</v>
      </c>
      <c r="AH199" s="59" t="s">
        <v>1166</v>
      </c>
    </row>
    <row r="200" spans="1:34" x14ac:dyDescent="0.35">
      <c r="A200" s="58">
        <v>2024</v>
      </c>
      <c r="B200" s="58">
        <v>4</v>
      </c>
      <c r="C200">
        <v>4</v>
      </c>
      <c r="D200" s="58" t="s">
        <v>587</v>
      </c>
      <c r="E200" t="s">
        <v>6</v>
      </c>
      <c r="F200" s="58" t="s">
        <v>171</v>
      </c>
      <c r="G200" t="s">
        <v>731</v>
      </c>
      <c r="H200" s="58" t="s">
        <v>4</v>
      </c>
      <c r="I200" t="s">
        <v>4</v>
      </c>
      <c r="J200" s="58" t="s">
        <v>4</v>
      </c>
      <c r="K200" t="s">
        <v>1476</v>
      </c>
      <c r="L200" t="s">
        <v>1477</v>
      </c>
      <c r="M200" t="s">
        <v>1430</v>
      </c>
      <c r="N200" s="59">
        <v>814000</v>
      </c>
      <c r="O200" s="59">
        <v>24238104000</v>
      </c>
      <c r="P200" s="59">
        <v>65490000</v>
      </c>
      <c r="Q200" s="59">
        <v>363571560</v>
      </c>
      <c r="R200" s="59">
        <v>302319434.99999994</v>
      </c>
      <c r="S200" s="59">
        <v>23506723004.999989</v>
      </c>
      <c r="T200" s="41"/>
      <c r="U200" s="41"/>
      <c r="V200" s="41"/>
      <c r="W200" s="41"/>
      <c r="X200" s="41"/>
      <c r="Y200" s="41"/>
      <c r="Z200" s="41"/>
      <c r="AA200" s="41"/>
      <c r="AB200" s="41"/>
      <c r="AC200" s="41"/>
      <c r="AD200" s="41"/>
      <c r="AE200" s="59">
        <v>947325.19654862513</v>
      </c>
      <c r="AF200" s="59">
        <v>976800</v>
      </c>
      <c r="AG200" s="59" t="s">
        <v>6</v>
      </c>
      <c r="AH200" s="59" t="s">
        <v>1166</v>
      </c>
    </row>
    <row r="201" spans="1:34" x14ac:dyDescent="0.35">
      <c r="A201" s="58">
        <v>2024</v>
      </c>
      <c r="B201" s="58">
        <v>4</v>
      </c>
      <c r="C201">
        <v>4</v>
      </c>
      <c r="D201" s="58" t="s">
        <v>1527</v>
      </c>
      <c r="E201" t="s">
        <v>1179</v>
      </c>
      <c r="F201" s="58" t="s">
        <v>174</v>
      </c>
      <c r="G201" t="s">
        <v>740</v>
      </c>
      <c r="H201" s="58" t="s">
        <v>4</v>
      </c>
      <c r="I201" t="s">
        <v>4</v>
      </c>
      <c r="J201" s="58" t="s">
        <v>4</v>
      </c>
      <c r="K201" t="s">
        <v>1476</v>
      </c>
      <c r="L201" t="s">
        <v>1528</v>
      </c>
      <c r="M201" t="s">
        <v>1430</v>
      </c>
      <c r="N201" s="59">
        <v>1100</v>
      </c>
      <c r="O201" s="59">
        <v>33211200</v>
      </c>
      <c r="P201" s="59">
        <v>177000</v>
      </c>
      <c r="Q201" s="59">
        <v>0</v>
      </c>
      <c r="R201" s="59">
        <v>4086479.8</v>
      </c>
      <c r="S201" s="59">
        <v>28947720.199999999</v>
      </c>
      <c r="T201" s="41"/>
      <c r="U201" s="41"/>
      <c r="V201" s="41"/>
      <c r="W201" s="41"/>
      <c r="X201" s="41"/>
      <c r="Y201" s="41"/>
      <c r="Z201" s="41"/>
      <c r="AA201" s="41"/>
      <c r="AB201" s="41"/>
      <c r="AC201" s="41"/>
      <c r="AD201" s="41"/>
      <c r="AE201" s="59">
        <v>1150.5453179650237</v>
      </c>
      <c r="AF201" s="59">
        <v>1320</v>
      </c>
      <c r="AG201" s="59" t="s">
        <v>1179</v>
      </c>
      <c r="AH201" s="59" t="s">
        <v>1185</v>
      </c>
    </row>
    <row r="202" spans="1:34" x14ac:dyDescent="0.35">
      <c r="A202" s="58">
        <v>2024</v>
      </c>
      <c r="B202" s="58">
        <v>4</v>
      </c>
      <c r="C202">
        <v>4</v>
      </c>
      <c r="D202" s="58" t="s">
        <v>588</v>
      </c>
      <c r="E202" t="s">
        <v>9</v>
      </c>
      <c r="F202" s="58" t="s">
        <v>172</v>
      </c>
      <c r="G202" t="s">
        <v>734</v>
      </c>
      <c r="H202" s="58" t="s">
        <v>4</v>
      </c>
      <c r="I202" t="s">
        <v>4</v>
      </c>
      <c r="J202" s="58" t="s">
        <v>4</v>
      </c>
      <c r="K202" t="s">
        <v>1476</v>
      </c>
      <c r="L202" t="s">
        <v>1501</v>
      </c>
      <c r="M202" t="s">
        <v>1430</v>
      </c>
      <c r="N202" s="59">
        <v>660000</v>
      </c>
      <c r="O202" s="59">
        <v>22731508800</v>
      </c>
      <c r="P202" s="59">
        <v>53100000</v>
      </c>
      <c r="Q202" s="59">
        <v>0</v>
      </c>
      <c r="R202" s="59">
        <v>1698042205.9999988</v>
      </c>
      <c r="S202" s="59">
        <v>20980366594.000008</v>
      </c>
      <c r="T202" s="41"/>
      <c r="U202" s="41"/>
      <c r="V202" s="41"/>
      <c r="W202" s="41"/>
      <c r="X202" s="41"/>
      <c r="Y202" s="41"/>
      <c r="Z202" s="41"/>
      <c r="AA202" s="41"/>
      <c r="AB202" s="41"/>
      <c r="AC202" s="41"/>
      <c r="AD202" s="41"/>
      <c r="AE202" s="59">
        <v>831498.33105544245</v>
      </c>
      <c r="AF202" s="59">
        <v>900900</v>
      </c>
      <c r="AG202" s="59" t="s">
        <v>9</v>
      </c>
      <c r="AH202" s="59" t="s">
        <v>1175</v>
      </c>
    </row>
    <row r="203" spans="1:34" x14ac:dyDescent="0.35">
      <c r="A203" s="58">
        <v>2024</v>
      </c>
      <c r="B203" s="58">
        <v>4</v>
      </c>
      <c r="C203">
        <v>4</v>
      </c>
      <c r="D203" s="58" t="s">
        <v>618</v>
      </c>
      <c r="E203" t="s">
        <v>143</v>
      </c>
      <c r="F203" s="58" t="s">
        <v>174</v>
      </c>
      <c r="G203" t="s">
        <v>740</v>
      </c>
      <c r="H203" s="58" t="s">
        <v>4</v>
      </c>
      <c r="I203" t="s">
        <v>4</v>
      </c>
      <c r="J203" s="58" t="s">
        <v>4</v>
      </c>
      <c r="K203" t="s">
        <v>1476</v>
      </c>
      <c r="L203" t="s">
        <v>1477</v>
      </c>
      <c r="M203" t="s">
        <v>1430</v>
      </c>
      <c r="N203" s="59">
        <v>440000</v>
      </c>
      <c r="O203" s="59">
        <v>12117270000</v>
      </c>
      <c r="P203" s="59">
        <v>35400000</v>
      </c>
      <c r="Q203" s="59">
        <v>242345400</v>
      </c>
      <c r="R203" s="59">
        <v>168726221</v>
      </c>
      <c r="S203" s="59">
        <v>11670798379</v>
      </c>
      <c r="T203" s="41"/>
      <c r="U203" s="41"/>
      <c r="V203" s="41"/>
      <c r="W203" s="41"/>
      <c r="X203" s="41"/>
      <c r="Y203" s="41"/>
      <c r="Z203" s="41"/>
      <c r="AA203" s="41"/>
      <c r="AB203" s="41"/>
      <c r="AC203" s="41"/>
      <c r="AD203" s="41"/>
      <c r="AE203" s="59">
        <v>464047.6492644134</v>
      </c>
      <c r="AF203" s="59">
        <v>481800</v>
      </c>
      <c r="AG203" s="59" t="s">
        <v>143</v>
      </c>
      <c r="AH203" s="59" t="s">
        <v>1185</v>
      </c>
    </row>
    <row r="204" spans="1:34" x14ac:dyDescent="0.35">
      <c r="A204" s="58">
        <v>2024</v>
      </c>
      <c r="B204" s="58">
        <v>4</v>
      </c>
      <c r="C204">
        <v>4</v>
      </c>
      <c r="D204" s="58" t="s">
        <v>1529</v>
      </c>
      <c r="E204" t="s">
        <v>1243</v>
      </c>
      <c r="F204" s="58" t="s">
        <v>182</v>
      </c>
      <c r="G204" t="s">
        <v>905</v>
      </c>
      <c r="H204" s="58" t="s">
        <v>74</v>
      </c>
      <c r="I204" t="s">
        <v>74</v>
      </c>
      <c r="J204" s="58" t="s">
        <v>74</v>
      </c>
      <c r="K204" t="s">
        <v>1476</v>
      </c>
      <c r="L204" t="s">
        <v>1477</v>
      </c>
      <c r="M204" t="s">
        <v>1430</v>
      </c>
      <c r="N204" s="59">
        <v>220000</v>
      </c>
      <c r="O204" s="59">
        <v>4426400000</v>
      </c>
      <c r="P204" s="59">
        <v>17700000</v>
      </c>
      <c r="Q204" s="59">
        <v>55330000</v>
      </c>
      <c r="R204" s="59">
        <v>714789120</v>
      </c>
      <c r="S204" s="59">
        <v>3638580880</v>
      </c>
      <c r="T204" s="41"/>
      <c r="U204" s="41"/>
      <c r="V204" s="41"/>
      <c r="W204" s="41"/>
      <c r="X204" s="41"/>
      <c r="Y204" s="41"/>
      <c r="Z204" s="41"/>
      <c r="AA204" s="41"/>
      <c r="AB204" s="41"/>
      <c r="AC204" s="41"/>
      <c r="AD204" s="41"/>
      <c r="AE204" s="59">
        <v>144675.18409542742</v>
      </c>
      <c r="AF204" s="59">
        <v>176000</v>
      </c>
      <c r="AG204" s="59" t="s">
        <v>1243</v>
      </c>
      <c r="AH204" s="59" t="s">
        <v>1242</v>
      </c>
    </row>
    <row r="205" spans="1:34" x14ac:dyDescent="0.35">
      <c r="A205" s="58">
        <v>2024</v>
      </c>
      <c r="B205" s="58">
        <v>4</v>
      </c>
      <c r="C205">
        <v>4</v>
      </c>
      <c r="D205" s="58" t="s">
        <v>1481</v>
      </c>
      <c r="E205" t="s">
        <v>1296</v>
      </c>
      <c r="F205" s="58" t="s">
        <v>1482</v>
      </c>
      <c r="G205" t="s">
        <v>1483</v>
      </c>
      <c r="H205" s="58" t="s">
        <v>1012</v>
      </c>
      <c r="I205" t="s">
        <v>1012</v>
      </c>
      <c r="J205" s="58" t="s">
        <v>1012</v>
      </c>
      <c r="K205" t="s">
        <v>1429</v>
      </c>
      <c r="L205" t="s">
        <v>20</v>
      </c>
      <c r="M205" t="s">
        <v>1430</v>
      </c>
      <c r="N205" s="59">
        <v>0</v>
      </c>
      <c r="O205" s="59">
        <v>57000000</v>
      </c>
      <c r="P205" s="59">
        <v>0</v>
      </c>
      <c r="Q205" s="59">
        <v>0</v>
      </c>
      <c r="R205" s="59">
        <v>0</v>
      </c>
      <c r="S205" s="59">
        <v>57000000</v>
      </c>
      <c r="T205" s="41"/>
      <c r="U205" s="41"/>
      <c r="V205" s="41"/>
      <c r="W205" s="41"/>
      <c r="X205" s="41"/>
      <c r="Y205" s="41"/>
      <c r="Z205" s="41"/>
      <c r="AA205" s="41"/>
      <c r="AB205" s="41"/>
      <c r="AC205" s="41"/>
      <c r="AD205" s="41"/>
      <c r="AE205" s="59">
        <v>2275.0480252789384</v>
      </c>
      <c r="AF205" s="59">
        <v>2275.0480252789384</v>
      </c>
      <c r="AG205" s="59" t="s">
        <v>1296</v>
      </c>
      <c r="AH205" s="59" t="s">
        <v>1325</v>
      </c>
    </row>
    <row r="206" spans="1:34" x14ac:dyDescent="0.35">
      <c r="A206" s="58">
        <v>2024</v>
      </c>
      <c r="B206" s="58">
        <v>4</v>
      </c>
      <c r="C206">
        <v>4</v>
      </c>
      <c r="D206" s="58" t="s">
        <v>1484</v>
      </c>
      <c r="E206" t="s">
        <v>1298</v>
      </c>
      <c r="F206" s="58" t="s">
        <v>1482</v>
      </c>
      <c r="G206" t="s">
        <v>1483</v>
      </c>
      <c r="H206" s="58" t="s">
        <v>1012</v>
      </c>
      <c r="I206" t="s">
        <v>1012</v>
      </c>
      <c r="J206" s="58" t="s">
        <v>1012</v>
      </c>
      <c r="K206" t="s">
        <v>1429</v>
      </c>
      <c r="L206" t="s">
        <v>20</v>
      </c>
      <c r="M206" t="s">
        <v>1430</v>
      </c>
      <c r="N206" s="59">
        <v>0</v>
      </c>
      <c r="O206" s="59">
        <v>4500000</v>
      </c>
      <c r="P206" s="59">
        <v>0</v>
      </c>
      <c r="Q206" s="59">
        <v>0</v>
      </c>
      <c r="R206" s="59">
        <v>0</v>
      </c>
      <c r="S206" s="59">
        <v>4500000</v>
      </c>
      <c r="T206" s="41"/>
      <c r="U206" s="41"/>
      <c r="V206" s="41"/>
      <c r="W206" s="41"/>
      <c r="X206" s="41"/>
      <c r="Y206" s="41"/>
      <c r="Z206" s="41"/>
      <c r="AA206" s="41"/>
      <c r="AB206" s="41"/>
      <c r="AC206" s="41"/>
      <c r="AD206" s="41"/>
      <c r="AE206" s="59">
        <v>179.60905462728462</v>
      </c>
      <c r="AF206" s="59">
        <v>179.60905462728462</v>
      </c>
      <c r="AG206" s="59" t="s">
        <v>1298</v>
      </c>
      <c r="AH206" s="59" t="s">
        <v>1325</v>
      </c>
    </row>
    <row r="207" spans="1:34" x14ac:dyDescent="0.35">
      <c r="A207" s="58">
        <v>2024</v>
      </c>
      <c r="B207" s="58">
        <v>4</v>
      </c>
      <c r="C207">
        <v>4</v>
      </c>
      <c r="D207" s="58" t="s">
        <v>1485</v>
      </c>
      <c r="E207" t="s">
        <v>1318</v>
      </c>
      <c r="F207" s="58" t="s">
        <v>1486</v>
      </c>
      <c r="G207" t="s">
        <v>1487</v>
      </c>
      <c r="H207" s="58" t="s">
        <v>1012</v>
      </c>
      <c r="I207" t="s">
        <v>1012</v>
      </c>
      <c r="J207" s="58" t="s">
        <v>1012</v>
      </c>
      <c r="K207" t="s">
        <v>1429</v>
      </c>
      <c r="L207" t="s">
        <v>20</v>
      </c>
      <c r="M207" t="s">
        <v>1430</v>
      </c>
      <c r="N207" s="59">
        <v>0</v>
      </c>
      <c r="O207" s="59">
        <v>0</v>
      </c>
      <c r="P207" s="59">
        <v>0</v>
      </c>
      <c r="Q207" s="59">
        <v>0</v>
      </c>
      <c r="R207" s="59">
        <v>0</v>
      </c>
      <c r="S207" s="59">
        <v>0</v>
      </c>
      <c r="T207" s="41"/>
      <c r="U207" s="41"/>
      <c r="V207" s="41"/>
      <c r="W207" s="41"/>
      <c r="X207" s="41"/>
      <c r="Y207" s="41"/>
      <c r="Z207" s="41"/>
      <c r="AA207" s="41"/>
      <c r="AB207" s="41"/>
      <c r="AC207" s="41"/>
      <c r="AD207" s="41"/>
      <c r="AE207" s="59">
        <v>0</v>
      </c>
      <c r="AF207" s="59">
        <v>0</v>
      </c>
      <c r="AG207" s="59" t="s">
        <v>1318</v>
      </c>
      <c r="AH207" s="59" t="s">
        <v>1317</v>
      </c>
    </row>
    <row r="208" spans="1:34" x14ac:dyDescent="0.35">
      <c r="A208" s="58">
        <v>2024</v>
      </c>
      <c r="B208" s="58">
        <v>4</v>
      </c>
      <c r="C208">
        <v>4</v>
      </c>
      <c r="D208" s="58" t="s">
        <v>1488</v>
      </c>
      <c r="E208" t="s">
        <v>1275</v>
      </c>
      <c r="F208" s="58" t="s">
        <v>1489</v>
      </c>
      <c r="G208" t="s">
        <v>1490</v>
      </c>
      <c r="H208" s="58" t="s">
        <v>1012</v>
      </c>
      <c r="I208" t="s">
        <v>1012</v>
      </c>
      <c r="J208" s="58" t="s">
        <v>1012</v>
      </c>
      <c r="K208" t="s">
        <v>1429</v>
      </c>
      <c r="L208" t="s">
        <v>20</v>
      </c>
      <c r="M208" t="s">
        <v>1430</v>
      </c>
      <c r="N208" s="59">
        <v>0</v>
      </c>
      <c r="O208" s="59">
        <v>0</v>
      </c>
      <c r="P208" s="59">
        <v>0</v>
      </c>
      <c r="Q208" s="59">
        <v>0</v>
      </c>
      <c r="R208" s="59">
        <v>0</v>
      </c>
      <c r="S208" s="59">
        <v>0</v>
      </c>
      <c r="T208" s="41"/>
      <c r="U208" s="41"/>
      <c r="V208" s="41"/>
      <c r="W208" s="41"/>
      <c r="X208" s="41"/>
      <c r="Y208" s="41"/>
      <c r="Z208" s="41"/>
      <c r="AA208" s="41"/>
      <c r="AB208" s="41"/>
      <c r="AC208" s="41"/>
      <c r="AD208" s="41"/>
      <c r="AE208" s="59">
        <v>0</v>
      </c>
      <c r="AF208" s="59">
        <v>0</v>
      </c>
      <c r="AG208" s="59" t="s">
        <v>1275</v>
      </c>
      <c r="AH208" s="59" t="s">
        <v>1274</v>
      </c>
    </row>
    <row r="209" spans="1:34" x14ac:dyDescent="0.35">
      <c r="A209" s="58">
        <v>2024</v>
      </c>
      <c r="B209" s="58">
        <v>4</v>
      </c>
      <c r="C209">
        <v>4</v>
      </c>
      <c r="D209" s="58" t="s">
        <v>1491</v>
      </c>
      <c r="E209" t="s">
        <v>1264</v>
      </c>
      <c r="F209" s="58" t="s">
        <v>1492</v>
      </c>
      <c r="G209" t="s">
        <v>1493</v>
      </c>
      <c r="H209" s="58" t="s">
        <v>1012</v>
      </c>
      <c r="I209" t="s">
        <v>1012</v>
      </c>
      <c r="J209" s="58" t="s">
        <v>1012</v>
      </c>
      <c r="K209" t="s">
        <v>1429</v>
      </c>
      <c r="L209" t="s">
        <v>20</v>
      </c>
      <c r="M209" t="s">
        <v>1430</v>
      </c>
      <c r="N209" s="59">
        <v>0</v>
      </c>
      <c r="O209" s="59">
        <v>0.399993896484375</v>
      </c>
      <c r="P209" s="59">
        <v>-5310000</v>
      </c>
      <c r="Q209" s="59">
        <v>0</v>
      </c>
      <c r="R209" s="59">
        <v>350000.2</v>
      </c>
      <c r="S209" s="59">
        <v>4960000.1999938963</v>
      </c>
      <c r="T209" s="41"/>
      <c r="U209" s="41"/>
      <c r="V209" s="41"/>
      <c r="W209" s="41"/>
      <c r="X209" s="41"/>
      <c r="Y209" s="41"/>
      <c r="Z209" s="41"/>
      <c r="AA209" s="41"/>
      <c r="AB209" s="41"/>
      <c r="AC209" s="41"/>
      <c r="AD209" s="41"/>
      <c r="AE209" s="59">
        <v>197.9690993048992</v>
      </c>
      <c r="AF209" s="59">
        <v>1.5965005689831676E-5</v>
      </c>
      <c r="AG209" s="59" t="s">
        <v>1264</v>
      </c>
      <c r="AH209" s="59" t="s">
        <v>1269</v>
      </c>
    </row>
    <row r="210" spans="1:34" x14ac:dyDescent="0.35">
      <c r="A210" s="58">
        <v>2024</v>
      </c>
      <c r="B210" s="58">
        <v>4</v>
      </c>
      <c r="C210">
        <v>4</v>
      </c>
      <c r="D210" s="58" t="s">
        <v>1491</v>
      </c>
      <c r="E210" t="s">
        <v>1264</v>
      </c>
      <c r="F210" s="58" t="s">
        <v>1512</v>
      </c>
      <c r="G210" t="s">
        <v>1513</v>
      </c>
      <c r="H210" s="58" t="s">
        <v>1012</v>
      </c>
      <c r="I210" t="s">
        <v>1012</v>
      </c>
      <c r="J210" s="58" t="s">
        <v>1391</v>
      </c>
      <c r="K210" t="s">
        <v>1429</v>
      </c>
      <c r="L210" t="s">
        <v>20</v>
      </c>
      <c r="M210" t="s">
        <v>1430</v>
      </c>
      <c r="N210" s="59">
        <v>0</v>
      </c>
      <c r="O210" s="59">
        <v>0</v>
      </c>
      <c r="P210" s="59">
        <v>0</v>
      </c>
      <c r="Q210" s="59">
        <v>277650000</v>
      </c>
      <c r="R210" s="59">
        <v>0</v>
      </c>
      <c r="S210" s="59">
        <v>-277650000</v>
      </c>
      <c r="T210" s="41"/>
      <c r="U210" s="41"/>
      <c r="V210" s="41"/>
      <c r="W210" s="41"/>
      <c r="X210" s="41"/>
      <c r="Y210" s="41"/>
      <c r="Z210" s="41"/>
      <c r="AA210" s="41"/>
      <c r="AB210" s="41"/>
      <c r="AC210" s="41"/>
      <c r="AD210" s="41"/>
      <c r="AE210" s="59">
        <v>-11081.878670503462</v>
      </c>
      <c r="AF210" s="59">
        <v>0</v>
      </c>
      <c r="AG210" s="59" t="s">
        <v>1264</v>
      </c>
      <c r="AH210" s="59" t="s">
        <v>1392</v>
      </c>
    </row>
    <row r="211" spans="1:34" x14ac:dyDescent="0.35">
      <c r="A211" s="58">
        <v>2024</v>
      </c>
      <c r="B211" s="58">
        <v>4</v>
      </c>
      <c r="C211">
        <v>4</v>
      </c>
      <c r="D211" s="58" t="s">
        <v>1491</v>
      </c>
      <c r="E211" t="s">
        <v>1264</v>
      </c>
      <c r="F211" s="58" t="s">
        <v>1152</v>
      </c>
      <c r="G211" t="s">
        <v>1153</v>
      </c>
      <c r="H211" s="58" t="s">
        <v>1012</v>
      </c>
      <c r="I211" t="s">
        <v>1012</v>
      </c>
      <c r="J211" s="58" t="s">
        <v>1399</v>
      </c>
      <c r="K211" t="s">
        <v>1429</v>
      </c>
      <c r="L211" t="s">
        <v>20</v>
      </c>
      <c r="M211" t="s">
        <v>1430</v>
      </c>
      <c r="N211" s="59">
        <v>0</v>
      </c>
      <c r="O211" s="59">
        <v>0</v>
      </c>
      <c r="P211" s="59">
        <v>0</v>
      </c>
      <c r="Q211" s="59">
        <v>-41128472</v>
      </c>
      <c r="R211" s="59">
        <v>83923995</v>
      </c>
      <c r="S211" s="59">
        <v>-42795523</v>
      </c>
      <c r="T211" s="41"/>
      <c r="U211" s="41"/>
      <c r="V211" s="41"/>
      <c r="W211" s="41"/>
      <c r="X211" s="41"/>
      <c r="Y211" s="41"/>
      <c r="Z211" s="41"/>
      <c r="AA211" s="41"/>
      <c r="AB211" s="41"/>
      <c r="AC211" s="41"/>
      <c r="AD211" s="41"/>
      <c r="AE211" s="59">
        <v>-1708.102984068935</v>
      </c>
      <c r="AF211" s="59">
        <v>0</v>
      </c>
      <c r="AG211" s="59" t="s">
        <v>1264</v>
      </c>
      <c r="AH211" s="59" t="s">
        <v>1400</v>
      </c>
    </row>
    <row r="212" spans="1:34" x14ac:dyDescent="0.35">
      <c r="A212" s="58">
        <v>2024</v>
      </c>
      <c r="B212" s="58">
        <v>4</v>
      </c>
      <c r="C212">
        <v>4</v>
      </c>
      <c r="D212" s="58" t="s">
        <v>1491</v>
      </c>
      <c r="E212" t="s">
        <v>1264</v>
      </c>
      <c r="F212" s="58" t="s">
        <v>1494</v>
      </c>
      <c r="G212" t="s">
        <v>1495</v>
      </c>
      <c r="H212" s="58" t="s">
        <v>1012</v>
      </c>
      <c r="I212" t="s">
        <v>1012</v>
      </c>
      <c r="J212" s="58" t="s">
        <v>1397</v>
      </c>
      <c r="K212" t="s">
        <v>1429</v>
      </c>
      <c r="L212" t="s">
        <v>20</v>
      </c>
      <c r="M212" t="s">
        <v>1430</v>
      </c>
      <c r="N212" s="59">
        <v>0</v>
      </c>
      <c r="O212" s="59">
        <v>0</v>
      </c>
      <c r="P212" s="59">
        <v>0</v>
      </c>
      <c r="Q212" s="59">
        <v>0</v>
      </c>
      <c r="R212" s="59">
        <v>-12184994</v>
      </c>
      <c r="S212" s="59">
        <v>12184994</v>
      </c>
      <c r="T212" s="41"/>
      <c r="U212" s="41"/>
      <c r="V212" s="41"/>
      <c r="W212" s="41"/>
      <c r="X212" s="41"/>
      <c r="Y212" s="41"/>
      <c r="Z212" s="41"/>
      <c r="AA212" s="41"/>
      <c r="AB212" s="41"/>
      <c r="AC212" s="41"/>
      <c r="AD212" s="41"/>
      <c r="AE212" s="59">
        <v>486.34116732869677</v>
      </c>
      <c r="AF212" s="59">
        <v>0</v>
      </c>
      <c r="AG212" s="59" t="s">
        <v>1264</v>
      </c>
      <c r="AH212" s="59" t="s">
        <v>1398</v>
      </c>
    </row>
    <row r="213" spans="1:34" x14ac:dyDescent="0.35">
      <c r="A213" s="58">
        <v>2024</v>
      </c>
      <c r="B213" s="58">
        <v>4</v>
      </c>
      <c r="C213">
        <v>4</v>
      </c>
      <c r="D213" s="58" t="s">
        <v>1491</v>
      </c>
      <c r="E213" t="s">
        <v>1264</v>
      </c>
      <c r="F213" s="58" t="s">
        <v>1496</v>
      </c>
      <c r="G213" t="s">
        <v>1497</v>
      </c>
      <c r="H213" s="58" t="s">
        <v>1012</v>
      </c>
      <c r="I213" t="s">
        <v>1012</v>
      </c>
      <c r="J213" s="58" t="s">
        <v>1012</v>
      </c>
      <c r="K213" t="s">
        <v>1429</v>
      </c>
      <c r="L213" t="s">
        <v>20</v>
      </c>
      <c r="M213" t="s">
        <v>1430</v>
      </c>
      <c r="N213" s="59">
        <v>0</v>
      </c>
      <c r="O213" s="59">
        <v>0</v>
      </c>
      <c r="P213" s="59">
        <v>0</v>
      </c>
      <c r="Q213" s="59">
        <v>0</v>
      </c>
      <c r="R213" s="59">
        <v>0</v>
      </c>
      <c r="S213" s="59">
        <v>0</v>
      </c>
      <c r="T213" s="41"/>
      <c r="U213" s="41"/>
      <c r="V213" s="41"/>
      <c r="W213" s="41"/>
      <c r="X213" s="41"/>
      <c r="Y213" s="41"/>
      <c r="Z213" s="41"/>
      <c r="AA213" s="41"/>
      <c r="AB213" s="41"/>
      <c r="AC213" s="41"/>
      <c r="AD213" s="41"/>
      <c r="AE213" s="59">
        <v>0</v>
      </c>
      <c r="AF213" s="59">
        <v>0</v>
      </c>
      <c r="AG213" s="59" t="s">
        <v>1264</v>
      </c>
      <c r="AH213" s="59" t="s">
        <v>1329</v>
      </c>
    </row>
    <row r="214" spans="1:34" x14ac:dyDescent="0.35">
      <c r="A214" s="58">
        <v>2024</v>
      </c>
      <c r="B214" s="58">
        <v>5</v>
      </c>
      <c r="C214">
        <v>5</v>
      </c>
      <c r="D214" s="58" t="s">
        <v>625</v>
      </c>
      <c r="E214" t="s">
        <v>271</v>
      </c>
      <c r="F214" s="58" t="s">
        <v>167</v>
      </c>
      <c r="G214" t="s">
        <v>693</v>
      </c>
      <c r="H214" s="58" t="s">
        <v>4</v>
      </c>
      <c r="I214" t="s">
        <v>4</v>
      </c>
      <c r="J214" s="58" t="s">
        <v>4</v>
      </c>
      <c r="K214" t="s">
        <v>1429</v>
      </c>
      <c r="L214" t="s">
        <v>20</v>
      </c>
      <c r="M214" t="s">
        <v>1508</v>
      </c>
      <c r="N214" s="59">
        <v>-4400</v>
      </c>
      <c r="O214" s="59">
        <v>-136455000</v>
      </c>
      <c r="P214" s="59">
        <v>0</v>
      </c>
      <c r="Q214" s="59">
        <v>0</v>
      </c>
      <c r="R214" s="59">
        <v>0</v>
      </c>
      <c r="S214" s="59">
        <v>-136455000</v>
      </c>
      <c r="T214" s="41"/>
      <c r="U214" s="41"/>
      <c r="V214" s="41"/>
      <c r="W214" s="41"/>
      <c r="X214" s="41"/>
      <c r="Y214" s="41"/>
      <c r="Z214" s="41"/>
      <c r="AA214" s="41"/>
      <c r="AB214" s="41"/>
      <c r="AC214" s="41"/>
      <c r="AD214" s="41"/>
      <c r="AE214" s="59">
        <v>-5404.136957008569</v>
      </c>
      <c r="AF214" s="59">
        <v>-5404.136957008569</v>
      </c>
      <c r="AG214" s="59" t="s">
        <v>47</v>
      </c>
      <c r="AH214" s="59" t="s">
        <v>1156</v>
      </c>
    </row>
    <row r="215" spans="1:34" x14ac:dyDescent="0.35">
      <c r="A215" s="58">
        <v>2024</v>
      </c>
      <c r="B215" s="58">
        <v>5</v>
      </c>
      <c r="C215">
        <v>5</v>
      </c>
      <c r="D215" s="58" t="s">
        <v>625</v>
      </c>
      <c r="E215" t="s">
        <v>271</v>
      </c>
      <c r="F215" s="58" t="s">
        <v>184</v>
      </c>
      <c r="G215" t="s">
        <v>717</v>
      </c>
      <c r="H215" s="58" t="s">
        <v>1428</v>
      </c>
      <c r="I215" t="s">
        <v>75</v>
      </c>
      <c r="J215" s="58" t="s">
        <v>75</v>
      </c>
      <c r="K215" t="s">
        <v>1429</v>
      </c>
      <c r="L215" t="s">
        <v>20</v>
      </c>
      <c r="M215" t="s">
        <v>1431</v>
      </c>
      <c r="N215" s="59">
        <v>-2325</v>
      </c>
      <c r="O215" s="59">
        <v>0</v>
      </c>
      <c r="P215" s="59">
        <v>0</v>
      </c>
      <c r="Q215" s="59">
        <v>0</v>
      </c>
      <c r="R215" s="59">
        <v>0</v>
      </c>
      <c r="S215" s="59">
        <v>0</v>
      </c>
      <c r="T215" s="41"/>
      <c r="U215" s="41"/>
      <c r="V215" s="41"/>
      <c r="W215" s="41"/>
      <c r="X215" s="41"/>
      <c r="Y215" s="41"/>
      <c r="Z215" s="41"/>
      <c r="AA215" s="41"/>
      <c r="AB215" s="41"/>
      <c r="AC215" s="41"/>
      <c r="AD215" s="41"/>
      <c r="AE215" s="59">
        <v>0</v>
      </c>
      <c r="AF215" s="59">
        <v>0</v>
      </c>
      <c r="AG215" s="59" t="s">
        <v>47</v>
      </c>
      <c r="AH215" s="59" t="s">
        <v>1198</v>
      </c>
    </row>
    <row r="216" spans="1:34" x14ac:dyDescent="0.35">
      <c r="A216" s="58">
        <v>2024</v>
      </c>
      <c r="B216" s="58">
        <v>5</v>
      </c>
      <c r="C216">
        <v>5</v>
      </c>
      <c r="D216" s="58" t="s">
        <v>625</v>
      </c>
      <c r="E216" t="s">
        <v>271</v>
      </c>
      <c r="F216" s="58" t="s">
        <v>184</v>
      </c>
      <c r="G216" t="s">
        <v>717</v>
      </c>
      <c r="H216" s="58" t="s">
        <v>1428</v>
      </c>
      <c r="I216" t="s">
        <v>75</v>
      </c>
      <c r="J216" s="58" t="s">
        <v>75</v>
      </c>
      <c r="K216" t="s">
        <v>1429</v>
      </c>
      <c r="L216" t="s">
        <v>20</v>
      </c>
      <c r="M216" t="s">
        <v>1430</v>
      </c>
      <c r="N216" s="59">
        <v>99700</v>
      </c>
      <c r="O216" s="59">
        <v>3498871800</v>
      </c>
      <c r="P216" s="59">
        <v>5466597.42857143</v>
      </c>
      <c r="Q216" s="59">
        <v>0</v>
      </c>
      <c r="R216" s="59">
        <v>0</v>
      </c>
      <c r="S216" s="59">
        <v>3493405202.5714278</v>
      </c>
      <c r="T216" s="41"/>
      <c r="U216" s="41"/>
      <c r="V216" s="41"/>
      <c r="W216" s="41"/>
      <c r="X216" s="41"/>
      <c r="Y216" s="41"/>
      <c r="Z216" s="41"/>
      <c r="AA216" s="41"/>
      <c r="AB216" s="41"/>
      <c r="AC216" s="41"/>
      <c r="AD216" s="41"/>
      <c r="AE216" s="59">
        <v>138352.13191911081</v>
      </c>
      <c r="AF216" s="59">
        <v>138568.62996749918</v>
      </c>
      <c r="AG216" s="59" t="s">
        <v>47</v>
      </c>
      <c r="AH216" s="59" t="s">
        <v>1198</v>
      </c>
    </row>
    <row r="217" spans="1:34" x14ac:dyDescent="0.35">
      <c r="A217" s="58">
        <v>2024</v>
      </c>
      <c r="B217" s="58">
        <v>5</v>
      </c>
      <c r="C217">
        <v>5</v>
      </c>
      <c r="D217" s="58" t="s">
        <v>625</v>
      </c>
      <c r="E217" t="s">
        <v>271</v>
      </c>
      <c r="F217" s="58" t="s">
        <v>184</v>
      </c>
      <c r="G217" t="s">
        <v>717</v>
      </c>
      <c r="H217" s="58" t="s">
        <v>1428</v>
      </c>
      <c r="I217" t="s">
        <v>75</v>
      </c>
      <c r="J217" s="58" t="s">
        <v>75</v>
      </c>
      <c r="K217" t="s">
        <v>1429</v>
      </c>
      <c r="L217" t="s">
        <v>20</v>
      </c>
      <c r="M217" t="s">
        <v>1432</v>
      </c>
      <c r="N217" s="59">
        <v>2325</v>
      </c>
      <c r="O217" s="59">
        <v>0</v>
      </c>
      <c r="P217" s="59">
        <v>0</v>
      </c>
      <c r="Q217" s="59">
        <v>0</v>
      </c>
      <c r="R217" s="59">
        <v>0</v>
      </c>
      <c r="S217" s="59">
        <v>0</v>
      </c>
      <c r="T217" s="41"/>
      <c r="U217" s="41"/>
      <c r="V217" s="41"/>
      <c r="W217" s="41"/>
      <c r="X217" s="41"/>
      <c r="Y217" s="41"/>
      <c r="Z217" s="41"/>
      <c r="AA217" s="41"/>
      <c r="AB217" s="41"/>
      <c r="AC217" s="41"/>
      <c r="AD217" s="41"/>
      <c r="AE217" s="59">
        <v>0</v>
      </c>
      <c r="AF217" s="59">
        <v>0</v>
      </c>
      <c r="AG217" s="59" t="s">
        <v>47</v>
      </c>
      <c r="AH217" s="59" t="s">
        <v>1198</v>
      </c>
    </row>
    <row r="218" spans="1:34" x14ac:dyDescent="0.35">
      <c r="A218" s="58">
        <v>2024</v>
      </c>
      <c r="B218" s="58">
        <v>5</v>
      </c>
      <c r="C218">
        <v>5</v>
      </c>
      <c r="D218" s="58" t="s">
        <v>625</v>
      </c>
      <c r="E218" t="s">
        <v>271</v>
      </c>
      <c r="F218" s="58" t="s">
        <v>171</v>
      </c>
      <c r="G218" t="s">
        <v>731</v>
      </c>
      <c r="H218" s="58" t="s">
        <v>4</v>
      </c>
      <c r="I218" t="s">
        <v>4</v>
      </c>
      <c r="J218" s="58" t="s">
        <v>4</v>
      </c>
      <c r="K218" t="s">
        <v>1429</v>
      </c>
      <c r="L218" t="s">
        <v>20</v>
      </c>
      <c r="M218" t="s">
        <v>1430</v>
      </c>
      <c r="N218" s="59">
        <v>44000</v>
      </c>
      <c r="O218" s="59">
        <v>1429692000</v>
      </c>
      <c r="P218" s="59">
        <v>2429598.8571428573</v>
      </c>
      <c r="Q218" s="59">
        <v>0</v>
      </c>
      <c r="R218" s="59">
        <v>0</v>
      </c>
      <c r="S218" s="59">
        <v>1427262401.1428571</v>
      </c>
      <c r="T218" s="41"/>
      <c r="U218" s="41"/>
      <c r="V218" s="41"/>
      <c r="W218" s="41"/>
      <c r="X218" s="41"/>
      <c r="Y218" s="41"/>
      <c r="Z218" s="41"/>
      <c r="AA218" s="41"/>
      <c r="AB218" s="41"/>
      <c r="AC218" s="41"/>
      <c r="AD218" s="41"/>
      <c r="AE218" s="59">
        <v>56525.01915917264</v>
      </c>
      <c r="AF218" s="59">
        <v>56621.240514011908</v>
      </c>
      <c r="AG218" s="59" t="s">
        <v>47</v>
      </c>
      <c r="AH218" s="59" t="s">
        <v>1166</v>
      </c>
    </row>
    <row r="219" spans="1:34" x14ac:dyDescent="0.35">
      <c r="A219" s="58">
        <v>2024</v>
      </c>
      <c r="B219" s="58">
        <v>5</v>
      </c>
      <c r="C219">
        <v>5</v>
      </c>
      <c r="D219" s="58" t="s">
        <v>625</v>
      </c>
      <c r="E219" t="s">
        <v>271</v>
      </c>
      <c r="F219" s="58" t="s">
        <v>195</v>
      </c>
      <c r="G219" t="s">
        <v>746</v>
      </c>
      <c r="H219" s="58" t="s">
        <v>1428</v>
      </c>
      <c r="I219" t="s">
        <v>76</v>
      </c>
      <c r="J219" s="58" t="s">
        <v>76</v>
      </c>
      <c r="K219" t="s">
        <v>1429</v>
      </c>
      <c r="L219" t="s">
        <v>20</v>
      </c>
      <c r="M219" t="s">
        <v>1430</v>
      </c>
      <c r="N219" s="59">
        <v>10000</v>
      </c>
      <c r="O219" s="59">
        <v>227850000</v>
      </c>
      <c r="P219" s="59">
        <v>0</v>
      </c>
      <c r="Q219" s="59">
        <v>0</v>
      </c>
      <c r="R219" s="59">
        <v>0</v>
      </c>
      <c r="S219" s="59">
        <v>227850000</v>
      </c>
      <c r="T219" s="41"/>
      <c r="U219" s="41"/>
      <c r="V219" s="41"/>
      <c r="W219" s="41"/>
      <c r="X219" s="41"/>
      <c r="Y219" s="41"/>
      <c r="Z219" s="41"/>
      <c r="AA219" s="41"/>
      <c r="AB219" s="41"/>
      <c r="AC219" s="41"/>
      <c r="AD219" s="41"/>
      <c r="AE219" s="59">
        <v>9023.7265446806814</v>
      </c>
      <c r="AF219" s="59">
        <v>9023.7265446806814</v>
      </c>
      <c r="AG219" s="59" t="s">
        <v>47</v>
      </c>
      <c r="AH219" s="59" t="s">
        <v>1247</v>
      </c>
    </row>
    <row r="220" spans="1:34" x14ac:dyDescent="0.35">
      <c r="A220" s="58">
        <v>2024</v>
      </c>
      <c r="B220" s="58">
        <v>5</v>
      </c>
      <c r="C220">
        <v>5</v>
      </c>
      <c r="D220" s="58" t="s">
        <v>625</v>
      </c>
      <c r="E220" t="s">
        <v>271</v>
      </c>
      <c r="F220" s="58" t="s">
        <v>197</v>
      </c>
      <c r="G220" t="s">
        <v>752</v>
      </c>
      <c r="H220" s="58" t="s">
        <v>1428</v>
      </c>
      <c r="I220" t="s">
        <v>76</v>
      </c>
      <c r="J220" s="58" t="s">
        <v>76</v>
      </c>
      <c r="K220" t="s">
        <v>1429</v>
      </c>
      <c r="L220" t="s">
        <v>20</v>
      </c>
      <c r="M220" t="s">
        <v>1430</v>
      </c>
      <c r="N220" s="59">
        <v>18250</v>
      </c>
      <c r="O220" s="59">
        <v>416948250</v>
      </c>
      <c r="P220" s="59">
        <v>0</v>
      </c>
      <c r="Q220" s="59">
        <v>0</v>
      </c>
      <c r="R220" s="59">
        <v>0</v>
      </c>
      <c r="S220" s="59">
        <v>416948250</v>
      </c>
      <c r="T220" s="41"/>
      <c r="U220" s="41"/>
      <c r="V220" s="41"/>
      <c r="W220" s="41"/>
      <c r="X220" s="41"/>
      <c r="Y220" s="41"/>
      <c r="Z220" s="41"/>
      <c r="AA220" s="41"/>
      <c r="AB220" s="41"/>
      <c r="AC220" s="41"/>
      <c r="AD220" s="41"/>
      <c r="AE220" s="59">
        <v>16512.736411161539</v>
      </c>
      <c r="AF220" s="59">
        <v>16512.736411161539</v>
      </c>
      <c r="AG220" s="59" t="s">
        <v>47</v>
      </c>
      <c r="AH220" s="59" t="s">
        <v>1249</v>
      </c>
    </row>
    <row r="221" spans="1:34" x14ac:dyDescent="0.35">
      <c r="A221" s="58">
        <v>2024</v>
      </c>
      <c r="B221" s="58">
        <v>5</v>
      </c>
      <c r="C221">
        <v>5</v>
      </c>
      <c r="D221" s="58" t="s">
        <v>625</v>
      </c>
      <c r="E221" t="s">
        <v>271</v>
      </c>
      <c r="F221" s="58" t="s">
        <v>777</v>
      </c>
      <c r="G221" t="s">
        <v>778</v>
      </c>
      <c r="H221" s="58" t="s">
        <v>1428</v>
      </c>
      <c r="I221" t="s">
        <v>76</v>
      </c>
      <c r="J221" s="58" t="s">
        <v>76</v>
      </c>
      <c r="K221" t="s">
        <v>1429</v>
      </c>
      <c r="L221" t="s">
        <v>20</v>
      </c>
      <c r="M221" t="s">
        <v>1430</v>
      </c>
      <c r="N221" s="59">
        <v>18250</v>
      </c>
      <c r="O221" s="59">
        <v>416948250</v>
      </c>
      <c r="P221" s="59">
        <v>0</v>
      </c>
      <c r="Q221" s="59">
        <v>0</v>
      </c>
      <c r="R221" s="59">
        <v>0</v>
      </c>
      <c r="S221" s="59">
        <v>416948250</v>
      </c>
      <c r="T221" s="41"/>
      <c r="U221" s="41"/>
      <c r="V221" s="41"/>
      <c r="W221" s="41"/>
      <c r="X221" s="41"/>
      <c r="Y221" s="41"/>
      <c r="Z221" s="41"/>
      <c r="AA221" s="41"/>
      <c r="AB221" s="41"/>
      <c r="AC221" s="41"/>
      <c r="AD221" s="41"/>
      <c r="AE221" s="59">
        <v>16512.736411161539</v>
      </c>
      <c r="AF221" s="59">
        <v>16512.736411161539</v>
      </c>
      <c r="AG221" s="59" t="s">
        <v>47</v>
      </c>
      <c r="AH221" s="59" t="s">
        <v>1255</v>
      </c>
    </row>
    <row r="222" spans="1:34" x14ac:dyDescent="0.35">
      <c r="A222" s="58">
        <v>2024</v>
      </c>
      <c r="B222" s="58">
        <v>5</v>
      </c>
      <c r="C222">
        <v>5</v>
      </c>
      <c r="D222" s="58" t="s">
        <v>625</v>
      </c>
      <c r="E222" t="s">
        <v>271</v>
      </c>
      <c r="F222" s="58" t="s">
        <v>187</v>
      </c>
      <c r="G222" t="s">
        <v>869</v>
      </c>
      <c r="H222" s="58" t="s">
        <v>1428</v>
      </c>
      <c r="I222" t="s">
        <v>75</v>
      </c>
      <c r="J222" s="58" t="s">
        <v>75</v>
      </c>
      <c r="K222" t="s">
        <v>1429</v>
      </c>
      <c r="L222" t="s">
        <v>20</v>
      </c>
      <c r="M222" t="s">
        <v>1430</v>
      </c>
      <c r="N222" s="59">
        <v>11000</v>
      </c>
      <c r="O222" s="59">
        <v>372306000</v>
      </c>
      <c r="P222" s="59">
        <v>607399.71428571432</v>
      </c>
      <c r="Q222" s="59">
        <v>0</v>
      </c>
      <c r="R222" s="59">
        <v>0</v>
      </c>
      <c r="S222" s="59">
        <v>371698600.28571427</v>
      </c>
      <c r="T222" s="41"/>
      <c r="U222" s="41"/>
      <c r="V222" s="41"/>
      <c r="W222" s="41"/>
      <c r="X222" s="41"/>
      <c r="Y222" s="41"/>
      <c r="Z222" s="41"/>
      <c r="AA222" s="41"/>
      <c r="AB222" s="41"/>
      <c r="AC222" s="41"/>
      <c r="AD222" s="41"/>
      <c r="AE222" s="59">
        <v>14720.678191875595</v>
      </c>
      <c r="AF222" s="59">
        <v>14744.73353058541</v>
      </c>
      <c r="AG222" s="59" t="s">
        <v>47</v>
      </c>
      <c r="AH222" s="59" t="s">
        <v>1203</v>
      </c>
    </row>
    <row r="223" spans="1:34" x14ac:dyDescent="0.35">
      <c r="A223" s="58">
        <v>2024</v>
      </c>
      <c r="B223" s="58">
        <v>5</v>
      </c>
      <c r="C223">
        <v>5</v>
      </c>
      <c r="D223" s="58" t="s">
        <v>1433</v>
      </c>
      <c r="E223" t="s">
        <v>1276</v>
      </c>
      <c r="F223" s="58" t="s">
        <v>1434</v>
      </c>
      <c r="G223" t="s">
        <v>1435</v>
      </c>
      <c r="H223" s="58" t="s">
        <v>1012</v>
      </c>
      <c r="I223" t="s">
        <v>1012</v>
      </c>
      <c r="J223" s="58" t="s">
        <v>1012</v>
      </c>
      <c r="K223" t="s">
        <v>1429</v>
      </c>
      <c r="L223" t="s">
        <v>20</v>
      </c>
      <c r="M223" t="s">
        <v>1430</v>
      </c>
      <c r="N223" s="59">
        <v>0</v>
      </c>
      <c r="O223" s="59">
        <v>0</v>
      </c>
      <c r="P223" s="59">
        <v>0</v>
      </c>
      <c r="Q223" s="59">
        <v>0</v>
      </c>
      <c r="R223" s="59">
        <v>0</v>
      </c>
      <c r="S223" s="59">
        <v>0</v>
      </c>
      <c r="T223" s="41"/>
      <c r="U223" s="41"/>
      <c r="V223" s="41"/>
      <c r="W223" s="41"/>
      <c r="X223" s="41"/>
      <c r="Y223" s="41"/>
      <c r="Z223" s="41"/>
      <c r="AA223" s="41"/>
      <c r="AB223" s="41"/>
      <c r="AC223" s="41"/>
      <c r="AD223" s="41"/>
      <c r="AE223" s="59">
        <v>0</v>
      </c>
      <c r="AF223" s="59">
        <v>0</v>
      </c>
      <c r="AG223" s="59" t="s">
        <v>1276</v>
      </c>
      <c r="AH223" s="59" t="s">
        <v>1319</v>
      </c>
    </row>
    <row r="224" spans="1:34" x14ac:dyDescent="0.35">
      <c r="A224" s="58">
        <v>2024</v>
      </c>
      <c r="B224" s="58">
        <v>5</v>
      </c>
      <c r="C224">
        <v>5</v>
      </c>
      <c r="D224" s="58" t="s">
        <v>651</v>
      </c>
      <c r="E224" t="s">
        <v>464</v>
      </c>
      <c r="F224" s="58" t="s">
        <v>184</v>
      </c>
      <c r="G224" t="s">
        <v>717</v>
      </c>
      <c r="H224" s="58" t="s">
        <v>1428</v>
      </c>
      <c r="I224" t="s">
        <v>75</v>
      </c>
      <c r="J224" s="58" t="s">
        <v>75</v>
      </c>
      <c r="K224" t="s">
        <v>1429</v>
      </c>
      <c r="L224" t="s">
        <v>20</v>
      </c>
      <c r="M224" t="s">
        <v>1430</v>
      </c>
      <c r="N224" s="59">
        <v>9625</v>
      </c>
      <c r="O224" s="59">
        <v>339781750</v>
      </c>
      <c r="P224" s="59">
        <v>0</v>
      </c>
      <c r="Q224" s="59">
        <v>0</v>
      </c>
      <c r="R224" s="59">
        <v>0</v>
      </c>
      <c r="S224" s="59">
        <v>339781750</v>
      </c>
      <c r="T224" s="41"/>
      <c r="U224" s="41"/>
      <c r="V224" s="41"/>
      <c r="W224" s="41"/>
      <c r="X224" s="41"/>
      <c r="Y224" s="41"/>
      <c r="Z224" s="41"/>
      <c r="AA224" s="41"/>
      <c r="AB224" s="41"/>
      <c r="AC224" s="41"/>
      <c r="AD224" s="41"/>
      <c r="AE224" s="59">
        <v>13456.64953641894</v>
      </c>
      <c r="AF224" s="59">
        <v>13456.64953641894</v>
      </c>
      <c r="AG224" s="59" t="s">
        <v>5</v>
      </c>
      <c r="AH224" s="59" t="s">
        <v>1198</v>
      </c>
    </row>
    <row r="225" spans="1:34" x14ac:dyDescent="0.35">
      <c r="A225" s="58">
        <v>2024</v>
      </c>
      <c r="B225" s="58">
        <v>5</v>
      </c>
      <c r="C225">
        <v>5</v>
      </c>
      <c r="D225" s="58" t="s">
        <v>589</v>
      </c>
      <c r="E225" t="s">
        <v>322</v>
      </c>
      <c r="F225" s="58" t="s">
        <v>171</v>
      </c>
      <c r="G225" t="s">
        <v>731</v>
      </c>
      <c r="H225" s="58" t="s">
        <v>4</v>
      </c>
      <c r="I225" t="s">
        <v>4</v>
      </c>
      <c r="J225" s="58" t="s">
        <v>4</v>
      </c>
      <c r="K225" t="s">
        <v>1429</v>
      </c>
      <c r="L225" t="s">
        <v>20</v>
      </c>
      <c r="M225" t="s">
        <v>1430</v>
      </c>
      <c r="N225" s="59">
        <v>264000</v>
      </c>
      <c r="O225" s="59">
        <v>8578152000</v>
      </c>
      <c r="P225" s="59">
        <v>51021576</v>
      </c>
      <c r="Q225" s="59">
        <v>0</v>
      </c>
      <c r="R225" s="59">
        <v>36960000</v>
      </c>
      <c r="S225" s="59">
        <v>8490170424</v>
      </c>
      <c r="T225" s="41"/>
      <c r="U225" s="41"/>
      <c r="V225" s="41"/>
      <c r="W225" s="41"/>
      <c r="X225" s="41"/>
      <c r="Y225" s="41"/>
      <c r="Z225" s="41"/>
      <c r="AA225" s="41"/>
      <c r="AB225" s="41"/>
      <c r="AC225" s="41"/>
      <c r="AD225" s="41"/>
      <c r="AE225" s="59">
        <v>336243.03806851717</v>
      </c>
      <c r="AF225" s="59">
        <v>339727.44308407156</v>
      </c>
      <c r="AG225" s="59" t="s">
        <v>5</v>
      </c>
      <c r="AH225" s="59" t="s">
        <v>1166</v>
      </c>
    </row>
    <row r="226" spans="1:34" x14ac:dyDescent="0.35">
      <c r="A226" s="58">
        <v>2024</v>
      </c>
      <c r="B226" s="58">
        <v>5</v>
      </c>
      <c r="C226">
        <v>5</v>
      </c>
      <c r="D226" s="58" t="s">
        <v>621</v>
      </c>
      <c r="E226" t="s">
        <v>257</v>
      </c>
      <c r="F226" s="58" t="s">
        <v>167</v>
      </c>
      <c r="G226" t="s">
        <v>693</v>
      </c>
      <c r="H226" s="58" t="s">
        <v>4</v>
      </c>
      <c r="I226" t="s">
        <v>4</v>
      </c>
      <c r="J226" s="58" t="s">
        <v>4</v>
      </c>
      <c r="K226" t="s">
        <v>1429</v>
      </c>
      <c r="L226" t="s">
        <v>20</v>
      </c>
      <c r="M226" t="s">
        <v>1430</v>
      </c>
      <c r="N226" s="59">
        <v>1400000</v>
      </c>
      <c r="O226" s="59">
        <v>43382500000</v>
      </c>
      <c r="P226" s="59">
        <v>0</v>
      </c>
      <c r="Q226" s="59">
        <v>0</v>
      </c>
      <c r="R226" s="59">
        <v>0</v>
      </c>
      <c r="S226" s="59">
        <v>43382500000</v>
      </c>
      <c r="T226" s="41"/>
      <c r="U226" s="41"/>
      <c r="V226" s="41"/>
      <c r="W226" s="41"/>
      <c r="X226" s="41"/>
      <c r="Y226" s="41"/>
      <c r="Z226" s="41"/>
      <c r="AA226" s="41"/>
      <c r="AB226" s="41"/>
      <c r="AC226" s="41"/>
      <c r="AD226" s="41"/>
      <c r="AE226" s="59">
        <v>1718111.9895747628</v>
      </c>
      <c r="AF226" s="59">
        <v>1718111.9895747628</v>
      </c>
      <c r="AG226" s="59" t="s">
        <v>16</v>
      </c>
      <c r="AH226" s="59" t="s">
        <v>1156</v>
      </c>
    </row>
    <row r="227" spans="1:34" x14ac:dyDescent="0.35">
      <c r="A227" s="58">
        <v>2024</v>
      </c>
      <c r="B227" s="58">
        <v>5</v>
      </c>
      <c r="C227">
        <v>5</v>
      </c>
      <c r="D227" s="58" t="s">
        <v>671</v>
      </c>
      <c r="E227" t="s">
        <v>273</v>
      </c>
      <c r="F227" s="58" t="s">
        <v>184</v>
      </c>
      <c r="G227" t="s">
        <v>717</v>
      </c>
      <c r="H227" s="58" t="s">
        <v>1428</v>
      </c>
      <c r="I227" t="s">
        <v>75</v>
      </c>
      <c r="J227" s="58" t="s">
        <v>75</v>
      </c>
      <c r="K227" t="s">
        <v>1429</v>
      </c>
      <c r="L227" t="s">
        <v>20</v>
      </c>
      <c r="M227" t="s">
        <v>1430</v>
      </c>
      <c r="N227" s="59">
        <v>1375</v>
      </c>
      <c r="O227" s="59">
        <v>43791000</v>
      </c>
      <c r="P227" s="59">
        <v>0</v>
      </c>
      <c r="Q227" s="59">
        <v>0</v>
      </c>
      <c r="R227" s="59">
        <v>1600000</v>
      </c>
      <c r="S227" s="59">
        <v>42191000</v>
      </c>
      <c r="T227" s="41"/>
      <c r="U227" s="41"/>
      <c r="V227" s="41"/>
      <c r="W227" s="41"/>
      <c r="X227" s="41"/>
      <c r="Y227" s="41"/>
      <c r="Z227" s="41"/>
      <c r="AA227" s="41"/>
      <c r="AB227" s="41"/>
      <c r="AC227" s="41"/>
      <c r="AD227" s="41"/>
      <c r="AE227" s="59">
        <v>1670.9240581374704</v>
      </c>
      <c r="AF227" s="59">
        <v>1734.2901431560751</v>
      </c>
      <c r="AG227" s="59" t="s">
        <v>154</v>
      </c>
      <c r="AH227" s="59" t="s">
        <v>1198</v>
      </c>
    </row>
    <row r="228" spans="1:34" x14ac:dyDescent="0.35">
      <c r="A228" s="58">
        <v>2024</v>
      </c>
      <c r="B228" s="58">
        <v>5</v>
      </c>
      <c r="C228">
        <v>5</v>
      </c>
      <c r="D228" s="58" t="s">
        <v>601</v>
      </c>
      <c r="E228" t="s">
        <v>501</v>
      </c>
      <c r="F228" s="58" t="s">
        <v>171</v>
      </c>
      <c r="G228" t="s">
        <v>731</v>
      </c>
      <c r="H228" s="58" t="s">
        <v>4</v>
      </c>
      <c r="I228" t="s">
        <v>4</v>
      </c>
      <c r="J228" s="58" t="s">
        <v>4</v>
      </c>
      <c r="K228" t="s">
        <v>1429</v>
      </c>
      <c r="L228" t="s">
        <v>20</v>
      </c>
      <c r="M228" t="s">
        <v>1430</v>
      </c>
      <c r="N228" s="59">
        <v>22000</v>
      </c>
      <c r="O228" s="59">
        <v>694276000</v>
      </c>
      <c r="P228" s="59">
        <v>4251798</v>
      </c>
      <c r="Q228" s="59">
        <v>0</v>
      </c>
      <c r="R228" s="59">
        <v>3080000</v>
      </c>
      <c r="S228" s="59">
        <v>686944202</v>
      </c>
      <c r="T228" s="41"/>
      <c r="U228" s="41"/>
      <c r="V228" s="41"/>
      <c r="W228" s="41"/>
      <c r="X228" s="41"/>
      <c r="Y228" s="41"/>
      <c r="Z228" s="41"/>
      <c r="AA228" s="41"/>
      <c r="AB228" s="41"/>
      <c r="AC228" s="41"/>
      <c r="AD228" s="41"/>
      <c r="AE228" s="59">
        <v>27205.602941855996</v>
      </c>
      <c r="AF228" s="59">
        <v>27495.970026485516</v>
      </c>
      <c r="AG228" s="59" t="s">
        <v>109</v>
      </c>
      <c r="AH228" s="59" t="s">
        <v>1166</v>
      </c>
    </row>
    <row r="229" spans="1:34" x14ac:dyDescent="0.35">
      <c r="A229" s="58">
        <v>2024</v>
      </c>
      <c r="B229" s="58">
        <v>5</v>
      </c>
      <c r="C229">
        <v>5</v>
      </c>
      <c r="D229" s="58" t="s">
        <v>1436</v>
      </c>
      <c r="E229" t="s">
        <v>1326</v>
      </c>
      <c r="F229" s="58" t="s">
        <v>1482</v>
      </c>
      <c r="G229" t="s">
        <v>1483</v>
      </c>
      <c r="H229" s="58" t="s">
        <v>1012</v>
      </c>
      <c r="I229" t="s">
        <v>1012</v>
      </c>
      <c r="J229" s="58" t="s">
        <v>1012</v>
      </c>
      <c r="K229" t="s">
        <v>1429</v>
      </c>
      <c r="L229" t="s">
        <v>20</v>
      </c>
      <c r="M229" t="s">
        <v>1430</v>
      </c>
      <c r="N229" s="59">
        <v>0</v>
      </c>
      <c r="O229" s="59">
        <v>2700000</v>
      </c>
      <c r="P229" s="59">
        <v>0</v>
      </c>
      <c r="Q229" s="59">
        <v>0</v>
      </c>
      <c r="R229" s="59">
        <v>0</v>
      </c>
      <c r="S229" s="59">
        <v>2700000</v>
      </c>
      <c r="T229" s="41"/>
      <c r="U229" s="41"/>
      <c r="V229" s="41"/>
      <c r="W229" s="41"/>
      <c r="X229" s="41"/>
      <c r="Y229" s="41"/>
      <c r="Z229" s="41"/>
      <c r="AA229" s="41"/>
      <c r="AB229" s="41"/>
      <c r="AC229" s="41"/>
      <c r="AD229" s="41"/>
      <c r="AE229" s="59">
        <v>106.93026846889551</v>
      </c>
      <c r="AF229" s="59">
        <v>106.93026846889551</v>
      </c>
      <c r="AG229" s="59" t="s">
        <v>1326</v>
      </c>
      <c r="AH229" s="59" t="s">
        <v>1325</v>
      </c>
    </row>
    <row r="230" spans="1:34" x14ac:dyDescent="0.35">
      <c r="A230" s="58">
        <v>2024</v>
      </c>
      <c r="B230" s="58">
        <v>5</v>
      </c>
      <c r="C230">
        <v>5</v>
      </c>
      <c r="D230" s="58" t="s">
        <v>1530</v>
      </c>
      <c r="E230" t="s">
        <v>1178</v>
      </c>
      <c r="F230" s="58" t="s">
        <v>172</v>
      </c>
      <c r="G230" t="s">
        <v>734</v>
      </c>
      <c r="H230" s="58" t="s">
        <v>4</v>
      </c>
      <c r="I230" t="s">
        <v>4</v>
      </c>
      <c r="J230" s="58" t="s">
        <v>4</v>
      </c>
      <c r="K230" t="s">
        <v>1429</v>
      </c>
      <c r="L230" t="s">
        <v>20</v>
      </c>
      <c r="M230" t="s">
        <v>1430</v>
      </c>
      <c r="N230" s="59">
        <v>1100</v>
      </c>
      <c r="O230" s="59">
        <v>36379200</v>
      </c>
      <c r="P230" s="59">
        <v>212589.9</v>
      </c>
      <c r="Q230" s="59">
        <v>0</v>
      </c>
      <c r="R230" s="59">
        <v>0</v>
      </c>
      <c r="S230" s="59">
        <v>36166610.100000001</v>
      </c>
      <c r="T230" s="41"/>
      <c r="U230" s="41"/>
      <c r="V230" s="41"/>
      <c r="W230" s="41"/>
      <c r="X230" s="41"/>
      <c r="Y230" s="41"/>
      <c r="Z230" s="41"/>
      <c r="AA230" s="41"/>
      <c r="AB230" s="41"/>
      <c r="AC230" s="41"/>
      <c r="AD230" s="41"/>
      <c r="AE230" s="59">
        <v>1432.3353065195806</v>
      </c>
      <c r="AF230" s="59">
        <v>1440.754675068016</v>
      </c>
      <c r="AG230" s="59" t="s">
        <v>1178</v>
      </c>
      <c r="AH230" s="59" t="s">
        <v>1175</v>
      </c>
    </row>
    <row r="231" spans="1:34" x14ac:dyDescent="0.35">
      <c r="A231" s="58">
        <v>2024</v>
      </c>
      <c r="B231" s="58">
        <v>5</v>
      </c>
      <c r="C231">
        <v>5</v>
      </c>
      <c r="D231" s="58" t="s">
        <v>1531</v>
      </c>
      <c r="E231" t="s">
        <v>1296</v>
      </c>
      <c r="F231" s="58" t="s">
        <v>1482</v>
      </c>
      <c r="G231" t="s">
        <v>1483</v>
      </c>
      <c r="H231" s="58" t="s">
        <v>1012</v>
      </c>
      <c r="I231" t="s">
        <v>1012</v>
      </c>
      <c r="J231" s="58" t="s">
        <v>1012</v>
      </c>
      <c r="K231" t="s">
        <v>1429</v>
      </c>
      <c r="L231" t="s">
        <v>20</v>
      </c>
      <c r="M231" t="s">
        <v>1430</v>
      </c>
      <c r="N231" s="59">
        <v>0</v>
      </c>
      <c r="O231" s="59">
        <v>77000000</v>
      </c>
      <c r="P231" s="59">
        <v>0</v>
      </c>
      <c r="Q231" s="59">
        <v>0</v>
      </c>
      <c r="R231" s="59">
        <v>0</v>
      </c>
      <c r="S231" s="59">
        <v>77000000</v>
      </c>
      <c r="T231" s="41"/>
      <c r="U231" s="41"/>
      <c r="V231" s="41"/>
      <c r="W231" s="41"/>
      <c r="X231" s="41"/>
      <c r="Y231" s="41"/>
      <c r="Z231" s="41"/>
      <c r="AA231" s="41"/>
      <c r="AB231" s="41"/>
      <c r="AC231" s="41"/>
      <c r="AD231" s="41"/>
      <c r="AE231" s="59">
        <v>3049.4928415203531</v>
      </c>
      <c r="AF231" s="59">
        <v>3049.4928415203531</v>
      </c>
      <c r="AG231" s="59" t="s">
        <v>1296</v>
      </c>
      <c r="AH231" s="59" t="s">
        <v>1325</v>
      </c>
    </row>
    <row r="232" spans="1:34" x14ac:dyDescent="0.35">
      <c r="A232" s="58">
        <v>2024</v>
      </c>
      <c r="B232" s="58">
        <v>5</v>
      </c>
      <c r="C232">
        <v>5</v>
      </c>
      <c r="D232" s="58" t="s">
        <v>682</v>
      </c>
      <c r="E232" t="s">
        <v>156</v>
      </c>
      <c r="F232" s="58" t="s">
        <v>1468</v>
      </c>
      <c r="G232" t="s">
        <v>1012</v>
      </c>
      <c r="H232" s="58" t="s">
        <v>1012</v>
      </c>
      <c r="I232" t="s">
        <v>1012</v>
      </c>
      <c r="J232" s="58" t="s">
        <v>1012</v>
      </c>
      <c r="K232" t="s">
        <v>1429</v>
      </c>
      <c r="L232" t="s">
        <v>20</v>
      </c>
      <c r="M232" t="s">
        <v>1430</v>
      </c>
      <c r="N232" s="59">
        <v>0</v>
      </c>
      <c r="O232" s="59">
        <v>22297140</v>
      </c>
      <c r="P232" s="59">
        <v>0</v>
      </c>
      <c r="Q232" s="59">
        <v>0</v>
      </c>
      <c r="R232" s="59">
        <v>0</v>
      </c>
      <c r="S232" s="59">
        <v>22297140</v>
      </c>
      <c r="T232" s="41"/>
      <c r="U232" s="41"/>
      <c r="V232" s="41"/>
      <c r="W232" s="41"/>
      <c r="X232" s="41"/>
      <c r="Y232" s="41"/>
      <c r="Z232" s="41"/>
      <c r="AA232" s="41"/>
      <c r="AB232" s="41"/>
      <c r="AC232" s="41"/>
      <c r="AD232" s="41"/>
      <c r="AE232" s="59">
        <v>883.05154306983275</v>
      </c>
      <c r="AF232" s="59">
        <v>883.05154306983275</v>
      </c>
      <c r="AG232" s="59" t="s">
        <v>156</v>
      </c>
      <c r="AH232" s="59" t="s">
        <v>1284</v>
      </c>
    </row>
    <row r="233" spans="1:34" x14ac:dyDescent="0.35">
      <c r="A233" s="58">
        <v>2024</v>
      </c>
      <c r="B233" s="58">
        <v>5</v>
      </c>
      <c r="C233">
        <v>5</v>
      </c>
      <c r="D233" s="58" t="s">
        <v>674</v>
      </c>
      <c r="E233" t="s">
        <v>48</v>
      </c>
      <c r="F233" s="58" t="s">
        <v>186</v>
      </c>
      <c r="G233" t="s">
        <v>781</v>
      </c>
      <c r="H233" s="58" t="s">
        <v>1428</v>
      </c>
      <c r="I233" t="s">
        <v>75</v>
      </c>
      <c r="J233" s="58" t="s">
        <v>75</v>
      </c>
      <c r="K233" t="s">
        <v>1429</v>
      </c>
      <c r="L233" t="s">
        <v>20</v>
      </c>
      <c r="M233" t="s">
        <v>1430</v>
      </c>
      <c r="N233" s="59">
        <v>200</v>
      </c>
      <c r="O233" s="59">
        <v>6873000</v>
      </c>
      <c r="P233" s="59">
        <v>0</v>
      </c>
      <c r="Q233" s="59">
        <v>0</v>
      </c>
      <c r="R233" s="59">
        <v>0</v>
      </c>
      <c r="S233" s="59">
        <v>6873000</v>
      </c>
      <c r="T233" s="41"/>
      <c r="U233" s="41"/>
      <c r="V233" s="41"/>
      <c r="W233" s="41"/>
      <c r="X233" s="41"/>
      <c r="Y233" s="41"/>
      <c r="Z233" s="41"/>
      <c r="AA233" s="41"/>
      <c r="AB233" s="41"/>
      <c r="AC233" s="41"/>
      <c r="AD233" s="41"/>
      <c r="AE233" s="59">
        <v>272.19693895804397</v>
      </c>
      <c r="AF233" s="59">
        <v>272.19693895804397</v>
      </c>
      <c r="AG233" s="59" t="s">
        <v>48</v>
      </c>
      <c r="AH233" s="59" t="s">
        <v>1202</v>
      </c>
    </row>
    <row r="234" spans="1:34" x14ac:dyDescent="0.35">
      <c r="A234" s="58">
        <v>2024</v>
      </c>
      <c r="B234" s="58">
        <v>5</v>
      </c>
      <c r="C234">
        <v>5</v>
      </c>
      <c r="D234" s="58" t="s">
        <v>615</v>
      </c>
      <c r="E234" t="s">
        <v>320</v>
      </c>
      <c r="F234" s="58" t="s">
        <v>168</v>
      </c>
      <c r="G234" t="s">
        <v>700</v>
      </c>
      <c r="H234" s="58" t="s">
        <v>4</v>
      </c>
      <c r="I234" t="s">
        <v>4</v>
      </c>
      <c r="J234" s="58" t="s">
        <v>4</v>
      </c>
      <c r="K234" t="s">
        <v>1429</v>
      </c>
      <c r="L234" t="s">
        <v>20</v>
      </c>
      <c r="M234" t="s">
        <v>1430</v>
      </c>
      <c r="N234" s="59">
        <v>44000</v>
      </c>
      <c r="O234" s="59">
        <v>1513116000</v>
      </c>
      <c r="P234" s="59">
        <v>4251798</v>
      </c>
      <c r="Q234" s="59">
        <v>0</v>
      </c>
      <c r="R234" s="59">
        <v>23148148</v>
      </c>
      <c r="S234" s="59">
        <v>1485716054</v>
      </c>
      <c r="T234" s="41"/>
      <c r="U234" s="41"/>
      <c r="V234" s="41"/>
      <c r="W234" s="41"/>
      <c r="X234" s="41"/>
      <c r="Y234" s="41"/>
      <c r="Z234" s="41"/>
      <c r="AA234" s="41"/>
      <c r="AB234" s="41"/>
      <c r="AC234" s="41"/>
      <c r="AD234" s="41"/>
      <c r="AE234" s="59">
        <v>58840.006119543723</v>
      </c>
      <c r="AF234" s="59">
        <v>59925.148186881961</v>
      </c>
      <c r="AG234" s="59" t="s">
        <v>99</v>
      </c>
      <c r="AH234" s="59" t="s">
        <v>1160</v>
      </c>
    </row>
    <row r="235" spans="1:34" x14ac:dyDescent="0.35">
      <c r="A235" s="58">
        <v>2024</v>
      </c>
      <c r="B235" s="58">
        <v>5</v>
      </c>
      <c r="C235">
        <v>5</v>
      </c>
      <c r="D235" s="58" t="s">
        <v>605</v>
      </c>
      <c r="E235" t="s">
        <v>479</v>
      </c>
      <c r="F235" s="58" t="s">
        <v>184</v>
      </c>
      <c r="G235" t="s">
        <v>717</v>
      </c>
      <c r="H235" s="58" t="s">
        <v>1428</v>
      </c>
      <c r="I235" t="s">
        <v>75</v>
      </c>
      <c r="J235" s="58" t="s">
        <v>75</v>
      </c>
      <c r="K235" t="s">
        <v>1429</v>
      </c>
      <c r="L235" t="s">
        <v>20</v>
      </c>
      <c r="M235" t="s">
        <v>1430</v>
      </c>
      <c r="N235" s="59">
        <v>25000</v>
      </c>
      <c r="O235" s="59">
        <v>897550000</v>
      </c>
      <c r="P235" s="59">
        <v>0</v>
      </c>
      <c r="Q235" s="59">
        <v>0</v>
      </c>
      <c r="R235" s="59">
        <v>16250000</v>
      </c>
      <c r="S235" s="59">
        <v>881300000</v>
      </c>
      <c r="T235" s="41"/>
      <c r="U235" s="41"/>
      <c r="V235" s="41"/>
      <c r="W235" s="41"/>
      <c r="X235" s="41"/>
      <c r="Y235" s="41"/>
      <c r="Z235" s="41"/>
      <c r="AA235" s="41"/>
      <c r="AB235" s="41"/>
      <c r="AC235" s="41"/>
      <c r="AD235" s="41"/>
      <c r="AE235" s="59">
        <v>34902.831704310222</v>
      </c>
      <c r="AF235" s="59">
        <v>35546.39350528043</v>
      </c>
      <c r="AG235" s="59" t="s">
        <v>5</v>
      </c>
      <c r="AH235" s="59" t="s">
        <v>1198</v>
      </c>
    </row>
    <row r="236" spans="1:34" x14ac:dyDescent="0.35">
      <c r="A236" s="58">
        <v>2024</v>
      </c>
      <c r="B236" s="58">
        <v>5</v>
      </c>
      <c r="C236">
        <v>5</v>
      </c>
      <c r="D236" s="58" t="s">
        <v>605</v>
      </c>
      <c r="E236" t="s">
        <v>479</v>
      </c>
      <c r="F236" s="58" t="s">
        <v>188</v>
      </c>
      <c r="G236" t="s">
        <v>872</v>
      </c>
      <c r="H236" s="58" t="s">
        <v>1428</v>
      </c>
      <c r="I236" t="s">
        <v>75</v>
      </c>
      <c r="J236" s="58" t="s">
        <v>75</v>
      </c>
      <c r="K236" t="s">
        <v>1429</v>
      </c>
      <c r="L236" t="s">
        <v>20</v>
      </c>
      <c r="M236" t="s">
        <v>1430</v>
      </c>
      <c r="N236" s="59">
        <v>2500</v>
      </c>
      <c r="O236" s="59">
        <v>91615000</v>
      </c>
      <c r="P236" s="59">
        <v>0</v>
      </c>
      <c r="Q236" s="59">
        <v>0</v>
      </c>
      <c r="R236" s="59">
        <v>5500000</v>
      </c>
      <c r="S236" s="59">
        <v>86115000</v>
      </c>
      <c r="T236" s="41"/>
      <c r="U236" s="41"/>
      <c r="V236" s="41"/>
      <c r="W236" s="41"/>
      <c r="X236" s="41"/>
      <c r="Y236" s="41"/>
      <c r="Z236" s="41"/>
      <c r="AA236" s="41"/>
      <c r="AB236" s="41"/>
      <c r="AC236" s="41"/>
      <c r="AD236" s="41"/>
      <c r="AE236" s="59">
        <v>3410.4815071107173</v>
      </c>
      <c r="AF236" s="59">
        <v>3628.3024243621708</v>
      </c>
      <c r="AG236" s="59" t="s">
        <v>5</v>
      </c>
      <c r="AH236" s="59" t="s">
        <v>1204</v>
      </c>
    </row>
    <row r="237" spans="1:34" x14ac:dyDescent="0.35">
      <c r="A237" s="58">
        <v>2024</v>
      </c>
      <c r="B237" s="58">
        <v>5</v>
      </c>
      <c r="C237">
        <v>5</v>
      </c>
      <c r="D237" s="58" t="s">
        <v>1502</v>
      </c>
      <c r="E237" t="s">
        <v>1236</v>
      </c>
      <c r="F237" s="58" t="s">
        <v>879</v>
      </c>
      <c r="G237" t="s">
        <v>880</v>
      </c>
      <c r="H237" s="58" t="s">
        <v>1234</v>
      </c>
      <c r="I237" t="s">
        <v>1234</v>
      </c>
      <c r="J237" s="58" t="s">
        <v>1234</v>
      </c>
      <c r="K237" t="s">
        <v>1429</v>
      </c>
      <c r="L237" t="s">
        <v>20</v>
      </c>
      <c r="M237" t="s">
        <v>1430</v>
      </c>
      <c r="N237" s="59">
        <v>222000</v>
      </c>
      <c r="O237" s="59">
        <v>4012499999.9999995</v>
      </c>
      <c r="P237" s="59">
        <v>0</v>
      </c>
      <c r="Q237" s="59">
        <v>290250000</v>
      </c>
      <c r="R237" s="59">
        <v>0</v>
      </c>
      <c r="S237" s="59">
        <v>3722249999.9999995</v>
      </c>
      <c r="T237" s="41"/>
      <c r="U237" s="41"/>
      <c r="V237" s="41"/>
      <c r="W237" s="41"/>
      <c r="X237" s="41"/>
      <c r="Y237" s="41"/>
      <c r="Z237" s="41"/>
      <c r="AA237" s="41"/>
      <c r="AB237" s="41"/>
      <c r="AC237" s="41"/>
      <c r="AD237" s="41"/>
      <c r="AE237" s="59">
        <v>147415.25622531341</v>
      </c>
      <c r="AF237" s="59">
        <v>158910.2600857197</v>
      </c>
      <c r="AG237" s="59" t="s">
        <v>1236</v>
      </c>
      <c r="AH237" s="59" t="s">
        <v>1235</v>
      </c>
    </row>
    <row r="238" spans="1:34" x14ac:dyDescent="0.35">
      <c r="A238" s="58">
        <v>2024</v>
      </c>
      <c r="B238" s="58">
        <v>5</v>
      </c>
      <c r="C238">
        <v>5</v>
      </c>
      <c r="D238" s="58" t="s">
        <v>1503</v>
      </c>
      <c r="E238" t="s">
        <v>1170</v>
      </c>
      <c r="F238" s="58" t="s">
        <v>171</v>
      </c>
      <c r="G238" t="s">
        <v>731</v>
      </c>
      <c r="H238" s="58" t="s">
        <v>4</v>
      </c>
      <c r="I238" t="s">
        <v>4</v>
      </c>
      <c r="J238" s="58" t="s">
        <v>4</v>
      </c>
      <c r="K238" t="s">
        <v>1429</v>
      </c>
      <c r="L238" t="s">
        <v>20</v>
      </c>
      <c r="M238" t="s">
        <v>1430</v>
      </c>
      <c r="N238" s="59">
        <v>1100</v>
      </c>
      <c r="O238" s="59">
        <v>36429250</v>
      </c>
      <c r="P238" s="59">
        <v>212589.9</v>
      </c>
      <c r="Q238" s="59">
        <v>0</v>
      </c>
      <c r="R238" s="59">
        <v>0</v>
      </c>
      <c r="S238" s="59">
        <v>36216660.100000001</v>
      </c>
      <c r="T238" s="41"/>
      <c r="U238" s="41"/>
      <c r="V238" s="41"/>
      <c r="W238" s="41"/>
      <c r="X238" s="41"/>
      <c r="Y238" s="41"/>
      <c r="Z238" s="41"/>
      <c r="AA238" s="41"/>
      <c r="AB238" s="41"/>
      <c r="AC238" s="41"/>
      <c r="AD238" s="41"/>
      <c r="AE238" s="59">
        <v>1434.317476866569</v>
      </c>
      <c r="AF238" s="59">
        <v>1442.7368454150044</v>
      </c>
      <c r="AG238" s="59" t="s">
        <v>1170</v>
      </c>
      <c r="AH238" s="59" t="s">
        <v>1166</v>
      </c>
    </row>
    <row r="239" spans="1:34" x14ac:dyDescent="0.35">
      <c r="A239" s="58">
        <v>2024</v>
      </c>
      <c r="B239" s="58">
        <v>5</v>
      </c>
      <c r="C239">
        <v>5</v>
      </c>
      <c r="D239" s="58" t="s">
        <v>1504</v>
      </c>
      <c r="E239" t="s">
        <v>1241</v>
      </c>
      <c r="F239" s="58" t="s">
        <v>181</v>
      </c>
      <c r="G239" t="s">
        <v>800</v>
      </c>
      <c r="H239" s="58" t="s">
        <v>74</v>
      </c>
      <c r="I239" t="s">
        <v>74</v>
      </c>
      <c r="J239" s="58" t="s">
        <v>74</v>
      </c>
      <c r="K239" t="s">
        <v>1429</v>
      </c>
      <c r="L239" t="s">
        <v>20</v>
      </c>
      <c r="M239" t="s">
        <v>1430</v>
      </c>
      <c r="N239" s="59">
        <v>50</v>
      </c>
      <c r="O239" s="59">
        <v>1401350</v>
      </c>
      <c r="P239" s="59">
        <v>0</v>
      </c>
      <c r="Q239" s="59">
        <v>0</v>
      </c>
      <c r="R239" s="59">
        <v>0</v>
      </c>
      <c r="S239" s="59">
        <v>1401350</v>
      </c>
      <c r="T239" s="41"/>
      <c r="U239" s="41"/>
      <c r="V239" s="41"/>
      <c r="W239" s="41"/>
      <c r="X239" s="41"/>
      <c r="Y239" s="41"/>
      <c r="Z239" s="41"/>
      <c r="AA239" s="41"/>
      <c r="AB239" s="41"/>
      <c r="AC239" s="41"/>
      <c r="AD239" s="41"/>
      <c r="AE239" s="59">
        <v>55.498789525513601</v>
      </c>
      <c r="AF239" s="59">
        <v>55.498789525513601</v>
      </c>
      <c r="AG239" s="59" t="s">
        <v>1241</v>
      </c>
      <c r="AH239" s="59" t="s">
        <v>1240</v>
      </c>
    </row>
    <row r="240" spans="1:34" x14ac:dyDescent="0.35">
      <c r="A240" s="58">
        <v>2024</v>
      </c>
      <c r="B240" s="58">
        <v>5</v>
      </c>
      <c r="C240">
        <v>5</v>
      </c>
      <c r="D240" s="58" t="s">
        <v>1469</v>
      </c>
      <c r="E240" t="s">
        <v>1211</v>
      </c>
      <c r="F240" s="58" t="s">
        <v>1532</v>
      </c>
      <c r="G240" t="s">
        <v>1533</v>
      </c>
      <c r="H240" s="58" t="s">
        <v>1012</v>
      </c>
      <c r="I240" t="s">
        <v>86</v>
      </c>
      <c r="J240" s="58" t="s">
        <v>86</v>
      </c>
      <c r="K240" t="s">
        <v>1429</v>
      </c>
      <c r="L240" t="s">
        <v>20</v>
      </c>
      <c r="M240" t="s">
        <v>1430</v>
      </c>
      <c r="N240" s="59">
        <v>552</v>
      </c>
      <c r="O240" s="59">
        <v>10488000</v>
      </c>
      <c r="P240" s="59">
        <v>0</v>
      </c>
      <c r="Q240" s="59">
        <v>0</v>
      </c>
      <c r="R240" s="59">
        <v>0</v>
      </c>
      <c r="S240" s="59">
        <v>10488000</v>
      </c>
      <c r="T240" s="41"/>
      <c r="U240" s="41"/>
      <c r="V240" s="41"/>
      <c r="W240" s="41"/>
      <c r="X240" s="41"/>
      <c r="Y240" s="41"/>
      <c r="Z240" s="41"/>
      <c r="AA240" s="41"/>
      <c r="AB240" s="41"/>
      <c r="AC240" s="41"/>
      <c r="AD240" s="41"/>
      <c r="AE240" s="59">
        <v>415.36468729695412</v>
      </c>
      <c r="AF240" s="59">
        <v>415.36468729695412</v>
      </c>
      <c r="AG240" s="59" t="s">
        <v>1211</v>
      </c>
      <c r="AH240" s="59" t="s">
        <v>1214</v>
      </c>
    </row>
    <row r="241" spans="1:34" x14ac:dyDescent="0.35">
      <c r="A241" s="58">
        <v>2024</v>
      </c>
      <c r="B241" s="58">
        <v>5</v>
      </c>
      <c r="C241">
        <v>5</v>
      </c>
      <c r="D241" s="58" t="s">
        <v>1469</v>
      </c>
      <c r="E241" t="s">
        <v>1211</v>
      </c>
      <c r="F241" s="58" t="s">
        <v>1472</v>
      </c>
      <c r="G241" t="s">
        <v>1473</v>
      </c>
      <c r="H241" s="58" t="s">
        <v>1012</v>
      </c>
      <c r="I241" t="s">
        <v>86</v>
      </c>
      <c r="J241" s="58" t="s">
        <v>86</v>
      </c>
      <c r="K241" t="s">
        <v>1429</v>
      </c>
      <c r="L241" t="s">
        <v>20</v>
      </c>
      <c r="M241" t="s">
        <v>1430</v>
      </c>
      <c r="N241" s="59">
        <v>17988</v>
      </c>
      <c r="O241" s="59">
        <v>363357600</v>
      </c>
      <c r="P241" s="59">
        <v>0</v>
      </c>
      <c r="Q241" s="59">
        <v>0</v>
      </c>
      <c r="R241" s="59">
        <v>0</v>
      </c>
      <c r="S241" s="59">
        <v>363357600</v>
      </c>
      <c r="T241" s="41"/>
      <c r="U241" s="41"/>
      <c r="V241" s="41"/>
      <c r="W241" s="41"/>
      <c r="X241" s="41"/>
      <c r="Y241" s="41"/>
      <c r="Z241" s="41"/>
      <c r="AA241" s="41"/>
      <c r="AB241" s="41"/>
      <c r="AC241" s="41"/>
      <c r="AD241" s="41"/>
      <c r="AE241" s="59">
        <v>14390.342858597611</v>
      </c>
      <c r="AF241" s="59">
        <v>14390.342858597611</v>
      </c>
      <c r="AG241" s="59" t="s">
        <v>1211</v>
      </c>
      <c r="AH241" s="59" t="s">
        <v>1215</v>
      </c>
    </row>
    <row r="242" spans="1:34" x14ac:dyDescent="0.35">
      <c r="A242" s="58">
        <v>2024</v>
      </c>
      <c r="B242" s="58">
        <v>5</v>
      </c>
      <c r="C242">
        <v>5</v>
      </c>
      <c r="D242" s="58" t="s">
        <v>1469</v>
      </c>
      <c r="E242" t="s">
        <v>1211</v>
      </c>
      <c r="F242" s="58" t="s">
        <v>779</v>
      </c>
      <c r="G242" t="s">
        <v>780</v>
      </c>
      <c r="H242" s="58" t="s">
        <v>1012</v>
      </c>
      <c r="I242" t="s">
        <v>86</v>
      </c>
      <c r="J242" s="58" t="s">
        <v>86</v>
      </c>
      <c r="K242" t="s">
        <v>1429</v>
      </c>
      <c r="L242" t="s">
        <v>20</v>
      </c>
      <c r="M242" t="s">
        <v>1430</v>
      </c>
      <c r="N242" s="59">
        <v>4340</v>
      </c>
      <c r="O242" s="59">
        <v>82460000</v>
      </c>
      <c r="P242" s="59">
        <v>0</v>
      </c>
      <c r="Q242" s="59">
        <v>0</v>
      </c>
      <c r="R242" s="59">
        <v>0</v>
      </c>
      <c r="S242" s="59">
        <v>82460000</v>
      </c>
      <c r="T242" s="41"/>
      <c r="U242" s="41"/>
      <c r="V242" s="41"/>
      <c r="W242" s="41"/>
      <c r="X242" s="41"/>
      <c r="Y242" s="41"/>
      <c r="Z242" s="41"/>
      <c r="AA242" s="41"/>
      <c r="AB242" s="41"/>
      <c r="AC242" s="41"/>
      <c r="AD242" s="41"/>
      <c r="AE242" s="59">
        <v>3265.7296066463418</v>
      </c>
      <c r="AF242" s="59">
        <v>3265.7296066463418</v>
      </c>
      <c r="AG242" s="59" t="s">
        <v>1211</v>
      </c>
      <c r="AH242" s="59" t="s">
        <v>1217</v>
      </c>
    </row>
    <row r="243" spans="1:34" x14ac:dyDescent="0.35">
      <c r="A243" s="58">
        <v>2024</v>
      </c>
      <c r="B243" s="58">
        <v>5</v>
      </c>
      <c r="C243">
        <v>5</v>
      </c>
      <c r="D243" s="58" t="s">
        <v>1469</v>
      </c>
      <c r="E243" t="s">
        <v>1211</v>
      </c>
      <c r="F243" s="58" t="s">
        <v>782</v>
      </c>
      <c r="G243" t="s">
        <v>783</v>
      </c>
      <c r="H243" s="58" t="s">
        <v>1012</v>
      </c>
      <c r="I243" t="s">
        <v>86</v>
      </c>
      <c r="J243" s="58" t="s">
        <v>86</v>
      </c>
      <c r="K243" t="s">
        <v>1429</v>
      </c>
      <c r="L243" t="s">
        <v>20</v>
      </c>
      <c r="M243" t="s">
        <v>1430</v>
      </c>
      <c r="N243" s="59">
        <v>9000</v>
      </c>
      <c r="O243" s="59">
        <v>171000000</v>
      </c>
      <c r="P243" s="59">
        <v>0</v>
      </c>
      <c r="Q243" s="59">
        <v>0</v>
      </c>
      <c r="R243" s="59">
        <v>0</v>
      </c>
      <c r="S243" s="59">
        <v>171000000</v>
      </c>
      <c r="T243" s="41"/>
      <c r="U243" s="41"/>
      <c r="V243" s="41"/>
      <c r="W243" s="41"/>
      <c r="X243" s="41"/>
      <c r="Y243" s="41"/>
      <c r="Z243" s="41"/>
      <c r="AA243" s="41"/>
      <c r="AB243" s="41"/>
      <c r="AC243" s="41"/>
      <c r="AD243" s="41"/>
      <c r="AE243" s="59">
        <v>6772.2503363633823</v>
      </c>
      <c r="AF243" s="59">
        <v>6772.2503363633823</v>
      </c>
      <c r="AG243" s="59" t="s">
        <v>1211</v>
      </c>
      <c r="AH243" s="59" t="s">
        <v>1218</v>
      </c>
    </row>
    <row r="244" spans="1:34" x14ac:dyDescent="0.35">
      <c r="A244" s="58">
        <v>2024</v>
      </c>
      <c r="B244" s="58">
        <v>5</v>
      </c>
      <c r="C244">
        <v>5</v>
      </c>
      <c r="D244" s="58" t="s">
        <v>1469</v>
      </c>
      <c r="E244" t="s">
        <v>1211</v>
      </c>
      <c r="F244" s="58" t="s">
        <v>786</v>
      </c>
      <c r="G244" t="s">
        <v>1534</v>
      </c>
      <c r="H244" s="58" t="s">
        <v>1012</v>
      </c>
      <c r="I244" t="s">
        <v>86</v>
      </c>
      <c r="J244" s="58" t="s">
        <v>86</v>
      </c>
      <c r="K244" t="s">
        <v>1429</v>
      </c>
      <c r="L244" t="s">
        <v>20</v>
      </c>
      <c r="M244" t="s">
        <v>1430</v>
      </c>
      <c r="N244" s="59">
        <v>500</v>
      </c>
      <c r="O244" s="59">
        <v>9500000</v>
      </c>
      <c r="P244" s="59">
        <v>0</v>
      </c>
      <c r="Q244" s="59">
        <v>0</v>
      </c>
      <c r="R244" s="59">
        <v>0</v>
      </c>
      <c r="S244" s="59">
        <v>9500000</v>
      </c>
      <c r="T244" s="41"/>
      <c r="U244" s="41"/>
      <c r="V244" s="41"/>
      <c r="W244" s="41"/>
      <c r="X244" s="41"/>
      <c r="Y244" s="41"/>
      <c r="Z244" s="41"/>
      <c r="AA244" s="41"/>
      <c r="AB244" s="41"/>
      <c r="AC244" s="41"/>
      <c r="AD244" s="41"/>
      <c r="AE244" s="59">
        <v>376.23612979796565</v>
      </c>
      <c r="AF244" s="59">
        <v>376.23612979796565</v>
      </c>
      <c r="AG244" s="59" t="s">
        <v>1211</v>
      </c>
      <c r="AH244" s="59" t="s">
        <v>1219</v>
      </c>
    </row>
    <row r="245" spans="1:34" x14ac:dyDescent="0.35">
      <c r="A245" s="58">
        <v>2024</v>
      </c>
      <c r="B245" s="58">
        <v>5</v>
      </c>
      <c r="C245">
        <v>5</v>
      </c>
      <c r="D245" s="58" t="s">
        <v>635</v>
      </c>
      <c r="E245" t="s">
        <v>62</v>
      </c>
      <c r="F245" s="58" t="s">
        <v>212</v>
      </c>
      <c r="G245" t="s">
        <v>481</v>
      </c>
      <c r="H245" s="58" t="s">
        <v>21</v>
      </c>
      <c r="I245" t="s">
        <v>21</v>
      </c>
      <c r="J245" s="58" t="s">
        <v>21</v>
      </c>
      <c r="K245" t="s">
        <v>1429</v>
      </c>
      <c r="L245" t="s">
        <v>20</v>
      </c>
      <c r="M245" t="s">
        <v>1430</v>
      </c>
      <c r="N245" s="59">
        <v>35250</v>
      </c>
      <c r="O245" s="59">
        <v>779412750</v>
      </c>
      <c r="P245" s="59">
        <v>9991725.3000000007</v>
      </c>
      <c r="Q245" s="59">
        <v>0</v>
      </c>
      <c r="R245" s="59">
        <v>0</v>
      </c>
      <c r="S245" s="59">
        <v>769421024.70000005</v>
      </c>
      <c r="T245" s="41"/>
      <c r="U245" s="41"/>
      <c r="V245" s="41"/>
      <c r="W245" s="41"/>
      <c r="X245" s="41"/>
      <c r="Y245" s="41"/>
      <c r="Z245" s="41"/>
      <c r="AA245" s="41"/>
      <c r="AB245" s="41"/>
      <c r="AC245" s="41"/>
      <c r="AD245" s="41"/>
      <c r="AE245" s="59">
        <v>30471.998791401358</v>
      </c>
      <c r="AF245" s="59">
        <v>30867.709113177829</v>
      </c>
      <c r="AG245" s="59" t="s">
        <v>62</v>
      </c>
      <c r="AH245" s="59" t="s">
        <v>84</v>
      </c>
    </row>
    <row r="246" spans="1:34" x14ac:dyDescent="0.35">
      <c r="A246" s="58">
        <v>2024</v>
      </c>
      <c r="B246" s="58">
        <v>5</v>
      </c>
      <c r="C246">
        <v>5</v>
      </c>
      <c r="D246" s="58" t="s">
        <v>1475</v>
      </c>
      <c r="E246" t="s">
        <v>1159</v>
      </c>
      <c r="F246" s="58" t="s">
        <v>167</v>
      </c>
      <c r="G246" t="s">
        <v>693</v>
      </c>
      <c r="H246" s="58" t="s">
        <v>4</v>
      </c>
      <c r="I246" t="s">
        <v>4</v>
      </c>
      <c r="J246" s="58" t="s">
        <v>4</v>
      </c>
      <c r="K246" t="s">
        <v>1429</v>
      </c>
      <c r="L246" t="s">
        <v>20</v>
      </c>
      <c r="M246" t="s">
        <v>1430</v>
      </c>
      <c r="N246" s="59">
        <v>100</v>
      </c>
      <c r="O246" s="59">
        <v>3310200</v>
      </c>
      <c r="P246" s="59">
        <v>0</v>
      </c>
      <c r="Q246" s="59">
        <v>0</v>
      </c>
      <c r="R246" s="59">
        <v>0</v>
      </c>
      <c r="S246" s="59">
        <v>3310200</v>
      </c>
      <c r="T246" s="41"/>
      <c r="U246" s="41"/>
      <c r="V246" s="41"/>
      <c r="W246" s="41"/>
      <c r="X246" s="41"/>
      <c r="Y246" s="41"/>
      <c r="Z246" s="41"/>
      <c r="AA246" s="41"/>
      <c r="AB246" s="41"/>
      <c r="AC246" s="41"/>
      <c r="AD246" s="41"/>
      <c r="AE246" s="59">
        <v>131.0965091428659</v>
      </c>
      <c r="AF246" s="59">
        <v>131.0965091428659</v>
      </c>
      <c r="AG246" s="59" t="s">
        <v>1159</v>
      </c>
      <c r="AH246" s="59" t="s">
        <v>1156</v>
      </c>
    </row>
    <row r="247" spans="1:34" x14ac:dyDescent="0.35">
      <c r="A247" s="58">
        <v>2024</v>
      </c>
      <c r="B247" s="58">
        <v>5</v>
      </c>
      <c r="C247">
        <v>5</v>
      </c>
      <c r="D247" s="58" t="s">
        <v>654</v>
      </c>
      <c r="E247" t="s">
        <v>118</v>
      </c>
      <c r="F247" s="58" t="s">
        <v>171</v>
      </c>
      <c r="G247" t="s">
        <v>731</v>
      </c>
      <c r="H247" s="58" t="s">
        <v>4</v>
      </c>
      <c r="I247" t="s">
        <v>4</v>
      </c>
      <c r="J247" s="58" t="s">
        <v>4</v>
      </c>
      <c r="K247" t="s">
        <v>1429</v>
      </c>
      <c r="L247" t="s">
        <v>20</v>
      </c>
      <c r="M247" t="s">
        <v>1430</v>
      </c>
      <c r="N247" s="59">
        <v>11000</v>
      </c>
      <c r="O247" s="59">
        <v>364035100</v>
      </c>
      <c r="P247" s="59">
        <v>2125899</v>
      </c>
      <c r="Q247" s="59">
        <v>0</v>
      </c>
      <c r="R247" s="59">
        <v>0</v>
      </c>
      <c r="S247" s="59">
        <v>361909201</v>
      </c>
      <c r="T247" s="41"/>
      <c r="U247" s="41"/>
      <c r="V247" s="41"/>
      <c r="W247" s="41"/>
      <c r="X247" s="41"/>
      <c r="Y247" s="41"/>
      <c r="Z247" s="41"/>
      <c r="AA247" s="41"/>
      <c r="AB247" s="41"/>
      <c r="AC247" s="41"/>
      <c r="AD247" s="41"/>
      <c r="AE247" s="59">
        <v>14332.980749738321</v>
      </c>
      <c r="AF247" s="59">
        <v>14417.174435222674</v>
      </c>
      <c r="AG247" s="59" t="s">
        <v>118</v>
      </c>
      <c r="AH247" s="59" t="s">
        <v>1166</v>
      </c>
    </row>
    <row r="248" spans="1:34" x14ac:dyDescent="0.35">
      <c r="A248" s="58">
        <v>2024</v>
      </c>
      <c r="B248" s="58">
        <v>5</v>
      </c>
      <c r="C248">
        <v>5</v>
      </c>
      <c r="D248" s="58" t="s">
        <v>606</v>
      </c>
      <c r="E248" t="s">
        <v>325</v>
      </c>
      <c r="F248" s="58" t="s">
        <v>168</v>
      </c>
      <c r="G248" t="s">
        <v>700</v>
      </c>
      <c r="H248" s="58" t="s">
        <v>4</v>
      </c>
      <c r="I248" t="s">
        <v>4</v>
      </c>
      <c r="J248" s="58" t="s">
        <v>4</v>
      </c>
      <c r="K248" t="s">
        <v>1429</v>
      </c>
      <c r="L248" t="s">
        <v>20</v>
      </c>
      <c r="M248" t="s">
        <v>1430</v>
      </c>
      <c r="N248" s="59">
        <v>44000</v>
      </c>
      <c r="O248" s="59">
        <v>1546312000</v>
      </c>
      <c r="P248" s="59">
        <v>8928775.8000000007</v>
      </c>
      <c r="Q248" s="59">
        <v>0</v>
      </c>
      <c r="R248" s="59">
        <v>6160000</v>
      </c>
      <c r="S248" s="59">
        <v>1523172984.2</v>
      </c>
      <c r="T248" s="41"/>
      <c r="U248" s="41"/>
      <c r="V248" s="41"/>
      <c r="W248" s="41"/>
      <c r="X248" s="41"/>
      <c r="Y248" s="41"/>
      <c r="Z248" s="41"/>
      <c r="AA248" s="41"/>
      <c r="AB248" s="41"/>
      <c r="AC248" s="41"/>
      <c r="AD248" s="41"/>
      <c r="AE248" s="59">
        <v>60323.44300928693</v>
      </c>
      <c r="AF248" s="59">
        <v>61239.836035805463</v>
      </c>
      <c r="AG248" s="59" t="s">
        <v>8</v>
      </c>
      <c r="AH248" s="59" t="s">
        <v>1160</v>
      </c>
    </row>
    <row r="249" spans="1:34" x14ac:dyDescent="0.35">
      <c r="A249" s="58">
        <v>2024</v>
      </c>
      <c r="B249" s="58">
        <v>5</v>
      </c>
      <c r="C249">
        <v>5</v>
      </c>
      <c r="D249" s="58" t="s">
        <v>606</v>
      </c>
      <c r="E249" t="s">
        <v>325</v>
      </c>
      <c r="F249" s="58" t="s">
        <v>1535</v>
      </c>
      <c r="G249" t="s">
        <v>1536</v>
      </c>
      <c r="H249" s="58" t="s">
        <v>1012</v>
      </c>
      <c r="I249" t="s">
        <v>1012</v>
      </c>
      <c r="J249" s="58" t="s">
        <v>1012</v>
      </c>
      <c r="K249" t="s">
        <v>1429</v>
      </c>
      <c r="L249" t="s">
        <v>20</v>
      </c>
      <c r="M249" t="s">
        <v>1430</v>
      </c>
      <c r="N249" s="59">
        <v>0</v>
      </c>
      <c r="O249" s="59">
        <v>0</v>
      </c>
      <c r="P249" s="59">
        <v>0</v>
      </c>
      <c r="Q249" s="59">
        <v>0</v>
      </c>
      <c r="R249" s="59">
        <v>0</v>
      </c>
      <c r="S249" s="59">
        <v>8050240</v>
      </c>
      <c r="T249" s="41"/>
      <c r="U249" s="41"/>
      <c r="V249" s="41"/>
      <c r="W249" s="41"/>
      <c r="X249" s="41"/>
      <c r="Y249" s="41"/>
      <c r="Z249" s="41"/>
      <c r="AA249" s="41"/>
      <c r="AB249" s="41"/>
      <c r="AC249" s="41"/>
      <c r="AD249" s="41"/>
      <c r="AE249" s="59">
        <v>318.82012016260791</v>
      </c>
      <c r="AF249" s="59">
        <v>0</v>
      </c>
      <c r="AG249" s="59" t="s">
        <v>8</v>
      </c>
      <c r="AH249" s="59" t="s">
        <v>1270</v>
      </c>
    </row>
    <row r="250" spans="1:34" x14ac:dyDescent="0.35">
      <c r="A250" s="58">
        <v>2024</v>
      </c>
      <c r="B250" s="58">
        <v>5</v>
      </c>
      <c r="C250">
        <v>5</v>
      </c>
      <c r="D250" s="58" t="s">
        <v>634</v>
      </c>
      <c r="E250" t="s">
        <v>148</v>
      </c>
      <c r="F250" s="58" t="s">
        <v>182</v>
      </c>
      <c r="G250" t="s">
        <v>905</v>
      </c>
      <c r="H250" s="58" t="s">
        <v>74</v>
      </c>
      <c r="I250" t="s">
        <v>74</v>
      </c>
      <c r="J250" s="58" t="s">
        <v>74</v>
      </c>
      <c r="K250" t="s">
        <v>1429</v>
      </c>
      <c r="L250" t="s">
        <v>20</v>
      </c>
      <c r="M250" t="s">
        <v>1430</v>
      </c>
      <c r="N250" s="59">
        <v>71500</v>
      </c>
      <c r="O250" s="59">
        <v>1452264000</v>
      </c>
      <c r="P250" s="59">
        <v>13818343.500000002</v>
      </c>
      <c r="Q250" s="59">
        <v>0</v>
      </c>
      <c r="R250" s="59">
        <v>0</v>
      </c>
      <c r="S250" s="59">
        <v>1438445656.4999998</v>
      </c>
      <c r="T250" s="41"/>
      <c r="U250" s="41"/>
      <c r="V250" s="41"/>
      <c r="W250" s="41"/>
      <c r="X250" s="41"/>
      <c r="Y250" s="41"/>
      <c r="Z250" s="41"/>
      <c r="AA250" s="41"/>
      <c r="AB250" s="41"/>
      <c r="AC250" s="41"/>
      <c r="AD250" s="41"/>
      <c r="AE250" s="59">
        <v>56967.918602763573</v>
      </c>
      <c r="AF250" s="59">
        <v>57515.177558411873</v>
      </c>
      <c r="AG250" s="59" t="s">
        <v>148</v>
      </c>
      <c r="AH250" s="59" t="s">
        <v>1242</v>
      </c>
    </row>
    <row r="251" spans="1:34" x14ac:dyDescent="0.35">
      <c r="A251" s="58">
        <v>2024</v>
      </c>
      <c r="B251" s="58">
        <v>5</v>
      </c>
      <c r="C251">
        <v>5</v>
      </c>
      <c r="D251" s="58" t="s">
        <v>1537</v>
      </c>
      <c r="E251" t="s">
        <v>1387</v>
      </c>
      <c r="F251" s="58" t="s">
        <v>912</v>
      </c>
      <c r="G251" t="s">
        <v>913</v>
      </c>
      <c r="H251" s="58" t="s">
        <v>1385</v>
      </c>
      <c r="I251" t="s">
        <v>1385</v>
      </c>
      <c r="J251" s="58" t="s">
        <v>1385</v>
      </c>
      <c r="K251" t="s">
        <v>1429</v>
      </c>
      <c r="L251" t="s">
        <v>20</v>
      </c>
      <c r="M251" t="s">
        <v>1430</v>
      </c>
      <c r="N251" s="59">
        <v>4885</v>
      </c>
      <c r="O251" s="59">
        <v>173425624</v>
      </c>
      <c r="P251" s="59">
        <v>850359.6</v>
      </c>
      <c r="Q251" s="59">
        <v>0</v>
      </c>
      <c r="R251" s="59">
        <v>0</v>
      </c>
      <c r="S251" s="59">
        <v>172575264.40000001</v>
      </c>
      <c r="T251" s="41"/>
      <c r="U251" s="41"/>
      <c r="V251" s="41"/>
      <c r="W251" s="41"/>
      <c r="X251" s="41"/>
      <c r="Y251" s="41"/>
      <c r="Z251" s="41"/>
      <c r="AA251" s="41"/>
      <c r="AB251" s="41"/>
      <c r="AC251" s="41"/>
      <c r="AD251" s="41"/>
      <c r="AE251" s="59">
        <v>6834.6367975491203</v>
      </c>
      <c r="AF251" s="59">
        <v>6868.3142717428618</v>
      </c>
      <c r="AG251" s="59" t="s">
        <v>1387</v>
      </c>
      <c r="AH251" s="59" t="s">
        <v>1386</v>
      </c>
    </row>
    <row r="252" spans="1:34" x14ac:dyDescent="0.35">
      <c r="A252" s="58">
        <v>2024</v>
      </c>
      <c r="B252" s="58">
        <v>5</v>
      </c>
      <c r="C252">
        <v>5</v>
      </c>
      <c r="D252" s="58" t="s">
        <v>1538</v>
      </c>
      <c r="E252" t="s">
        <v>1244</v>
      </c>
      <c r="F252" s="58" t="s">
        <v>182</v>
      </c>
      <c r="G252" t="s">
        <v>905</v>
      </c>
      <c r="H252" s="58" t="s">
        <v>74</v>
      </c>
      <c r="I252" t="s">
        <v>74</v>
      </c>
      <c r="J252" s="58" t="s">
        <v>74</v>
      </c>
      <c r="K252" t="s">
        <v>1429</v>
      </c>
      <c r="L252" t="s">
        <v>20</v>
      </c>
      <c r="M252" t="s">
        <v>1430</v>
      </c>
      <c r="N252" s="59">
        <v>11000</v>
      </c>
      <c r="O252" s="59">
        <v>181500000</v>
      </c>
      <c r="P252" s="59">
        <v>2125899</v>
      </c>
      <c r="Q252" s="59">
        <v>0</v>
      </c>
      <c r="R252" s="59">
        <v>0</v>
      </c>
      <c r="S252" s="59">
        <v>179374101</v>
      </c>
      <c r="T252" s="41"/>
      <c r="U252" s="41"/>
      <c r="V252" s="41"/>
      <c r="W252" s="41"/>
      <c r="X252" s="41"/>
      <c r="Y252" s="41"/>
      <c r="Z252" s="41"/>
      <c r="AA252" s="41"/>
      <c r="AB252" s="41"/>
      <c r="AC252" s="41"/>
      <c r="AD252" s="41"/>
      <c r="AE252" s="59">
        <v>7103.896583813621</v>
      </c>
      <c r="AF252" s="59">
        <v>7188.0902692979753</v>
      </c>
      <c r="AG252" s="59" t="s">
        <v>1244</v>
      </c>
      <c r="AH252" s="59" t="s">
        <v>1242</v>
      </c>
    </row>
    <row r="253" spans="1:34" x14ac:dyDescent="0.35">
      <c r="A253" s="58">
        <v>2024</v>
      </c>
      <c r="B253" s="58">
        <v>5</v>
      </c>
      <c r="C253">
        <v>5</v>
      </c>
      <c r="D253" s="58" t="s">
        <v>1539</v>
      </c>
      <c r="E253" t="s">
        <v>1164</v>
      </c>
      <c r="F253" s="58" t="s">
        <v>169</v>
      </c>
      <c r="G253" t="s">
        <v>703</v>
      </c>
      <c r="H253" s="58" t="s">
        <v>4</v>
      </c>
      <c r="I253" t="s">
        <v>4</v>
      </c>
      <c r="J253" s="58" t="s">
        <v>4</v>
      </c>
      <c r="K253" t="s">
        <v>1429</v>
      </c>
      <c r="L253" t="s">
        <v>20</v>
      </c>
      <c r="M253" t="s">
        <v>1430</v>
      </c>
      <c r="N253" s="59">
        <v>25</v>
      </c>
      <c r="O253" s="59">
        <v>800000</v>
      </c>
      <c r="P253" s="59">
        <v>0</v>
      </c>
      <c r="Q253" s="59">
        <v>0</v>
      </c>
      <c r="R253" s="59">
        <v>0</v>
      </c>
      <c r="S253" s="59">
        <v>800000</v>
      </c>
      <c r="T253" s="41"/>
      <c r="U253" s="41"/>
      <c r="V253" s="41"/>
      <c r="W253" s="41"/>
      <c r="X253" s="41"/>
      <c r="Y253" s="41"/>
      <c r="Z253" s="41"/>
      <c r="AA253" s="41"/>
      <c r="AB253" s="41"/>
      <c r="AC253" s="41"/>
      <c r="AD253" s="41"/>
      <c r="AE253" s="59">
        <v>31.683042509302371</v>
      </c>
      <c r="AF253" s="59">
        <v>31.683042509302371</v>
      </c>
      <c r="AG253" s="59" t="s">
        <v>1164</v>
      </c>
      <c r="AH253" s="59" t="s">
        <v>1163</v>
      </c>
    </row>
    <row r="254" spans="1:34" x14ac:dyDescent="0.35">
      <c r="A254" s="58">
        <v>2024</v>
      </c>
      <c r="B254" s="58">
        <v>5</v>
      </c>
      <c r="C254">
        <v>5</v>
      </c>
      <c r="D254" s="58" t="s">
        <v>602</v>
      </c>
      <c r="E254" t="s">
        <v>122</v>
      </c>
      <c r="F254" s="58" t="s">
        <v>171</v>
      </c>
      <c r="G254" t="s">
        <v>731</v>
      </c>
      <c r="H254" s="58" t="s">
        <v>4</v>
      </c>
      <c r="I254" t="s">
        <v>4</v>
      </c>
      <c r="J254" s="58" t="s">
        <v>4</v>
      </c>
      <c r="K254" t="s">
        <v>1476</v>
      </c>
      <c r="L254" t="s">
        <v>1477</v>
      </c>
      <c r="M254" t="s">
        <v>1430</v>
      </c>
      <c r="N254" s="59">
        <v>88000</v>
      </c>
      <c r="O254" s="59">
        <v>2686302080</v>
      </c>
      <c r="P254" s="59">
        <v>7080000</v>
      </c>
      <c r="Q254" s="59">
        <v>0</v>
      </c>
      <c r="R254" s="59">
        <v>37970132</v>
      </c>
      <c r="S254" s="59">
        <v>2641251948</v>
      </c>
      <c r="T254" s="41"/>
      <c r="U254" s="41"/>
      <c r="V254" s="41"/>
      <c r="W254" s="41"/>
      <c r="X254" s="41"/>
      <c r="Y254" s="41"/>
      <c r="Z254" s="41"/>
      <c r="AA254" s="41"/>
      <c r="AB254" s="41"/>
      <c r="AC254" s="41"/>
      <c r="AD254" s="41"/>
      <c r="AE254" s="59">
        <v>104521.24843688168</v>
      </c>
      <c r="AF254" s="59">
        <v>106304</v>
      </c>
      <c r="AG254" s="59" t="s">
        <v>122</v>
      </c>
      <c r="AH254" s="59" t="s">
        <v>1166</v>
      </c>
    </row>
    <row r="255" spans="1:34" x14ac:dyDescent="0.35">
      <c r="A255" s="58">
        <v>2024</v>
      </c>
      <c r="B255" s="58">
        <v>5</v>
      </c>
      <c r="C255">
        <v>5</v>
      </c>
      <c r="D255" s="58" t="s">
        <v>587</v>
      </c>
      <c r="E255" t="s">
        <v>6</v>
      </c>
      <c r="F255" s="58" t="s">
        <v>171</v>
      </c>
      <c r="G255" t="s">
        <v>731</v>
      </c>
      <c r="H255" s="58" t="s">
        <v>4</v>
      </c>
      <c r="I255" t="s">
        <v>4</v>
      </c>
      <c r="J255" s="58" t="s">
        <v>4</v>
      </c>
      <c r="K255" t="s">
        <v>1476</v>
      </c>
      <c r="L255" t="s">
        <v>1477</v>
      </c>
      <c r="M255" t="s">
        <v>1430</v>
      </c>
      <c r="N255" s="59">
        <v>352000</v>
      </c>
      <c r="O255" s="59">
        <v>10663488000</v>
      </c>
      <c r="P255" s="59">
        <v>28320000</v>
      </c>
      <c r="Q255" s="59">
        <v>159952320</v>
      </c>
      <c r="R255" s="59">
        <v>139567792</v>
      </c>
      <c r="S255" s="59">
        <v>10335647888</v>
      </c>
      <c r="T255" s="41"/>
      <c r="U255" s="41"/>
      <c r="V255" s="41"/>
      <c r="W255" s="41"/>
      <c r="X255" s="41"/>
      <c r="Y255" s="41"/>
      <c r="Z255" s="41"/>
      <c r="AA255" s="41"/>
      <c r="AB255" s="41"/>
      <c r="AC255" s="41"/>
      <c r="AD255" s="41"/>
      <c r="AE255" s="59">
        <v>409413.59266789595</v>
      </c>
      <c r="AF255" s="59">
        <v>422400</v>
      </c>
      <c r="AG255" s="59" t="s">
        <v>6</v>
      </c>
      <c r="AH255" s="59" t="s">
        <v>1166</v>
      </c>
    </row>
    <row r="256" spans="1:34" x14ac:dyDescent="0.35">
      <c r="A256" s="58">
        <v>2024</v>
      </c>
      <c r="B256" s="58">
        <v>5</v>
      </c>
      <c r="C256">
        <v>5</v>
      </c>
      <c r="D256" s="58" t="s">
        <v>1519</v>
      </c>
      <c r="E256" t="s">
        <v>1168</v>
      </c>
      <c r="F256" s="58" t="s">
        <v>171</v>
      </c>
      <c r="G256" t="s">
        <v>731</v>
      </c>
      <c r="H256" s="58" t="s">
        <v>4</v>
      </c>
      <c r="I256" t="s">
        <v>4</v>
      </c>
      <c r="J256" s="58" t="s">
        <v>4</v>
      </c>
      <c r="K256" t="s">
        <v>1476</v>
      </c>
      <c r="L256" t="s">
        <v>1520</v>
      </c>
      <c r="M256" t="s">
        <v>1430</v>
      </c>
      <c r="N256" s="59">
        <v>44000</v>
      </c>
      <c r="O256" s="59">
        <v>1398474000</v>
      </c>
      <c r="P256" s="59">
        <v>3540000</v>
      </c>
      <c r="Q256" s="59">
        <v>0</v>
      </c>
      <c r="R256" s="59">
        <v>51651565</v>
      </c>
      <c r="S256" s="59">
        <v>1343282435</v>
      </c>
      <c r="T256" s="41"/>
      <c r="U256" s="41"/>
      <c r="V256" s="41"/>
      <c r="W256" s="41"/>
      <c r="X256" s="41"/>
      <c r="Y256" s="41"/>
      <c r="Z256" s="41"/>
      <c r="AA256" s="41"/>
      <c r="AB256" s="41"/>
      <c r="AC256" s="41"/>
      <c r="AD256" s="41"/>
      <c r="AE256" s="59">
        <v>53252.13139255908</v>
      </c>
      <c r="AF256" s="59">
        <v>55440</v>
      </c>
      <c r="AG256" s="59" t="s">
        <v>1168</v>
      </c>
      <c r="AH256" s="59" t="s">
        <v>1166</v>
      </c>
    </row>
    <row r="257" spans="1:34" x14ac:dyDescent="0.35">
      <c r="A257" s="58">
        <v>2024</v>
      </c>
      <c r="B257" s="58">
        <v>5</v>
      </c>
      <c r="C257">
        <v>5</v>
      </c>
      <c r="D257" s="58" t="s">
        <v>618</v>
      </c>
      <c r="E257" t="s">
        <v>143</v>
      </c>
      <c r="F257" s="58" t="s">
        <v>174</v>
      </c>
      <c r="G257" t="s">
        <v>740</v>
      </c>
      <c r="H257" s="58" t="s">
        <v>4</v>
      </c>
      <c r="I257" t="s">
        <v>4</v>
      </c>
      <c r="J257" s="58" t="s">
        <v>4</v>
      </c>
      <c r="K257" t="s">
        <v>1476</v>
      </c>
      <c r="L257" t="s">
        <v>1477</v>
      </c>
      <c r="M257" t="s">
        <v>1430</v>
      </c>
      <c r="N257" s="59">
        <v>330000</v>
      </c>
      <c r="O257" s="59">
        <v>9090818000</v>
      </c>
      <c r="P257" s="59">
        <v>26550000</v>
      </c>
      <c r="Q257" s="59">
        <v>181816360</v>
      </c>
      <c r="R257" s="59">
        <v>128689893.00000001</v>
      </c>
      <c r="S257" s="59">
        <v>8753761747</v>
      </c>
      <c r="T257" s="41"/>
      <c r="U257" s="41"/>
      <c r="V257" s="41"/>
      <c r="W257" s="41"/>
      <c r="X257" s="41"/>
      <c r="Y257" s="41"/>
      <c r="Z257" s="41"/>
      <c r="AA257" s="41"/>
      <c r="AB257" s="41"/>
      <c r="AC257" s="41"/>
      <c r="AD257" s="41"/>
      <c r="AE257" s="59">
        <v>346363.61278073397</v>
      </c>
      <c r="AF257" s="59">
        <v>359700</v>
      </c>
      <c r="AG257" s="59" t="s">
        <v>143</v>
      </c>
      <c r="AH257" s="59" t="s">
        <v>1185</v>
      </c>
    </row>
    <row r="258" spans="1:34" x14ac:dyDescent="0.35">
      <c r="A258" s="58">
        <v>2024</v>
      </c>
      <c r="B258" s="58">
        <v>5</v>
      </c>
      <c r="C258">
        <v>5</v>
      </c>
      <c r="D258" s="58" t="s">
        <v>1511</v>
      </c>
      <c r="E258" t="s">
        <v>1167</v>
      </c>
      <c r="F258" s="58" t="s">
        <v>171</v>
      </c>
      <c r="G258" t="s">
        <v>731</v>
      </c>
      <c r="H258" s="58" t="s">
        <v>4</v>
      </c>
      <c r="I258" t="s">
        <v>4</v>
      </c>
      <c r="J258" s="58" t="s">
        <v>4</v>
      </c>
      <c r="K258" t="s">
        <v>1476</v>
      </c>
      <c r="L258" t="s">
        <v>301</v>
      </c>
      <c r="M258" t="s">
        <v>1430</v>
      </c>
      <c r="N258" s="59">
        <v>220000</v>
      </c>
      <c r="O258" s="59">
        <v>6659400000</v>
      </c>
      <c r="P258" s="59">
        <v>17700000</v>
      </c>
      <c r="Q258" s="59">
        <v>99891000</v>
      </c>
      <c r="R258" s="59">
        <v>79236047.999999985</v>
      </c>
      <c r="S258" s="59">
        <v>6462572951.999999</v>
      </c>
      <c r="T258" s="41"/>
      <c r="U258" s="41"/>
      <c r="V258" s="41"/>
      <c r="W258" s="41"/>
      <c r="X258" s="41"/>
      <c r="Y258" s="41"/>
      <c r="Z258" s="41"/>
      <c r="AA258" s="41"/>
      <c r="AB258" s="41"/>
      <c r="AC258" s="41"/>
      <c r="AD258" s="41"/>
      <c r="AE258" s="59">
        <v>256197.14242706756</v>
      </c>
      <c r="AF258" s="59">
        <v>264000</v>
      </c>
      <c r="AG258" s="59" t="s">
        <v>1167</v>
      </c>
      <c r="AH258" s="59" t="s">
        <v>1166</v>
      </c>
    </row>
    <row r="259" spans="1:34" x14ac:dyDescent="0.35">
      <c r="A259" s="58">
        <v>2024</v>
      </c>
      <c r="B259" s="58">
        <v>5</v>
      </c>
      <c r="C259">
        <v>5</v>
      </c>
      <c r="D259" s="58" t="s">
        <v>623</v>
      </c>
      <c r="E259" t="s">
        <v>137</v>
      </c>
      <c r="F259" s="58" t="s">
        <v>172</v>
      </c>
      <c r="G259" t="s">
        <v>734</v>
      </c>
      <c r="H259" s="58" t="s">
        <v>4</v>
      </c>
      <c r="I259" t="s">
        <v>4</v>
      </c>
      <c r="J259" s="58" t="s">
        <v>4</v>
      </c>
      <c r="K259" t="s">
        <v>1476</v>
      </c>
      <c r="L259" t="s">
        <v>1540</v>
      </c>
      <c r="M259" t="s">
        <v>1430</v>
      </c>
      <c r="N259" s="59">
        <v>22000</v>
      </c>
      <c r="O259" s="59">
        <v>749628000</v>
      </c>
      <c r="P259" s="59">
        <v>1770000</v>
      </c>
      <c r="Q259" s="59">
        <v>0</v>
      </c>
      <c r="R259" s="59">
        <v>69460225</v>
      </c>
      <c r="S259" s="59">
        <v>678397775</v>
      </c>
      <c r="T259" s="41"/>
      <c r="U259" s="41"/>
      <c r="V259" s="41"/>
      <c r="W259" s="41"/>
      <c r="X259" s="41"/>
      <c r="Y259" s="41"/>
      <c r="Z259" s="41"/>
      <c r="AA259" s="41"/>
      <c r="AB259" s="41"/>
      <c r="AC259" s="41"/>
      <c r="AD259" s="41"/>
      <c r="AE259" s="59">
        <v>26877.883320126784</v>
      </c>
      <c r="AF259" s="59">
        <v>29700</v>
      </c>
      <c r="AG259" s="59" t="s">
        <v>137</v>
      </c>
      <c r="AH259" s="59" t="s">
        <v>1175</v>
      </c>
    </row>
    <row r="260" spans="1:34" x14ac:dyDescent="0.35">
      <c r="A260" s="58">
        <v>2024</v>
      </c>
      <c r="B260" s="58">
        <v>5</v>
      </c>
      <c r="C260">
        <v>5</v>
      </c>
      <c r="D260" s="58" t="s">
        <v>1484</v>
      </c>
      <c r="E260" t="s">
        <v>1298</v>
      </c>
      <c r="F260" s="58" t="s">
        <v>1482</v>
      </c>
      <c r="G260" t="s">
        <v>1483</v>
      </c>
      <c r="H260" s="58" t="s">
        <v>1012</v>
      </c>
      <c r="I260" t="s">
        <v>1012</v>
      </c>
      <c r="J260" s="58" t="s">
        <v>1012</v>
      </c>
      <c r="K260" t="s">
        <v>1429</v>
      </c>
      <c r="L260" t="s">
        <v>20</v>
      </c>
      <c r="M260" t="s">
        <v>1430</v>
      </c>
      <c r="N260" s="59">
        <v>0</v>
      </c>
      <c r="O260" s="59">
        <v>16500000</v>
      </c>
      <c r="P260" s="59">
        <v>0</v>
      </c>
      <c r="Q260" s="59">
        <v>0</v>
      </c>
      <c r="R260" s="59">
        <v>0</v>
      </c>
      <c r="S260" s="59">
        <v>16500000</v>
      </c>
      <c r="T260" s="41"/>
      <c r="U260" s="41"/>
      <c r="V260" s="41"/>
      <c r="W260" s="41"/>
      <c r="X260" s="41"/>
      <c r="Y260" s="41"/>
      <c r="Z260" s="41"/>
      <c r="AA260" s="41"/>
      <c r="AB260" s="41"/>
      <c r="AC260" s="41"/>
      <c r="AD260" s="41"/>
      <c r="AE260" s="59">
        <v>653.46275175436142</v>
      </c>
      <c r="AF260" s="59">
        <v>653.46275175436142</v>
      </c>
      <c r="AG260" s="59" t="s">
        <v>1298</v>
      </c>
      <c r="AH260" s="59" t="s">
        <v>1325</v>
      </c>
    </row>
    <row r="261" spans="1:34" x14ac:dyDescent="0.35">
      <c r="A261" s="58">
        <v>2024</v>
      </c>
      <c r="B261" s="58">
        <v>5</v>
      </c>
      <c r="C261">
        <v>5</v>
      </c>
      <c r="D261" s="58" t="s">
        <v>1485</v>
      </c>
      <c r="E261" t="s">
        <v>1318</v>
      </c>
      <c r="F261" s="58" t="s">
        <v>1486</v>
      </c>
      <c r="G261" t="s">
        <v>1487</v>
      </c>
      <c r="H261" s="58" t="s">
        <v>1012</v>
      </c>
      <c r="I261" t="s">
        <v>1012</v>
      </c>
      <c r="J261" s="58" t="s">
        <v>1012</v>
      </c>
      <c r="K261" t="s">
        <v>1429</v>
      </c>
      <c r="L261" t="s">
        <v>20</v>
      </c>
      <c r="M261" t="s">
        <v>1430</v>
      </c>
      <c r="N261" s="59">
        <v>0</v>
      </c>
      <c r="O261" s="59">
        <v>0</v>
      </c>
      <c r="P261" s="59">
        <v>0</v>
      </c>
      <c r="Q261" s="59">
        <v>0</v>
      </c>
      <c r="R261" s="59">
        <v>0</v>
      </c>
      <c r="S261" s="59">
        <v>0</v>
      </c>
      <c r="T261" s="41"/>
      <c r="U261" s="41"/>
      <c r="V261" s="41"/>
      <c r="W261" s="41"/>
      <c r="X261" s="41"/>
      <c r="Y261" s="41"/>
      <c r="Z261" s="41"/>
      <c r="AA261" s="41"/>
      <c r="AB261" s="41"/>
      <c r="AC261" s="41"/>
      <c r="AD261" s="41"/>
      <c r="AE261" s="59">
        <v>0</v>
      </c>
      <c r="AF261" s="59">
        <v>0</v>
      </c>
      <c r="AG261" s="59" t="s">
        <v>1318</v>
      </c>
      <c r="AH261" s="59" t="s">
        <v>1317</v>
      </c>
    </row>
    <row r="262" spans="1:34" x14ac:dyDescent="0.35">
      <c r="A262" s="58">
        <v>2024</v>
      </c>
      <c r="B262" s="58">
        <v>5</v>
      </c>
      <c r="C262">
        <v>5</v>
      </c>
      <c r="D262" s="58" t="s">
        <v>1488</v>
      </c>
      <c r="E262" t="s">
        <v>1275</v>
      </c>
      <c r="F262" s="58" t="s">
        <v>1489</v>
      </c>
      <c r="G262" t="s">
        <v>1490</v>
      </c>
      <c r="H262" s="58" t="s">
        <v>1012</v>
      </c>
      <c r="I262" t="s">
        <v>1012</v>
      </c>
      <c r="J262" s="58" t="s">
        <v>1012</v>
      </c>
      <c r="K262" t="s">
        <v>1429</v>
      </c>
      <c r="L262" t="s">
        <v>20</v>
      </c>
      <c r="M262" t="s">
        <v>1430</v>
      </c>
      <c r="N262" s="59">
        <v>0</v>
      </c>
      <c r="O262" s="59">
        <v>0</v>
      </c>
      <c r="P262" s="59">
        <v>0</v>
      </c>
      <c r="Q262" s="59">
        <v>0</v>
      </c>
      <c r="R262" s="59">
        <v>0</v>
      </c>
      <c r="S262" s="59">
        <v>0</v>
      </c>
      <c r="T262" s="41"/>
      <c r="U262" s="41"/>
      <c r="V262" s="41"/>
      <c r="W262" s="41"/>
      <c r="X262" s="41"/>
      <c r="Y262" s="41"/>
      <c r="Z262" s="41"/>
      <c r="AA262" s="41"/>
      <c r="AB262" s="41"/>
      <c r="AC262" s="41"/>
      <c r="AD262" s="41"/>
      <c r="AE262" s="59">
        <v>0</v>
      </c>
      <c r="AF262" s="59">
        <v>0</v>
      </c>
      <c r="AG262" s="59" t="s">
        <v>1275</v>
      </c>
      <c r="AH262" s="59" t="s">
        <v>1274</v>
      </c>
    </row>
    <row r="263" spans="1:34" x14ac:dyDescent="0.35">
      <c r="A263" s="58">
        <v>2024</v>
      </c>
      <c r="B263" s="58">
        <v>5</v>
      </c>
      <c r="C263">
        <v>5</v>
      </c>
      <c r="D263" s="58" t="s">
        <v>1491</v>
      </c>
      <c r="E263" t="s">
        <v>1264</v>
      </c>
      <c r="F263" s="58" t="s">
        <v>1492</v>
      </c>
      <c r="G263" t="s">
        <v>1493</v>
      </c>
      <c r="H263" s="58" t="s">
        <v>1012</v>
      </c>
      <c r="I263" t="s">
        <v>1012</v>
      </c>
      <c r="J263" s="58" t="s">
        <v>1012</v>
      </c>
      <c r="K263" t="s">
        <v>1429</v>
      </c>
      <c r="L263" t="s">
        <v>20</v>
      </c>
      <c r="M263" t="s">
        <v>1430</v>
      </c>
      <c r="N263" s="59">
        <v>0</v>
      </c>
      <c r="O263" s="59">
        <v>0</v>
      </c>
      <c r="P263" s="59">
        <v>0</v>
      </c>
      <c r="Q263" s="59">
        <v>0</v>
      </c>
      <c r="R263" s="59">
        <v>-210235725</v>
      </c>
      <c r="S263" s="59">
        <v>210235725</v>
      </c>
      <c r="T263" s="41"/>
      <c r="U263" s="41"/>
      <c r="V263" s="41"/>
      <c r="W263" s="41"/>
      <c r="X263" s="41"/>
      <c r="Y263" s="41"/>
      <c r="Z263" s="41"/>
      <c r="AA263" s="41"/>
      <c r="AB263" s="41"/>
      <c r="AC263" s="41"/>
      <c r="AD263" s="41"/>
      <c r="AE263" s="59">
        <v>8326.1342651862542</v>
      </c>
      <c r="AF263" s="59">
        <v>0</v>
      </c>
      <c r="AG263" s="59" t="s">
        <v>1264</v>
      </c>
      <c r="AH263" s="59" t="s">
        <v>1269</v>
      </c>
    </row>
    <row r="264" spans="1:34" x14ac:dyDescent="0.35">
      <c r="A264" s="58">
        <v>2024</v>
      </c>
      <c r="B264" s="58">
        <v>5</v>
      </c>
      <c r="C264">
        <v>5</v>
      </c>
      <c r="D264" s="58" t="s">
        <v>1491</v>
      </c>
      <c r="E264" t="s">
        <v>1264</v>
      </c>
      <c r="F264" s="58" t="s">
        <v>1522</v>
      </c>
      <c r="G264" t="s">
        <v>1523</v>
      </c>
      <c r="H264" s="58" t="s">
        <v>1012</v>
      </c>
      <c r="I264" t="s">
        <v>1012</v>
      </c>
      <c r="J264" s="58" t="s">
        <v>1389</v>
      </c>
      <c r="K264" t="s">
        <v>1429</v>
      </c>
      <c r="L264" t="s">
        <v>20</v>
      </c>
      <c r="M264" t="s">
        <v>1430</v>
      </c>
      <c r="N264" s="59">
        <v>0</v>
      </c>
      <c r="O264" s="59">
        <v>0</v>
      </c>
      <c r="P264" s="59">
        <v>0</v>
      </c>
      <c r="Q264" s="59">
        <v>0</v>
      </c>
      <c r="R264" s="59">
        <v>0</v>
      </c>
      <c r="S264" s="59">
        <v>0</v>
      </c>
      <c r="T264" s="41"/>
      <c r="U264" s="41"/>
      <c r="V264" s="41"/>
      <c r="W264" s="41"/>
      <c r="X264" s="41"/>
      <c r="Y264" s="41"/>
      <c r="Z264" s="41"/>
      <c r="AA264" s="41"/>
      <c r="AB264" s="41"/>
      <c r="AC264" s="41"/>
      <c r="AD264" s="41"/>
      <c r="AE264" s="59">
        <v>0</v>
      </c>
      <c r="AF264" s="59">
        <v>0</v>
      </c>
      <c r="AG264" s="59" t="s">
        <v>1264</v>
      </c>
      <c r="AH264" s="59" t="s">
        <v>1390</v>
      </c>
    </row>
    <row r="265" spans="1:34" x14ac:dyDescent="0.35">
      <c r="A265" s="58">
        <v>2024</v>
      </c>
      <c r="B265" s="58">
        <v>5</v>
      </c>
      <c r="C265">
        <v>5</v>
      </c>
      <c r="D265" s="58" t="s">
        <v>1491</v>
      </c>
      <c r="E265" t="s">
        <v>1264</v>
      </c>
      <c r="F265" s="58" t="s">
        <v>1152</v>
      </c>
      <c r="G265" t="s">
        <v>1153</v>
      </c>
      <c r="H265" s="58" t="s">
        <v>1012</v>
      </c>
      <c r="I265" t="s">
        <v>1012</v>
      </c>
      <c r="J265" s="58" t="s">
        <v>1399</v>
      </c>
      <c r="K265" t="s">
        <v>1429</v>
      </c>
      <c r="L265" t="s">
        <v>20</v>
      </c>
      <c r="M265" t="s">
        <v>1430</v>
      </c>
      <c r="N265" s="59">
        <v>0</v>
      </c>
      <c r="O265" s="59">
        <v>0</v>
      </c>
      <c r="P265" s="59">
        <v>0</v>
      </c>
      <c r="Q265" s="59">
        <v>341000</v>
      </c>
      <c r="R265" s="59">
        <v>-43077644</v>
      </c>
      <c r="S265" s="59">
        <v>42736644</v>
      </c>
      <c r="T265" s="41"/>
      <c r="U265" s="41"/>
      <c r="V265" s="41"/>
      <c r="W265" s="41"/>
      <c r="X265" s="41"/>
      <c r="Y265" s="41"/>
      <c r="Z265" s="41"/>
      <c r="AA265" s="41"/>
      <c r="AB265" s="41"/>
      <c r="AC265" s="41"/>
      <c r="AD265" s="41"/>
      <c r="AE265" s="59">
        <v>1692.5336356961529</v>
      </c>
      <c r="AF265" s="59">
        <v>0</v>
      </c>
      <c r="AG265" s="59" t="s">
        <v>1264</v>
      </c>
      <c r="AH265" s="59" t="s">
        <v>1400</v>
      </c>
    </row>
    <row r="266" spans="1:34" x14ac:dyDescent="0.35">
      <c r="A266" s="58">
        <v>2024</v>
      </c>
      <c r="B266" s="58">
        <v>5</v>
      </c>
      <c r="C266">
        <v>5</v>
      </c>
      <c r="D266" s="58" t="s">
        <v>1491</v>
      </c>
      <c r="E266" t="s">
        <v>1264</v>
      </c>
      <c r="F266" s="58" t="s">
        <v>1524</v>
      </c>
      <c r="G266" t="s">
        <v>1525</v>
      </c>
      <c r="H266" s="58" t="s">
        <v>1012</v>
      </c>
      <c r="I266" t="s">
        <v>1012</v>
      </c>
      <c r="J266" s="58" t="s">
        <v>1012</v>
      </c>
      <c r="K266" t="s">
        <v>1429</v>
      </c>
      <c r="L266" t="s">
        <v>20</v>
      </c>
      <c r="M266" t="s">
        <v>1430</v>
      </c>
      <c r="N266" s="59">
        <v>0</v>
      </c>
      <c r="O266" s="59">
        <v>0</v>
      </c>
      <c r="P266" s="59">
        <v>0</v>
      </c>
      <c r="Q266" s="59">
        <v>0</v>
      </c>
      <c r="R266" s="59">
        <v>0</v>
      </c>
      <c r="S266" s="59">
        <v>0</v>
      </c>
      <c r="T266" s="41"/>
      <c r="U266" s="41"/>
      <c r="V266" s="41"/>
      <c r="W266" s="41"/>
      <c r="X266" s="41"/>
      <c r="Y266" s="41"/>
      <c r="Z266" s="41"/>
      <c r="AA266" s="41"/>
      <c r="AB266" s="41"/>
      <c r="AC266" s="41"/>
      <c r="AD266" s="41"/>
      <c r="AE266" s="59">
        <v>0</v>
      </c>
      <c r="AF266" s="59">
        <v>0</v>
      </c>
      <c r="AG266" s="59" t="s">
        <v>1264</v>
      </c>
      <c r="AH266" s="59" t="s">
        <v>1277</v>
      </c>
    </row>
    <row r="267" spans="1:34" x14ac:dyDescent="0.35">
      <c r="A267" s="58">
        <v>2024</v>
      </c>
      <c r="B267" s="58">
        <v>5</v>
      </c>
      <c r="C267">
        <v>5</v>
      </c>
      <c r="D267" s="58" t="s">
        <v>1491</v>
      </c>
      <c r="E267" t="s">
        <v>1264</v>
      </c>
      <c r="F267" s="58" t="s">
        <v>1496</v>
      </c>
      <c r="G267" t="s">
        <v>1497</v>
      </c>
      <c r="H267" s="58" t="s">
        <v>1012</v>
      </c>
      <c r="I267" t="s">
        <v>1012</v>
      </c>
      <c r="J267" s="58" t="s">
        <v>1012</v>
      </c>
      <c r="K267" t="s">
        <v>1429</v>
      </c>
      <c r="L267" t="s">
        <v>20</v>
      </c>
      <c r="M267" t="s">
        <v>1430</v>
      </c>
      <c r="N267" s="59">
        <v>0</v>
      </c>
      <c r="O267" s="59">
        <v>0</v>
      </c>
      <c r="P267" s="59">
        <v>0</v>
      </c>
      <c r="Q267" s="59">
        <v>0</v>
      </c>
      <c r="R267" s="59">
        <v>0</v>
      </c>
      <c r="S267" s="59">
        <v>0</v>
      </c>
      <c r="T267" s="41"/>
      <c r="U267" s="41"/>
      <c r="V267" s="41"/>
      <c r="W267" s="41"/>
      <c r="X267" s="41"/>
      <c r="Y267" s="41"/>
      <c r="Z267" s="41"/>
      <c r="AA267" s="41"/>
      <c r="AB267" s="41"/>
      <c r="AC267" s="41"/>
      <c r="AD267" s="41"/>
      <c r="AE267" s="59">
        <v>0</v>
      </c>
      <c r="AF267" s="59">
        <v>0</v>
      </c>
      <c r="AG267" s="59" t="s">
        <v>1264</v>
      </c>
      <c r="AH267" s="59" t="s">
        <v>1329</v>
      </c>
    </row>
    <row r="268" spans="1:34" x14ac:dyDescent="0.35">
      <c r="A268" s="58">
        <v>2024</v>
      </c>
      <c r="B268" s="58">
        <v>6</v>
      </c>
      <c r="C268">
        <v>6</v>
      </c>
      <c r="D268" s="58" t="s">
        <v>625</v>
      </c>
      <c r="E268" t="s">
        <v>271</v>
      </c>
      <c r="F268" s="58" t="s">
        <v>777</v>
      </c>
      <c r="G268" t="s">
        <v>778</v>
      </c>
      <c r="H268" s="58" t="s">
        <v>1428</v>
      </c>
      <c r="I268" t="s">
        <v>76</v>
      </c>
      <c r="J268" s="58" t="s">
        <v>76</v>
      </c>
      <c r="K268" t="s">
        <v>1429</v>
      </c>
      <c r="L268" t="s">
        <v>20</v>
      </c>
      <c r="M268" t="s">
        <v>1430</v>
      </c>
      <c r="N268" s="59">
        <v>11000</v>
      </c>
      <c r="O268" s="59">
        <v>251757000</v>
      </c>
      <c r="P268" s="59">
        <v>0</v>
      </c>
      <c r="Q268" s="59">
        <v>0</v>
      </c>
      <c r="R268" s="59">
        <v>0</v>
      </c>
      <c r="S268" s="59">
        <v>251757000</v>
      </c>
      <c r="T268" s="41"/>
      <c r="U268" s="41"/>
      <c r="V268" s="41"/>
      <c r="W268" s="41"/>
      <c r="X268" s="41"/>
      <c r="Y268" s="41"/>
      <c r="Z268" s="41"/>
      <c r="AA268" s="41"/>
      <c r="AB268" s="41"/>
      <c r="AC268" s="41"/>
      <c r="AD268" s="41"/>
      <c r="AE268" s="59">
        <v>9965.4871629156496</v>
      </c>
      <c r="AF268" s="59">
        <v>9965.4871629156496</v>
      </c>
      <c r="AG268" s="59" t="s">
        <v>47</v>
      </c>
      <c r="AH268" s="59" t="s">
        <v>1255</v>
      </c>
    </row>
    <row r="269" spans="1:34" x14ac:dyDescent="0.35">
      <c r="A269" s="58">
        <v>2024</v>
      </c>
      <c r="B269" s="58">
        <v>6</v>
      </c>
      <c r="C269">
        <v>6</v>
      </c>
      <c r="D269" s="58" t="s">
        <v>1433</v>
      </c>
      <c r="E269" t="s">
        <v>1276</v>
      </c>
      <c r="F269" s="58" t="s">
        <v>1434</v>
      </c>
      <c r="G269" t="s">
        <v>1435</v>
      </c>
      <c r="H269" s="58" t="s">
        <v>1012</v>
      </c>
      <c r="I269" t="s">
        <v>1012</v>
      </c>
      <c r="J269" s="58" t="s">
        <v>1012</v>
      </c>
      <c r="K269" t="s">
        <v>1429</v>
      </c>
      <c r="L269" t="s">
        <v>20</v>
      </c>
      <c r="M269" t="s">
        <v>1430</v>
      </c>
      <c r="N269" s="59">
        <v>0</v>
      </c>
      <c r="O269" s="59">
        <v>0</v>
      </c>
      <c r="P269" s="59">
        <v>0</v>
      </c>
      <c r="Q269" s="59">
        <v>0</v>
      </c>
      <c r="R269" s="59">
        <v>0</v>
      </c>
      <c r="S269" s="59">
        <v>0</v>
      </c>
      <c r="T269" s="41"/>
      <c r="U269" s="41"/>
      <c r="V269" s="41"/>
      <c r="W269" s="41"/>
      <c r="X269" s="41"/>
      <c r="Y269" s="41"/>
      <c r="Z269" s="41"/>
      <c r="AA269" s="41"/>
      <c r="AB269" s="41"/>
      <c r="AC269" s="41"/>
      <c r="AD269" s="41"/>
      <c r="AE269" s="59">
        <v>0</v>
      </c>
      <c r="AF269" s="59">
        <v>0</v>
      </c>
      <c r="AG269" s="59" t="s">
        <v>1276</v>
      </c>
      <c r="AH269" s="59" t="s">
        <v>1319</v>
      </c>
    </row>
    <row r="270" spans="1:34" x14ac:dyDescent="0.35">
      <c r="A270" s="58">
        <v>2024</v>
      </c>
      <c r="B270" s="58">
        <v>6</v>
      </c>
      <c r="C270">
        <v>6</v>
      </c>
      <c r="D270" s="58" t="s">
        <v>640</v>
      </c>
      <c r="E270" t="s">
        <v>552</v>
      </c>
      <c r="F270" s="58" t="s">
        <v>168</v>
      </c>
      <c r="G270" t="s">
        <v>700</v>
      </c>
      <c r="H270" s="58" t="s">
        <v>4</v>
      </c>
      <c r="I270" t="s">
        <v>4</v>
      </c>
      <c r="J270" s="58" t="s">
        <v>4</v>
      </c>
      <c r="K270" t="s">
        <v>1429</v>
      </c>
      <c r="L270" t="s">
        <v>20</v>
      </c>
      <c r="M270" t="s">
        <v>1430</v>
      </c>
      <c r="N270" s="59">
        <v>116600</v>
      </c>
      <c r="O270" s="59">
        <v>3936066200</v>
      </c>
      <c r="P270" s="59">
        <v>22533517.793517407</v>
      </c>
      <c r="Q270" s="59">
        <v>0</v>
      </c>
      <c r="R270" s="59">
        <v>19360000</v>
      </c>
      <c r="S270" s="59">
        <v>3894172682.2064829</v>
      </c>
      <c r="T270" s="41"/>
      <c r="U270" s="41"/>
      <c r="V270" s="41"/>
      <c r="W270" s="41"/>
      <c r="X270" s="41"/>
      <c r="Y270" s="41"/>
      <c r="Z270" s="41"/>
      <c r="AA270" s="41"/>
      <c r="AB270" s="41"/>
      <c r="AC270" s="41"/>
      <c r="AD270" s="41"/>
      <c r="AE270" s="59">
        <v>154145.97359638661</v>
      </c>
      <c r="AF270" s="59">
        <v>155804.27630010757</v>
      </c>
      <c r="AG270" s="59" t="s">
        <v>99</v>
      </c>
      <c r="AH270" s="59" t="s">
        <v>1160</v>
      </c>
    </row>
    <row r="271" spans="1:34" x14ac:dyDescent="0.35">
      <c r="A271" s="58">
        <v>2024</v>
      </c>
      <c r="B271" s="58">
        <v>6</v>
      </c>
      <c r="C271">
        <v>6</v>
      </c>
      <c r="D271" s="58" t="s">
        <v>609</v>
      </c>
      <c r="E271" t="s">
        <v>263</v>
      </c>
      <c r="F271" s="58" t="s">
        <v>174</v>
      </c>
      <c r="G271" t="s">
        <v>740</v>
      </c>
      <c r="H271" s="58" t="s">
        <v>4</v>
      </c>
      <c r="I271" t="s">
        <v>4</v>
      </c>
      <c r="J271" s="58" t="s">
        <v>4</v>
      </c>
      <c r="K271" t="s">
        <v>1429</v>
      </c>
      <c r="L271" t="s">
        <v>20</v>
      </c>
      <c r="M271" t="s">
        <v>1430</v>
      </c>
      <c r="N271" s="59">
        <v>110000</v>
      </c>
      <c r="O271" s="59">
        <v>2996510000</v>
      </c>
      <c r="P271" s="59">
        <v>21258035.654261705</v>
      </c>
      <c r="Q271" s="59">
        <v>0</v>
      </c>
      <c r="R271" s="59">
        <v>24200000</v>
      </c>
      <c r="S271" s="59">
        <v>2951051964.3457384</v>
      </c>
      <c r="T271" s="41"/>
      <c r="U271" s="41"/>
      <c r="V271" s="41"/>
      <c r="W271" s="41"/>
      <c r="X271" s="41"/>
      <c r="Y271" s="41"/>
      <c r="Z271" s="41"/>
      <c r="AA271" s="41"/>
      <c r="AB271" s="41"/>
      <c r="AC271" s="41"/>
      <c r="AD271" s="41"/>
      <c r="AE271" s="59">
        <v>116813.71508154477</v>
      </c>
      <c r="AF271" s="59">
        <v>118613.11478349508</v>
      </c>
      <c r="AG271" s="59" t="s">
        <v>15</v>
      </c>
      <c r="AH271" s="59" t="s">
        <v>1185</v>
      </c>
    </row>
    <row r="272" spans="1:34" x14ac:dyDescent="0.35">
      <c r="A272" s="58">
        <v>2024</v>
      </c>
      <c r="B272" s="58">
        <v>6</v>
      </c>
      <c r="C272">
        <v>6</v>
      </c>
      <c r="D272" s="58" t="s">
        <v>589</v>
      </c>
      <c r="E272" t="s">
        <v>322</v>
      </c>
      <c r="F272" s="58" t="s">
        <v>171</v>
      </c>
      <c r="G272" t="s">
        <v>731</v>
      </c>
      <c r="H272" s="58" t="s">
        <v>4</v>
      </c>
      <c r="I272" t="s">
        <v>4</v>
      </c>
      <c r="J272" s="58" t="s">
        <v>4</v>
      </c>
      <c r="K272" t="s">
        <v>1429</v>
      </c>
      <c r="L272" t="s">
        <v>20</v>
      </c>
      <c r="M272" t="s">
        <v>1430</v>
      </c>
      <c r="N272" s="59">
        <v>220000</v>
      </c>
      <c r="O272" s="59">
        <v>7148460000</v>
      </c>
      <c r="P272" s="59">
        <v>42516071.308523417</v>
      </c>
      <c r="Q272" s="59">
        <v>0</v>
      </c>
      <c r="R272" s="59">
        <v>30800000</v>
      </c>
      <c r="S272" s="59">
        <v>7075143928.6914759</v>
      </c>
      <c r="T272" s="41"/>
      <c r="U272" s="41"/>
      <c r="V272" s="41"/>
      <c r="W272" s="41"/>
      <c r="X272" s="41"/>
      <c r="Y272" s="41"/>
      <c r="Z272" s="41"/>
      <c r="AA272" s="41"/>
      <c r="AB272" s="41"/>
      <c r="AC272" s="41"/>
      <c r="AD272" s="41"/>
      <c r="AE272" s="59">
        <v>280060.75698850676</v>
      </c>
      <c r="AF272" s="59">
        <v>282962.88232150843</v>
      </c>
      <c r="AG272" s="59" t="s">
        <v>5</v>
      </c>
      <c r="AH272" s="59" t="s">
        <v>1166</v>
      </c>
    </row>
    <row r="273" spans="1:34" x14ac:dyDescent="0.35">
      <c r="A273" s="58">
        <v>2024</v>
      </c>
      <c r="B273" s="58">
        <v>6</v>
      </c>
      <c r="C273">
        <v>6</v>
      </c>
      <c r="D273" s="58" t="s">
        <v>621</v>
      </c>
      <c r="E273" t="s">
        <v>257</v>
      </c>
      <c r="F273" s="58" t="s">
        <v>167</v>
      </c>
      <c r="G273" t="s">
        <v>693</v>
      </c>
      <c r="H273" s="58" t="s">
        <v>4</v>
      </c>
      <c r="I273" t="s">
        <v>4</v>
      </c>
      <c r="J273" s="58" t="s">
        <v>4</v>
      </c>
      <c r="K273" t="s">
        <v>1429</v>
      </c>
      <c r="L273" t="s">
        <v>20</v>
      </c>
      <c r="M273" t="s">
        <v>1430</v>
      </c>
      <c r="N273" s="59">
        <v>600000</v>
      </c>
      <c r="O273" s="59">
        <v>18592500000</v>
      </c>
      <c r="P273" s="59">
        <v>0</v>
      </c>
      <c r="Q273" s="59">
        <v>0</v>
      </c>
      <c r="R273" s="59">
        <v>0</v>
      </c>
      <c r="S273" s="59">
        <v>18592500000</v>
      </c>
      <c r="T273" s="41"/>
      <c r="U273" s="41"/>
      <c r="V273" s="41"/>
      <c r="W273" s="41"/>
      <c r="X273" s="41"/>
      <c r="Y273" s="41"/>
      <c r="Z273" s="41"/>
      <c r="AA273" s="41"/>
      <c r="AB273" s="41"/>
      <c r="AC273" s="41"/>
      <c r="AD273" s="41"/>
      <c r="AE273" s="59">
        <v>735960.94677212229</v>
      </c>
      <c r="AF273" s="59">
        <v>735960.94677212229</v>
      </c>
      <c r="AG273" s="59" t="s">
        <v>16</v>
      </c>
      <c r="AH273" s="59" t="s">
        <v>1156</v>
      </c>
    </row>
    <row r="274" spans="1:34" x14ac:dyDescent="0.35">
      <c r="A274" s="58">
        <v>2024</v>
      </c>
      <c r="B274" s="58">
        <v>6</v>
      </c>
      <c r="C274">
        <v>6</v>
      </c>
      <c r="D274" s="58" t="s">
        <v>590</v>
      </c>
      <c r="E274" t="s">
        <v>500</v>
      </c>
      <c r="F274" s="58" t="s">
        <v>168</v>
      </c>
      <c r="G274" t="s">
        <v>700</v>
      </c>
      <c r="H274" s="58" t="s">
        <v>4</v>
      </c>
      <c r="I274" t="s">
        <v>4</v>
      </c>
      <c r="J274" s="58" t="s">
        <v>4</v>
      </c>
      <c r="K274" t="s">
        <v>1429</v>
      </c>
      <c r="L274" t="s">
        <v>20</v>
      </c>
      <c r="M274" t="s">
        <v>1430</v>
      </c>
      <c r="N274" s="59">
        <v>6600</v>
      </c>
      <c r="O274" s="59">
        <v>239069575.80000001</v>
      </c>
      <c r="P274" s="59">
        <v>1275482.1392557023</v>
      </c>
      <c r="Q274" s="59">
        <v>0</v>
      </c>
      <c r="R274" s="59">
        <v>10600000</v>
      </c>
      <c r="S274" s="59">
        <v>227194093.66074431</v>
      </c>
      <c r="T274" s="41"/>
      <c r="U274" s="41"/>
      <c r="V274" s="41"/>
      <c r="W274" s="41"/>
      <c r="X274" s="41"/>
      <c r="Y274" s="41"/>
      <c r="Z274" s="41"/>
      <c r="AA274" s="41"/>
      <c r="AB274" s="41"/>
      <c r="AC274" s="41"/>
      <c r="AD274" s="41"/>
      <c r="AE274" s="59">
        <v>8993.1951201611191</v>
      </c>
      <c r="AF274" s="59">
        <v>9463.2712841294979</v>
      </c>
      <c r="AG274" s="59" t="s">
        <v>8</v>
      </c>
      <c r="AH274" s="59" t="s">
        <v>1160</v>
      </c>
    </row>
    <row r="275" spans="1:34" x14ac:dyDescent="0.35">
      <c r="A275" s="58">
        <v>2024</v>
      </c>
      <c r="B275" s="58">
        <v>6</v>
      </c>
      <c r="C275">
        <v>6</v>
      </c>
      <c r="D275" s="58" t="s">
        <v>590</v>
      </c>
      <c r="E275" t="s">
        <v>500</v>
      </c>
      <c r="F275" s="58" t="s">
        <v>172</v>
      </c>
      <c r="G275" t="s">
        <v>734</v>
      </c>
      <c r="H275" s="58" t="s">
        <v>4</v>
      </c>
      <c r="I275" t="s">
        <v>4</v>
      </c>
      <c r="J275" s="58" t="s">
        <v>4</v>
      </c>
      <c r="K275" t="s">
        <v>1429</v>
      </c>
      <c r="L275" t="s">
        <v>20</v>
      </c>
      <c r="M275" t="s">
        <v>1430</v>
      </c>
      <c r="N275" s="59">
        <v>92400</v>
      </c>
      <c r="O275" s="59">
        <v>3299883325.1999998</v>
      </c>
      <c r="P275" s="59">
        <v>17856749.949579831</v>
      </c>
      <c r="Q275" s="59">
        <v>0</v>
      </c>
      <c r="R275" s="59">
        <v>101000000</v>
      </c>
      <c r="S275" s="59">
        <v>3158888415.2504201</v>
      </c>
      <c r="T275" s="41"/>
      <c r="U275" s="41"/>
      <c r="V275" s="41"/>
      <c r="W275" s="41"/>
      <c r="X275" s="41"/>
      <c r="Y275" s="41"/>
      <c r="Z275" s="41"/>
      <c r="AA275" s="41"/>
      <c r="AB275" s="41"/>
      <c r="AC275" s="41"/>
      <c r="AD275" s="41"/>
      <c r="AE275" s="59">
        <v>125040.66203228121</v>
      </c>
      <c r="AF275" s="59">
        <v>130621.76986697492</v>
      </c>
      <c r="AG275" s="59" t="s">
        <v>8</v>
      </c>
      <c r="AH275" s="59" t="s">
        <v>1175</v>
      </c>
    </row>
    <row r="276" spans="1:34" x14ac:dyDescent="0.35">
      <c r="A276" s="58">
        <v>2024</v>
      </c>
      <c r="B276" s="58">
        <v>6</v>
      </c>
      <c r="C276">
        <v>6</v>
      </c>
      <c r="D276" s="58" t="s">
        <v>590</v>
      </c>
      <c r="E276" t="s">
        <v>500</v>
      </c>
      <c r="F276" s="58" t="s">
        <v>1535</v>
      </c>
      <c r="G276" t="s">
        <v>1536</v>
      </c>
      <c r="H276" s="58" t="s">
        <v>1012</v>
      </c>
      <c r="I276" t="s">
        <v>1012</v>
      </c>
      <c r="J276" s="58" t="s">
        <v>1012</v>
      </c>
      <c r="K276" t="s">
        <v>1429</v>
      </c>
      <c r="L276" t="s">
        <v>20</v>
      </c>
      <c r="M276" t="s">
        <v>1430</v>
      </c>
      <c r="N276" s="59">
        <v>0</v>
      </c>
      <c r="O276" s="59">
        <v>0</v>
      </c>
      <c r="P276" s="59">
        <v>0</v>
      </c>
      <c r="Q276" s="59">
        <v>0</v>
      </c>
      <c r="R276" s="59">
        <v>0</v>
      </c>
      <c r="S276" s="59">
        <v>22138160</v>
      </c>
      <c r="T276" s="41"/>
      <c r="U276" s="41"/>
      <c r="V276" s="41"/>
      <c r="W276" s="41"/>
      <c r="X276" s="41"/>
      <c r="Y276" s="41"/>
      <c r="Z276" s="41"/>
      <c r="AA276" s="41"/>
      <c r="AB276" s="41"/>
      <c r="AC276" s="41"/>
      <c r="AD276" s="41"/>
      <c r="AE276" s="59">
        <v>876.31148008028651</v>
      </c>
      <c r="AF276" s="59">
        <v>0</v>
      </c>
      <c r="AG276" s="59" t="s">
        <v>8</v>
      </c>
      <c r="AH276" s="59" t="s">
        <v>1270</v>
      </c>
    </row>
    <row r="277" spans="1:34" x14ac:dyDescent="0.35">
      <c r="A277" s="58">
        <v>2024</v>
      </c>
      <c r="B277" s="58">
        <v>6</v>
      </c>
      <c r="C277">
        <v>6</v>
      </c>
      <c r="D277" s="58" t="s">
        <v>601</v>
      </c>
      <c r="E277" t="s">
        <v>501</v>
      </c>
      <c r="F277" s="58" t="s">
        <v>171</v>
      </c>
      <c r="G277" t="s">
        <v>731</v>
      </c>
      <c r="H277" s="58" t="s">
        <v>4</v>
      </c>
      <c r="I277" t="s">
        <v>4</v>
      </c>
      <c r="J277" s="58" t="s">
        <v>4</v>
      </c>
      <c r="K277" t="s">
        <v>1429</v>
      </c>
      <c r="L277" t="s">
        <v>20</v>
      </c>
      <c r="M277" t="s">
        <v>1431</v>
      </c>
      <c r="N277" s="59">
        <v>-94230</v>
      </c>
      <c r="O277" s="59">
        <v>0</v>
      </c>
      <c r="P277" s="59">
        <v>0</v>
      </c>
      <c r="Q277" s="59">
        <v>0</v>
      </c>
      <c r="R277" s="59">
        <v>1929200</v>
      </c>
      <c r="S277" s="59">
        <v>-1929200</v>
      </c>
      <c r="T277" s="41"/>
      <c r="U277" s="41"/>
      <c r="V277" s="41"/>
      <c r="W277" s="41"/>
      <c r="X277" s="41"/>
      <c r="Y277" s="41"/>
      <c r="Z277" s="41"/>
      <c r="AA277" s="41"/>
      <c r="AB277" s="41"/>
      <c r="AC277" s="41"/>
      <c r="AD277" s="41"/>
      <c r="AE277" s="59">
        <v>-76.364978271495403</v>
      </c>
      <c r="AF277" s="59">
        <v>0</v>
      </c>
      <c r="AG277" s="59" t="s">
        <v>109</v>
      </c>
      <c r="AH277" s="59" t="s">
        <v>1166</v>
      </c>
    </row>
    <row r="278" spans="1:34" x14ac:dyDescent="0.35">
      <c r="A278" s="58">
        <v>2024</v>
      </c>
      <c r="B278" s="58">
        <v>6</v>
      </c>
      <c r="C278">
        <v>6</v>
      </c>
      <c r="D278" s="58" t="s">
        <v>601</v>
      </c>
      <c r="E278" t="s">
        <v>501</v>
      </c>
      <c r="F278" s="58" t="s">
        <v>171</v>
      </c>
      <c r="G278" t="s">
        <v>731</v>
      </c>
      <c r="H278" s="58" t="s">
        <v>4</v>
      </c>
      <c r="I278" t="s">
        <v>4</v>
      </c>
      <c r="J278" s="58" t="s">
        <v>4</v>
      </c>
      <c r="K278" t="s">
        <v>1429</v>
      </c>
      <c r="L278" t="s">
        <v>20</v>
      </c>
      <c r="M278" t="s">
        <v>1432</v>
      </c>
      <c r="N278" s="59">
        <v>94230</v>
      </c>
      <c r="O278" s="59">
        <v>0</v>
      </c>
      <c r="P278" s="59">
        <v>0</v>
      </c>
      <c r="Q278" s="59">
        <v>0</v>
      </c>
      <c r="R278" s="59">
        <v>13192200</v>
      </c>
      <c r="S278" s="59">
        <v>-13192200</v>
      </c>
      <c r="T278" s="41"/>
      <c r="U278" s="41"/>
      <c r="V278" s="41"/>
      <c r="W278" s="41"/>
      <c r="X278" s="41"/>
      <c r="Y278" s="41"/>
      <c r="Z278" s="41"/>
      <c r="AA278" s="41"/>
      <c r="AB278" s="41"/>
      <c r="AC278" s="41"/>
      <c r="AD278" s="41"/>
      <c r="AE278" s="59">
        <v>-522.19679989281656</v>
      </c>
      <c r="AF278" s="59">
        <v>0</v>
      </c>
      <c r="AG278" s="59" t="s">
        <v>109</v>
      </c>
      <c r="AH278" s="59" t="s">
        <v>1166</v>
      </c>
    </row>
    <row r="279" spans="1:34" x14ac:dyDescent="0.35">
      <c r="A279" s="58">
        <v>2024</v>
      </c>
      <c r="B279" s="58">
        <v>6</v>
      </c>
      <c r="C279">
        <v>6</v>
      </c>
      <c r="D279" s="58" t="s">
        <v>1531</v>
      </c>
      <c r="E279" t="s">
        <v>1296</v>
      </c>
      <c r="F279" s="58" t="s">
        <v>1482</v>
      </c>
      <c r="G279" t="s">
        <v>1483</v>
      </c>
      <c r="H279" s="58" t="s">
        <v>1012</v>
      </c>
      <c r="I279" t="s">
        <v>1012</v>
      </c>
      <c r="J279" s="58" t="s">
        <v>1012</v>
      </c>
      <c r="K279" t="s">
        <v>1429</v>
      </c>
      <c r="L279" t="s">
        <v>20</v>
      </c>
      <c r="M279" t="s">
        <v>1430</v>
      </c>
      <c r="N279" s="59">
        <v>0</v>
      </c>
      <c r="O279" s="59">
        <v>68000000</v>
      </c>
      <c r="P279" s="59">
        <v>0</v>
      </c>
      <c r="Q279" s="59">
        <v>0</v>
      </c>
      <c r="R279" s="59">
        <v>0</v>
      </c>
      <c r="S279" s="59">
        <v>68000000</v>
      </c>
      <c r="T279" s="41"/>
      <c r="U279" s="41"/>
      <c r="V279" s="41"/>
      <c r="W279" s="41"/>
      <c r="X279" s="41"/>
      <c r="Y279" s="41"/>
      <c r="Z279" s="41"/>
      <c r="AA279" s="41"/>
      <c r="AB279" s="41"/>
      <c r="AC279" s="41"/>
      <c r="AD279" s="41"/>
      <c r="AE279" s="59">
        <v>2691.6952739278913</v>
      </c>
      <c r="AF279" s="59">
        <v>2691.6952739278913</v>
      </c>
      <c r="AG279" s="59" t="s">
        <v>1296</v>
      </c>
      <c r="AH279" s="59" t="s">
        <v>1325</v>
      </c>
    </row>
    <row r="280" spans="1:34" x14ac:dyDescent="0.35">
      <c r="A280" s="58">
        <v>2024</v>
      </c>
      <c r="B280" s="58">
        <v>6</v>
      </c>
      <c r="C280">
        <v>6</v>
      </c>
      <c r="D280" s="58" t="s">
        <v>682</v>
      </c>
      <c r="E280" t="s">
        <v>156</v>
      </c>
      <c r="F280" s="58" t="s">
        <v>1468</v>
      </c>
      <c r="G280" t="s">
        <v>1012</v>
      </c>
      <c r="H280" s="58" t="s">
        <v>1012</v>
      </c>
      <c r="I280" t="s">
        <v>1012</v>
      </c>
      <c r="J280" s="58" t="s">
        <v>1012</v>
      </c>
      <c r="K280" t="s">
        <v>1429</v>
      </c>
      <c r="L280" t="s">
        <v>20</v>
      </c>
      <c r="M280" t="s">
        <v>1430</v>
      </c>
      <c r="N280" s="59">
        <v>0</v>
      </c>
      <c r="O280" s="59">
        <v>40287109</v>
      </c>
      <c r="P280" s="59">
        <v>0</v>
      </c>
      <c r="Q280" s="59">
        <v>0</v>
      </c>
      <c r="R280" s="59">
        <v>0</v>
      </c>
      <c r="S280" s="59">
        <v>40287109</v>
      </c>
      <c r="T280" s="41"/>
      <c r="U280" s="41"/>
      <c r="V280" s="41"/>
      <c r="W280" s="41"/>
      <c r="X280" s="41"/>
      <c r="Y280" s="41"/>
      <c r="Z280" s="41"/>
      <c r="AA280" s="41"/>
      <c r="AB280" s="41"/>
      <c r="AC280" s="41"/>
      <c r="AD280" s="41"/>
      <c r="AE280" s="59">
        <v>1594.7150131693795</v>
      </c>
      <c r="AF280" s="59">
        <v>1594.7150131693795</v>
      </c>
      <c r="AG280" s="59" t="s">
        <v>156</v>
      </c>
      <c r="AH280" s="59" t="s">
        <v>1284</v>
      </c>
    </row>
    <row r="281" spans="1:34" x14ac:dyDescent="0.35">
      <c r="A281" s="58">
        <v>2024</v>
      </c>
      <c r="B281" s="58">
        <v>6</v>
      </c>
      <c r="C281">
        <v>6</v>
      </c>
      <c r="D281" s="58" t="s">
        <v>1502</v>
      </c>
      <c r="E281" t="s">
        <v>1236</v>
      </c>
      <c r="F281" s="58" t="s">
        <v>879</v>
      </c>
      <c r="G281" t="s">
        <v>880</v>
      </c>
      <c r="H281" s="58" t="s">
        <v>1234</v>
      </c>
      <c r="I281" t="s">
        <v>1234</v>
      </c>
      <c r="J281" s="58" t="s">
        <v>1234</v>
      </c>
      <c r="K281" t="s">
        <v>1429</v>
      </c>
      <c r="L281" t="s">
        <v>20</v>
      </c>
      <c r="M281" t="s">
        <v>1430</v>
      </c>
      <c r="N281" s="59">
        <v>511260</v>
      </c>
      <c r="O281" s="59">
        <v>9377919950</v>
      </c>
      <c r="P281" s="59">
        <v>0</v>
      </c>
      <c r="Q281" s="59">
        <v>682162000</v>
      </c>
      <c r="R281" s="59">
        <v>0</v>
      </c>
      <c r="S281" s="59">
        <v>8695757950</v>
      </c>
      <c r="T281" s="41"/>
      <c r="U281" s="41"/>
      <c r="V281" s="41"/>
      <c r="W281" s="41"/>
      <c r="X281" s="41"/>
      <c r="Y281" s="41"/>
      <c r="Z281" s="41"/>
      <c r="AA281" s="41"/>
      <c r="AB281" s="41"/>
      <c r="AC281" s="41"/>
      <c r="AD281" s="41"/>
      <c r="AE281" s="59">
        <v>344210.74378288072</v>
      </c>
      <c r="AF281" s="59">
        <v>371213.27659836889</v>
      </c>
      <c r="AG281" s="59" t="s">
        <v>1236</v>
      </c>
      <c r="AH281" s="59" t="s">
        <v>1235</v>
      </c>
    </row>
    <row r="282" spans="1:34" x14ac:dyDescent="0.35">
      <c r="A282" s="58">
        <v>2024</v>
      </c>
      <c r="B282" s="58">
        <v>6</v>
      </c>
      <c r="C282">
        <v>6</v>
      </c>
      <c r="D282" s="58" t="s">
        <v>1541</v>
      </c>
      <c r="E282" t="s">
        <v>5</v>
      </c>
      <c r="F282" s="58" t="s">
        <v>1466</v>
      </c>
      <c r="G282" t="s">
        <v>1467</v>
      </c>
      <c r="H282" s="58" t="s">
        <v>1012</v>
      </c>
      <c r="I282" t="s">
        <v>1012</v>
      </c>
      <c r="J282" s="58" t="s">
        <v>1012</v>
      </c>
      <c r="K282" t="s">
        <v>1429</v>
      </c>
      <c r="L282" t="s">
        <v>20</v>
      </c>
      <c r="M282" t="s">
        <v>1430</v>
      </c>
      <c r="N282" s="59">
        <v>0</v>
      </c>
      <c r="O282" s="59">
        <v>586000000</v>
      </c>
      <c r="P282" s="59">
        <v>0</v>
      </c>
      <c r="Q282" s="59">
        <v>0</v>
      </c>
      <c r="R282" s="59">
        <v>0</v>
      </c>
      <c r="S282" s="59">
        <v>586000000</v>
      </c>
      <c r="T282" s="41"/>
      <c r="U282" s="41"/>
      <c r="V282" s="41"/>
      <c r="W282" s="41"/>
      <c r="X282" s="41"/>
      <c r="Y282" s="41"/>
      <c r="Z282" s="41"/>
      <c r="AA282" s="41"/>
      <c r="AB282" s="41"/>
      <c r="AC282" s="41"/>
      <c r="AD282" s="41"/>
      <c r="AE282" s="59">
        <v>23196.079860613885</v>
      </c>
      <c r="AF282" s="59">
        <v>23196.079860613885</v>
      </c>
      <c r="AG282" s="59" t="s">
        <v>5</v>
      </c>
      <c r="AH282" s="59" t="s">
        <v>1306</v>
      </c>
    </row>
    <row r="283" spans="1:34" x14ac:dyDescent="0.35">
      <c r="A283" s="58">
        <v>2024</v>
      </c>
      <c r="B283" s="58">
        <v>6</v>
      </c>
      <c r="C283">
        <v>6</v>
      </c>
      <c r="D283" s="58" t="s">
        <v>1469</v>
      </c>
      <c r="E283" t="s">
        <v>1211</v>
      </c>
      <c r="F283" s="58" t="s">
        <v>1472</v>
      </c>
      <c r="G283" t="s">
        <v>1473</v>
      </c>
      <c r="H283" s="58" t="s">
        <v>1012</v>
      </c>
      <c r="I283" t="s">
        <v>86</v>
      </c>
      <c r="J283" s="58" t="s">
        <v>86</v>
      </c>
      <c r="K283" t="s">
        <v>1429</v>
      </c>
      <c r="L283" t="s">
        <v>20</v>
      </c>
      <c r="M283" t="s">
        <v>1430</v>
      </c>
      <c r="N283" s="59">
        <v>7078</v>
      </c>
      <c r="O283" s="59">
        <v>146514600</v>
      </c>
      <c r="P283" s="59">
        <v>0</v>
      </c>
      <c r="Q283" s="59">
        <v>0</v>
      </c>
      <c r="R283" s="59">
        <v>0</v>
      </c>
      <c r="S283" s="59">
        <v>146514600</v>
      </c>
      <c r="T283" s="41"/>
      <c r="U283" s="41"/>
      <c r="V283" s="41"/>
      <c r="W283" s="41"/>
      <c r="X283" s="41"/>
      <c r="Y283" s="41"/>
      <c r="Z283" s="41"/>
      <c r="AA283" s="41"/>
      <c r="AB283" s="41"/>
      <c r="AC283" s="41"/>
      <c r="AD283" s="41"/>
      <c r="AE283" s="59">
        <v>5799.5978879622853</v>
      </c>
      <c r="AF283" s="59">
        <v>5799.5978879622853</v>
      </c>
      <c r="AG283" s="59" t="s">
        <v>1211</v>
      </c>
      <c r="AH283" s="59" t="s">
        <v>1215</v>
      </c>
    </row>
    <row r="284" spans="1:34" x14ac:dyDescent="0.35">
      <c r="A284" s="58">
        <v>2024</v>
      </c>
      <c r="B284" s="58">
        <v>6</v>
      </c>
      <c r="C284">
        <v>6</v>
      </c>
      <c r="D284" s="58" t="s">
        <v>635</v>
      </c>
      <c r="E284" t="s">
        <v>62</v>
      </c>
      <c r="F284" s="58" t="s">
        <v>212</v>
      </c>
      <c r="G284" t="s">
        <v>481</v>
      </c>
      <c r="H284" s="58" t="s">
        <v>21</v>
      </c>
      <c r="I284" t="s">
        <v>21</v>
      </c>
      <c r="J284" s="58" t="s">
        <v>21</v>
      </c>
      <c r="K284" t="s">
        <v>1429</v>
      </c>
      <c r="L284" t="s">
        <v>20</v>
      </c>
      <c r="M284" t="s">
        <v>1430</v>
      </c>
      <c r="N284" s="59">
        <v>5250</v>
      </c>
      <c r="O284" s="59">
        <v>116082750</v>
      </c>
      <c r="P284" s="59">
        <v>1488062.4957983193</v>
      </c>
      <c r="Q284" s="59">
        <v>0</v>
      </c>
      <c r="R284" s="59">
        <v>0</v>
      </c>
      <c r="S284" s="59">
        <v>114594687.50420168</v>
      </c>
      <c r="T284" s="41"/>
      <c r="U284" s="41"/>
      <c r="V284" s="41"/>
      <c r="W284" s="41"/>
      <c r="X284" s="41"/>
      <c r="Y284" s="41"/>
      <c r="Z284" s="41"/>
      <c r="AA284" s="41"/>
      <c r="AB284" s="41"/>
      <c r="AC284" s="41"/>
      <c r="AD284" s="41"/>
      <c r="AE284" s="59">
        <v>4536.0879231221061</v>
      </c>
      <c r="AF284" s="59">
        <v>4594.9910229346015</v>
      </c>
      <c r="AG284" s="59" t="s">
        <v>62</v>
      </c>
      <c r="AH284" s="59" t="s">
        <v>84</v>
      </c>
    </row>
    <row r="285" spans="1:34" x14ac:dyDescent="0.35">
      <c r="A285" s="58">
        <v>2024</v>
      </c>
      <c r="B285" s="58">
        <v>6</v>
      </c>
      <c r="C285">
        <v>6</v>
      </c>
      <c r="D285" s="58" t="s">
        <v>1505</v>
      </c>
      <c r="E285" t="s">
        <v>1216</v>
      </c>
      <c r="F285" s="58" t="s">
        <v>1472</v>
      </c>
      <c r="G285" t="s">
        <v>1473</v>
      </c>
      <c r="H285" s="58" t="s">
        <v>1012</v>
      </c>
      <c r="I285" t="s">
        <v>86</v>
      </c>
      <c r="J285" s="58" t="s">
        <v>86</v>
      </c>
      <c r="K285" t="s">
        <v>1429</v>
      </c>
      <c r="L285" t="s">
        <v>20</v>
      </c>
      <c r="M285" t="s">
        <v>1430</v>
      </c>
      <c r="N285" s="59">
        <v>23454</v>
      </c>
      <c r="O285" s="59">
        <v>485497800</v>
      </c>
      <c r="P285" s="59">
        <v>0</v>
      </c>
      <c r="Q285" s="59">
        <v>0</v>
      </c>
      <c r="R285" s="59">
        <v>0</v>
      </c>
      <c r="S285" s="59">
        <v>485497800</v>
      </c>
      <c r="T285" s="41"/>
      <c r="U285" s="41"/>
      <c r="V285" s="41"/>
      <c r="W285" s="41"/>
      <c r="X285" s="41"/>
      <c r="Y285" s="41"/>
      <c r="Z285" s="41"/>
      <c r="AA285" s="41"/>
      <c r="AB285" s="41"/>
      <c r="AC285" s="41"/>
      <c r="AD285" s="41"/>
      <c r="AE285" s="59">
        <v>19217.825496505713</v>
      </c>
      <c r="AF285" s="59">
        <v>19217.825496505713</v>
      </c>
      <c r="AG285" s="59" t="s">
        <v>1216</v>
      </c>
      <c r="AH285" s="59" t="s">
        <v>1215</v>
      </c>
    </row>
    <row r="286" spans="1:34" x14ac:dyDescent="0.35">
      <c r="A286" s="58">
        <v>2024</v>
      </c>
      <c r="B286" s="58">
        <v>6</v>
      </c>
      <c r="C286">
        <v>6</v>
      </c>
      <c r="D286" s="58" t="s">
        <v>595</v>
      </c>
      <c r="E286" t="s">
        <v>478</v>
      </c>
      <c r="F286" s="58" t="s">
        <v>184</v>
      </c>
      <c r="G286" t="s">
        <v>717</v>
      </c>
      <c r="H286" s="58" t="s">
        <v>1428</v>
      </c>
      <c r="I286" t="s">
        <v>75</v>
      </c>
      <c r="J286" s="58" t="s">
        <v>75</v>
      </c>
      <c r="K286" t="s">
        <v>1429</v>
      </c>
      <c r="L286" t="s">
        <v>20</v>
      </c>
      <c r="M286" t="s">
        <v>1430</v>
      </c>
      <c r="N286" s="59">
        <v>88000</v>
      </c>
      <c r="O286" s="59">
        <v>3088272000</v>
      </c>
      <c r="P286" s="59">
        <v>0</v>
      </c>
      <c r="Q286" s="59">
        <v>0</v>
      </c>
      <c r="R286" s="59">
        <v>0</v>
      </c>
      <c r="S286" s="59">
        <v>3088272000</v>
      </c>
      <c r="T286" s="41"/>
      <c r="U286" s="41"/>
      <c r="V286" s="41"/>
      <c r="W286" s="41"/>
      <c r="X286" s="41"/>
      <c r="Y286" s="41"/>
      <c r="Z286" s="41"/>
      <c r="AA286" s="41"/>
      <c r="AB286" s="41"/>
      <c r="AC286" s="41"/>
      <c r="AD286" s="41"/>
      <c r="AE286" s="59">
        <v>122245.39922064469</v>
      </c>
      <c r="AF286" s="59">
        <v>122245.39922064469</v>
      </c>
      <c r="AG286" s="59" t="s">
        <v>5</v>
      </c>
      <c r="AH286" s="59" t="s">
        <v>1198</v>
      </c>
    </row>
    <row r="287" spans="1:34" x14ac:dyDescent="0.35">
      <c r="A287" s="58">
        <v>2024</v>
      </c>
      <c r="B287" s="58">
        <v>6</v>
      </c>
      <c r="C287">
        <v>6</v>
      </c>
      <c r="D287" s="58" t="s">
        <v>595</v>
      </c>
      <c r="E287" t="s">
        <v>478</v>
      </c>
      <c r="F287" s="58" t="s">
        <v>188</v>
      </c>
      <c r="G287" t="s">
        <v>872</v>
      </c>
      <c r="H287" s="58" t="s">
        <v>1428</v>
      </c>
      <c r="I287" t="s">
        <v>75</v>
      </c>
      <c r="J287" s="58" t="s">
        <v>75</v>
      </c>
      <c r="K287" t="s">
        <v>1429</v>
      </c>
      <c r="L287" t="s">
        <v>20</v>
      </c>
      <c r="M287" t="s">
        <v>1430</v>
      </c>
      <c r="N287" s="59">
        <v>27500</v>
      </c>
      <c r="O287" s="59">
        <v>930765000</v>
      </c>
      <c r="P287" s="59">
        <v>0</v>
      </c>
      <c r="Q287" s="59">
        <v>0</v>
      </c>
      <c r="R287" s="59">
        <v>0</v>
      </c>
      <c r="S287" s="59">
        <v>930765000</v>
      </c>
      <c r="T287" s="41"/>
      <c r="U287" s="41"/>
      <c r="V287" s="41"/>
      <c r="W287" s="41"/>
      <c r="X287" s="41"/>
      <c r="Y287" s="41"/>
      <c r="Z287" s="41"/>
      <c r="AA287" s="41"/>
      <c r="AB287" s="41"/>
      <c r="AC287" s="41"/>
      <c r="AD287" s="41"/>
      <c r="AE287" s="59">
        <v>36843.172818198436</v>
      </c>
      <c r="AF287" s="59">
        <v>36843.172818198436</v>
      </c>
      <c r="AG287" s="59" t="s">
        <v>5</v>
      </c>
      <c r="AH287" s="59" t="s">
        <v>1204</v>
      </c>
    </row>
    <row r="288" spans="1:34" x14ac:dyDescent="0.35">
      <c r="A288" s="58">
        <v>2024</v>
      </c>
      <c r="B288" s="58">
        <v>6</v>
      </c>
      <c r="C288">
        <v>6</v>
      </c>
      <c r="D288" s="58" t="s">
        <v>606</v>
      </c>
      <c r="E288" t="s">
        <v>325</v>
      </c>
      <c r="F288" s="58" t="s">
        <v>168</v>
      </c>
      <c r="G288" t="s">
        <v>700</v>
      </c>
      <c r="H288" s="58" t="s">
        <v>4</v>
      </c>
      <c r="I288" t="s">
        <v>4</v>
      </c>
      <c r="J288" s="58" t="s">
        <v>4</v>
      </c>
      <c r="K288" t="s">
        <v>1429</v>
      </c>
      <c r="L288" t="s">
        <v>20</v>
      </c>
      <c r="M288" t="s">
        <v>1430</v>
      </c>
      <c r="N288" s="59">
        <v>22000</v>
      </c>
      <c r="O288" s="59">
        <v>787644000</v>
      </c>
      <c r="P288" s="59">
        <v>4251607.1308523407</v>
      </c>
      <c r="Q288" s="59">
        <v>0</v>
      </c>
      <c r="R288" s="59">
        <v>3080000</v>
      </c>
      <c r="S288" s="59">
        <v>774777852.86914766</v>
      </c>
      <c r="T288" s="41"/>
      <c r="U288" s="41"/>
      <c r="V288" s="41"/>
      <c r="W288" s="41"/>
      <c r="X288" s="41"/>
      <c r="Y288" s="41"/>
      <c r="Z288" s="41"/>
      <c r="AA288" s="41"/>
      <c r="AB288" s="41"/>
      <c r="AC288" s="41"/>
      <c r="AD288" s="41"/>
      <c r="AE288" s="59">
        <v>30668.615954586527</v>
      </c>
      <c r="AF288" s="59">
        <v>31177.906357906766</v>
      </c>
      <c r="AG288" s="59" t="s">
        <v>8</v>
      </c>
      <c r="AH288" s="59" t="s">
        <v>1160</v>
      </c>
    </row>
    <row r="289" spans="1:34" x14ac:dyDescent="0.35">
      <c r="A289" s="58">
        <v>2024</v>
      </c>
      <c r="B289" s="58">
        <v>6</v>
      </c>
      <c r="C289">
        <v>6</v>
      </c>
      <c r="D289" s="58" t="s">
        <v>606</v>
      </c>
      <c r="E289" t="s">
        <v>325</v>
      </c>
      <c r="F289" s="58" t="s">
        <v>1535</v>
      </c>
      <c r="G289" t="s">
        <v>1536</v>
      </c>
      <c r="H289" s="58" t="s">
        <v>1012</v>
      </c>
      <c r="I289" t="s">
        <v>1012</v>
      </c>
      <c r="J289" s="58" t="s">
        <v>1012</v>
      </c>
      <c r="K289" t="s">
        <v>1429</v>
      </c>
      <c r="L289" t="s">
        <v>20</v>
      </c>
      <c r="M289" t="s">
        <v>1430</v>
      </c>
      <c r="N289" s="59">
        <v>0</v>
      </c>
      <c r="O289" s="59">
        <v>0</v>
      </c>
      <c r="P289" s="59">
        <v>0</v>
      </c>
      <c r="Q289" s="59">
        <v>0</v>
      </c>
      <c r="R289" s="59">
        <v>0</v>
      </c>
      <c r="S289" s="59">
        <v>5534540</v>
      </c>
      <c r="T289" s="41"/>
      <c r="U289" s="41"/>
      <c r="V289" s="41"/>
      <c r="W289" s="41"/>
      <c r="X289" s="41"/>
      <c r="Y289" s="41"/>
      <c r="Z289" s="41"/>
      <c r="AA289" s="41"/>
      <c r="AB289" s="41"/>
      <c r="AC289" s="41"/>
      <c r="AD289" s="41"/>
      <c r="AE289" s="59">
        <v>219.07787002007163</v>
      </c>
      <c r="AF289" s="59">
        <v>0</v>
      </c>
      <c r="AG289" s="59" t="s">
        <v>8</v>
      </c>
      <c r="AH289" s="59" t="s">
        <v>1270</v>
      </c>
    </row>
    <row r="290" spans="1:34" x14ac:dyDescent="0.35">
      <c r="A290" s="58">
        <v>2024</v>
      </c>
      <c r="B290" s="58">
        <v>6</v>
      </c>
      <c r="C290">
        <v>6</v>
      </c>
      <c r="D290" s="58" t="s">
        <v>634</v>
      </c>
      <c r="E290" t="s">
        <v>148</v>
      </c>
      <c r="F290" s="58" t="s">
        <v>182</v>
      </c>
      <c r="G290" t="s">
        <v>905</v>
      </c>
      <c r="H290" s="58" t="s">
        <v>74</v>
      </c>
      <c r="I290" t="s">
        <v>74</v>
      </c>
      <c r="J290" s="58" t="s">
        <v>74</v>
      </c>
      <c r="K290" t="s">
        <v>1429</v>
      </c>
      <c r="L290" t="s">
        <v>20</v>
      </c>
      <c r="M290" t="s">
        <v>1430</v>
      </c>
      <c r="N290" s="59">
        <v>14300</v>
      </c>
      <c r="O290" s="59">
        <v>291176600</v>
      </c>
      <c r="P290" s="59">
        <v>2763544.6350540216</v>
      </c>
      <c r="Q290" s="59">
        <v>0</v>
      </c>
      <c r="R290" s="59">
        <v>0</v>
      </c>
      <c r="S290" s="59">
        <v>288413055.36494601</v>
      </c>
      <c r="T290" s="41"/>
      <c r="U290" s="41"/>
      <c r="V290" s="41"/>
      <c r="W290" s="41"/>
      <c r="X290" s="41"/>
      <c r="Y290" s="41"/>
      <c r="Z290" s="41"/>
      <c r="AA290" s="41"/>
      <c r="AB290" s="41"/>
      <c r="AC290" s="41"/>
      <c r="AD290" s="41"/>
      <c r="AE290" s="59">
        <v>11416.4714421313</v>
      </c>
      <c r="AF290" s="59">
        <v>11525.862913211648</v>
      </c>
      <c r="AG290" s="59" t="s">
        <v>148</v>
      </c>
      <c r="AH290" s="59" t="s">
        <v>1242</v>
      </c>
    </row>
    <row r="291" spans="1:34" x14ac:dyDescent="0.35">
      <c r="A291" s="58">
        <v>2024</v>
      </c>
      <c r="B291" s="58">
        <v>6</v>
      </c>
      <c r="C291">
        <v>6</v>
      </c>
      <c r="D291" s="58" t="s">
        <v>1538</v>
      </c>
      <c r="E291" t="s">
        <v>1244</v>
      </c>
      <c r="F291" s="58" t="s">
        <v>182</v>
      </c>
      <c r="G291" t="s">
        <v>905</v>
      </c>
      <c r="H291" s="58" t="s">
        <v>74</v>
      </c>
      <c r="I291" t="s">
        <v>74</v>
      </c>
      <c r="J291" s="58" t="s">
        <v>74</v>
      </c>
      <c r="K291" t="s">
        <v>1429</v>
      </c>
      <c r="L291" t="s">
        <v>20</v>
      </c>
      <c r="M291" t="s">
        <v>1430</v>
      </c>
      <c r="N291" s="59">
        <v>171600</v>
      </c>
      <c r="O291" s="59">
        <v>2831400000</v>
      </c>
      <c r="P291" s="59">
        <v>33162535.620648261</v>
      </c>
      <c r="Q291" s="59">
        <v>0</v>
      </c>
      <c r="R291" s="59">
        <v>0</v>
      </c>
      <c r="S291" s="59">
        <v>2798237464.3793511</v>
      </c>
      <c r="T291" s="41"/>
      <c r="U291" s="41"/>
      <c r="V291" s="41"/>
      <c r="W291" s="41"/>
      <c r="X291" s="41"/>
      <c r="Y291" s="41"/>
      <c r="Z291" s="41"/>
      <c r="AA291" s="41"/>
      <c r="AB291" s="41"/>
      <c r="AC291" s="41"/>
      <c r="AD291" s="41"/>
      <c r="AE291" s="59">
        <v>110764.74350290983</v>
      </c>
      <c r="AF291" s="59">
        <v>112077.44115587401</v>
      </c>
      <c r="AG291" s="59" t="s">
        <v>1244</v>
      </c>
      <c r="AH291" s="59" t="s">
        <v>1242</v>
      </c>
    </row>
    <row r="292" spans="1:34" x14ac:dyDescent="0.35">
      <c r="A292" s="58">
        <v>2024</v>
      </c>
      <c r="B292" s="58">
        <v>6</v>
      </c>
      <c r="C292">
        <v>6</v>
      </c>
      <c r="D292" s="58" t="s">
        <v>1542</v>
      </c>
      <c r="E292" t="s">
        <v>1373</v>
      </c>
      <c r="F292" s="58" t="s">
        <v>1543</v>
      </c>
      <c r="G292" t="s">
        <v>1544</v>
      </c>
      <c r="H292" s="58" t="s">
        <v>1012</v>
      </c>
      <c r="I292" t="s">
        <v>1363</v>
      </c>
      <c r="J292" s="58" t="s">
        <v>1363</v>
      </c>
      <c r="K292" t="s">
        <v>1429</v>
      </c>
      <c r="L292" t="s">
        <v>20</v>
      </c>
      <c r="M292" t="s">
        <v>1430</v>
      </c>
      <c r="N292" s="59">
        <v>3443</v>
      </c>
      <c r="O292" s="59">
        <v>47353197</v>
      </c>
      <c r="P292" s="59">
        <v>0</v>
      </c>
      <c r="Q292" s="59">
        <v>0</v>
      </c>
      <c r="R292" s="59">
        <v>0</v>
      </c>
      <c r="S292" s="59">
        <v>47353197</v>
      </c>
      <c r="T292" s="41"/>
      <c r="U292" s="41"/>
      <c r="V292" s="41"/>
      <c r="W292" s="41"/>
      <c r="X292" s="41"/>
      <c r="Y292" s="41"/>
      <c r="Z292" s="41"/>
      <c r="AA292" s="41"/>
      <c r="AB292" s="41"/>
      <c r="AC292" s="41"/>
      <c r="AD292" s="41"/>
      <c r="AE292" s="59">
        <v>1874.4173025040648</v>
      </c>
      <c r="AF292" s="59">
        <v>1874.4173025040648</v>
      </c>
      <c r="AG292" s="59" t="s">
        <v>1373</v>
      </c>
      <c r="AH292" s="59" t="s">
        <v>1372</v>
      </c>
    </row>
    <row r="293" spans="1:34" x14ac:dyDescent="0.35">
      <c r="A293" s="58">
        <v>2024</v>
      </c>
      <c r="B293" s="58">
        <v>6</v>
      </c>
      <c r="C293">
        <v>6</v>
      </c>
      <c r="D293" s="58" t="s">
        <v>1542</v>
      </c>
      <c r="E293" t="s">
        <v>1373</v>
      </c>
      <c r="F293" s="58" t="s">
        <v>1545</v>
      </c>
      <c r="G293" t="s">
        <v>1546</v>
      </c>
      <c r="H293" s="58" t="s">
        <v>1012</v>
      </c>
      <c r="I293" t="s">
        <v>1363</v>
      </c>
      <c r="J293" s="58" t="s">
        <v>1363</v>
      </c>
      <c r="K293" t="s">
        <v>1429</v>
      </c>
      <c r="L293" t="s">
        <v>20</v>
      </c>
      <c r="M293" t="s">
        <v>1430</v>
      </c>
      <c r="N293" s="59">
        <v>350</v>
      </c>
      <c r="O293" s="59">
        <v>4813715</v>
      </c>
      <c r="P293" s="59">
        <v>0</v>
      </c>
      <c r="Q293" s="59">
        <v>0</v>
      </c>
      <c r="R293" s="59">
        <v>0</v>
      </c>
      <c r="S293" s="59">
        <v>4813715</v>
      </c>
      <c r="T293" s="41"/>
      <c r="U293" s="41"/>
      <c r="V293" s="41"/>
      <c r="W293" s="41"/>
      <c r="X293" s="41"/>
      <c r="Y293" s="41"/>
      <c r="Z293" s="41"/>
      <c r="AA293" s="41"/>
      <c r="AB293" s="41"/>
      <c r="AC293" s="41"/>
      <c r="AD293" s="41"/>
      <c r="AE293" s="59">
        <v>190.54491052258527</v>
      </c>
      <c r="AF293" s="59">
        <v>190.54491052258527</v>
      </c>
      <c r="AG293" s="59" t="s">
        <v>1373</v>
      </c>
      <c r="AH293" s="59" t="s">
        <v>1374</v>
      </c>
    </row>
    <row r="294" spans="1:34" x14ac:dyDescent="0.35">
      <c r="A294" s="58">
        <v>2024</v>
      </c>
      <c r="B294" s="58">
        <v>6</v>
      </c>
      <c r="C294">
        <v>6</v>
      </c>
      <c r="D294" s="58" t="s">
        <v>1542</v>
      </c>
      <c r="E294" t="s">
        <v>1373</v>
      </c>
      <c r="F294" s="58" t="s">
        <v>1547</v>
      </c>
      <c r="G294" t="s">
        <v>1548</v>
      </c>
      <c r="H294" s="58" t="s">
        <v>1012</v>
      </c>
      <c r="I294" t="s">
        <v>1363</v>
      </c>
      <c r="J294" s="58" t="s">
        <v>1363</v>
      </c>
      <c r="K294" t="s">
        <v>1429</v>
      </c>
      <c r="L294" t="s">
        <v>20</v>
      </c>
      <c r="M294" t="s">
        <v>1430</v>
      </c>
      <c r="N294" s="59">
        <v>4990</v>
      </c>
      <c r="O294" s="59">
        <v>68629815</v>
      </c>
      <c r="P294" s="59">
        <v>0</v>
      </c>
      <c r="Q294" s="59">
        <v>0</v>
      </c>
      <c r="R294" s="59">
        <v>0</v>
      </c>
      <c r="S294" s="59">
        <v>68629815</v>
      </c>
      <c r="T294" s="41"/>
      <c r="U294" s="41"/>
      <c r="V294" s="41"/>
      <c r="W294" s="41"/>
      <c r="X294" s="41"/>
      <c r="Y294" s="41"/>
      <c r="Z294" s="41"/>
      <c r="AA294" s="41"/>
      <c r="AB294" s="41"/>
      <c r="AC294" s="41"/>
      <c r="AD294" s="41"/>
      <c r="AE294" s="59">
        <v>2716.6257159712573</v>
      </c>
      <c r="AF294" s="59">
        <v>2716.6257159712573</v>
      </c>
      <c r="AG294" s="59" t="s">
        <v>1373</v>
      </c>
      <c r="AH294" s="59" t="s">
        <v>1375</v>
      </c>
    </row>
    <row r="295" spans="1:34" x14ac:dyDescent="0.35">
      <c r="A295" s="58">
        <v>2024</v>
      </c>
      <c r="B295" s="58">
        <v>6</v>
      </c>
      <c r="C295">
        <v>6</v>
      </c>
      <c r="D295" s="58" t="s">
        <v>596</v>
      </c>
      <c r="E295" t="s">
        <v>266</v>
      </c>
      <c r="F295" s="58" t="s">
        <v>167</v>
      </c>
      <c r="G295" t="s">
        <v>693</v>
      </c>
      <c r="H295" s="58" t="s">
        <v>4</v>
      </c>
      <c r="I295" t="s">
        <v>4</v>
      </c>
      <c r="J295" s="58" t="s">
        <v>4</v>
      </c>
      <c r="K295" t="s">
        <v>1429</v>
      </c>
      <c r="L295" t="s">
        <v>20</v>
      </c>
      <c r="M295" t="s">
        <v>1430</v>
      </c>
      <c r="N295" s="59">
        <v>55000</v>
      </c>
      <c r="O295" s="59">
        <v>1751337500</v>
      </c>
      <c r="P295" s="59">
        <v>10629017.827130854</v>
      </c>
      <c r="Q295" s="59">
        <v>0</v>
      </c>
      <c r="R295" s="59">
        <v>0</v>
      </c>
      <c r="S295" s="59">
        <v>1740708482.1728692</v>
      </c>
      <c r="T295" s="41"/>
      <c r="U295" s="41"/>
      <c r="V295" s="41"/>
      <c r="W295" s="41"/>
      <c r="X295" s="41"/>
      <c r="Y295" s="41"/>
      <c r="Z295" s="41"/>
      <c r="AA295" s="41"/>
      <c r="AB295" s="41"/>
      <c r="AC295" s="41"/>
      <c r="AD295" s="41"/>
      <c r="AE295" s="59">
        <v>68903.776393395659</v>
      </c>
      <c r="AF295" s="59">
        <v>69324.512820627773</v>
      </c>
      <c r="AG295" s="59" t="s">
        <v>100</v>
      </c>
      <c r="AH295" s="59" t="s">
        <v>1156</v>
      </c>
    </row>
    <row r="296" spans="1:34" x14ac:dyDescent="0.35">
      <c r="A296" s="58">
        <v>2024</v>
      </c>
      <c r="B296" s="58">
        <v>6</v>
      </c>
      <c r="C296">
        <v>6</v>
      </c>
      <c r="D296" s="58" t="s">
        <v>596</v>
      </c>
      <c r="E296" t="s">
        <v>266</v>
      </c>
      <c r="F296" s="58" t="s">
        <v>171</v>
      </c>
      <c r="G296" t="s">
        <v>731</v>
      </c>
      <c r="H296" s="58" t="s">
        <v>4</v>
      </c>
      <c r="I296" t="s">
        <v>4</v>
      </c>
      <c r="J296" s="58" t="s">
        <v>4</v>
      </c>
      <c r="K296" t="s">
        <v>1429</v>
      </c>
      <c r="L296" t="s">
        <v>20</v>
      </c>
      <c r="M296" t="s">
        <v>1430</v>
      </c>
      <c r="N296" s="59">
        <v>99000</v>
      </c>
      <c r="O296" s="59">
        <v>3152407500</v>
      </c>
      <c r="P296" s="59">
        <v>19132232.088835537</v>
      </c>
      <c r="Q296" s="59">
        <v>0</v>
      </c>
      <c r="R296" s="59">
        <v>0</v>
      </c>
      <c r="S296" s="59">
        <v>3133275267.9111638</v>
      </c>
      <c r="T296" s="41"/>
      <c r="U296" s="41"/>
      <c r="V296" s="41"/>
      <c r="W296" s="41"/>
      <c r="X296" s="41"/>
      <c r="Y296" s="41"/>
      <c r="Z296" s="41"/>
      <c r="AA296" s="41"/>
      <c r="AB296" s="41"/>
      <c r="AC296" s="41"/>
      <c r="AD296" s="41"/>
      <c r="AE296" s="59">
        <v>124026.7975081122</v>
      </c>
      <c r="AF296" s="59">
        <v>124784.12307712999</v>
      </c>
      <c r="AG296" s="59" t="s">
        <v>100</v>
      </c>
      <c r="AH296" s="59" t="s">
        <v>1166</v>
      </c>
    </row>
    <row r="297" spans="1:34" x14ac:dyDescent="0.35">
      <c r="A297" s="58">
        <v>2024</v>
      </c>
      <c r="B297" s="58">
        <v>6</v>
      </c>
      <c r="C297">
        <v>6</v>
      </c>
      <c r="D297" s="58" t="s">
        <v>1549</v>
      </c>
      <c r="E297" t="s">
        <v>1162</v>
      </c>
      <c r="F297" s="58" t="s">
        <v>168</v>
      </c>
      <c r="G297" t="s">
        <v>700</v>
      </c>
      <c r="H297" s="58" t="s">
        <v>4</v>
      </c>
      <c r="I297" t="s">
        <v>4</v>
      </c>
      <c r="J297" s="58" t="s">
        <v>4</v>
      </c>
      <c r="K297" t="s">
        <v>1429</v>
      </c>
      <c r="L297" t="s">
        <v>20</v>
      </c>
      <c r="M297" t="s">
        <v>1430</v>
      </c>
      <c r="N297" s="59">
        <v>500</v>
      </c>
      <c r="O297" s="59">
        <v>16553000</v>
      </c>
      <c r="P297" s="59">
        <v>212580.35654261705</v>
      </c>
      <c r="Q297" s="59">
        <v>0</v>
      </c>
      <c r="R297" s="59">
        <v>0</v>
      </c>
      <c r="S297" s="59">
        <v>16340419.643457383</v>
      </c>
      <c r="T297" s="41"/>
      <c r="U297" s="41"/>
      <c r="V297" s="41"/>
      <c r="W297" s="41"/>
      <c r="X297" s="41"/>
      <c r="Y297" s="41"/>
      <c r="Z297" s="41"/>
      <c r="AA297" s="41"/>
      <c r="AB297" s="41"/>
      <c r="AC297" s="41"/>
      <c r="AD297" s="41"/>
      <c r="AE297" s="59">
        <v>646.81515188665753</v>
      </c>
      <c r="AF297" s="59">
        <v>655.22988043129976</v>
      </c>
      <c r="AG297" s="59" t="s">
        <v>1162</v>
      </c>
      <c r="AH297" s="59" t="s">
        <v>1160</v>
      </c>
    </row>
    <row r="298" spans="1:34" x14ac:dyDescent="0.35">
      <c r="A298" s="58">
        <v>2024</v>
      </c>
      <c r="B298" s="58">
        <v>6</v>
      </c>
      <c r="C298">
        <v>6</v>
      </c>
      <c r="D298" s="58" t="s">
        <v>602</v>
      </c>
      <c r="E298" t="s">
        <v>122</v>
      </c>
      <c r="F298" s="58" t="s">
        <v>171</v>
      </c>
      <c r="G298" t="s">
        <v>731</v>
      </c>
      <c r="H298" s="58" t="s">
        <v>4</v>
      </c>
      <c r="I298" t="s">
        <v>4</v>
      </c>
      <c r="J298" s="58" t="s">
        <v>4</v>
      </c>
      <c r="K298" t="s">
        <v>1476</v>
      </c>
      <c r="L298" t="s">
        <v>1477</v>
      </c>
      <c r="M298" t="s">
        <v>1430</v>
      </c>
      <c r="N298" s="59">
        <v>88000</v>
      </c>
      <c r="O298" s="59">
        <v>2705779120</v>
      </c>
      <c r="P298" s="59">
        <v>6999564.7272727275</v>
      </c>
      <c r="Q298" s="59">
        <v>0</v>
      </c>
      <c r="R298" s="59">
        <v>38450876</v>
      </c>
      <c r="S298" s="59">
        <v>2660328679.2727275</v>
      </c>
      <c r="T298" s="41"/>
      <c r="U298" s="41"/>
      <c r="V298" s="41"/>
      <c r="W298" s="41"/>
      <c r="X298" s="41"/>
      <c r="Y298" s="41"/>
      <c r="Z298" s="41"/>
      <c r="AA298" s="41"/>
      <c r="AB298" s="41"/>
      <c r="AC298" s="41"/>
      <c r="AD298" s="41"/>
      <c r="AE298" s="59">
        <v>105297.04740427369</v>
      </c>
      <c r="AF298" s="59">
        <v>107096</v>
      </c>
      <c r="AG298" s="59" t="s">
        <v>122</v>
      </c>
      <c r="AH298" s="59" t="s">
        <v>1166</v>
      </c>
    </row>
    <row r="299" spans="1:34" x14ac:dyDescent="0.35">
      <c r="A299" s="58">
        <v>2024</v>
      </c>
      <c r="B299" s="58">
        <v>6</v>
      </c>
      <c r="C299">
        <v>6</v>
      </c>
      <c r="D299" s="58" t="s">
        <v>587</v>
      </c>
      <c r="E299" t="s">
        <v>6</v>
      </c>
      <c r="F299" s="58" t="s">
        <v>171</v>
      </c>
      <c r="G299" t="s">
        <v>731</v>
      </c>
      <c r="H299" s="58" t="s">
        <v>4</v>
      </c>
      <c r="I299" t="s">
        <v>4</v>
      </c>
      <c r="J299" s="58" t="s">
        <v>4</v>
      </c>
      <c r="K299" t="s">
        <v>1476</v>
      </c>
      <c r="L299" t="s">
        <v>1477</v>
      </c>
      <c r="M299" t="s">
        <v>1430</v>
      </c>
      <c r="N299" s="59">
        <v>88000</v>
      </c>
      <c r="O299" s="59">
        <v>2667456000</v>
      </c>
      <c r="P299" s="59">
        <v>6999564.7272727275</v>
      </c>
      <c r="Q299" s="59">
        <v>40011840</v>
      </c>
      <c r="R299" s="59">
        <v>34487320</v>
      </c>
      <c r="S299" s="59">
        <v>2585957275.2727275</v>
      </c>
      <c r="T299" s="41"/>
      <c r="U299" s="41"/>
      <c r="V299" s="41"/>
      <c r="W299" s="41"/>
      <c r="X299" s="41"/>
      <c r="Y299" s="41"/>
      <c r="Z299" s="41"/>
      <c r="AA299" s="41"/>
      <c r="AB299" s="41"/>
      <c r="AC299" s="41"/>
      <c r="AD299" s="41"/>
      <c r="AE299" s="59">
        <v>102373.60551356799</v>
      </c>
      <c r="AF299" s="59">
        <v>105600</v>
      </c>
      <c r="AG299" s="59" t="s">
        <v>6</v>
      </c>
      <c r="AH299" s="59" t="s">
        <v>1166</v>
      </c>
    </row>
    <row r="300" spans="1:34" x14ac:dyDescent="0.35">
      <c r="A300" s="58">
        <v>2024</v>
      </c>
      <c r="B300" s="58">
        <v>6</v>
      </c>
      <c r="C300">
        <v>6</v>
      </c>
      <c r="D300" s="58" t="s">
        <v>1108</v>
      </c>
      <c r="E300" t="s">
        <v>153</v>
      </c>
      <c r="F300" s="58" t="s">
        <v>168</v>
      </c>
      <c r="G300" t="s">
        <v>700</v>
      </c>
      <c r="H300" s="58" t="s">
        <v>4</v>
      </c>
      <c r="I300" t="s">
        <v>4</v>
      </c>
      <c r="J300" s="58" t="s">
        <v>4</v>
      </c>
      <c r="K300" t="s">
        <v>1476</v>
      </c>
      <c r="L300" t="s">
        <v>301</v>
      </c>
      <c r="M300" t="s">
        <v>1430</v>
      </c>
      <c r="N300" s="59">
        <v>44000</v>
      </c>
      <c r="O300" s="59">
        <v>1489329600</v>
      </c>
      <c r="P300" s="59">
        <v>3499782.3636363638</v>
      </c>
      <c r="Q300" s="59">
        <v>0</v>
      </c>
      <c r="R300" s="59">
        <v>22566848</v>
      </c>
      <c r="S300" s="59">
        <v>1463262969.6363637</v>
      </c>
      <c r="T300" s="41"/>
      <c r="U300" s="41"/>
      <c r="V300" s="41"/>
      <c r="W300" s="41"/>
      <c r="X300" s="41"/>
      <c r="Y300" s="41"/>
      <c r="Z300" s="41"/>
      <c r="AA300" s="41"/>
      <c r="AB300" s="41"/>
      <c r="AC300" s="41"/>
      <c r="AD300" s="41"/>
      <c r="AE300" s="59">
        <v>57928.066889800626</v>
      </c>
      <c r="AF300" s="59">
        <v>58960</v>
      </c>
      <c r="AG300" s="59" t="s">
        <v>153</v>
      </c>
      <c r="AH300" s="59" t="s">
        <v>1160</v>
      </c>
    </row>
    <row r="301" spans="1:34" x14ac:dyDescent="0.35">
      <c r="A301" s="58">
        <v>2024</v>
      </c>
      <c r="B301" s="58">
        <v>6</v>
      </c>
      <c r="C301">
        <v>6</v>
      </c>
      <c r="D301" s="58" t="s">
        <v>607</v>
      </c>
      <c r="E301" t="s">
        <v>126</v>
      </c>
      <c r="F301" s="58" t="s">
        <v>168</v>
      </c>
      <c r="G301" t="s">
        <v>700</v>
      </c>
      <c r="H301" s="58" t="s">
        <v>4</v>
      </c>
      <c r="I301" t="s">
        <v>4</v>
      </c>
      <c r="J301" s="58" t="s">
        <v>4</v>
      </c>
      <c r="K301" t="s">
        <v>1476</v>
      </c>
      <c r="L301" t="s">
        <v>301</v>
      </c>
      <c r="M301" t="s">
        <v>1430</v>
      </c>
      <c r="N301" s="59">
        <v>22000</v>
      </c>
      <c r="O301" s="59">
        <v>891171820</v>
      </c>
      <c r="P301" s="59">
        <v>2166561.1818181816</v>
      </c>
      <c r="Q301" s="59">
        <v>0</v>
      </c>
      <c r="R301" s="59">
        <v>167031597</v>
      </c>
      <c r="S301" s="59">
        <v>721973661.81818187</v>
      </c>
      <c r="T301" s="41"/>
      <c r="U301" s="41"/>
      <c r="V301" s="41"/>
      <c r="W301" s="41"/>
      <c r="X301" s="41"/>
      <c r="Y301" s="41"/>
      <c r="Z301" s="41"/>
      <c r="AA301" s="41"/>
      <c r="AB301" s="41"/>
      <c r="AC301" s="41"/>
      <c r="AD301" s="41"/>
      <c r="AE301" s="59">
        <v>28570.386300679933</v>
      </c>
      <c r="AF301" s="59">
        <v>35266</v>
      </c>
      <c r="AG301" s="59" t="s">
        <v>126</v>
      </c>
      <c r="AH301" s="59" t="s">
        <v>1160</v>
      </c>
    </row>
    <row r="302" spans="1:34" x14ac:dyDescent="0.35">
      <c r="A302" s="58">
        <v>2024</v>
      </c>
      <c r="B302" s="58">
        <v>6</v>
      </c>
      <c r="C302">
        <v>6</v>
      </c>
      <c r="D302" s="58" t="s">
        <v>637</v>
      </c>
      <c r="E302" t="s">
        <v>64</v>
      </c>
      <c r="F302" s="58" t="s">
        <v>1482</v>
      </c>
      <c r="G302" t="s">
        <v>1483</v>
      </c>
      <c r="H302" s="58" t="s">
        <v>1012</v>
      </c>
      <c r="I302" t="s">
        <v>1012</v>
      </c>
      <c r="J302" s="58" t="s">
        <v>1012</v>
      </c>
      <c r="K302" t="s">
        <v>1429</v>
      </c>
      <c r="L302" t="s">
        <v>20</v>
      </c>
      <c r="M302" t="s">
        <v>1430</v>
      </c>
      <c r="N302" s="59">
        <v>0</v>
      </c>
      <c r="O302" s="59">
        <v>69532932</v>
      </c>
      <c r="P302" s="59">
        <v>0</v>
      </c>
      <c r="Q302" s="59">
        <v>0</v>
      </c>
      <c r="R302" s="59">
        <v>0</v>
      </c>
      <c r="S302" s="59">
        <v>69532932</v>
      </c>
      <c r="T302" s="41"/>
      <c r="U302" s="41"/>
      <c r="V302" s="41"/>
      <c r="W302" s="41"/>
      <c r="X302" s="41"/>
      <c r="Y302" s="41"/>
      <c r="Z302" s="41"/>
      <c r="AA302" s="41"/>
      <c r="AB302" s="41"/>
      <c r="AC302" s="41"/>
      <c r="AD302" s="41"/>
      <c r="AE302" s="59">
        <v>2752.37447715808</v>
      </c>
      <c r="AF302" s="59">
        <v>2752.37447715808</v>
      </c>
      <c r="AG302" s="59" t="s">
        <v>64</v>
      </c>
      <c r="AH302" s="59" t="s">
        <v>1325</v>
      </c>
    </row>
    <row r="303" spans="1:34" x14ac:dyDescent="0.35">
      <c r="A303" s="58">
        <v>2024</v>
      </c>
      <c r="B303" s="58">
        <v>6</v>
      </c>
      <c r="C303">
        <v>6</v>
      </c>
      <c r="D303" s="58" t="s">
        <v>1484</v>
      </c>
      <c r="E303" t="s">
        <v>1298</v>
      </c>
      <c r="F303" s="58" t="s">
        <v>1482</v>
      </c>
      <c r="G303" t="s">
        <v>1483</v>
      </c>
      <c r="H303" s="58" t="s">
        <v>1012</v>
      </c>
      <c r="I303" t="s">
        <v>1012</v>
      </c>
      <c r="J303" s="58" t="s">
        <v>1012</v>
      </c>
      <c r="K303" t="s">
        <v>1429</v>
      </c>
      <c r="L303" t="s">
        <v>20</v>
      </c>
      <c r="M303" t="s">
        <v>1430</v>
      </c>
      <c r="N303" s="59">
        <v>0</v>
      </c>
      <c r="O303" s="59">
        <v>15000000</v>
      </c>
      <c r="P303" s="59">
        <v>0</v>
      </c>
      <c r="Q303" s="59">
        <v>0</v>
      </c>
      <c r="R303" s="59">
        <v>0</v>
      </c>
      <c r="S303" s="59">
        <v>15000000</v>
      </c>
      <c r="T303" s="41"/>
      <c r="U303" s="41"/>
      <c r="V303" s="41"/>
      <c r="W303" s="41"/>
      <c r="X303" s="41"/>
      <c r="Y303" s="41"/>
      <c r="Z303" s="41"/>
      <c r="AA303" s="41"/>
      <c r="AB303" s="41"/>
      <c r="AC303" s="41"/>
      <c r="AD303" s="41"/>
      <c r="AE303" s="59">
        <v>593.75631042527016</v>
      </c>
      <c r="AF303" s="59">
        <v>593.75631042527016</v>
      </c>
      <c r="AG303" s="59" t="s">
        <v>1298</v>
      </c>
      <c r="AH303" s="59" t="s">
        <v>1325</v>
      </c>
    </row>
    <row r="304" spans="1:34" x14ac:dyDescent="0.35">
      <c r="A304" s="58">
        <v>2024</v>
      </c>
      <c r="B304" s="58">
        <v>6</v>
      </c>
      <c r="C304">
        <v>6</v>
      </c>
      <c r="D304" s="58" t="s">
        <v>1485</v>
      </c>
      <c r="E304" t="s">
        <v>1318</v>
      </c>
      <c r="F304" s="58" t="s">
        <v>1486</v>
      </c>
      <c r="G304" t="s">
        <v>1487</v>
      </c>
      <c r="H304" s="58" t="s">
        <v>1012</v>
      </c>
      <c r="I304" t="s">
        <v>1012</v>
      </c>
      <c r="J304" s="58" t="s">
        <v>1012</v>
      </c>
      <c r="K304" t="s">
        <v>1429</v>
      </c>
      <c r="L304" t="s">
        <v>20</v>
      </c>
      <c r="M304" t="s">
        <v>1430</v>
      </c>
      <c r="N304" s="59">
        <v>0</v>
      </c>
      <c r="O304" s="59">
        <v>0</v>
      </c>
      <c r="P304" s="59">
        <v>0</v>
      </c>
      <c r="Q304" s="59">
        <v>0</v>
      </c>
      <c r="R304" s="59">
        <v>0</v>
      </c>
      <c r="S304" s="59">
        <v>0</v>
      </c>
      <c r="T304" s="41"/>
      <c r="U304" s="41"/>
      <c r="V304" s="41"/>
      <c r="W304" s="41"/>
      <c r="X304" s="41"/>
      <c r="Y304" s="41"/>
      <c r="Z304" s="41"/>
      <c r="AA304" s="41"/>
      <c r="AB304" s="41"/>
      <c r="AC304" s="41"/>
      <c r="AD304" s="41"/>
      <c r="AE304" s="59">
        <v>0</v>
      </c>
      <c r="AF304" s="59">
        <v>0</v>
      </c>
      <c r="AG304" s="59" t="s">
        <v>1318</v>
      </c>
      <c r="AH304" s="59" t="s">
        <v>1317</v>
      </c>
    </row>
    <row r="305" spans="1:34" x14ac:dyDescent="0.35">
      <c r="A305" s="58">
        <v>2024</v>
      </c>
      <c r="B305" s="58">
        <v>6</v>
      </c>
      <c r="C305">
        <v>6</v>
      </c>
      <c r="D305" s="58" t="s">
        <v>1488</v>
      </c>
      <c r="E305" t="s">
        <v>1275</v>
      </c>
      <c r="F305" s="58" t="s">
        <v>1489</v>
      </c>
      <c r="G305" t="s">
        <v>1490</v>
      </c>
      <c r="H305" s="58" t="s">
        <v>1012</v>
      </c>
      <c r="I305" t="s">
        <v>1012</v>
      </c>
      <c r="J305" s="58" t="s">
        <v>1012</v>
      </c>
      <c r="K305" t="s">
        <v>1429</v>
      </c>
      <c r="L305" t="s">
        <v>20</v>
      </c>
      <c r="M305" t="s">
        <v>1430</v>
      </c>
      <c r="N305" s="59">
        <v>0</v>
      </c>
      <c r="O305" s="59">
        <v>0</v>
      </c>
      <c r="P305" s="59">
        <v>0</v>
      </c>
      <c r="Q305" s="59">
        <v>0</v>
      </c>
      <c r="R305" s="59">
        <v>0</v>
      </c>
      <c r="S305" s="59">
        <v>0</v>
      </c>
      <c r="T305" s="41"/>
      <c r="U305" s="41"/>
      <c r="V305" s="41"/>
      <c r="W305" s="41"/>
      <c r="X305" s="41"/>
      <c r="Y305" s="41"/>
      <c r="Z305" s="41"/>
      <c r="AA305" s="41"/>
      <c r="AB305" s="41"/>
      <c r="AC305" s="41"/>
      <c r="AD305" s="41"/>
      <c r="AE305" s="59">
        <v>0</v>
      </c>
      <c r="AF305" s="59">
        <v>0</v>
      </c>
      <c r="AG305" s="59" t="s">
        <v>1275</v>
      </c>
      <c r="AH305" s="59" t="s">
        <v>1274</v>
      </c>
    </row>
    <row r="306" spans="1:34" x14ac:dyDescent="0.35">
      <c r="A306" s="58">
        <v>2024</v>
      </c>
      <c r="B306" s="58">
        <v>6</v>
      </c>
      <c r="C306">
        <v>6</v>
      </c>
      <c r="D306" s="58" t="s">
        <v>1491</v>
      </c>
      <c r="E306" t="s">
        <v>1264</v>
      </c>
      <c r="F306" s="58" t="s">
        <v>1522</v>
      </c>
      <c r="G306" t="s">
        <v>1523</v>
      </c>
      <c r="H306" s="58" t="s">
        <v>1012</v>
      </c>
      <c r="I306" t="s">
        <v>1012</v>
      </c>
      <c r="J306" s="58" t="s">
        <v>1389</v>
      </c>
      <c r="K306" t="s">
        <v>1429</v>
      </c>
      <c r="L306" t="s">
        <v>20</v>
      </c>
      <c r="M306" t="s">
        <v>1430</v>
      </c>
      <c r="N306" s="59">
        <v>0</v>
      </c>
      <c r="O306" s="59">
        <v>0</v>
      </c>
      <c r="P306" s="59">
        <v>0</v>
      </c>
      <c r="Q306" s="59">
        <v>0</v>
      </c>
      <c r="R306" s="59">
        <v>21750000</v>
      </c>
      <c r="S306" s="59">
        <v>-21750000</v>
      </c>
      <c r="T306" s="41"/>
      <c r="U306" s="41"/>
      <c r="V306" s="41"/>
      <c r="W306" s="41"/>
      <c r="X306" s="41"/>
      <c r="Y306" s="41"/>
      <c r="Z306" s="41"/>
      <c r="AA306" s="41"/>
      <c r="AB306" s="41"/>
      <c r="AC306" s="41"/>
      <c r="AD306" s="41"/>
      <c r="AE306" s="59">
        <v>-860.94665011664176</v>
      </c>
      <c r="AF306" s="59">
        <v>0</v>
      </c>
      <c r="AG306" s="59" t="s">
        <v>1264</v>
      </c>
      <c r="AH306" s="59" t="s">
        <v>1390</v>
      </c>
    </row>
    <row r="307" spans="1:34" x14ac:dyDescent="0.35">
      <c r="A307" s="58">
        <v>2024</v>
      </c>
      <c r="B307" s="58">
        <v>6</v>
      </c>
      <c r="C307">
        <v>6</v>
      </c>
      <c r="D307" s="58" t="s">
        <v>1491</v>
      </c>
      <c r="E307" t="s">
        <v>1264</v>
      </c>
      <c r="F307" s="58" t="s">
        <v>1152</v>
      </c>
      <c r="G307" t="s">
        <v>1153</v>
      </c>
      <c r="H307" s="58" t="s">
        <v>1012</v>
      </c>
      <c r="I307" t="s">
        <v>1012</v>
      </c>
      <c r="J307" s="58" t="s">
        <v>1399</v>
      </c>
      <c r="K307" t="s">
        <v>1429</v>
      </c>
      <c r="L307" t="s">
        <v>20</v>
      </c>
      <c r="M307" t="s">
        <v>1430</v>
      </c>
      <c r="N307" s="59">
        <v>0</v>
      </c>
      <c r="O307" s="59">
        <v>0</v>
      </c>
      <c r="P307" s="59">
        <v>0</v>
      </c>
      <c r="Q307" s="59">
        <v>537734472</v>
      </c>
      <c r="R307" s="59">
        <v>13605557</v>
      </c>
      <c r="S307" s="59">
        <v>-551340029</v>
      </c>
      <c r="T307" s="41"/>
      <c r="U307" s="41"/>
      <c r="V307" s="41"/>
      <c r="W307" s="41"/>
      <c r="X307" s="41"/>
      <c r="Y307" s="41"/>
      <c r="Z307" s="41"/>
      <c r="AA307" s="41"/>
      <c r="AB307" s="41"/>
      <c r="AC307" s="41"/>
      <c r="AD307" s="41"/>
      <c r="AE307" s="59">
        <v>-21824.108093920098</v>
      </c>
      <c r="AF307" s="59">
        <v>0</v>
      </c>
      <c r="AG307" s="59" t="s">
        <v>1264</v>
      </c>
      <c r="AH307" s="59" t="s">
        <v>1400</v>
      </c>
    </row>
    <row r="308" spans="1:34" x14ac:dyDescent="0.35">
      <c r="A308" s="58">
        <v>2024</v>
      </c>
      <c r="B308" s="58">
        <v>6</v>
      </c>
      <c r="C308">
        <v>6</v>
      </c>
      <c r="D308" s="58" t="s">
        <v>1491</v>
      </c>
      <c r="E308" t="s">
        <v>1264</v>
      </c>
      <c r="F308" s="58" t="s">
        <v>1494</v>
      </c>
      <c r="G308" t="s">
        <v>1495</v>
      </c>
      <c r="H308" s="58" t="s">
        <v>1012</v>
      </c>
      <c r="I308" t="s">
        <v>1012</v>
      </c>
      <c r="J308" s="58" t="s">
        <v>1397</v>
      </c>
      <c r="K308" t="s">
        <v>1429</v>
      </c>
      <c r="L308" t="s">
        <v>20</v>
      </c>
      <c r="M308" t="s">
        <v>1430</v>
      </c>
      <c r="N308" s="59">
        <v>0</v>
      </c>
      <c r="O308" s="59">
        <v>0</v>
      </c>
      <c r="P308" s="59">
        <v>0</v>
      </c>
      <c r="Q308" s="59">
        <v>0</v>
      </c>
      <c r="R308" s="59">
        <v>12603970</v>
      </c>
      <c r="S308" s="59">
        <v>-12603970</v>
      </c>
      <c r="T308" s="41"/>
      <c r="U308" s="41"/>
      <c r="V308" s="41"/>
      <c r="W308" s="41"/>
      <c r="X308" s="41"/>
      <c r="Y308" s="41"/>
      <c r="Z308" s="41"/>
      <c r="AA308" s="41"/>
      <c r="AB308" s="41"/>
      <c r="AC308" s="41"/>
      <c r="AD308" s="41"/>
      <c r="AE308" s="59">
        <v>-498.91244826071949</v>
      </c>
      <c r="AF308" s="59">
        <v>0</v>
      </c>
      <c r="AG308" s="59" t="s">
        <v>1264</v>
      </c>
      <c r="AH308" s="59" t="s">
        <v>1398</v>
      </c>
    </row>
    <row r="309" spans="1:34" x14ac:dyDescent="0.35">
      <c r="A309" s="58">
        <v>2024</v>
      </c>
      <c r="B309" s="58">
        <v>6</v>
      </c>
      <c r="C309">
        <v>6</v>
      </c>
      <c r="D309" s="58" t="s">
        <v>1491</v>
      </c>
      <c r="E309" t="s">
        <v>1264</v>
      </c>
      <c r="F309" s="58" t="s">
        <v>1468</v>
      </c>
      <c r="G309" t="s">
        <v>1012</v>
      </c>
      <c r="H309" s="58" t="s">
        <v>1012</v>
      </c>
      <c r="I309" t="s">
        <v>1012</v>
      </c>
      <c r="J309" s="58" t="s">
        <v>1012</v>
      </c>
      <c r="K309" t="s">
        <v>1429</v>
      </c>
      <c r="L309" t="s">
        <v>20</v>
      </c>
      <c r="M309" t="s">
        <v>1430</v>
      </c>
      <c r="N309" s="59">
        <v>0</v>
      </c>
      <c r="O309" s="59">
        <v>0</v>
      </c>
      <c r="P309" s="59">
        <v>0</v>
      </c>
      <c r="Q309" s="59">
        <v>0</v>
      </c>
      <c r="R309" s="59">
        <v>0</v>
      </c>
      <c r="S309" s="59">
        <v>0</v>
      </c>
      <c r="T309" s="41"/>
      <c r="U309" s="41"/>
      <c r="V309" s="41"/>
      <c r="W309" s="41"/>
      <c r="X309" s="41"/>
      <c r="Y309" s="41"/>
      <c r="Z309" s="41"/>
      <c r="AA309" s="41"/>
      <c r="AB309" s="41"/>
      <c r="AC309" s="41"/>
      <c r="AD309" s="41"/>
      <c r="AE309" s="59">
        <v>0</v>
      </c>
      <c r="AF309" s="59">
        <v>0</v>
      </c>
      <c r="AG309" s="59" t="s">
        <v>1264</v>
      </c>
      <c r="AH309" s="59" t="s">
        <v>1284</v>
      </c>
    </row>
    <row r="310" spans="1:34" x14ac:dyDescent="0.35">
      <c r="A310" s="58">
        <v>2024</v>
      </c>
      <c r="B310" s="58">
        <v>6</v>
      </c>
      <c r="C310">
        <v>6</v>
      </c>
      <c r="D310" s="58" t="s">
        <v>1491</v>
      </c>
      <c r="E310" t="s">
        <v>1264</v>
      </c>
      <c r="F310" s="58" t="s">
        <v>1496</v>
      </c>
      <c r="G310" t="s">
        <v>1497</v>
      </c>
      <c r="H310" s="58" t="s">
        <v>1012</v>
      </c>
      <c r="I310" t="s">
        <v>1012</v>
      </c>
      <c r="J310" s="58" t="s">
        <v>1012</v>
      </c>
      <c r="K310" t="s">
        <v>1429</v>
      </c>
      <c r="L310" t="s">
        <v>20</v>
      </c>
      <c r="M310" t="s">
        <v>1430</v>
      </c>
      <c r="N310" s="59">
        <v>0</v>
      </c>
      <c r="O310" s="59">
        <v>0</v>
      </c>
      <c r="P310" s="59">
        <v>0</v>
      </c>
      <c r="Q310" s="59">
        <v>0</v>
      </c>
      <c r="R310" s="59">
        <v>0</v>
      </c>
      <c r="S310" s="59">
        <v>0</v>
      </c>
      <c r="T310" s="41"/>
      <c r="U310" s="41"/>
      <c r="V310" s="41"/>
      <c r="W310" s="41"/>
      <c r="X310" s="41"/>
      <c r="Y310" s="41"/>
      <c r="Z310" s="41"/>
      <c r="AA310" s="41"/>
      <c r="AB310" s="41"/>
      <c r="AC310" s="41"/>
      <c r="AD310" s="41"/>
      <c r="AE310" s="59">
        <v>0</v>
      </c>
      <c r="AF310" s="59">
        <v>0</v>
      </c>
      <c r="AG310" s="59" t="s">
        <v>1264</v>
      </c>
      <c r="AH310" s="59" t="s">
        <v>1329</v>
      </c>
    </row>
    <row r="311" spans="1:34" x14ac:dyDescent="0.35">
      <c r="A311" s="58">
        <v>2024</v>
      </c>
      <c r="B311" s="58">
        <v>7</v>
      </c>
      <c r="C311">
        <v>7</v>
      </c>
      <c r="D311" s="58" t="s">
        <v>625</v>
      </c>
      <c r="E311" t="s">
        <v>271</v>
      </c>
      <c r="F311" s="58" t="s">
        <v>171</v>
      </c>
      <c r="G311" t="s">
        <v>731</v>
      </c>
      <c r="H311" s="58" t="s">
        <v>4</v>
      </c>
      <c r="I311" t="s">
        <v>4</v>
      </c>
      <c r="J311" s="58" t="s">
        <v>4</v>
      </c>
      <c r="K311" t="s">
        <v>1429</v>
      </c>
      <c r="L311" t="s">
        <v>20</v>
      </c>
      <c r="M311" t="s">
        <v>1430</v>
      </c>
      <c r="N311" s="59">
        <v>16500</v>
      </c>
      <c r="O311" s="59">
        <v>546202799.99999988</v>
      </c>
      <c r="P311" s="59">
        <v>3202541.8139097746</v>
      </c>
      <c r="Q311" s="59">
        <v>0</v>
      </c>
      <c r="R311" s="59">
        <v>0</v>
      </c>
      <c r="S311" s="59">
        <v>543000258.18609011</v>
      </c>
      <c r="T311" s="41"/>
      <c r="U311" s="41"/>
      <c r="V311" s="41"/>
      <c r="W311" s="41"/>
      <c r="X311" s="41"/>
      <c r="Y311" s="41"/>
      <c r="Z311" s="41"/>
      <c r="AA311" s="41"/>
      <c r="AB311" s="41"/>
      <c r="AC311" s="41"/>
      <c r="AD311" s="41"/>
      <c r="AE311" s="59">
        <v>21558.374274682017</v>
      </c>
      <c r="AF311" s="59">
        <v>21685.522639740298</v>
      </c>
      <c r="AG311" s="59" t="s">
        <v>47</v>
      </c>
      <c r="AH311" s="59" t="s">
        <v>1166</v>
      </c>
    </row>
    <row r="312" spans="1:34" x14ac:dyDescent="0.35">
      <c r="A312" s="58">
        <v>2024</v>
      </c>
      <c r="B312" s="58">
        <v>7</v>
      </c>
      <c r="C312">
        <v>7</v>
      </c>
      <c r="D312" s="58" t="s">
        <v>625</v>
      </c>
      <c r="E312" t="s">
        <v>271</v>
      </c>
      <c r="F312" s="58" t="s">
        <v>916</v>
      </c>
      <c r="G312" t="s">
        <v>917</v>
      </c>
      <c r="H312" s="58" t="s">
        <v>21</v>
      </c>
      <c r="I312" t="s">
        <v>21</v>
      </c>
      <c r="J312" s="58" t="s">
        <v>21</v>
      </c>
      <c r="K312" t="s">
        <v>1429</v>
      </c>
      <c r="L312" t="s">
        <v>20</v>
      </c>
      <c r="M312" t="s">
        <v>1431</v>
      </c>
      <c r="N312" s="59">
        <v>-250</v>
      </c>
      <c r="O312" s="59">
        <v>0</v>
      </c>
      <c r="P312" s="59">
        <v>0</v>
      </c>
      <c r="Q312" s="59">
        <v>0</v>
      </c>
      <c r="R312" s="59">
        <v>0</v>
      </c>
      <c r="S312" s="59">
        <v>0</v>
      </c>
      <c r="T312" s="41"/>
      <c r="U312" s="41"/>
      <c r="V312" s="41"/>
      <c r="W312" s="41"/>
      <c r="X312" s="41"/>
      <c r="Y312" s="41"/>
      <c r="Z312" s="41"/>
      <c r="AA312" s="41"/>
      <c r="AB312" s="41"/>
      <c r="AC312" s="41"/>
      <c r="AD312" s="41"/>
      <c r="AE312" s="59">
        <v>0</v>
      </c>
      <c r="AF312" s="59">
        <v>0</v>
      </c>
      <c r="AG312" s="59" t="s">
        <v>47</v>
      </c>
      <c r="AH312" s="59" t="s">
        <v>1356</v>
      </c>
    </row>
    <row r="313" spans="1:34" x14ac:dyDescent="0.35">
      <c r="A313" s="58">
        <v>2024</v>
      </c>
      <c r="B313" s="58">
        <v>7</v>
      </c>
      <c r="C313">
        <v>7</v>
      </c>
      <c r="D313" s="58" t="s">
        <v>625</v>
      </c>
      <c r="E313" t="s">
        <v>271</v>
      </c>
      <c r="F313" s="58" t="s">
        <v>916</v>
      </c>
      <c r="G313" t="s">
        <v>917</v>
      </c>
      <c r="H313" s="58" t="s">
        <v>21</v>
      </c>
      <c r="I313" t="s">
        <v>21</v>
      </c>
      <c r="J313" s="58" t="s">
        <v>21</v>
      </c>
      <c r="K313" t="s">
        <v>1429</v>
      </c>
      <c r="L313" t="s">
        <v>20</v>
      </c>
      <c r="M313" t="s">
        <v>1430</v>
      </c>
      <c r="N313" s="59">
        <v>300</v>
      </c>
      <c r="O313" s="59">
        <v>7317590</v>
      </c>
      <c r="P313" s="59">
        <v>0</v>
      </c>
      <c r="Q313" s="59">
        <v>0</v>
      </c>
      <c r="R313" s="59">
        <v>0</v>
      </c>
      <c r="S313" s="59">
        <v>7317590</v>
      </c>
      <c r="T313" s="41"/>
      <c r="U313" s="41"/>
      <c r="V313" s="41"/>
      <c r="W313" s="41"/>
      <c r="X313" s="41"/>
      <c r="Y313" s="41"/>
      <c r="Z313" s="41"/>
      <c r="AA313" s="41"/>
      <c r="AB313" s="41"/>
      <c r="AC313" s="41"/>
      <c r="AD313" s="41"/>
      <c r="AE313" s="59">
        <v>290.52535727267826</v>
      </c>
      <c r="AF313" s="59">
        <v>290.52535727267826</v>
      </c>
      <c r="AG313" s="59" t="s">
        <v>47</v>
      </c>
      <c r="AH313" s="59" t="s">
        <v>1356</v>
      </c>
    </row>
    <row r="314" spans="1:34" x14ac:dyDescent="0.35">
      <c r="A314" s="58">
        <v>2024</v>
      </c>
      <c r="B314" s="58">
        <v>7</v>
      </c>
      <c r="C314">
        <v>7</v>
      </c>
      <c r="D314" s="58" t="s">
        <v>625</v>
      </c>
      <c r="E314" t="s">
        <v>271</v>
      </c>
      <c r="F314" s="58" t="s">
        <v>916</v>
      </c>
      <c r="G314" t="s">
        <v>917</v>
      </c>
      <c r="H314" s="58" t="s">
        <v>21</v>
      </c>
      <c r="I314" t="s">
        <v>21</v>
      </c>
      <c r="J314" s="58" t="s">
        <v>21</v>
      </c>
      <c r="K314" t="s">
        <v>1429</v>
      </c>
      <c r="L314" t="s">
        <v>20</v>
      </c>
      <c r="M314" t="s">
        <v>1432</v>
      </c>
      <c r="N314" s="59">
        <v>250</v>
      </c>
      <c r="O314" s="59">
        <v>0</v>
      </c>
      <c r="P314" s="59">
        <v>0</v>
      </c>
      <c r="Q314" s="59">
        <v>0</v>
      </c>
      <c r="R314" s="59">
        <v>0</v>
      </c>
      <c r="S314" s="59">
        <v>0</v>
      </c>
      <c r="T314" s="41"/>
      <c r="U314" s="41"/>
      <c r="V314" s="41"/>
      <c r="W314" s="41"/>
      <c r="X314" s="41"/>
      <c r="Y314" s="41"/>
      <c r="Z314" s="41"/>
      <c r="AA314" s="41"/>
      <c r="AB314" s="41"/>
      <c r="AC314" s="41"/>
      <c r="AD314" s="41"/>
      <c r="AE314" s="59">
        <v>0</v>
      </c>
      <c r="AF314" s="59">
        <v>0</v>
      </c>
      <c r="AG314" s="59" t="s">
        <v>47</v>
      </c>
      <c r="AH314" s="59" t="s">
        <v>1356</v>
      </c>
    </row>
    <row r="315" spans="1:34" x14ac:dyDescent="0.35">
      <c r="A315" s="58">
        <v>2024</v>
      </c>
      <c r="B315" s="58">
        <v>7</v>
      </c>
      <c r="C315">
        <v>7</v>
      </c>
      <c r="D315" s="58" t="s">
        <v>1433</v>
      </c>
      <c r="E315" t="s">
        <v>1276</v>
      </c>
      <c r="F315" s="58" t="s">
        <v>1434</v>
      </c>
      <c r="G315" t="s">
        <v>1435</v>
      </c>
      <c r="H315" s="58" t="s">
        <v>1012</v>
      </c>
      <c r="I315" t="s">
        <v>1012</v>
      </c>
      <c r="J315" s="58" t="s">
        <v>1012</v>
      </c>
      <c r="K315" t="s">
        <v>1429</v>
      </c>
      <c r="L315" t="s">
        <v>20</v>
      </c>
      <c r="M315" t="s">
        <v>1430</v>
      </c>
      <c r="N315" s="59">
        <v>0</v>
      </c>
      <c r="O315" s="59">
        <v>0</v>
      </c>
      <c r="P315" s="59">
        <v>0</v>
      </c>
      <c r="Q315" s="59">
        <v>0</v>
      </c>
      <c r="R315" s="59">
        <v>0</v>
      </c>
      <c r="S315" s="59">
        <v>0</v>
      </c>
      <c r="T315" s="41"/>
      <c r="U315" s="41"/>
      <c r="V315" s="41"/>
      <c r="W315" s="41"/>
      <c r="X315" s="41"/>
      <c r="Y315" s="41"/>
      <c r="Z315" s="41"/>
      <c r="AA315" s="41"/>
      <c r="AB315" s="41"/>
      <c r="AC315" s="41"/>
      <c r="AD315" s="41"/>
      <c r="AE315" s="59">
        <v>0</v>
      </c>
      <c r="AF315" s="59">
        <v>0</v>
      </c>
      <c r="AG315" s="59" t="s">
        <v>1276</v>
      </c>
      <c r="AH315" s="59" t="s">
        <v>1319</v>
      </c>
    </row>
    <row r="316" spans="1:34" x14ac:dyDescent="0.35">
      <c r="A316" s="58">
        <v>2024</v>
      </c>
      <c r="B316" s="58">
        <v>7</v>
      </c>
      <c r="C316">
        <v>7</v>
      </c>
      <c r="D316" s="58" t="s">
        <v>651</v>
      </c>
      <c r="E316" t="s">
        <v>464</v>
      </c>
      <c r="F316" s="58" t="s">
        <v>184</v>
      </c>
      <c r="G316" t="s">
        <v>717</v>
      </c>
      <c r="H316" s="58" t="s">
        <v>1428</v>
      </c>
      <c r="I316" t="s">
        <v>75</v>
      </c>
      <c r="J316" s="58" t="s">
        <v>75</v>
      </c>
      <c r="K316" t="s">
        <v>1429</v>
      </c>
      <c r="L316" t="s">
        <v>20</v>
      </c>
      <c r="M316" t="s">
        <v>1430</v>
      </c>
      <c r="N316" s="59">
        <v>9625</v>
      </c>
      <c r="O316" s="59">
        <v>339781750</v>
      </c>
      <c r="P316" s="59">
        <v>0</v>
      </c>
      <c r="Q316" s="59">
        <v>0</v>
      </c>
      <c r="R316" s="59">
        <v>0</v>
      </c>
      <c r="S316" s="59">
        <v>339781750</v>
      </c>
      <c r="T316" s="41"/>
      <c r="U316" s="41"/>
      <c r="V316" s="41"/>
      <c r="W316" s="41"/>
      <c r="X316" s="41"/>
      <c r="Y316" s="41"/>
      <c r="Z316" s="41"/>
      <c r="AA316" s="41"/>
      <c r="AB316" s="41"/>
      <c r="AC316" s="41"/>
      <c r="AD316" s="41"/>
      <c r="AE316" s="59">
        <v>13490.126436912406</v>
      </c>
      <c r="AF316" s="59">
        <v>13490.126436912406</v>
      </c>
      <c r="AG316" s="59" t="s">
        <v>5</v>
      </c>
      <c r="AH316" s="59" t="s">
        <v>1198</v>
      </c>
    </row>
    <row r="317" spans="1:34" x14ac:dyDescent="0.35">
      <c r="A317" s="58">
        <v>2024</v>
      </c>
      <c r="B317" s="58">
        <v>7</v>
      </c>
      <c r="C317">
        <v>7</v>
      </c>
      <c r="D317" s="58" t="s">
        <v>640</v>
      </c>
      <c r="E317" t="s">
        <v>552</v>
      </c>
      <c r="F317" s="58" t="s">
        <v>168</v>
      </c>
      <c r="G317" t="s">
        <v>700</v>
      </c>
      <c r="H317" s="58" t="s">
        <v>4</v>
      </c>
      <c r="I317" t="s">
        <v>4</v>
      </c>
      <c r="J317" s="58" t="s">
        <v>4</v>
      </c>
      <c r="K317" t="s">
        <v>1429</v>
      </c>
      <c r="L317" t="s">
        <v>20</v>
      </c>
      <c r="M317" t="s">
        <v>1431</v>
      </c>
      <c r="N317" s="59">
        <v>-3413</v>
      </c>
      <c r="O317" s="59">
        <v>0</v>
      </c>
      <c r="P317" s="59">
        <v>-640508.36278195493</v>
      </c>
      <c r="Q317" s="59">
        <v>0</v>
      </c>
      <c r="R317" s="59">
        <v>0</v>
      </c>
      <c r="S317" s="59">
        <v>640508.36278195493</v>
      </c>
      <c r="T317" s="41"/>
      <c r="U317" s="41"/>
      <c r="V317" s="41"/>
      <c r="W317" s="41"/>
      <c r="X317" s="41"/>
      <c r="Y317" s="41"/>
      <c r="Z317" s="41"/>
      <c r="AA317" s="41"/>
      <c r="AB317" s="41"/>
      <c r="AC317" s="41"/>
      <c r="AD317" s="41"/>
      <c r="AE317" s="59">
        <v>25.429673011656252</v>
      </c>
      <c r="AF317" s="59">
        <v>0</v>
      </c>
      <c r="AG317" s="59" t="s">
        <v>99</v>
      </c>
      <c r="AH317" s="59" t="s">
        <v>1160</v>
      </c>
    </row>
    <row r="318" spans="1:34" x14ac:dyDescent="0.35">
      <c r="A318" s="58">
        <v>2024</v>
      </c>
      <c r="B318" s="58">
        <v>7</v>
      </c>
      <c r="C318">
        <v>7</v>
      </c>
      <c r="D318" s="58" t="s">
        <v>640</v>
      </c>
      <c r="E318" t="s">
        <v>552</v>
      </c>
      <c r="F318" s="58" t="s">
        <v>168</v>
      </c>
      <c r="G318" t="s">
        <v>700</v>
      </c>
      <c r="H318" s="58" t="s">
        <v>4</v>
      </c>
      <c r="I318" t="s">
        <v>4</v>
      </c>
      <c r="J318" s="58" t="s">
        <v>4</v>
      </c>
      <c r="K318" t="s">
        <v>1429</v>
      </c>
      <c r="L318" t="s">
        <v>20</v>
      </c>
      <c r="M318" t="s">
        <v>1432</v>
      </c>
      <c r="N318" s="59">
        <v>3413</v>
      </c>
      <c r="O318" s="59">
        <v>0</v>
      </c>
      <c r="P318" s="59">
        <v>640508.36278195493</v>
      </c>
      <c r="Q318" s="59">
        <v>0</v>
      </c>
      <c r="R318" s="59">
        <v>0</v>
      </c>
      <c r="S318" s="59">
        <v>-640508.36278195493</v>
      </c>
      <c r="T318" s="41"/>
      <c r="U318" s="41"/>
      <c r="V318" s="41"/>
      <c r="W318" s="41"/>
      <c r="X318" s="41"/>
      <c r="Y318" s="41"/>
      <c r="Z318" s="41"/>
      <c r="AA318" s="41"/>
      <c r="AB318" s="41"/>
      <c r="AC318" s="41"/>
      <c r="AD318" s="41"/>
      <c r="AE318" s="59">
        <v>-25.429673011656252</v>
      </c>
      <c r="AF318" s="59">
        <v>0</v>
      </c>
      <c r="AG318" s="59" t="s">
        <v>99</v>
      </c>
      <c r="AH318" s="59" t="s">
        <v>1160</v>
      </c>
    </row>
    <row r="319" spans="1:34" x14ac:dyDescent="0.35">
      <c r="A319" s="58">
        <v>2024</v>
      </c>
      <c r="B319" s="58">
        <v>7</v>
      </c>
      <c r="C319">
        <v>7</v>
      </c>
      <c r="D319" s="58" t="s">
        <v>589</v>
      </c>
      <c r="E319" t="s">
        <v>322</v>
      </c>
      <c r="F319" s="58" t="s">
        <v>171</v>
      </c>
      <c r="G319" t="s">
        <v>731</v>
      </c>
      <c r="H319" s="58" t="s">
        <v>4</v>
      </c>
      <c r="I319" t="s">
        <v>4</v>
      </c>
      <c r="J319" s="58" t="s">
        <v>4</v>
      </c>
      <c r="K319" t="s">
        <v>1429</v>
      </c>
      <c r="L319" t="s">
        <v>20</v>
      </c>
      <c r="M319" t="s">
        <v>1430</v>
      </c>
      <c r="N319" s="59">
        <v>198000</v>
      </c>
      <c r="O319" s="59">
        <v>6433614000</v>
      </c>
      <c r="P319" s="59">
        <v>38430501.766917296</v>
      </c>
      <c r="Q319" s="59">
        <v>0</v>
      </c>
      <c r="R319" s="59">
        <v>27720000</v>
      </c>
      <c r="S319" s="59">
        <v>6367463498.2330828</v>
      </c>
      <c r="T319" s="41"/>
      <c r="U319" s="41"/>
      <c r="V319" s="41"/>
      <c r="W319" s="41"/>
      <c r="X319" s="41"/>
      <c r="Y319" s="41"/>
      <c r="Z319" s="41"/>
      <c r="AA319" s="41"/>
      <c r="AB319" s="41"/>
      <c r="AC319" s="41"/>
      <c r="AD319" s="41"/>
      <c r="AE319" s="59">
        <v>252803.12339785427</v>
      </c>
      <c r="AF319" s="59">
        <v>255429.4523066344</v>
      </c>
      <c r="AG319" s="59" t="s">
        <v>5</v>
      </c>
      <c r="AH319" s="59" t="s">
        <v>1166</v>
      </c>
    </row>
    <row r="320" spans="1:34" x14ac:dyDescent="0.35">
      <c r="A320" s="58">
        <v>2024</v>
      </c>
      <c r="B320" s="58">
        <v>7</v>
      </c>
      <c r="C320">
        <v>7</v>
      </c>
      <c r="D320" s="58" t="s">
        <v>621</v>
      </c>
      <c r="E320" t="s">
        <v>257</v>
      </c>
      <c r="F320" s="58" t="s">
        <v>167</v>
      </c>
      <c r="G320" t="s">
        <v>693</v>
      </c>
      <c r="H320" s="58" t="s">
        <v>4</v>
      </c>
      <c r="I320" t="s">
        <v>4</v>
      </c>
      <c r="J320" s="58" t="s">
        <v>4</v>
      </c>
      <c r="K320" t="s">
        <v>1429</v>
      </c>
      <c r="L320" t="s">
        <v>20</v>
      </c>
      <c r="M320" t="s">
        <v>1430</v>
      </c>
      <c r="N320" s="59">
        <v>88000</v>
      </c>
      <c r="O320" s="59">
        <v>2946950160</v>
      </c>
      <c r="P320" s="59">
        <v>17080223.007518798</v>
      </c>
      <c r="Q320" s="59">
        <v>0</v>
      </c>
      <c r="R320" s="59">
        <v>0</v>
      </c>
      <c r="S320" s="59">
        <v>2929869936.9924812</v>
      </c>
      <c r="T320" s="41"/>
      <c r="U320" s="41"/>
      <c r="V320" s="41"/>
      <c r="W320" s="41"/>
      <c r="X320" s="41"/>
      <c r="Y320" s="41"/>
      <c r="Z320" s="41"/>
      <c r="AA320" s="41"/>
      <c r="AB320" s="41"/>
      <c r="AC320" s="41"/>
      <c r="AD320" s="41"/>
      <c r="AE320" s="59">
        <v>116322.65680466109</v>
      </c>
      <c r="AF320" s="59">
        <v>117000.78141830525</v>
      </c>
      <c r="AG320" s="59" t="s">
        <v>16</v>
      </c>
      <c r="AH320" s="59" t="s">
        <v>1156</v>
      </c>
    </row>
    <row r="321" spans="1:34" x14ac:dyDescent="0.35">
      <c r="A321" s="58">
        <v>2024</v>
      </c>
      <c r="B321" s="58">
        <v>7</v>
      </c>
      <c r="C321">
        <v>7</v>
      </c>
      <c r="D321" s="58" t="s">
        <v>590</v>
      </c>
      <c r="E321" t="s">
        <v>500</v>
      </c>
      <c r="F321" s="58" t="s">
        <v>168</v>
      </c>
      <c r="G321" t="s">
        <v>700</v>
      </c>
      <c r="H321" s="58" t="s">
        <v>4</v>
      </c>
      <c r="I321" t="s">
        <v>4</v>
      </c>
      <c r="J321" s="58" t="s">
        <v>4</v>
      </c>
      <c r="K321" t="s">
        <v>1429</v>
      </c>
      <c r="L321" t="s">
        <v>20</v>
      </c>
      <c r="M321" t="s">
        <v>1430</v>
      </c>
      <c r="N321" s="59">
        <v>4400</v>
      </c>
      <c r="O321" s="59">
        <v>159379717</v>
      </c>
      <c r="P321" s="59">
        <v>854011.15037593991</v>
      </c>
      <c r="Q321" s="59">
        <v>0</v>
      </c>
      <c r="R321" s="59">
        <v>7000000</v>
      </c>
      <c r="S321" s="59">
        <v>151525705.84962407</v>
      </c>
      <c r="T321" s="41"/>
      <c r="U321" s="41"/>
      <c r="V321" s="41"/>
      <c r="W321" s="41"/>
      <c r="X321" s="41"/>
      <c r="Y321" s="41"/>
      <c r="Z321" s="41"/>
      <c r="AA321" s="41"/>
      <c r="AB321" s="41"/>
      <c r="AC321" s="41"/>
      <c r="AD321" s="41"/>
      <c r="AE321" s="59">
        <v>6015.923251775077</v>
      </c>
      <c r="AF321" s="59">
        <v>6327.7457774271797</v>
      </c>
      <c r="AG321" s="59" t="s">
        <v>8</v>
      </c>
      <c r="AH321" s="59" t="s">
        <v>1160</v>
      </c>
    </row>
    <row r="322" spans="1:34" x14ac:dyDescent="0.35">
      <c r="A322" s="58">
        <v>2024</v>
      </c>
      <c r="B322" s="58">
        <v>7</v>
      </c>
      <c r="C322">
        <v>7</v>
      </c>
      <c r="D322" s="58" t="s">
        <v>1530</v>
      </c>
      <c r="E322" t="s">
        <v>1178</v>
      </c>
      <c r="F322" s="58" t="s">
        <v>172</v>
      </c>
      <c r="G322" t="s">
        <v>734</v>
      </c>
      <c r="H322" s="58" t="s">
        <v>4</v>
      </c>
      <c r="I322" t="s">
        <v>4</v>
      </c>
      <c r="J322" s="58" t="s">
        <v>4</v>
      </c>
      <c r="K322" t="s">
        <v>1429</v>
      </c>
      <c r="L322" t="s">
        <v>20</v>
      </c>
      <c r="M322" t="s">
        <v>1430</v>
      </c>
      <c r="N322" s="59">
        <v>4400</v>
      </c>
      <c r="O322" s="59">
        <v>149050000</v>
      </c>
      <c r="P322" s="59">
        <v>854011.15037593991</v>
      </c>
      <c r="Q322" s="59">
        <v>0</v>
      </c>
      <c r="R322" s="59">
        <v>0</v>
      </c>
      <c r="S322" s="59">
        <v>148195988.84962407</v>
      </c>
      <c r="T322" s="41"/>
      <c r="U322" s="41"/>
      <c r="V322" s="41"/>
      <c r="W322" s="41"/>
      <c r="X322" s="41"/>
      <c r="Y322" s="41"/>
      <c r="Z322" s="41"/>
      <c r="AA322" s="41"/>
      <c r="AB322" s="41"/>
      <c r="AC322" s="41"/>
      <c r="AD322" s="41"/>
      <c r="AE322" s="59">
        <v>5883.7257357838953</v>
      </c>
      <c r="AF322" s="59">
        <v>5917.6319664661041</v>
      </c>
      <c r="AG322" s="59" t="s">
        <v>1178</v>
      </c>
      <c r="AH322" s="59" t="s">
        <v>1175</v>
      </c>
    </row>
    <row r="323" spans="1:34" x14ac:dyDescent="0.35">
      <c r="A323" s="58">
        <v>2024</v>
      </c>
      <c r="B323" s="58">
        <v>7</v>
      </c>
      <c r="C323">
        <v>7</v>
      </c>
      <c r="D323" s="58" t="s">
        <v>1531</v>
      </c>
      <c r="E323" t="s">
        <v>1296</v>
      </c>
      <c r="F323" s="58" t="s">
        <v>1482</v>
      </c>
      <c r="G323" t="s">
        <v>1483</v>
      </c>
      <c r="H323" s="58" t="s">
        <v>1012</v>
      </c>
      <c r="I323" t="s">
        <v>1012</v>
      </c>
      <c r="J323" s="58" t="s">
        <v>1012</v>
      </c>
      <c r="K323" t="s">
        <v>1429</v>
      </c>
      <c r="L323" t="s">
        <v>20</v>
      </c>
      <c r="M323" t="s">
        <v>1430</v>
      </c>
      <c r="N323" s="59">
        <v>0</v>
      </c>
      <c r="O323" s="59">
        <v>61000000</v>
      </c>
      <c r="P323" s="59">
        <v>0</v>
      </c>
      <c r="Q323" s="59">
        <v>0</v>
      </c>
      <c r="R323" s="59">
        <v>0</v>
      </c>
      <c r="S323" s="59">
        <v>61000000</v>
      </c>
      <c r="T323" s="41"/>
      <c r="U323" s="41"/>
      <c r="V323" s="41"/>
      <c r="W323" s="41"/>
      <c r="X323" s="41"/>
      <c r="Y323" s="41"/>
      <c r="Z323" s="41"/>
      <c r="AA323" s="41"/>
      <c r="AB323" s="41"/>
      <c r="AC323" s="41"/>
      <c r="AD323" s="41"/>
      <c r="AE323" s="59">
        <v>2421.8419990233633</v>
      </c>
      <c r="AF323" s="59">
        <v>2421.8419990233633</v>
      </c>
      <c r="AG323" s="59" t="s">
        <v>1296</v>
      </c>
      <c r="AH323" s="59" t="s">
        <v>1325</v>
      </c>
    </row>
    <row r="324" spans="1:34" x14ac:dyDescent="0.35">
      <c r="A324" s="58">
        <v>2024</v>
      </c>
      <c r="B324" s="58">
        <v>7</v>
      </c>
      <c r="C324">
        <v>7</v>
      </c>
      <c r="D324" s="58" t="s">
        <v>682</v>
      </c>
      <c r="E324" t="s">
        <v>156</v>
      </c>
      <c r="F324" s="58" t="s">
        <v>841</v>
      </c>
      <c r="G324" t="s">
        <v>842</v>
      </c>
      <c r="H324" s="58" t="s">
        <v>1012</v>
      </c>
      <c r="I324" t="s">
        <v>86</v>
      </c>
      <c r="J324" s="58" t="s">
        <v>86</v>
      </c>
      <c r="K324" t="s">
        <v>1429</v>
      </c>
      <c r="L324" t="s">
        <v>20</v>
      </c>
      <c r="M324" t="s">
        <v>1430</v>
      </c>
      <c r="N324" s="59">
        <v>1550</v>
      </c>
      <c r="O324" s="59">
        <v>7462963.1591796875</v>
      </c>
      <c r="P324" s="59">
        <v>0</v>
      </c>
      <c r="Q324" s="59">
        <v>0</v>
      </c>
      <c r="R324" s="59">
        <v>0</v>
      </c>
      <c r="S324" s="59">
        <v>7462963.1591796875</v>
      </c>
      <c r="T324" s="41"/>
      <c r="U324" s="41"/>
      <c r="V324" s="41"/>
      <c r="W324" s="41"/>
      <c r="X324" s="41"/>
      <c r="Y324" s="41"/>
      <c r="Z324" s="41"/>
      <c r="AA324" s="41"/>
      <c r="AB324" s="41"/>
      <c r="AC324" s="41"/>
      <c r="AD324" s="41"/>
      <c r="AE324" s="59">
        <v>296.29701009943363</v>
      </c>
      <c r="AF324" s="59">
        <v>296.29701009943363</v>
      </c>
      <c r="AG324" s="59" t="s">
        <v>156</v>
      </c>
      <c r="AH324" s="59" t="s">
        <v>1222</v>
      </c>
    </row>
    <row r="325" spans="1:34" x14ac:dyDescent="0.35">
      <c r="A325" s="58">
        <v>2024</v>
      </c>
      <c r="B325" s="58">
        <v>7</v>
      </c>
      <c r="C325">
        <v>7</v>
      </c>
      <c r="D325" s="58" t="s">
        <v>682</v>
      </c>
      <c r="E325" t="s">
        <v>156</v>
      </c>
      <c r="F325" s="58" t="s">
        <v>843</v>
      </c>
      <c r="G325" t="s">
        <v>844</v>
      </c>
      <c r="H325" s="58" t="s">
        <v>1012</v>
      </c>
      <c r="I325" t="s">
        <v>86</v>
      </c>
      <c r="J325" s="58" t="s">
        <v>86</v>
      </c>
      <c r="K325" t="s">
        <v>1429</v>
      </c>
      <c r="L325" t="s">
        <v>20</v>
      </c>
      <c r="M325" t="s">
        <v>1430</v>
      </c>
      <c r="N325" s="59">
        <v>1560</v>
      </c>
      <c r="O325" s="59">
        <v>7511111.30859375</v>
      </c>
      <c r="P325" s="59">
        <v>0</v>
      </c>
      <c r="Q325" s="59">
        <v>0</v>
      </c>
      <c r="R325" s="59">
        <v>0</v>
      </c>
      <c r="S325" s="59">
        <v>7511111.30859375</v>
      </c>
      <c r="T325" s="41"/>
      <c r="U325" s="41"/>
      <c r="V325" s="41"/>
      <c r="W325" s="41"/>
      <c r="X325" s="41"/>
      <c r="Y325" s="41"/>
      <c r="Z325" s="41"/>
      <c r="AA325" s="41"/>
      <c r="AB325" s="41"/>
      <c r="AC325" s="41"/>
      <c r="AD325" s="41"/>
      <c r="AE325" s="59">
        <v>298.20860371297834</v>
      </c>
      <c r="AF325" s="59">
        <v>298.20860371297834</v>
      </c>
      <c r="AG325" s="59" t="s">
        <v>156</v>
      </c>
      <c r="AH325" s="59" t="s">
        <v>1224</v>
      </c>
    </row>
    <row r="326" spans="1:34" x14ac:dyDescent="0.35">
      <c r="A326" s="58">
        <v>2024</v>
      </c>
      <c r="B326" s="58">
        <v>7</v>
      </c>
      <c r="C326">
        <v>7</v>
      </c>
      <c r="D326" s="58" t="s">
        <v>682</v>
      </c>
      <c r="E326" t="s">
        <v>156</v>
      </c>
      <c r="F326" s="58" t="s">
        <v>845</v>
      </c>
      <c r="G326" t="s">
        <v>846</v>
      </c>
      <c r="H326" s="58" t="s">
        <v>1012</v>
      </c>
      <c r="I326" t="s">
        <v>86</v>
      </c>
      <c r="J326" s="58" t="s">
        <v>86</v>
      </c>
      <c r="K326" t="s">
        <v>1429</v>
      </c>
      <c r="L326" t="s">
        <v>20</v>
      </c>
      <c r="M326" t="s">
        <v>1430</v>
      </c>
      <c r="N326" s="59">
        <v>3560</v>
      </c>
      <c r="O326" s="59">
        <v>17140741.19140625</v>
      </c>
      <c r="P326" s="59">
        <v>0</v>
      </c>
      <c r="Q326" s="59">
        <v>0</v>
      </c>
      <c r="R326" s="59">
        <v>0</v>
      </c>
      <c r="S326" s="59">
        <v>17140741.19140625</v>
      </c>
      <c r="T326" s="41"/>
      <c r="U326" s="41"/>
      <c r="V326" s="41"/>
      <c r="W326" s="41"/>
      <c r="X326" s="41"/>
      <c r="Y326" s="41"/>
      <c r="Z326" s="41"/>
      <c r="AA326" s="41"/>
      <c r="AB326" s="41"/>
      <c r="AC326" s="41"/>
      <c r="AD326" s="41"/>
      <c r="AE326" s="59">
        <v>680.52732642192495</v>
      </c>
      <c r="AF326" s="59">
        <v>680.52732642192495</v>
      </c>
      <c r="AG326" s="59" t="s">
        <v>156</v>
      </c>
      <c r="AH326" s="59" t="s">
        <v>1225</v>
      </c>
    </row>
    <row r="327" spans="1:34" x14ac:dyDescent="0.35">
      <c r="A327" s="58">
        <v>2024</v>
      </c>
      <c r="B327" s="58">
        <v>7</v>
      </c>
      <c r="C327">
        <v>7</v>
      </c>
      <c r="D327" s="58" t="s">
        <v>682</v>
      </c>
      <c r="E327" t="s">
        <v>156</v>
      </c>
      <c r="F327" s="58" t="s">
        <v>847</v>
      </c>
      <c r="G327" t="s">
        <v>848</v>
      </c>
      <c r="H327" s="58" t="s">
        <v>1012</v>
      </c>
      <c r="I327" t="s">
        <v>86</v>
      </c>
      <c r="J327" s="58" t="s">
        <v>86</v>
      </c>
      <c r="K327" t="s">
        <v>1429</v>
      </c>
      <c r="L327" t="s">
        <v>20</v>
      </c>
      <c r="M327" t="s">
        <v>1430</v>
      </c>
      <c r="N327" s="59">
        <v>3570</v>
      </c>
      <c r="O327" s="59">
        <v>17188889.340820313</v>
      </c>
      <c r="P327" s="59">
        <v>0</v>
      </c>
      <c r="Q327" s="59">
        <v>0</v>
      </c>
      <c r="R327" s="59">
        <v>0</v>
      </c>
      <c r="S327" s="59">
        <v>17188889.340820313</v>
      </c>
      <c r="T327" s="41"/>
      <c r="U327" s="41"/>
      <c r="V327" s="41"/>
      <c r="W327" s="41"/>
      <c r="X327" s="41"/>
      <c r="Y327" s="41"/>
      <c r="Z327" s="41"/>
      <c r="AA327" s="41"/>
      <c r="AB327" s="41"/>
      <c r="AC327" s="41"/>
      <c r="AD327" s="41"/>
      <c r="AE327" s="59">
        <v>682.43892003546966</v>
      </c>
      <c r="AF327" s="59">
        <v>682.43892003546966</v>
      </c>
      <c r="AG327" s="59" t="s">
        <v>156</v>
      </c>
      <c r="AH327" s="59" t="s">
        <v>1226</v>
      </c>
    </row>
    <row r="328" spans="1:34" x14ac:dyDescent="0.35">
      <c r="A328" s="58">
        <v>2024</v>
      </c>
      <c r="B328" s="58">
        <v>7</v>
      </c>
      <c r="C328">
        <v>7</v>
      </c>
      <c r="D328" s="58" t="s">
        <v>682</v>
      </c>
      <c r="E328" t="s">
        <v>156</v>
      </c>
      <c r="F328" s="58" t="s">
        <v>1468</v>
      </c>
      <c r="G328" t="s">
        <v>1012</v>
      </c>
      <c r="H328" s="58" t="s">
        <v>1012</v>
      </c>
      <c r="I328" t="s">
        <v>1012</v>
      </c>
      <c r="J328" s="58" t="s">
        <v>1012</v>
      </c>
      <c r="K328" t="s">
        <v>1429</v>
      </c>
      <c r="L328" t="s">
        <v>20</v>
      </c>
      <c r="M328" t="s">
        <v>1430</v>
      </c>
      <c r="N328" s="59">
        <v>0</v>
      </c>
      <c r="O328" s="59">
        <v>44527928</v>
      </c>
      <c r="P328" s="59">
        <v>0</v>
      </c>
      <c r="Q328" s="59">
        <v>0</v>
      </c>
      <c r="R328" s="59">
        <v>0</v>
      </c>
      <c r="S328" s="59">
        <v>44527928</v>
      </c>
      <c r="T328" s="41"/>
      <c r="U328" s="41"/>
      <c r="V328" s="41"/>
      <c r="W328" s="41"/>
      <c r="X328" s="41"/>
      <c r="Y328" s="41"/>
      <c r="Z328" s="41"/>
      <c r="AA328" s="41"/>
      <c r="AB328" s="41"/>
      <c r="AC328" s="41"/>
      <c r="AD328" s="41"/>
      <c r="AE328" s="59">
        <v>1767.8623960637442</v>
      </c>
      <c r="AF328" s="59">
        <v>1767.8623960637442</v>
      </c>
      <c r="AG328" s="59" t="s">
        <v>156</v>
      </c>
      <c r="AH328" s="59" t="s">
        <v>1284</v>
      </c>
    </row>
    <row r="329" spans="1:34" x14ac:dyDescent="0.35">
      <c r="A329" s="58">
        <v>2024</v>
      </c>
      <c r="B329" s="58">
        <v>7</v>
      </c>
      <c r="C329">
        <v>7</v>
      </c>
      <c r="D329" s="58" t="s">
        <v>1502</v>
      </c>
      <c r="E329" t="s">
        <v>1236</v>
      </c>
      <c r="F329" s="58" t="s">
        <v>879</v>
      </c>
      <c r="G329" t="s">
        <v>880</v>
      </c>
      <c r="H329" s="58" t="s">
        <v>1234</v>
      </c>
      <c r="I329" t="s">
        <v>1234</v>
      </c>
      <c r="J329" s="58" t="s">
        <v>1234</v>
      </c>
      <c r="K329" t="s">
        <v>1429</v>
      </c>
      <c r="L329" t="s">
        <v>20</v>
      </c>
      <c r="M329" t="s">
        <v>1430</v>
      </c>
      <c r="N329" s="59">
        <v>180000</v>
      </c>
      <c r="O329" s="59">
        <v>3288000000</v>
      </c>
      <c r="P329" s="59">
        <v>0</v>
      </c>
      <c r="Q329" s="59">
        <v>238800000</v>
      </c>
      <c r="R329" s="59">
        <v>0</v>
      </c>
      <c r="S329" s="59">
        <v>3049200000</v>
      </c>
      <c r="T329" s="41"/>
      <c r="U329" s="41"/>
      <c r="V329" s="41"/>
      <c r="W329" s="41"/>
      <c r="X329" s="41"/>
      <c r="Y329" s="41"/>
      <c r="Z329" s="41"/>
      <c r="AA329" s="41"/>
      <c r="AB329" s="41"/>
      <c r="AC329" s="41"/>
      <c r="AD329" s="41"/>
      <c r="AE329" s="59">
        <v>121060.3380888859</v>
      </c>
      <c r="AF329" s="59">
        <v>130541.25398014458</v>
      </c>
      <c r="AG329" s="59" t="s">
        <v>1236</v>
      </c>
      <c r="AH329" s="59" t="s">
        <v>1235</v>
      </c>
    </row>
    <row r="330" spans="1:34" x14ac:dyDescent="0.35">
      <c r="A330" s="58">
        <v>2024</v>
      </c>
      <c r="B330" s="58">
        <v>7</v>
      </c>
      <c r="C330">
        <v>7</v>
      </c>
      <c r="D330" s="58" t="s">
        <v>1503</v>
      </c>
      <c r="E330" t="s">
        <v>1170</v>
      </c>
      <c r="F330" s="58" t="s">
        <v>171</v>
      </c>
      <c r="G330" t="s">
        <v>731</v>
      </c>
      <c r="H330" s="58" t="s">
        <v>4</v>
      </c>
      <c r="I330" t="s">
        <v>4</v>
      </c>
      <c r="J330" s="58" t="s">
        <v>4</v>
      </c>
      <c r="K330" t="s">
        <v>1429</v>
      </c>
      <c r="L330" t="s">
        <v>20</v>
      </c>
      <c r="M330" t="s">
        <v>1430</v>
      </c>
      <c r="N330" s="59">
        <v>1100</v>
      </c>
      <c r="O330" s="59">
        <v>36400650</v>
      </c>
      <c r="P330" s="59">
        <v>213502.78759398498</v>
      </c>
      <c r="Q330" s="59">
        <v>0</v>
      </c>
      <c r="R330" s="59">
        <v>0</v>
      </c>
      <c r="S330" s="59">
        <v>36187147.212406017</v>
      </c>
      <c r="T330" s="41"/>
      <c r="U330" s="41"/>
      <c r="V330" s="41"/>
      <c r="W330" s="41"/>
      <c r="X330" s="41"/>
      <c r="Y330" s="41"/>
      <c r="Z330" s="41"/>
      <c r="AA330" s="41"/>
      <c r="AB330" s="41"/>
      <c r="AC330" s="41"/>
      <c r="AD330" s="41"/>
      <c r="AE330" s="59">
        <v>1436.7139826860021</v>
      </c>
      <c r="AF330" s="59">
        <v>1445.190540356554</v>
      </c>
      <c r="AG330" s="59" t="s">
        <v>1170</v>
      </c>
      <c r="AH330" s="59" t="s">
        <v>1166</v>
      </c>
    </row>
    <row r="331" spans="1:34" x14ac:dyDescent="0.35">
      <c r="A331" s="58">
        <v>2024</v>
      </c>
      <c r="B331" s="58">
        <v>7</v>
      </c>
      <c r="C331">
        <v>7</v>
      </c>
      <c r="D331" s="58" t="s">
        <v>1469</v>
      </c>
      <c r="E331" t="s">
        <v>1211</v>
      </c>
      <c r="F331" s="58" t="s">
        <v>1472</v>
      </c>
      <c r="G331" t="s">
        <v>1473</v>
      </c>
      <c r="H331" s="58" t="s">
        <v>1012</v>
      </c>
      <c r="I331" t="s">
        <v>86</v>
      </c>
      <c r="J331" s="58" t="s">
        <v>86</v>
      </c>
      <c r="K331" t="s">
        <v>1429</v>
      </c>
      <c r="L331" t="s">
        <v>20</v>
      </c>
      <c r="M331" t="s">
        <v>1430</v>
      </c>
      <c r="N331" s="59">
        <v>5964</v>
      </c>
      <c r="O331" s="59">
        <v>123454800</v>
      </c>
      <c r="P331" s="59">
        <v>0</v>
      </c>
      <c r="Q331" s="59">
        <v>0</v>
      </c>
      <c r="R331" s="59">
        <v>0</v>
      </c>
      <c r="S331" s="59">
        <v>123454800</v>
      </c>
      <c r="T331" s="41"/>
      <c r="U331" s="41"/>
      <c r="V331" s="41"/>
      <c r="W331" s="41"/>
      <c r="X331" s="41"/>
      <c r="Y331" s="41"/>
      <c r="Z331" s="41"/>
      <c r="AA331" s="41"/>
      <c r="AB331" s="41"/>
      <c r="AC331" s="41"/>
      <c r="AD331" s="41"/>
      <c r="AE331" s="59">
        <v>4901.4429446070417</v>
      </c>
      <c r="AF331" s="59">
        <v>4901.4429446070417</v>
      </c>
      <c r="AG331" s="59" t="s">
        <v>1211</v>
      </c>
      <c r="AH331" s="59" t="s">
        <v>1215</v>
      </c>
    </row>
    <row r="332" spans="1:34" x14ac:dyDescent="0.35">
      <c r="A332" s="58">
        <v>2024</v>
      </c>
      <c r="B332" s="58">
        <v>7</v>
      </c>
      <c r="C332">
        <v>7</v>
      </c>
      <c r="D332" s="58" t="s">
        <v>1505</v>
      </c>
      <c r="E332" t="s">
        <v>1216</v>
      </c>
      <c r="F332" s="58" t="s">
        <v>1550</v>
      </c>
      <c r="G332" t="s">
        <v>1551</v>
      </c>
      <c r="H332" s="58" t="s">
        <v>1012</v>
      </c>
      <c r="I332" t="s">
        <v>86</v>
      </c>
      <c r="J332" s="58" t="s">
        <v>86</v>
      </c>
      <c r="K332" t="s">
        <v>1429</v>
      </c>
      <c r="L332" t="s">
        <v>20</v>
      </c>
      <c r="M332" t="s">
        <v>1430</v>
      </c>
      <c r="N332" s="59">
        <v>6424</v>
      </c>
      <c r="O332" s="59">
        <v>122056000</v>
      </c>
      <c r="P332" s="59">
        <v>0</v>
      </c>
      <c r="Q332" s="59">
        <v>0</v>
      </c>
      <c r="R332" s="59">
        <v>0</v>
      </c>
      <c r="S332" s="59">
        <v>122056000</v>
      </c>
      <c r="T332" s="41"/>
      <c r="U332" s="41"/>
      <c r="V332" s="41"/>
      <c r="W332" s="41"/>
      <c r="X332" s="41"/>
      <c r="Y332" s="41"/>
      <c r="Z332" s="41"/>
      <c r="AA332" s="41"/>
      <c r="AB332" s="41"/>
      <c r="AC332" s="41"/>
      <c r="AD332" s="41"/>
      <c r="AE332" s="59">
        <v>4845.9073284064862</v>
      </c>
      <c r="AF332" s="59">
        <v>4845.9073284064862</v>
      </c>
      <c r="AG332" s="59" t="s">
        <v>1216</v>
      </c>
      <c r="AH332" s="59" t="s">
        <v>1227</v>
      </c>
    </row>
    <row r="333" spans="1:34" x14ac:dyDescent="0.35">
      <c r="A333" s="58">
        <v>2024</v>
      </c>
      <c r="B333" s="58">
        <v>7</v>
      </c>
      <c r="C333">
        <v>7</v>
      </c>
      <c r="D333" s="58" t="s">
        <v>595</v>
      </c>
      <c r="E333" t="s">
        <v>478</v>
      </c>
      <c r="F333" s="58" t="s">
        <v>184</v>
      </c>
      <c r="G333" t="s">
        <v>717</v>
      </c>
      <c r="H333" s="58" t="s">
        <v>1428</v>
      </c>
      <c r="I333" t="s">
        <v>75</v>
      </c>
      <c r="J333" s="58" t="s">
        <v>75</v>
      </c>
      <c r="K333" t="s">
        <v>1429</v>
      </c>
      <c r="L333" t="s">
        <v>20</v>
      </c>
      <c r="M333" t="s">
        <v>1430</v>
      </c>
      <c r="N333" s="59">
        <v>66000</v>
      </c>
      <c r="O333" s="59">
        <v>2316204000</v>
      </c>
      <c r="P333" s="59">
        <v>0</v>
      </c>
      <c r="Q333" s="59">
        <v>0</v>
      </c>
      <c r="R333" s="59">
        <v>0</v>
      </c>
      <c r="S333" s="59">
        <v>2316204000</v>
      </c>
      <c r="T333" s="41"/>
      <c r="U333" s="41"/>
      <c r="V333" s="41"/>
      <c r="W333" s="41"/>
      <c r="X333" s="41"/>
      <c r="Y333" s="41"/>
      <c r="Z333" s="41"/>
      <c r="AA333" s="41"/>
      <c r="AB333" s="41"/>
      <c r="AC333" s="41"/>
      <c r="AD333" s="41"/>
      <c r="AE333" s="59">
        <v>91958.690582064126</v>
      </c>
      <c r="AF333" s="59">
        <v>91958.690582064126</v>
      </c>
      <c r="AG333" s="59" t="s">
        <v>5</v>
      </c>
      <c r="AH333" s="59" t="s">
        <v>1198</v>
      </c>
    </row>
    <row r="334" spans="1:34" x14ac:dyDescent="0.35">
      <c r="A334" s="58">
        <v>2024</v>
      </c>
      <c r="B334" s="58">
        <v>7</v>
      </c>
      <c r="C334">
        <v>7</v>
      </c>
      <c r="D334" s="58" t="s">
        <v>595</v>
      </c>
      <c r="E334" t="s">
        <v>478</v>
      </c>
      <c r="F334" s="58" t="s">
        <v>171</v>
      </c>
      <c r="G334" t="s">
        <v>731</v>
      </c>
      <c r="H334" s="58" t="s">
        <v>4</v>
      </c>
      <c r="I334" t="s">
        <v>4</v>
      </c>
      <c r="J334" s="58" t="s">
        <v>4</v>
      </c>
      <c r="K334" t="s">
        <v>1429</v>
      </c>
      <c r="L334" t="s">
        <v>20</v>
      </c>
      <c r="M334" t="s">
        <v>1430</v>
      </c>
      <c r="N334" s="59">
        <v>11000</v>
      </c>
      <c r="O334" s="59">
        <v>357423000</v>
      </c>
      <c r="P334" s="59">
        <v>1067513.9379699249</v>
      </c>
      <c r="Q334" s="59">
        <v>0</v>
      </c>
      <c r="R334" s="59">
        <v>0</v>
      </c>
      <c r="S334" s="59">
        <v>356355486.06203008</v>
      </c>
      <c r="T334" s="41"/>
      <c r="U334" s="41"/>
      <c r="V334" s="41"/>
      <c r="W334" s="41"/>
      <c r="X334" s="41"/>
      <c r="Y334" s="41"/>
      <c r="Z334" s="41"/>
      <c r="AA334" s="41"/>
      <c r="AB334" s="41"/>
      <c r="AC334" s="41"/>
      <c r="AD334" s="41"/>
      <c r="AE334" s="59">
        <v>14148.142339793594</v>
      </c>
      <c r="AF334" s="59">
        <v>14190.525128146355</v>
      </c>
      <c r="AG334" s="59" t="s">
        <v>5</v>
      </c>
      <c r="AH334" s="59" t="s">
        <v>1166</v>
      </c>
    </row>
    <row r="335" spans="1:34" x14ac:dyDescent="0.35">
      <c r="A335" s="58">
        <v>2024</v>
      </c>
      <c r="B335" s="58">
        <v>7</v>
      </c>
      <c r="C335">
        <v>7</v>
      </c>
      <c r="D335" s="58" t="s">
        <v>595</v>
      </c>
      <c r="E335" t="s">
        <v>478</v>
      </c>
      <c r="F335" s="58" t="s">
        <v>188</v>
      </c>
      <c r="G335" t="s">
        <v>872</v>
      </c>
      <c r="H335" s="58" t="s">
        <v>1428</v>
      </c>
      <c r="I335" t="s">
        <v>75</v>
      </c>
      <c r="J335" s="58" t="s">
        <v>75</v>
      </c>
      <c r="K335" t="s">
        <v>1429</v>
      </c>
      <c r="L335" t="s">
        <v>20</v>
      </c>
      <c r="M335" t="s">
        <v>1430</v>
      </c>
      <c r="N335" s="59">
        <v>11000</v>
      </c>
      <c r="O335" s="59">
        <v>372306000</v>
      </c>
      <c r="P335" s="59">
        <v>1067513.9379699249</v>
      </c>
      <c r="Q335" s="59">
        <v>0</v>
      </c>
      <c r="R335" s="59">
        <v>0</v>
      </c>
      <c r="S335" s="59">
        <v>371238486.06203008</v>
      </c>
      <c r="T335" s="41"/>
      <c r="U335" s="41"/>
      <c r="V335" s="41"/>
      <c r="W335" s="41"/>
      <c r="X335" s="41"/>
      <c r="Y335" s="41"/>
      <c r="Z335" s="41"/>
      <c r="AA335" s="41"/>
      <c r="AB335" s="41"/>
      <c r="AC335" s="41"/>
      <c r="AD335" s="41"/>
      <c r="AE335" s="59">
        <v>14739.032085227442</v>
      </c>
      <c r="AF335" s="59">
        <v>14781.414873580203</v>
      </c>
      <c r="AG335" s="59" t="s">
        <v>5</v>
      </c>
      <c r="AH335" s="59" t="s">
        <v>1204</v>
      </c>
    </row>
    <row r="336" spans="1:34" x14ac:dyDescent="0.35">
      <c r="A336" s="58">
        <v>2024</v>
      </c>
      <c r="B336" s="58">
        <v>7</v>
      </c>
      <c r="C336">
        <v>7</v>
      </c>
      <c r="D336" s="58" t="s">
        <v>1518</v>
      </c>
      <c r="E336" t="s">
        <v>1172</v>
      </c>
      <c r="F336" s="58" t="s">
        <v>171</v>
      </c>
      <c r="G336" t="s">
        <v>731</v>
      </c>
      <c r="H336" s="58" t="s">
        <v>4</v>
      </c>
      <c r="I336" t="s">
        <v>4</v>
      </c>
      <c r="J336" s="58" t="s">
        <v>4</v>
      </c>
      <c r="K336" t="s">
        <v>1429</v>
      </c>
      <c r="L336" t="s">
        <v>20</v>
      </c>
      <c r="M336" t="s">
        <v>1430</v>
      </c>
      <c r="N336" s="59">
        <v>200</v>
      </c>
      <c r="O336" s="59">
        <v>6640000</v>
      </c>
      <c r="P336" s="59">
        <v>0</v>
      </c>
      <c r="Q336" s="59">
        <v>0</v>
      </c>
      <c r="R336" s="59">
        <v>0</v>
      </c>
      <c r="S336" s="59">
        <v>6640000</v>
      </c>
      <c r="T336" s="41"/>
      <c r="U336" s="41"/>
      <c r="V336" s="41"/>
      <c r="W336" s="41"/>
      <c r="X336" s="41"/>
      <c r="Y336" s="41"/>
      <c r="Z336" s="41"/>
      <c r="AA336" s="41"/>
      <c r="AB336" s="41"/>
      <c r="AC336" s="41"/>
      <c r="AD336" s="41"/>
      <c r="AE336" s="59">
        <v>263.62345694287103</v>
      </c>
      <c r="AF336" s="59">
        <v>263.62345694287103</v>
      </c>
      <c r="AG336" s="59" t="s">
        <v>1172</v>
      </c>
      <c r="AH336" s="59" t="s">
        <v>1166</v>
      </c>
    </row>
    <row r="337" spans="1:34" x14ac:dyDescent="0.35">
      <c r="A337" s="58">
        <v>2024</v>
      </c>
      <c r="B337" s="58">
        <v>7</v>
      </c>
      <c r="C337">
        <v>7</v>
      </c>
      <c r="D337" s="58" t="s">
        <v>1518</v>
      </c>
      <c r="E337" t="s">
        <v>1172</v>
      </c>
      <c r="F337" s="58" t="s">
        <v>784</v>
      </c>
      <c r="G337" t="s">
        <v>785</v>
      </c>
      <c r="H337" s="58" t="s">
        <v>4</v>
      </c>
      <c r="I337" t="s">
        <v>4</v>
      </c>
      <c r="J337" s="58" t="s">
        <v>4</v>
      </c>
      <c r="K337" t="s">
        <v>1429</v>
      </c>
      <c r="L337" t="s">
        <v>20</v>
      </c>
      <c r="M337" t="s">
        <v>1430</v>
      </c>
      <c r="N337" s="59">
        <v>300</v>
      </c>
      <c r="O337" s="59">
        <v>9551400</v>
      </c>
      <c r="P337" s="59">
        <v>213502.78759398498</v>
      </c>
      <c r="Q337" s="59">
        <v>0</v>
      </c>
      <c r="R337" s="59">
        <v>0</v>
      </c>
      <c r="S337" s="59">
        <v>9337897.212406015</v>
      </c>
      <c r="T337" s="41"/>
      <c r="U337" s="41"/>
      <c r="V337" s="41"/>
      <c r="W337" s="41"/>
      <c r="X337" s="41"/>
      <c r="Y337" s="41"/>
      <c r="Z337" s="41"/>
      <c r="AA337" s="41"/>
      <c r="AB337" s="41"/>
      <c r="AC337" s="41"/>
      <c r="AD337" s="41"/>
      <c r="AE337" s="59">
        <v>370.73625658308322</v>
      </c>
      <c r="AF337" s="59">
        <v>379.21281425363532</v>
      </c>
      <c r="AG337" s="59" t="s">
        <v>1172</v>
      </c>
      <c r="AH337" s="59" t="s">
        <v>1186</v>
      </c>
    </row>
    <row r="338" spans="1:34" x14ac:dyDescent="0.35">
      <c r="A338" s="58">
        <v>2024</v>
      </c>
      <c r="B338" s="58">
        <v>7</v>
      </c>
      <c r="C338">
        <v>7</v>
      </c>
      <c r="D338" s="58" t="s">
        <v>606</v>
      </c>
      <c r="E338" t="s">
        <v>325</v>
      </c>
      <c r="F338" s="58" t="s">
        <v>168</v>
      </c>
      <c r="G338" t="s">
        <v>700</v>
      </c>
      <c r="H338" s="58" t="s">
        <v>4</v>
      </c>
      <c r="I338" t="s">
        <v>4</v>
      </c>
      <c r="J338" s="58" t="s">
        <v>4</v>
      </c>
      <c r="K338" t="s">
        <v>1429</v>
      </c>
      <c r="L338" t="s">
        <v>20</v>
      </c>
      <c r="M338" t="s">
        <v>1430</v>
      </c>
      <c r="N338" s="59">
        <v>22000</v>
      </c>
      <c r="O338" s="59">
        <v>794002000</v>
      </c>
      <c r="P338" s="59">
        <v>4270055.7518796995</v>
      </c>
      <c r="Q338" s="59">
        <v>0</v>
      </c>
      <c r="R338" s="59">
        <v>3080000</v>
      </c>
      <c r="S338" s="59">
        <v>781117404.24812031</v>
      </c>
      <c r="T338" s="41"/>
      <c r="U338" s="41"/>
      <c r="V338" s="41"/>
      <c r="W338" s="41"/>
      <c r="X338" s="41"/>
      <c r="Y338" s="41"/>
      <c r="Z338" s="41"/>
      <c r="AA338" s="41"/>
      <c r="AB338" s="41"/>
      <c r="AC338" s="41"/>
      <c r="AD338" s="41"/>
      <c r="AE338" s="59">
        <v>31012.179275019811</v>
      </c>
      <c r="AF338" s="59">
        <v>31523.727719812272</v>
      </c>
      <c r="AG338" s="59" t="s">
        <v>8</v>
      </c>
      <c r="AH338" s="59" t="s">
        <v>1160</v>
      </c>
    </row>
    <row r="339" spans="1:34" x14ac:dyDescent="0.35">
      <c r="A339" s="58">
        <v>2024</v>
      </c>
      <c r="B339" s="58">
        <v>7</v>
      </c>
      <c r="C339">
        <v>7</v>
      </c>
      <c r="D339" s="58" t="s">
        <v>606</v>
      </c>
      <c r="E339" t="s">
        <v>325</v>
      </c>
      <c r="F339" s="58" t="s">
        <v>172</v>
      </c>
      <c r="G339" t="s">
        <v>734</v>
      </c>
      <c r="H339" s="58" t="s">
        <v>4</v>
      </c>
      <c r="I339" t="s">
        <v>4</v>
      </c>
      <c r="J339" s="58" t="s">
        <v>4</v>
      </c>
      <c r="K339" t="s">
        <v>1429</v>
      </c>
      <c r="L339" t="s">
        <v>20</v>
      </c>
      <c r="M339" t="s">
        <v>1430</v>
      </c>
      <c r="N339" s="59">
        <v>2200</v>
      </c>
      <c r="O339" s="59">
        <v>78278200</v>
      </c>
      <c r="P339" s="59">
        <v>427005.57518796995</v>
      </c>
      <c r="Q339" s="59">
        <v>0</v>
      </c>
      <c r="R339" s="59">
        <v>0</v>
      </c>
      <c r="S339" s="59">
        <v>77851194.424812034</v>
      </c>
      <c r="T339" s="41"/>
      <c r="U339" s="41"/>
      <c r="V339" s="41"/>
      <c r="W339" s="41"/>
      <c r="X339" s="41"/>
      <c r="Y339" s="41"/>
      <c r="Z339" s="41"/>
      <c r="AA339" s="41"/>
      <c r="AB339" s="41"/>
      <c r="AC339" s="41"/>
      <c r="AD339" s="41"/>
      <c r="AE339" s="59">
        <v>3090.8736447892347</v>
      </c>
      <c r="AF339" s="59">
        <v>3107.8267601303387</v>
      </c>
      <c r="AG339" s="59" t="s">
        <v>8</v>
      </c>
      <c r="AH339" s="59" t="s">
        <v>1175</v>
      </c>
    </row>
    <row r="340" spans="1:34" x14ac:dyDescent="0.35">
      <c r="A340" s="58">
        <v>2024</v>
      </c>
      <c r="B340" s="58">
        <v>7</v>
      </c>
      <c r="C340">
        <v>7</v>
      </c>
      <c r="D340" s="58" t="s">
        <v>606</v>
      </c>
      <c r="E340" t="s">
        <v>325</v>
      </c>
      <c r="F340" s="58" t="s">
        <v>1535</v>
      </c>
      <c r="G340" t="s">
        <v>1536</v>
      </c>
      <c r="H340" s="58" t="s">
        <v>1012</v>
      </c>
      <c r="I340" t="s">
        <v>1012</v>
      </c>
      <c r="J340" s="58" t="s">
        <v>1012</v>
      </c>
      <c r="K340" t="s">
        <v>1429</v>
      </c>
      <c r="L340" t="s">
        <v>20</v>
      </c>
      <c r="M340" t="s">
        <v>1430</v>
      </c>
      <c r="N340" s="59">
        <v>0</v>
      </c>
      <c r="O340" s="59">
        <v>0</v>
      </c>
      <c r="P340" s="59">
        <v>0</v>
      </c>
      <c r="Q340" s="59">
        <v>0</v>
      </c>
      <c r="R340" s="59">
        <v>0</v>
      </c>
      <c r="S340" s="59">
        <v>5534540</v>
      </c>
      <c r="T340" s="41"/>
      <c r="U340" s="41"/>
      <c r="V340" s="41"/>
      <c r="W340" s="41"/>
      <c r="X340" s="41"/>
      <c r="Y340" s="41"/>
      <c r="Z340" s="41"/>
      <c r="AA340" s="41"/>
      <c r="AB340" s="41"/>
      <c r="AC340" s="41"/>
      <c r="AD340" s="41"/>
      <c r="AE340" s="59">
        <v>219.7341215946683</v>
      </c>
      <c r="AF340" s="59">
        <v>0</v>
      </c>
      <c r="AG340" s="59" t="s">
        <v>8</v>
      </c>
      <c r="AH340" s="59" t="s">
        <v>1270</v>
      </c>
    </row>
    <row r="341" spans="1:34" x14ac:dyDescent="0.35">
      <c r="A341" s="58">
        <v>2024</v>
      </c>
      <c r="B341" s="58">
        <v>7</v>
      </c>
      <c r="C341">
        <v>7</v>
      </c>
      <c r="D341" s="58" t="s">
        <v>634</v>
      </c>
      <c r="E341" t="s">
        <v>148</v>
      </c>
      <c r="F341" s="58" t="s">
        <v>182</v>
      </c>
      <c r="G341" t="s">
        <v>905</v>
      </c>
      <c r="H341" s="58" t="s">
        <v>74</v>
      </c>
      <c r="I341" t="s">
        <v>74</v>
      </c>
      <c r="J341" s="58" t="s">
        <v>74</v>
      </c>
      <c r="K341" t="s">
        <v>1429</v>
      </c>
      <c r="L341" t="s">
        <v>20</v>
      </c>
      <c r="M341" t="s">
        <v>1431</v>
      </c>
      <c r="N341" s="59">
        <v>-8800</v>
      </c>
      <c r="O341" s="59">
        <v>0</v>
      </c>
      <c r="P341" s="59">
        <v>0</v>
      </c>
      <c r="Q341" s="59">
        <v>0</v>
      </c>
      <c r="R341" s="59">
        <v>0</v>
      </c>
      <c r="S341" s="59">
        <v>0</v>
      </c>
      <c r="T341" s="41"/>
      <c r="U341" s="41"/>
      <c r="V341" s="41"/>
      <c r="W341" s="41"/>
      <c r="X341" s="41"/>
      <c r="Y341" s="41"/>
      <c r="Z341" s="41"/>
      <c r="AA341" s="41"/>
      <c r="AB341" s="41"/>
      <c r="AC341" s="41"/>
      <c r="AD341" s="41"/>
      <c r="AE341" s="59">
        <v>0</v>
      </c>
      <c r="AF341" s="59">
        <v>0</v>
      </c>
      <c r="AG341" s="59" t="s">
        <v>148</v>
      </c>
      <c r="AH341" s="59" t="s">
        <v>1242</v>
      </c>
    </row>
    <row r="342" spans="1:34" x14ac:dyDescent="0.35">
      <c r="A342" s="58">
        <v>2024</v>
      </c>
      <c r="B342" s="58">
        <v>7</v>
      </c>
      <c r="C342">
        <v>7</v>
      </c>
      <c r="D342" s="58" t="s">
        <v>634</v>
      </c>
      <c r="E342" t="s">
        <v>148</v>
      </c>
      <c r="F342" s="58" t="s">
        <v>182</v>
      </c>
      <c r="G342" t="s">
        <v>905</v>
      </c>
      <c r="H342" s="58" t="s">
        <v>74</v>
      </c>
      <c r="I342" t="s">
        <v>74</v>
      </c>
      <c r="J342" s="58" t="s">
        <v>74</v>
      </c>
      <c r="K342" t="s">
        <v>1429</v>
      </c>
      <c r="L342" t="s">
        <v>20</v>
      </c>
      <c r="M342" t="s">
        <v>1432</v>
      </c>
      <c r="N342" s="59">
        <v>8800</v>
      </c>
      <c r="O342" s="59">
        <v>0</v>
      </c>
      <c r="P342" s="59">
        <v>0</v>
      </c>
      <c r="Q342" s="59">
        <v>0</v>
      </c>
      <c r="R342" s="59">
        <v>0</v>
      </c>
      <c r="S342" s="59">
        <v>0</v>
      </c>
      <c r="T342" s="41"/>
      <c r="U342" s="41"/>
      <c r="V342" s="41"/>
      <c r="W342" s="41"/>
      <c r="X342" s="41"/>
      <c r="Y342" s="41"/>
      <c r="Z342" s="41"/>
      <c r="AA342" s="41"/>
      <c r="AB342" s="41"/>
      <c r="AC342" s="41"/>
      <c r="AD342" s="41"/>
      <c r="AE342" s="59">
        <v>0</v>
      </c>
      <c r="AF342" s="59">
        <v>0</v>
      </c>
      <c r="AG342" s="59" t="s">
        <v>148</v>
      </c>
      <c r="AH342" s="59" t="s">
        <v>1242</v>
      </c>
    </row>
    <row r="343" spans="1:34" x14ac:dyDescent="0.35">
      <c r="A343" s="58">
        <v>2024</v>
      </c>
      <c r="B343" s="58">
        <v>7</v>
      </c>
      <c r="C343">
        <v>7</v>
      </c>
      <c r="D343" s="58" t="s">
        <v>1538</v>
      </c>
      <c r="E343" t="s">
        <v>1244</v>
      </c>
      <c r="F343" s="58" t="s">
        <v>182</v>
      </c>
      <c r="G343" t="s">
        <v>905</v>
      </c>
      <c r="H343" s="58" t="s">
        <v>74</v>
      </c>
      <c r="I343" t="s">
        <v>74</v>
      </c>
      <c r="J343" s="58" t="s">
        <v>74</v>
      </c>
      <c r="K343" t="s">
        <v>1429</v>
      </c>
      <c r="L343" t="s">
        <v>20</v>
      </c>
      <c r="M343" t="s">
        <v>1430</v>
      </c>
      <c r="N343" s="59">
        <v>165000</v>
      </c>
      <c r="O343" s="59">
        <v>2722500000</v>
      </c>
      <c r="P343" s="59">
        <v>32025418.139097743</v>
      </c>
      <c r="Q343" s="59">
        <v>0</v>
      </c>
      <c r="R343" s="59">
        <v>0</v>
      </c>
      <c r="S343" s="59">
        <v>2690474581.8609023</v>
      </c>
      <c r="T343" s="41"/>
      <c r="U343" s="41"/>
      <c r="V343" s="41"/>
      <c r="W343" s="41"/>
      <c r="X343" s="41"/>
      <c r="Y343" s="41"/>
      <c r="Z343" s="41"/>
      <c r="AA343" s="41"/>
      <c r="AB343" s="41"/>
      <c r="AC343" s="41"/>
      <c r="AD343" s="41"/>
      <c r="AE343" s="59">
        <v>106818.1039287796</v>
      </c>
      <c r="AF343" s="59">
        <v>108089.58757936239</v>
      </c>
      <c r="AG343" s="59" t="s">
        <v>1244</v>
      </c>
      <c r="AH343" s="59" t="s">
        <v>1242</v>
      </c>
    </row>
    <row r="344" spans="1:34" x14ac:dyDescent="0.35">
      <c r="A344" s="58">
        <v>2024</v>
      </c>
      <c r="B344" s="58">
        <v>7</v>
      </c>
      <c r="C344">
        <v>7</v>
      </c>
      <c r="D344" s="58" t="s">
        <v>596</v>
      </c>
      <c r="E344" t="s">
        <v>266</v>
      </c>
      <c r="F344" s="58" t="s">
        <v>171</v>
      </c>
      <c r="G344" t="s">
        <v>731</v>
      </c>
      <c r="H344" s="58" t="s">
        <v>4</v>
      </c>
      <c r="I344" t="s">
        <v>4</v>
      </c>
      <c r="J344" s="58" t="s">
        <v>4</v>
      </c>
      <c r="K344" t="s">
        <v>1429</v>
      </c>
      <c r="L344" t="s">
        <v>20</v>
      </c>
      <c r="M344" t="s">
        <v>1430</v>
      </c>
      <c r="N344" s="59">
        <v>67100</v>
      </c>
      <c r="O344" s="59">
        <v>2170014000</v>
      </c>
      <c r="P344" s="59">
        <v>13023670.043233084</v>
      </c>
      <c r="Q344" s="59">
        <v>0</v>
      </c>
      <c r="R344" s="59">
        <v>0</v>
      </c>
      <c r="S344" s="59">
        <v>2156990329.9567671</v>
      </c>
      <c r="T344" s="41"/>
      <c r="U344" s="41"/>
      <c r="V344" s="41"/>
      <c r="W344" s="41"/>
      <c r="X344" s="41"/>
      <c r="Y344" s="41"/>
      <c r="Z344" s="41"/>
      <c r="AA344" s="41"/>
      <c r="AB344" s="41"/>
      <c r="AC344" s="41"/>
      <c r="AD344" s="41"/>
      <c r="AE344" s="59">
        <v>85637.537255353454</v>
      </c>
      <c r="AF344" s="59">
        <v>86154.607273257134</v>
      </c>
      <c r="AG344" s="59" t="s">
        <v>100</v>
      </c>
      <c r="AH344" s="59" t="s">
        <v>1166</v>
      </c>
    </row>
    <row r="345" spans="1:34" x14ac:dyDescent="0.35">
      <c r="A345" s="58">
        <v>2024</v>
      </c>
      <c r="B345" s="58">
        <v>7</v>
      </c>
      <c r="C345">
        <v>7</v>
      </c>
      <c r="D345" s="58" t="s">
        <v>610</v>
      </c>
      <c r="E345" t="s">
        <v>44</v>
      </c>
      <c r="F345" s="58" t="s">
        <v>184</v>
      </c>
      <c r="G345" t="s">
        <v>717</v>
      </c>
      <c r="H345" s="58" t="s">
        <v>1428</v>
      </c>
      <c r="I345" t="s">
        <v>75</v>
      </c>
      <c r="J345" s="58" t="s">
        <v>75</v>
      </c>
      <c r="K345" t="s">
        <v>1429</v>
      </c>
      <c r="L345" t="s">
        <v>20</v>
      </c>
      <c r="M345" t="s">
        <v>1430</v>
      </c>
      <c r="N345" s="59">
        <v>22000</v>
      </c>
      <c r="O345" s="59">
        <v>756280800</v>
      </c>
      <c r="P345" s="59">
        <v>0</v>
      </c>
      <c r="Q345" s="59">
        <v>0</v>
      </c>
      <c r="R345" s="59">
        <v>0</v>
      </c>
      <c r="S345" s="59">
        <v>756280800</v>
      </c>
      <c r="T345" s="41"/>
      <c r="U345" s="41"/>
      <c r="V345" s="41"/>
      <c r="W345" s="41"/>
      <c r="X345" s="41"/>
      <c r="Y345" s="41"/>
      <c r="Z345" s="41"/>
      <c r="AA345" s="41"/>
      <c r="AB345" s="41"/>
      <c r="AC345" s="41"/>
      <c r="AD345" s="41"/>
      <c r="AE345" s="59">
        <v>30026.108270409648</v>
      </c>
      <c r="AF345" s="59">
        <v>30026.108270409648</v>
      </c>
      <c r="AG345" s="59" t="s">
        <v>44</v>
      </c>
      <c r="AH345" s="59" t="s">
        <v>1198</v>
      </c>
    </row>
    <row r="346" spans="1:34" x14ac:dyDescent="0.35">
      <c r="A346" s="58">
        <v>2024</v>
      </c>
      <c r="B346" s="58">
        <v>7</v>
      </c>
      <c r="C346">
        <v>7</v>
      </c>
      <c r="D346" s="58" t="s">
        <v>1552</v>
      </c>
      <c r="E346" t="s">
        <v>1253</v>
      </c>
      <c r="F346" s="58" t="s">
        <v>198</v>
      </c>
      <c r="G346" t="s">
        <v>755</v>
      </c>
      <c r="H346" s="58" t="s">
        <v>1428</v>
      </c>
      <c r="I346" t="s">
        <v>76</v>
      </c>
      <c r="J346" s="58" t="s">
        <v>76</v>
      </c>
      <c r="K346" t="s">
        <v>1429</v>
      </c>
      <c r="L346" t="s">
        <v>20</v>
      </c>
      <c r="M346" t="s">
        <v>1430</v>
      </c>
      <c r="N346" s="59">
        <v>50</v>
      </c>
      <c r="O346" s="59">
        <v>1668350</v>
      </c>
      <c r="P346" s="59">
        <v>0</v>
      </c>
      <c r="Q346" s="59">
        <v>0</v>
      </c>
      <c r="R346" s="59">
        <v>0</v>
      </c>
      <c r="S346" s="59">
        <v>1668350</v>
      </c>
      <c r="T346" s="41"/>
      <c r="U346" s="41"/>
      <c r="V346" s="41"/>
      <c r="W346" s="41"/>
      <c r="X346" s="41"/>
      <c r="Y346" s="41"/>
      <c r="Z346" s="41"/>
      <c r="AA346" s="41"/>
      <c r="AB346" s="41"/>
      <c r="AC346" s="41"/>
      <c r="AD346" s="41"/>
      <c r="AE346" s="59">
        <v>66.237378673288987</v>
      </c>
      <c r="AF346" s="59">
        <v>66.237378673288987</v>
      </c>
      <c r="AG346" s="59" t="s">
        <v>1253</v>
      </c>
      <c r="AH346" s="59" t="s">
        <v>1250</v>
      </c>
    </row>
    <row r="347" spans="1:34" x14ac:dyDescent="0.35">
      <c r="A347" s="58">
        <v>2024</v>
      </c>
      <c r="B347" s="58">
        <v>7</v>
      </c>
      <c r="C347">
        <v>7</v>
      </c>
      <c r="D347" s="58" t="s">
        <v>1553</v>
      </c>
      <c r="E347" t="s">
        <v>1184</v>
      </c>
      <c r="F347" s="58" t="s">
        <v>173</v>
      </c>
      <c r="G347" t="s">
        <v>737</v>
      </c>
      <c r="H347" s="58" t="s">
        <v>4</v>
      </c>
      <c r="I347" t="s">
        <v>4</v>
      </c>
      <c r="J347" s="58" t="s">
        <v>4</v>
      </c>
      <c r="K347" t="s">
        <v>1429</v>
      </c>
      <c r="L347" t="s">
        <v>20</v>
      </c>
      <c r="M347" t="s">
        <v>1430</v>
      </c>
      <c r="N347" s="59">
        <v>500</v>
      </c>
      <c r="O347" s="59">
        <v>16198326</v>
      </c>
      <c r="P347" s="59">
        <v>213502.78759398498</v>
      </c>
      <c r="Q347" s="59">
        <v>0</v>
      </c>
      <c r="R347" s="59">
        <v>0</v>
      </c>
      <c r="S347" s="59">
        <v>15984823.212406015</v>
      </c>
      <c r="T347" s="41"/>
      <c r="U347" s="41"/>
      <c r="V347" s="41"/>
      <c r="W347" s="41"/>
      <c r="X347" s="41"/>
      <c r="Y347" s="41"/>
      <c r="Z347" s="41"/>
      <c r="AA347" s="41"/>
      <c r="AB347" s="41"/>
      <c r="AC347" s="41"/>
      <c r="AD347" s="41"/>
      <c r="AE347" s="59">
        <v>634.63469184866301</v>
      </c>
      <c r="AF347" s="59">
        <v>643.11124951921511</v>
      </c>
      <c r="AG347" s="59" t="s">
        <v>1184</v>
      </c>
      <c r="AH347" s="59" t="s">
        <v>1183</v>
      </c>
    </row>
    <row r="348" spans="1:34" x14ac:dyDescent="0.35">
      <c r="A348" s="58">
        <v>2024</v>
      </c>
      <c r="B348" s="58">
        <v>7</v>
      </c>
      <c r="C348">
        <v>7</v>
      </c>
      <c r="D348" s="58" t="s">
        <v>1554</v>
      </c>
      <c r="E348" t="s">
        <v>1257</v>
      </c>
      <c r="F348" s="58" t="s">
        <v>200</v>
      </c>
      <c r="G348" t="s">
        <v>470</v>
      </c>
      <c r="H348" s="58" t="s">
        <v>1428</v>
      </c>
      <c r="I348" t="s">
        <v>76</v>
      </c>
      <c r="J348" s="58" t="s">
        <v>76</v>
      </c>
      <c r="K348" t="s">
        <v>1429</v>
      </c>
      <c r="L348" t="s">
        <v>20</v>
      </c>
      <c r="M348" t="s">
        <v>1430</v>
      </c>
      <c r="N348" s="59">
        <v>2250</v>
      </c>
      <c r="O348" s="59">
        <v>50400000</v>
      </c>
      <c r="P348" s="59">
        <v>640508.36278195493</v>
      </c>
      <c r="Q348" s="59">
        <v>0</v>
      </c>
      <c r="R348" s="59">
        <v>0</v>
      </c>
      <c r="S348" s="59">
        <v>49759491.637218043</v>
      </c>
      <c r="T348" s="41"/>
      <c r="U348" s="41"/>
      <c r="V348" s="41"/>
      <c r="W348" s="41"/>
      <c r="X348" s="41"/>
      <c r="Y348" s="41"/>
      <c r="Z348" s="41"/>
      <c r="AA348" s="41"/>
      <c r="AB348" s="41"/>
      <c r="AC348" s="41"/>
      <c r="AD348" s="41"/>
      <c r="AE348" s="59">
        <v>1975.5676507715816</v>
      </c>
      <c r="AF348" s="59">
        <v>2000.997323783238</v>
      </c>
      <c r="AG348" s="59" t="s">
        <v>1257</v>
      </c>
      <c r="AH348" s="59" t="s">
        <v>79</v>
      </c>
    </row>
    <row r="349" spans="1:34" x14ac:dyDescent="0.35">
      <c r="A349" s="58">
        <v>2024</v>
      </c>
      <c r="B349" s="58">
        <v>7</v>
      </c>
      <c r="C349">
        <v>7</v>
      </c>
      <c r="D349" s="58" t="s">
        <v>587</v>
      </c>
      <c r="E349" t="s">
        <v>6</v>
      </c>
      <c r="F349" s="58" t="s">
        <v>171</v>
      </c>
      <c r="G349" t="s">
        <v>731</v>
      </c>
      <c r="H349" s="58" t="s">
        <v>4</v>
      </c>
      <c r="I349" t="s">
        <v>4</v>
      </c>
      <c r="J349" s="58" t="s">
        <v>4</v>
      </c>
      <c r="K349" t="s">
        <v>1476</v>
      </c>
      <c r="L349" t="s">
        <v>1509</v>
      </c>
      <c r="M349" t="s">
        <v>1430</v>
      </c>
      <c r="N349" s="59">
        <v>110000</v>
      </c>
      <c r="O349" s="59">
        <v>3338141730</v>
      </c>
      <c r="P349" s="59">
        <v>8572920.5588822346</v>
      </c>
      <c r="Q349" s="59">
        <v>50072125.949999996</v>
      </c>
      <c r="R349" s="59">
        <v>45492158</v>
      </c>
      <c r="S349" s="59">
        <v>3234004525.4911175</v>
      </c>
      <c r="T349" s="41"/>
      <c r="U349" s="41"/>
      <c r="V349" s="41"/>
      <c r="W349" s="41"/>
      <c r="X349" s="41"/>
      <c r="Y349" s="41"/>
      <c r="Z349" s="41"/>
      <c r="AA349" s="41"/>
      <c r="AB349" s="41"/>
      <c r="AC349" s="41"/>
      <c r="AD349" s="41"/>
      <c r="AE349" s="59">
        <v>127978.01842070112</v>
      </c>
      <c r="AF349" s="59">
        <v>132099</v>
      </c>
      <c r="AG349" s="59" t="s">
        <v>6</v>
      </c>
      <c r="AH349" s="59" t="s">
        <v>1166</v>
      </c>
    </row>
    <row r="350" spans="1:34" x14ac:dyDescent="0.35">
      <c r="A350" s="58">
        <v>2024</v>
      </c>
      <c r="B350" s="58">
        <v>7</v>
      </c>
      <c r="C350">
        <v>7</v>
      </c>
      <c r="D350" s="58" t="s">
        <v>587</v>
      </c>
      <c r="E350" t="s">
        <v>6</v>
      </c>
      <c r="F350" s="58" t="s">
        <v>171</v>
      </c>
      <c r="G350" t="s">
        <v>731</v>
      </c>
      <c r="H350" s="58" t="s">
        <v>4</v>
      </c>
      <c r="I350" t="s">
        <v>4</v>
      </c>
      <c r="J350" s="58" t="s">
        <v>4</v>
      </c>
      <c r="K350" t="s">
        <v>1476</v>
      </c>
      <c r="L350" t="s">
        <v>1477</v>
      </c>
      <c r="M350" t="s">
        <v>1430</v>
      </c>
      <c r="N350" s="59">
        <v>726000</v>
      </c>
      <c r="O350" s="59">
        <v>22009849054</v>
      </c>
      <c r="P350" s="59">
        <v>56581275.688622795</v>
      </c>
      <c r="Q350" s="59">
        <v>330147735.81</v>
      </c>
      <c r="R350" s="59">
        <v>285148695</v>
      </c>
      <c r="S350" s="59">
        <v>21337971347.501373</v>
      </c>
      <c r="T350" s="41"/>
      <c r="U350" s="41"/>
      <c r="V350" s="41"/>
      <c r="W350" s="41"/>
      <c r="X350" s="41"/>
      <c r="Y350" s="41"/>
      <c r="Z350" s="41"/>
      <c r="AA350" s="41"/>
      <c r="AB350" s="41"/>
      <c r="AC350" s="41"/>
      <c r="AD350" s="41"/>
      <c r="AE350" s="59">
        <v>847312.63317283464</v>
      </c>
      <c r="AF350" s="59">
        <v>873991.87996814051</v>
      </c>
      <c r="AG350" s="59" t="s">
        <v>6</v>
      </c>
      <c r="AH350" s="59" t="s">
        <v>1166</v>
      </c>
    </row>
    <row r="351" spans="1:34" x14ac:dyDescent="0.35">
      <c r="A351" s="58">
        <v>2024</v>
      </c>
      <c r="B351" s="58">
        <v>7</v>
      </c>
      <c r="C351">
        <v>7</v>
      </c>
      <c r="D351" s="58" t="s">
        <v>1527</v>
      </c>
      <c r="E351" t="s">
        <v>1179</v>
      </c>
      <c r="F351" s="58" t="s">
        <v>174</v>
      </c>
      <c r="G351" t="s">
        <v>740</v>
      </c>
      <c r="H351" s="58" t="s">
        <v>4</v>
      </c>
      <c r="I351" t="s">
        <v>4</v>
      </c>
      <c r="J351" s="58" t="s">
        <v>4</v>
      </c>
      <c r="K351" t="s">
        <v>1476</v>
      </c>
      <c r="L351" t="s">
        <v>1528</v>
      </c>
      <c r="M351" t="s">
        <v>1430</v>
      </c>
      <c r="N351" s="59">
        <v>1100</v>
      </c>
      <c r="O351" s="59">
        <v>33158400</v>
      </c>
      <c r="P351" s="59">
        <v>171458.41117764471</v>
      </c>
      <c r="Q351" s="59">
        <v>0</v>
      </c>
      <c r="R351" s="59">
        <v>4065411</v>
      </c>
      <c r="S351" s="59">
        <v>28921530.588822354</v>
      </c>
      <c r="T351" s="41"/>
      <c r="U351" s="41"/>
      <c r="V351" s="41"/>
      <c r="W351" s="41"/>
      <c r="X351" s="41"/>
      <c r="Y351" s="41"/>
      <c r="Z351" s="41"/>
      <c r="AA351" s="41"/>
      <c r="AB351" s="41"/>
      <c r="AC351" s="41"/>
      <c r="AD351" s="41"/>
      <c r="AE351" s="59">
        <v>1151.3348164340109</v>
      </c>
      <c r="AF351" s="59">
        <v>1320</v>
      </c>
      <c r="AG351" s="59" t="s">
        <v>1179</v>
      </c>
      <c r="AH351" s="59" t="s">
        <v>1185</v>
      </c>
    </row>
    <row r="352" spans="1:34" x14ac:dyDescent="0.35">
      <c r="A352" s="58">
        <v>2024</v>
      </c>
      <c r="B352" s="58">
        <v>7</v>
      </c>
      <c r="C352">
        <v>7</v>
      </c>
      <c r="D352" s="58" t="s">
        <v>1108</v>
      </c>
      <c r="E352" t="s">
        <v>153</v>
      </c>
      <c r="F352" s="58" t="s">
        <v>168</v>
      </c>
      <c r="G352" t="s">
        <v>700</v>
      </c>
      <c r="H352" s="58" t="s">
        <v>4</v>
      </c>
      <c r="I352" t="s">
        <v>4</v>
      </c>
      <c r="J352" s="58" t="s">
        <v>4</v>
      </c>
      <c r="K352" t="s">
        <v>1476</v>
      </c>
      <c r="L352" t="s">
        <v>301</v>
      </c>
      <c r="M352" t="s">
        <v>1430</v>
      </c>
      <c r="N352" s="59">
        <v>44000</v>
      </c>
      <c r="O352" s="59">
        <v>1484612800.0000002</v>
      </c>
      <c r="P352" s="59">
        <v>3429168.2235528943</v>
      </c>
      <c r="Q352" s="59">
        <v>0</v>
      </c>
      <c r="R352" s="59">
        <v>20275008</v>
      </c>
      <c r="S352" s="59">
        <v>1460908623.7764473</v>
      </c>
      <c r="T352" s="41"/>
      <c r="U352" s="41"/>
      <c r="V352" s="41"/>
      <c r="W352" s="41"/>
      <c r="X352" s="41"/>
      <c r="Y352" s="41"/>
      <c r="Z352" s="41"/>
      <c r="AA352" s="41"/>
      <c r="AB352" s="41"/>
      <c r="AC352" s="41"/>
      <c r="AD352" s="41"/>
      <c r="AE352" s="59">
        <v>58018.610952202034</v>
      </c>
      <c r="AF352" s="59">
        <v>58960.000000000007</v>
      </c>
      <c r="AG352" s="59" t="s">
        <v>153</v>
      </c>
      <c r="AH352" s="59" t="s">
        <v>1160</v>
      </c>
    </row>
    <row r="353" spans="1:34" x14ac:dyDescent="0.35">
      <c r="A353" s="58">
        <v>2024</v>
      </c>
      <c r="B353" s="58">
        <v>7</v>
      </c>
      <c r="C353">
        <v>7</v>
      </c>
      <c r="D353" s="58" t="s">
        <v>637</v>
      </c>
      <c r="E353" t="s">
        <v>64</v>
      </c>
      <c r="F353" s="58" t="s">
        <v>1482</v>
      </c>
      <c r="G353" t="s">
        <v>1483</v>
      </c>
      <c r="H353" s="58" t="s">
        <v>1012</v>
      </c>
      <c r="I353" t="s">
        <v>1012</v>
      </c>
      <c r="J353" s="58" t="s">
        <v>1012</v>
      </c>
      <c r="K353" t="s">
        <v>1429</v>
      </c>
      <c r="L353" t="s">
        <v>20</v>
      </c>
      <c r="M353" t="s">
        <v>1430</v>
      </c>
      <c r="N353" s="59">
        <v>0</v>
      </c>
      <c r="O353" s="59">
        <v>-5150588</v>
      </c>
      <c r="P353" s="59">
        <v>0</v>
      </c>
      <c r="Q353" s="59">
        <v>0</v>
      </c>
      <c r="R353" s="59">
        <v>0</v>
      </c>
      <c r="S353" s="59">
        <v>-5150588</v>
      </c>
      <c r="T353" s="41"/>
      <c r="U353" s="41"/>
      <c r="V353" s="41"/>
      <c r="W353" s="41"/>
      <c r="X353" s="41"/>
      <c r="Y353" s="41"/>
      <c r="Z353" s="41"/>
      <c r="AA353" s="41"/>
      <c r="AB353" s="41"/>
      <c r="AC353" s="41"/>
      <c r="AD353" s="41"/>
      <c r="AE353" s="59">
        <v>-204.49033341091399</v>
      </c>
      <c r="AF353" s="59">
        <v>-204.49033341091399</v>
      </c>
      <c r="AG353" s="59" t="s">
        <v>64</v>
      </c>
      <c r="AH353" s="59" t="s">
        <v>1325</v>
      </c>
    </row>
    <row r="354" spans="1:34" x14ac:dyDescent="0.35">
      <c r="A354" s="58">
        <v>2024</v>
      </c>
      <c r="B354" s="58">
        <v>7</v>
      </c>
      <c r="C354">
        <v>7</v>
      </c>
      <c r="D354" s="58" t="s">
        <v>604</v>
      </c>
      <c r="E354" t="s">
        <v>145</v>
      </c>
      <c r="F354" s="58" t="s">
        <v>174</v>
      </c>
      <c r="G354" t="s">
        <v>740</v>
      </c>
      <c r="H354" s="58" t="s">
        <v>4</v>
      </c>
      <c r="I354" t="s">
        <v>4</v>
      </c>
      <c r="J354" s="58" t="s">
        <v>4</v>
      </c>
      <c r="K354" t="s">
        <v>1476</v>
      </c>
      <c r="L354" t="s">
        <v>1477</v>
      </c>
      <c r="M354" t="s">
        <v>1430</v>
      </c>
      <c r="N354" s="59">
        <v>211200</v>
      </c>
      <c r="O354" s="59">
        <v>5632153120</v>
      </c>
      <c r="P354" s="59">
        <v>17145841.117764469</v>
      </c>
      <c r="Q354" s="59">
        <v>0</v>
      </c>
      <c r="R354" s="59">
        <v>88095408</v>
      </c>
      <c r="S354" s="59">
        <v>5526911870.8822365</v>
      </c>
      <c r="T354" s="41"/>
      <c r="U354" s="41"/>
      <c r="V354" s="41"/>
      <c r="W354" s="41"/>
      <c r="X354" s="41"/>
      <c r="Y354" s="41"/>
      <c r="Z354" s="41"/>
      <c r="AA354" s="41"/>
      <c r="AB354" s="41"/>
      <c r="AC354" s="41"/>
      <c r="AD354" s="41"/>
      <c r="AE354" s="59">
        <v>219688.75979892546</v>
      </c>
      <c r="AF354" s="59">
        <v>223872</v>
      </c>
      <c r="AG354" s="59" t="s">
        <v>145</v>
      </c>
      <c r="AH354" s="59" t="s">
        <v>1185</v>
      </c>
    </row>
    <row r="355" spans="1:34" x14ac:dyDescent="0.35">
      <c r="A355" s="58">
        <v>2024</v>
      </c>
      <c r="B355" s="58">
        <v>7</v>
      </c>
      <c r="C355">
        <v>7</v>
      </c>
      <c r="D355" s="58" t="s">
        <v>1555</v>
      </c>
      <c r="E355" t="s">
        <v>1289</v>
      </c>
      <c r="F355" s="58" t="s">
        <v>1468</v>
      </c>
      <c r="G355" t="s">
        <v>1012</v>
      </c>
      <c r="H355" s="58" t="s">
        <v>1012</v>
      </c>
      <c r="I355" t="s">
        <v>1012</v>
      </c>
      <c r="J355" s="58" t="s">
        <v>1012</v>
      </c>
      <c r="K355" t="s">
        <v>1429</v>
      </c>
      <c r="L355" t="s">
        <v>20</v>
      </c>
      <c r="M355" t="s">
        <v>1430</v>
      </c>
      <c r="N355" s="59">
        <v>0</v>
      </c>
      <c r="O355" s="59">
        <v>0</v>
      </c>
      <c r="P355" s="59">
        <v>0</v>
      </c>
      <c r="Q355" s="59">
        <v>0</v>
      </c>
      <c r="R355" s="59">
        <v>0</v>
      </c>
      <c r="S355" s="59">
        <v>0</v>
      </c>
      <c r="T355" s="41"/>
      <c r="U355" s="41"/>
      <c r="V355" s="41"/>
      <c r="W355" s="41"/>
      <c r="X355" s="41"/>
      <c r="Y355" s="41"/>
      <c r="Z355" s="41"/>
      <c r="AA355" s="41"/>
      <c r="AB355" s="41"/>
      <c r="AC355" s="41"/>
      <c r="AD355" s="41"/>
      <c r="AE355" s="59">
        <v>0</v>
      </c>
      <c r="AF355" s="59">
        <v>0</v>
      </c>
      <c r="AG355" s="59" t="s">
        <v>1289</v>
      </c>
      <c r="AH355" s="59" t="s">
        <v>1284</v>
      </c>
    </row>
    <row r="356" spans="1:34" x14ac:dyDescent="0.35">
      <c r="A356" s="58">
        <v>2024</v>
      </c>
      <c r="B356" s="58">
        <v>7</v>
      </c>
      <c r="C356">
        <v>7</v>
      </c>
      <c r="D356" s="58" t="s">
        <v>1485</v>
      </c>
      <c r="E356" t="s">
        <v>1318</v>
      </c>
      <c r="F356" s="58" t="s">
        <v>1486</v>
      </c>
      <c r="G356" t="s">
        <v>1487</v>
      </c>
      <c r="H356" s="58" t="s">
        <v>1012</v>
      </c>
      <c r="I356" t="s">
        <v>1012</v>
      </c>
      <c r="J356" s="58" t="s">
        <v>1012</v>
      </c>
      <c r="K356" t="s">
        <v>1429</v>
      </c>
      <c r="L356" t="s">
        <v>20</v>
      </c>
      <c r="M356" t="s">
        <v>1430</v>
      </c>
      <c r="N356" s="59">
        <v>0</v>
      </c>
      <c r="O356" s="59">
        <v>0</v>
      </c>
      <c r="P356" s="59">
        <v>0</v>
      </c>
      <c r="Q356" s="59">
        <v>0</v>
      </c>
      <c r="R356" s="59">
        <v>0</v>
      </c>
      <c r="S356" s="59">
        <v>0</v>
      </c>
      <c r="T356" s="41"/>
      <c r="U356" s="41"/>
      <c r="V356" s="41"/>
      <c r="W356" s="41"/>
      <c r="X356" s="41"/>
      <c r="Y356" s="41"/>
      <c r="Z356" s="41"/>
      <c r="AA356" s="41"/>
      <c r="AB356" s="41"/>
      <c r="AC356" s="41"/>
      <c r="AD356" s="41"/>
      <c r="AE356" s="59">
        <v>0</v>
      </c>
      <c r="AF356" s="59">
        <v>0</v>
      </c>
      <c r="AG356" s="59" t="s">
        <v>1318</v>
      </c>
      <c r="AH356" s="59" t="s">
        <v>1317</v>
      </c>
    </row>
    <row r="357" spans="1:34" x14ac:dyDescent="0.35">
      <c r="A357" s="58">
        <v>2024</v>
      </c>
      <c r="B357" s="58">
        <v>7</v>
      </c>
      <c r="C357">
        <v>7</v>
      </c>
      <c r="D357" s="58" t="s">
        <v>1488</v>
      </c>
      <c r="E357" t="s">
        <v>1275</v>
      </c>
      <c r="F357" s="58" t="s">
        <v>1489</v>
      </c>
      <c r="G357" t="s">
        <v>1490</v>
      </c>
      <c r="H357" s="58" t="s">
        <v>1012</v>
      </c>
      <c r="I357" t="s">
        <v>1012</v>
      </c>
      <c r="J357" s="58" t="s">
        <v>1012</v>
      </c>
      <c r="K357" t="s">
        <v>1429</v>
      </c>
      <c r="L357" t="s">
        <v>20</v>
      </c>
      <c r="M357" t="s">
        <v>1430</v>
      </c>
      <c r="N357" s="59">
        <v>0</v>
      </c>
      <c r="O357" s="59">
        <v>0</v>
      </c>
      <c r="P357" s="59">
        <v>0</v>
      </c>
      <c r="Q357" s="59">
        <v>0</v>
      </c>
      <c r="R357" s="59">
        <v>0</v>
      </c>
      <c r="S357" s="59">
        <v>0</v>
      </c>
      <c r="T357" s="41"/>
      <c r="U357" s="41"/>
      <c r="V357" s="41"/>
      <c r="W357" s="41"/>
      <c r="X357" s="41"/>
      <c r="Y357" s="41"/>
      <c r="Z357" s="41"/>
      <c r="AA357" s="41"/>
      <c r="AB357" s="41"/>
      <c r="AC357" s="41"/>
      <c r="AD357" s="41"/>
      <c r="AE357" s="59">
        <v>0</v>
      </c>
      <c r="AF357" s="59">
        <v>0</v>
      </c>
      <c r="AG357" s="59" t="s">
        <v>1275</v>
      </c>
      <c r="AH357" s="59" t="s">
        <v>1274</v>
      </c>
    </row>
    <row r="358" spans="1:34" x14ac:dyDescent="0.35">
      <c r="A358" s="58">
        <v>2024</v>
      </c>
      <c r="B358" s="58">
        <v>7</v>
      </c>
      <c r="C358">
        <v>7</v>
      </c>
      <c r="D358" s="58" t="s">
        <v>1491</v>
      </c>
      <c r="E358" t="s">
        <v>1264</v>
      </c>
      <c r="F358" s="58" t="s">
        <v>1556</v>
      </c>
      <c r="G358" t="s">
        <v>1557</v>
      </c>
      <c r="H358" s="58" t="s">
        <v>1012</v>
      </c>
      <c r="I358" t="s">
        <v>1012</v>
      </c>
      <c r="J358" s="58" t="s">
        <v>1012</v>
      </c>
      <c r="K358" t="s">
        <v>1429</v>
      </c>
      <c r="L358" t="s">
        <v>20</v>
      </c>
      <c r="M358" t="s">
        <v>1430</v>
      </c>
      <c r="N358" s="59">
        <v>0</v>
      </c>
      <c r="O358" s="59">
        <v>0</v>
      </c>
      <c r="P358" s="59">
        <v>0</v>
      </c>
      <c r="Q358" s="59">
        <v>0</v>
      </c>
      <c r="R358" s="59">
        <v>0</v>
      </c>
      <c r="S358" s="59">
        <v>0</v>
      </c>
      <c r="T358" s="41"/>
      <c r="U358" s="41"/>
      <c r="V358" s="41"/>
      <c r="W358" s="41"/>
      <c r="X358" s="41"/>
      <c r="Y358" s="41"/>
      <c r="Z358" s="41"/>
      <c r="AA358" s="41"/>
      <c r="AB358" s="41"/>
      <c r="AC358" s="41"/>
      <c r="AD358" s="41"/>
      <c r="AE358" s="59">
        <v>0</v>
      </c>
      <c r="AF358" s="59">
        <v>0</v>
      </c>
      <c r="AG358" s="59" t="s">
        <v>1264</v>
      </c>
      <c r="AH358" s="59" t="s">
        <v>1267</v>
      </c>
    </row>
    <row r="359" spans="1:34" x14ac:dyDescent="0.35">
      <c r="A359" s="58">
        <v>2024</v>
      </c>
      <c r="B359" s="58">
        <v>7</v>
      </c>
      <c r="C359">
        <v>7</v>
      </c>
      <c r="D359" s="58" t="s">
        <v>1491</v>
      </c>
      <c r="E359" t="s">
        <v>1264</v>
      </c>
      <c r="F359" s="58" t="s">
        <v>1152</v>
      </c>
      <c r="G359" t="s">
        <v>1153</v>
      </c>
      <c r="H359" s="58" t="s">
        <v>1012</v>
      </c>
      <c r="I359" t="s">
        <v>1012</v>
      </c>
      <c r="J359" s="58" t="s">
        <v>1399</v>
      </c>
      <c r="K359" t="s">
        <v>1429</v>
      </c>
      <c r="L359" t="s">
        <v>20</v>
      </c>
      <c r="M359" t="s">
        <v>1430</v>
      </c>
      <c r="N359" s="59">
        <v>0</v>
      </c>
      <c r="O359" s="59">
        <v>0</v>
      </c>
      <c r="P359" s="59">
        <v>0</v>
      </c>
      <c r="Q359" s="59">
        <v>87488978.239999831</v>
      </c>
      <c r="R359" s="59">
        <v>238193833.00000021</v>
      </c>
      <c r="S359" s="59">
        <v>-325682811.24000001</v>
      </c>
      <c r="T359" s="41"/>
      <c r="U359" s="41"/>
      <c r="V359" s="41"/>
      <c r="W359" s="41"/>
      <c r="X359" s="41"/>
      <c r="Y359" s="41"/>
      <c r="Z359" s="41"/>
      <c r="AA359" s="41"/>
      <c r="AB359" s="41"/>
      <c r="AC359" s="41"/>
      <c r="AD359" s="41"/>
      <c r="AE359" s="59">
        <v>-12931.461370024026</v>
      </c>
      <c r="AF359" s="59">
        <v>0</v>
      </c>
      <c r="AG359" s="59" t="s">
        <v>1264</v>
      </c>
      <c r="AH359" s="59" t="s">
        <v>1400</v>
      </c>
    </row>
    <row r="360" spans="1:34" x14ac:dyDescent="0.35">
      <c r="A360" s="58">
        <v>2024</v>
      </c>
      <c r="B360" s="58">
        <v>7</v>
      </c>
      <c r="C360">
        <v>7</v>
      </c>
      <c r="D360" s="58" t="s">
        <v>1491</v>
      </c>
      <c r="E360" t="s">
        <v>1264</v>
      </c>
      <c r="F360" s="58" t="s">
        <v>1496</v>
      </c>
      <c r="G360" t="s">
        <v>1497</v>
      </c>
      <c r="H360" s="58" t="s">
        <v>1012</v>
      </c>
      <c r="I360" t="s">
        <v>1012</v>
      </c>
      <c r="J360" s="58" t="s">
        <v>1012</v>
      </c>
      <c r="K360" t="s">
        <v>1429</v>
      </c>
      <c r="L360" t="s">
        <v>20</v>
      </c>
      <c r="M360" t="s">
        <v>1430</v>
      </c>
      <c r="N360" s="59">
        <v>0</v>
      </c>
      <c r="O360" s="59">
        <v>0</v>
      </c>
      <c r="P360" s="59">
        <v>0</v>
      </c>
      <c r="Q360" s="59">
        <v>0</v>
      </c>
      <c r="R360" s="59">
        <v>0</v>
      </c>
      <c r="S360" s="59">
        <v>0</v>
      </c>
      <c r="T360" s="41"/>
      <c r="U360" s="41"/>
      <c r="V360" s="41"/>
      <c r="W360" s="41"/>
      <c r="X360" s="41"/>
      <c r="Y360" s="41"/>
      <c r="Z360" s="41"/>
      <c r="AA360" s="41"/>
      <c r="AB360" s="41"/>
      <c r="AC360" s="41"/>
      <c r="AD360" s="41"/>
      <c r="AE360" s="59">
        <v>0</v>
      </c>
      <c r="AF360" s="59">
        <v>0</v>
      </c>
      <c r="AG360" s="59" t="s">
        <v>1264</v>
      </c>
      <c r="AH360" s="59" t="s">
        <v>1329</v>
      </c>
    </row>
    <row r="361" spans="1:34" x14ac:dyDescent="0.35">
      <c r="A361" s="58">
        <v>2024</v>
      </c>
      <c r="B361" s="58">
        <v>8</v>
      </c>
      <c r="C361">
        <v>8</v>
      </c>
      <c r="D361" s="58" t="s">
        <v>625</v>
      </c>
      <c r="E361" t="s">
        <v>271</v>
      </c>
      <c r="F361" s="58" t="s">
        <v>171</v>
      </c>
      <c r="G361" t="s">
        <v>731</v>
      </c>
      <c r="H361" s="58" t="s">
        <v>4</v>
      </c>
      <c r="I361" t="s">
        <v>4</v>
      </c>
      <c r="J361" s="58" t="s">
        <v>4</v>
      </c>
      <c r="K361" t="s">
        <v>1429</v>
      </c>
      <c r="L361" t="s">
        <v>20</v>
      </c>
      <c r="M361" t="s">
        <v>1430</v>
      </c>
      <c r="N361" s="59">
        <v>33000</v>
      </c>
      <c r="O361" s="59">
        <v>1092019500</v>
      </c>
      <c r="P361" s="59">
        <v>4270055.7469244292</v>
      </c>
      <c r="Q361" s="59">
        <v>0</v>
      </c>
      <c r="R361" s="59">
        <v>0</v>
      </c>
      <c r="S361" s="59">
        <v>1087749444.2530756</v>
      </c>
      <c r="T361" s="41"/>
      <c r="U361" s="41"/>
      <c r="V361" s="41"/>
      <c r="W361" s="41"/>
      <c r="X361" s="41"/>
      <c r="Y361" s="41"/>
      <c r="Z361" s="41"/>
      <c r="AA361" s="41"/>
      <c r="AB361" s="41"/>
      <c r="AC361" s="41"/>
      <c r="AD361" s="41"/>
      <c r="AE361" s="59">
        <v>43673.749775426673</v>
      </c>
      <c r="AF361" s="59">
        <v>43845.194906659402</v>
      </c>
      <c r="AG361" s="59" t="s">
        <v>47</v>
      </c>
      <c r="AH361" s="59" t="s">
        <v>1166</v>
      </c>
    </row>
    <row r="362" spans="1:34" x14ac:dyDescent="0.35">
      <c r="A362" s="58">
        <v>2024</v>
      </c>
      <c r="B362" s="58">
        <v>8</v>
      </c>
      <c r="C362">
        <v>8</v>
      </c>
      <c r="D362" s="58" t="s">
        <v>625</v>
      </c>
      <c r="E362" t="s">
        <v>271</v>
      </c>
      <c r="F362" s="58" t="s">
        <v>194</v>
      </c>
      <c r="G362" t="s">
        <v>743</v>
      </c>
      <c r="H362" s="58" t="s">
        <v>1428</v>
      </c>
      <c r="I362" t="s">
        <v>76</v>
      </c>
      <c r="J362" s="58" t="s">
        <v>76</v>
      </c>
      <c r="K362" t="s">
        <v>1429</v>
      </c>
      <c r="L362" t="s">
        <v>20</v>
      </c>
      <c r="M362" t="s">
        <v>1430</v>
      </c>
      <c r="N362" s="59">
        <v>11000</v>
      </c>
      <c r="O362" s="59">
        <v>247384422.99999997</v>
      </c>
      <c r="P362" s="59">
        <v>0</v>
      </c>
      <c r="Q362" s="59">
        <v>0</v>
      </c>
      <c r="R362" s="59">
        <v>0</v>
      </c>
      <c r="S362" s="59">
        <v>247384422.99999997</v>
      </c>
      <c r="T362" s="41"/>
      <c r="U362" s="41"/>
      <c r="V362" s="41"/>
      <c r="W362" s="41"/>
      <c r="X362" s="41"/>
      <c r="Y362" s="41"/>
      <c r="Z362" s="41"/>
      <c r="AA362" s="41"/>
      <c r="AB362" s="41"/>
      <c r="AC362" s="41"/>
      <c r="AD362" s="41"/>
      <c r="AE362" s="59">
        <v>9932.623220836691</v>
      </c>
      <c r="AF362" s="59">
        <v>9932.623220836691</v>
      </c>
      <c r="AG362" s="59" t="s">
        <v>47</v>
      </c>
      <c r="AH362" s="59" t="s">
        <v>1246</v>
      </c>
    </row>
    <row r="363" spans="1:34" x14ac:dyDescent="0.35">
      <c r="A363" s="58">
        <v>2024</v>
      </c>
      <c r="B363" s="58">
        <v>8</v>
      </c>
      <c r="C363">
        <v>8</v>
      </c>
      <c r="D363" s="58" t="s">
        <v>625</v>
      </c>
      <c r="E363" t="s">
        <v>271</v>
      </c>
      <c r="F363" s="58" t="s">
        <v>195</v>
      </c>
      <c r="G363" t="s">
        <v>746</v>
      </c>
      <c r="H363" s="58" t="s">
        <v>1428</v>
      </c>
      <c r="I363" t="s">
        <v>76</v>
      </c>
      <c r="J363" s="58" t="s">
        <v>76</v>
      </c>
      <c r="K363" t="s">
        <v>1429</v>
      </c>
      <c r="L363" t="s">
        <v>20</v>
      </c>
      <c r="M363" t="s">
        <v>1430</v>
      </c>
      <c r="N363" s="59">
        <v>5500</v>
      </c>
      <c r="O363" s="59">
        <v>123692212</v>
      </c>
      <c r="P363" s="59">
        <v>0</v>
      </c>
      <c r="Q363" s="59">
        <v>0</v>
      </c>
      <c r="R363" s="59">
        <v>0</v>
      </c>
      <c r="S363" s="59">
        <v>123692212</v>
      </c>
      <c r="T363" s="41"/>
      <c r="U363" s="41"/>
      <c r="V363" s="41"/>
      <c r="W363" s="41"/>
      <c r="X363" s="41"/>
      <c r="Y363" s="41"/>
      <c r="Z363" s="41"/>
      <c r="AA363" s="41"/>
      <c r="AB363" s="41"/>
      <c r="AC363" s="41"/>
      <c r="AD363" s="41"/>
      <c r="AE363" s="59">
        <v>4966.3116304936266</v>
      </c>
      <c r="AF363" s="59">
        <v>4966.3116304936266</v>
      </c>
      <c r="AG363" s="59" t="s">
        <v>47</v>
      </c>
      <c r="AH363" s="59" t="s">
        <v>1247</v>
      </c>
    </row>
    <row r="364" spans="1:34" x14ac:dyDescent="0.35">
      <c r="A364" s="58">
        <v>2024</v>
      </c>
      <c r="B364" s="58">
        <v>8</v>
      </c>
      <c r="C364">
        <v>8</v>
      </c>
      <c r="D364" s="58" t="s">
        <v>625</v>
      </c>
      <c r="E364" t="s">
        <v>271</v>
      </c>
      <c r="F364" s="58" t="s">
        <v>761</v>
      </c>
      <c r="G364" t="s">
        <v>762</v>
      </c>
      <c r="H364" s="58" t="s">
        <v>21</v>
      </c>
      <c r="I364" t="s">
        <v>21</v>
      </c>
      <c r="J364" s="58" t="s">
        <v>21</v>
      </c>
      <c r="K364" t="s">
        <v>1429</v>
      </c>
      <c r="L364" t="s">
        <v>20</v>
      </c>
      <c r="M364" t="s">
        <v>1430</v>
      </c>
      <c r="N364" s="59">
        <v>9625</v>
      </c>
      <c r="O364" s="59">
        <v>221375000</v>
      </c>
      <c r="P364" s="59">
        <v>0</v>
      </c>
      <c r="Q364" s="59">
        <v>0</v>
      </c>
      <c r="R364" s="59">
        <v>0</v>
      </c>
      <c r="S364" s="59">
        <v>221375000</v>
      </c>
      <c r="T364" s="41"/>
      <c r="U364" s="41"/>
      <c r="V364" s="41"/>
      <c r="W364" s="41"/>
      <c r="X364" s="41"/>
      <c r="Y364" s="41"/>
      <c r="Z364" s="41"/>
      <c r="AA364" s="41"/>
      <c r="AB364" s="41"/>
      <c r="AC364" s="41"/>
      <c r="AD364" s="41"/>
      <c r="AE364" s="59">
        <v>8888.330311374224</v>
      </c>
      <c r="AF364" s="59">
        <v>8888.330311374224</v>
      </c>
      <c r="AG364" s="59" t="s">
        <v>47</v>
      </c>
      <c r="AH364" s="59" t="s">
        <v>1351</v>
      </c>
    </row>
    <row r="365" spans="1:34" x14ac:dyDescent="0.35">
      <c r="A365" s="58">
        <v>2024</v>
      </c>
      <c r="B365" s="58">
        <v>8</v>
      </c>
      <c r="C365">
        <v>8</v>
      </c>
      <c r="D365" s="58" t="s">
        <v>1433</v>
      </c>
      <c r="E365" t="s">
        <v>1276</v>
      </c>
      <c r="F365" s="58" t="s">
        <v>1434</v>
      </c>
      <c r="G365" t="s">
        <v>1435</v>
      </c>
      <c r="H365" s="58" t="s">
        <v>1012</v>
      </c>
      <c r="I365" t="s">
        <v>1012</v>
      </c>
      <c r="J365" s="58" t="s">
        <v>1012</v>
      </c>
      <c r="K365" t="s">
        <v>1429</v>
      </c>
      <c r="L365" t="s">
        <v>20</v>
      </c>
      <c r="M365" t="s">
        <v>1430</v>
      </c>
      <c r="N365" s="59">
        <v>0</v>
      </c>
      <c r="O365" s="59">
        <v>0</v>
      </c>
      <c r="P365" s="59">
        <v>0</v>
      </c>
      <c r="Q365" s="59">
        <v>0</v>
      </c>
      <c r="R365" s="59">
        <v>0</v>
      </c>
      <c r="S365" s="59">
        <v>0</v>
      </c>
      <c r="T365" s="41"/>
      <c r="U365" s="41"/>
      <c r="V365" s="41"/>
      <c r="W365" s="41"/>
      <c r="X365" s="41"/>
      <c r="Y365" s="41"/>
      <c r="Z365" s="41"/>
      <c r="AA365" s="41"/>
      <c r="AB365" s="41"/>
      <c r="AC365" s="41"/>
      <c r="AD365" s="41"/>
      <c r="AE365" s="59">
        <v>0</v>
      </c>
      <c r="AF365" s="59">
        <v>0</v>
      </c>
      <c r="AG365" s="59" t="s">
        <v>1276</v>
      </c>
      <c r="AH365" s="59" t="s">
        <v>1319</v>
      </c>
    </row>
    <row r="366" spans="1:34" x14ac:dyDescent="0.35">
      <c r="A366" s="58">
        <v>2024</v>
      </c>
      <c r="B366" s="58">
        <v>8</v>
      </c>
      <c r="C366">
        <v>8</v>
      </c>
      <c r="D366" s="58" t="s">
        <v>651</v>
      </c>
      <c r="E366" t="s">
        <v>464</v>
      </c>
      <c r="F366" s="58" t="s">
        <v>184</v>
      </c>
      <c r="G366" t="s">
        <v>717</v>
      </c>
      <c r="H366" s="58" t="s">
        <v>1428</v>
      </c>
      <c r="I366" t="s">
        <v>75</v>
      </c>
      <c r="J366" s="58" t="s">
        <v>75</v>
      </c>
      <c r="K366" t="s">
        <v>1429</v>
      </c>
      <c r="L366" t="s">
        <v>20</v>
      </c>
      <c r="M366" t="s">
        <v>1430</v>
      </c>
      <c r="N366" s="59">
        <v>9625</v>
      </c>
      <c r="O366" s="59">
        <v>339781750</v>
      </c>
      <c r="P366" s="59">
        <v>0</v>
      </c>
      <c r="Q366" s="59">
        <v>0</v>
      </c>
      <c r="R366" s="59">
        <v>0</v>
      </c>
      <c r="S366" s="59">
        <v>339781750</v>
      </c>
      <c r="T366" s="41"/>
      <c r="U366" s="41"/>
      <c r="V366" s="41"/>
      <c r="W366" s="41"/>
      <c r="X366" s="41"/>
      <c r="Y366" s="41"/>
      <c r="Z366" s="41"/>
      <c r="AA366" s="41"/>
      <c r="AB366" s="41"/>
      <c r="AC366" s="41"/>
      <c r="AD366" s="41"/>
      <c r="AE366" s="59">
        <v>13642.427680527517</v>
      </c>
      <c r="AF366" s="59">
        <v>13642.427680527517</v>
      </c>
      <c r="AG366" s="59" t="s">
        <v>5</v>
      </c>
      <c r="AH366" s="59" t="s">
        <v>1198</v>
      </c>
    </row>
    <row r="367" spans="1:34" x14ac:dyDescent="0.35">
      <c r="A367" s="58">
        <v>2024</v>
      </c>
      <c r="B367" s="58">
        <v>8</v>
      </c>
      <c r="C367">
        <v>8</v>
      </c>
      <c r="D367" s="58" t="s">
        <v>589</v>
      </c>
      <c r="E367" t="s">
        <v>322</v>
      </c>
      <c r="F367" s="58" t="s">
        <v>171</v>
      </c>
      <c r="G367" t="s">
        <v>731</v>
      </c>
      <c r="H367" s="58" t="s">
        <v>4</v>
      </c>
      <c r="I367" t="s">
        <v>4</v>
      </c>
      <c r="J367" s="58" t="s">
        <v>4</v>
      </c>
      <c r="K367" t="s">
        <v>1429</v>
      </c>
      <c r="L367" t="s">
        <v>20</v>
      </c>
      <c r="M367" t="s">
        <v>1430</v>
      </c>
      <c r="N367" s="59">
        <v>176000</v>
      </c>
      <c r="O367" s="59">
        <v>5718768000</v>
      </c>
      <c r="P367" s="59">
        <v>34160445.975395434</v>
      </c>
      <c r="Q367" s="59">
        <v>0</v>
      </c>
      <c r="R367" s="59">
        <v>24640000</v>
      </c>
      <c r="S367" s="59">
        <v>5659967554.0246048</v>
      </c>
      <c r="T367" s="41"/>
      <c r="U367" s="41"/>
      <c r="V367" s="41"/>
      <c r="W367" s="41"/>
      <c r="X367" s="41"/>
      <c r="Y367" s="41"/>
      <c r="Z367" s="41"/>
      <c r="AA367" s="41"/>
      <c r="AB367" s="41"/>
      <c r="AC367" s="41"/>
      <c r="AD367" s="41"/>
      <c r="AE367" s="59">
        <v>227250.86921211306</v>
      </c>
      <c r="AF367" s="59">
        <v>229611.74007054517</v>
      </c>
      <c r="AG367" s="59" t="s">
        <v>5</v>
      </c>
      <c r="AH367" s="59" t="s">
        <v>1166</v>
      </c>
    </row>
    <row r="368" spans="1:34" x14ac:dyDescent="0.35">
      <c r="A368" s="58">
        <v>2024</v>
      </c>
      <c r="B368" s="58">
        <v>8</v>
      </c>
      <c r="C368">
        <v>8</v>
      </c>
      <c r="D368" s="58" t="s">
        <v>621</v>
      </c>
      <c r="E368" t="s">
        <v>257</v>
      </c>
      <c r="F368" s="58" t="s">
        <v>167</v>
      </c>
      <c r="G368" t="s">
        <v>693</v>
      </c>
      <c r="H368" s="58" t="s">
        <v>4</v>
      </c>
      <c r="I368" t="s">
        <v>4</v>
      </c>
      <c r="J368" s="58" t="s">
        <v>4</v>
      </c>
      <c r="K368" t="s">
        <v>1429</v>
      </c>
      <c r="L368" t="s">
        <v>20</v>
      </c>
      <c r="M368" t="s">
        <v>1430</v>
      </c>
      <c r="N368" s="59">
        <v>154000</v>
      </c>
      <c r="O368" s="59">
        <v>5157162780</v>
      </c>
      <c r="P368" s="59">
        <v>29890390.228471003</v>
      </c>
      <c r="Q368" s="59">
        <v>0</v>
      </c>
      <c r="R368" s="59">
        <v>0</v>
      </c>
      <c r="S368" s="59">
        <v>5127272389.7715282</v>
      </c>
      <c r="T368" s="41"/>
      <c r="U368" s="41"/>
      <c r="V368" s="41"/>
      <c r="W368" s="41"/>
      <c r="X368" s="41"/>
      <c r="Y368" s="41"/>
      <c r="Z368" s="41"/>
      <c r="AA368" s="41"/>
      <c r="AB368" s="41"/>
      <c r="AC368" s="41"/>
      <c r="AD368" s="41"/>
      <c r="AE368" s="59">
        <v>205862.85983818609</v>
      </c>
      <c r="AF368" s="59">
        <v>207062.97575681523</v>
      </c>
      <c r="AG368" s="59" t="s">
        <v>16</v>
      </c>
      <c r="AH368" s="59" t="s">
        <v>1156</v>
      </c>
    </row>
    <row r="369" spans="1:34" x14ac:dyDescent="0.35">
      <c r="A369" s="58">
        <v>2024</v>
      </c>
      <c r="B369" s="58">
        <v>8</v>
      </c>
      <c r="C369">
        <v>8</v>
      </c>
      <c r="D369" s="58" t="s">
        <v>590</v>
      </c>
      <c r="E369" t="s">
        <v>500</v>
      </c>
      <c r="F369" s="58" t="s">
        <v>168</v>
      </c>
      <c r="G369" t="s">
        <v>700</v>
      </c>
      <c r="H369" s="58" t="s">
        <v>4</v>
      </c>
      <c r="I369" t="s">
        <v>4</v>
      </c>
      <c r="J369" s="58" t="s">
        <v>4</v>
      </c>
      <c r="K369" t="s">
        <v>1429</v>
      </c>
      <c r="L369" t="s">
        <v>20</v>
      </c>
      <c r="M369" t="s">
        <v>1430</v>
      </c>
      <c r="N369" s="59">
        <v>660000</v>
      </c>
      <c r="O369" s="59">
        <v>24265302138</v>
      </c>
      <c r="P369" s="59">
        <v>128101672.40773289</v>
      </c>
      <c r="Q369" s="59">
        <v>0</v>
      </c>
      <c r="R369" s="59">
        <v>528333333.33333337</v>
      </c>
      <c r="S369" s="59">
        <v>23442830932.258923</v>
      </c>
      <c r="T369" s="41"/>
      <c r="U369" s="41"/>
      <c r="V369" s="41"/>
      <c r="W369" s="41"/>
      <c r="X369" s="41"/>
      <c r="Y369" s="41"/>
      <c r="Z369" s="41"/>
      <c r="AA369" s="41"/>
      <c r="AB369" s="41"/>
      <c r="AC369" s="41"/>
      <c r="AD369" s="41"/>
      <c r="AE369" s="59">
        <v>941242.79959172639</v>
      </c>
      <c r="AF369" s="59">
        <v>974265.47942558653</v>
      </c>
      <c r="AG369" s="59" t="s">
        <v>8</v>
      </c>
      <c r="AH369" s="59" t="s">
        <v>1160</v>
      </c>
    </row>
    <row r="370" spans="1:34" x14ac:dyDescent="0.35">
      <c r="A370" s="58">
        <v>2024</v>
      </c>
      <c r="B370" s="58">
        <v>8</v>
      </c>
      <c r="C370">
        <v>8</v>
      </c>
      <c r="D370" s="58" t="s">
        <v>590</v>
      </c>
      <c r="E370" t="s">
        <v>500</v>
      </c>
      <c r="F370" s="58" t="s">
        <v>168</v>
      </c>
      <c r="G370" t="s">
        <v>700</v>
      </c>
      <c r="H370" s="58" t="s">
        <v>4</v>
      </c>
      <c r="I370" t="s">
        <v>4</v>
      </c>
      <c r="J370" s="58" t="s">
        <v>4</v>
      </c>
      <c r="K370" t="s">
        <v>1429</v>
      </c>
      <c r="L370" t="s">
        <v>20</v>
      </c>
      <c r="M370" t="s">
        <v>1508</v>
      </c>
      <c r="N370" s="59">
        <v>-8800</v>
      </c>
      <c r="O370" s="59">
        <v>-322927136.40000004</v>
      </c>
      <c r="P370" s="59">
        <v>0</v>
      </c>
      <c r="Q370" s="59">
        <v>0</v>
      </c>
      <c r="R370" s="59">
        <v>0</v>
      </c>
      <c r="S370" s="59">
        <v>-320713320.40000004</v>
      </c>
      <c r="T370" s="41"/>
      <c r="U370" s="41"/>
      <c r="V370" s="41"/>
      <c r="W370" s="41"/>
      <c r="X370" s="41"/>
      <c r="Y370" s="41"/>
      <c r="Z370" s="41"/>
      <c r="AA370" s="41"/>
      <c r="AB370" s="41"/>
      <c r="AC370" s="41"/>
      <c r="AD370" s="41"/>
      <c r="AE370" s="59">
        <v>-12876.819545896302</v>
      </c>
      <c r="AF370" s="59">
        <v>-12965.705498947031</v>
      </c>
      <c r="AG370" s="59" t="s">
        <v>8</v>
      </c>
      <c r="AH370" s="59" t="s">
        <v>1160</v>
      </c>
    </row>
    <row r="371" spans="1:34" x14ac:dyDescent="0.35">
      <c r="A371" s="58">
        <v>2024</v>
      </c>
      <c r="B371" s="58">
        <v>8</v>
      </c>
      <c r="C371">
        <v>8</v>
      </c>
      <c r="D371" s="58" t="s">
        <v>590</v>
      </c>
      <c r="E371" t="s">
        <v>500</v>
      </c>
      <c r="F371" s="58" t="s">
        <v>172</v>
      </c>
      <c r="G371" t="s">
        <v>734</v>
      </c>
      <c r="H371" s="58" t="s">
        <v>4</v>
      </c>
      <c r="I371" t="s">
        <v>4</v>
      </c>
      <c r="J371" s="58" t="s">
        <v>4</v>
      </c>
      <c r="K371" t="s">
        <v>1429</v>
      </c>
      <c r="L371" t="s">
        <v>20</v>
      </c>
      <c r="M371" t="s">
        <v>1430</v>
      </c>
      <c r="N371" s="59">
        <v>4400</v>
      </c>
      <c r="O371" s="59">
        <v>157137301.00000021</v>
      </c>
      <c r="P371" s="59">
        <v>854011.14938488579</v>
      </c>
      <c r="Q371" s="59">
        <v>0</v>
      </c>
      <c r="R371" s="59">
        <v>0</v>
      </c>
      <c r="S371" s="59">
        <v>156283289.85061532</v>
      </c>
      <c r="T371" s="41"/>
      <c r="U371" s="41"/>
      <c r="V371" s="41"/>
      <c r="W371" s="41"/>
      <c r="X371" s="41"/>
      <c r="Y371" s="41"/>
      <c r="Z371" s="41"/>
      <c r="AA371" s="41"/>
      <c r="AB371" s="41"/>
      <c r="AC371" s="41"/>
      <c r="AD371" s="41"/>
      <c r="AE371" s="59">
        <v>6274.861670651645</v>
      </c>
      <c r="AF371" s="59">
        <v>6309.1506968981912</v>
      </c>
      <c r="AG371" s="59" t="s">
        <v>8</v>
      </c>
      <c r="AH371" s="59" t="s">
        <v>1175</v>
      </c>
    </row>
    <row r="372" spans="1:34" x14ac:dyDescent="0.35">
      <c r="A372" s="58">
        <v>2024</v>
      </c>
      <c r="B372" s="58">
        <v>8</v>
      </c>
      <c r="C372">
        <v>8</v>
      </c>
      <c r="D372" s="58" t="s">
        <v>590</v>
      </c>
      <c r="E372" t="s">
        <v>500</v>
      </c>
      <c r="F372" s="58" t="s">
        <v>172</v>
      </c>
      <c r="G372" t="s">
        <v>734</v>
      </c>
      <c r="H372" s="58" t="s">
        <v>4</v>
      </c>
      <c r="I372" t="s">
        <v>4</v>
      </c>
      <c r="J372" s="58" t="s">
        <v>4</v>
      </c>
      <c r="K372" t="s">
        <v>1429</v>
      </c>
      <c r="L372" t="s">
        <v>20</v>
      </c>
      <c r="M372" t="s">
        <v>1508</v>
      </c>
      <c r="N372" s="59">
        <v>-79200</v>
      </c>
      <c r="O372" s="59">
        <v>-2828471421.5999999</v>
      </c>
      <c r="P372" s="59">
        <v>0</v>
      </c>
      <c r="Q372" s="59">
        <v>0</v>
      </c>
      <c r="R372" s="59">
        <v>67000000</v>
      </c>
      <c r="S372" s="59">
        <v>-2879974709.5999999</v>
      </c>
      <c r="T372" s="41"/>
      <c r="U372" s="41"/>
      <c r="V372" s="41"/>
      <c r="W372" s="41"/>
      <c r="X372" s="41"/>
      <c r="Y372" s="41"/>
      <c r="Z372" s="41"/>
      <c r="AA372" s="41"/>
      <c r="AB372" s="41"/>
      <c r="AC372" s="41"/>
      <c r="AD372" s="41"/>
      <c r="AE372" s="59">
        <v>-115632.598565009</v>
      </c>
      <c r="AF372" s="59">
        <v>-113564.71268870932</v>
      </c>
      <c r="AG372" s="59" t="s">
        <v>8</v>
      </c>
      <c r="AH372" s="59" t="s">
        <v>1175</v>
      </c>
    </row>
    <row r="373" spans="1:34" x14ac:dyDescent="0.35">
      <c r="A373" s="58">
        <v>2024</v>
      </c>
      <c r="B373" s="58">
        <v>8</v>
      </c>
      <c r="C373">
        <v>8</v>
      </c>
      <c r="D373" s="58" t="s">
        <v>601</v>
      </c>
      <c r="E373" t="s">
        <v>501</v>
      </c>
      <c r="F373" s="58" t="s">
        <v>168</v>
      </c>
      <c r="G373" t="s">
        <v>700</v>
      </c>
      <c r="H373" s="58" t="s">
        <v>4</v>
      </c>
      <c r="I373" t="s">
        <v>4</v>
      </c>
      <c r="J373" s="58" t="s">
        <v>4</v>
      </c>
      <c r="K373" t="s">
        <v>1429</v>
      </c>
      <c r="L373" t="s">
        <v>20</v>
      </c>
      <c r="M373" t="s">
        <v>1430</v>
      </c>
      <c r="N373" s="59">
        <v>22000</v>
      </c>
      <c r="O373" s="59">
        <v>798072000</v>
      </c>
      <c r="P373" s="59">
        <v>4270055.7469244292</v>
      </c>
      <c r="Q373" s="59">
        <v>0</v>
      </c>
      <c r="R373" s="59">
        <v>3080000</v>
      </c>
      <c r="S373" s="59">
        <v>785187404.2530756</v>
      </c>
      <c r="T373" s="41"/>
      <c r="U373" s="41"/>
      <c r="V373" s="41"/>
      <c r="W373" s="41"/>
      <c r="X373" s="41"/>
      <c r="Y373" s="41"/>
      <c r="Z373" s="41"/>
      <c r="AA373" s="41"/>
      <c r="AB373" s="41"/>
      <c r="AC373" s="41"/>
      <c r="AD373" s="41"/>
      <c r="AE373" s="59">
        <v>31525.714309799474</v>
      </c>
      <c r="AF373" s="59">
        <v>32043.038049730323</v>
      </c>
      <c r="AG373" s="59" t="s">
        <v>109</v>
      </c>
      <c r="AH373" s="59" t="s">
        <v>1160</v>
      </c>
    </row>
    <row r="374" spans="1:34" x14ac:dyDescent="0.35">
      <c r="A374" s="58">
        <v>2024</v>
      </c>
      <c r="B374" s="58">
        <v>8</v>
      </c>
      <c r="C374">
        <v>8</v>
      </c>
      <c r="D374" s="58" t="s">
        <v>601</v>
      </c>
      <c r="E374" t="s">
        <v>501</v>
      </c>
      <c r="F374" s="58" t="s">
        <v>171</v>
      </c>
      <c r="G374" t="s">
        <v>731</v>
      </c>
      <c r="H374" s="58" t="s">
        <v>4</v>
      </c>
      <c r="I374" t="s">
        <v>4</v>
      </c>
      <c r="J374" s="58" t="s">
        <v>4</v>
      </c>
      <c r="K374" t="s">
        <v>1429</v>
      </c>
      <c r="L374" t="s">
        <v>20</v>
      </c>
      <c r="M374" t="s">
        <v>1431</v>
      </c>
      <c r="N374" s="59">
        <v>-2200</v>
      </c>
      <c r="O374" s="59">
        <v>0</v>
      </c>
      <c r="P374" s="59">
        <v>0</v>
      </c>
      <c r="Q374" s="59">
        <v>0</v>
      </c>
      <c r="R374" s="59">
        <v>0</v>
      </c>
      <c r="S374" s="59">
        <v>0</v>
      </c>
      <c r="T374" s="41"/>
      <c r="U374" s="41"/>
      <c r="V374" s="41"/>
      <c r="W374" s="41"/>
      <c r="X374" s="41"/>
      <c r="Y374" s="41"/>
      <c r="Z374" s="41"/>
      <c r="AA374" s="41"/>
      <c r="AB374" s="41"/>
      <c r="AC374" s="41"/>
      <c r="AD374" s="41"/>
      <c r="AE374" s="59">
        <v>0</v>
      </c>
      <c r="AF374" s="59">
        <v>0</v>
      </c>
      <c r="AG374" s="59" t="s">
        <v>109</v>
      </c>
      <c r="AH374" s="59" t="s">
        <v>1166</v>
      </c>
    </row>
    <row r="375" spans="1:34" x14ac:dyDescent="0.35">
      <c r="A375" s="58">
        <v>2024</v>
      </c>
      <c r="B375" s="58">
        <v>8</v>
      </c>
      <c r="C375">
        <v>8</v>
      </c>
      <c r="D375" s="58" t="s">
        <v>601</v>
      </c>
      <c r="E375" t="s">
        <v>501</v>
      </c>
      <c r="F375" s="58" t="s">
        <v>171</v>
      </c>
      <c r="G375" t="s">
        <v>731</v>
      </c>
      <c r="H375" s="58" t="s">
        <v>4</v>
      </c>
      <c r="I375" t="s">
        <v>4</v>
      </c>
      <c r="J375" s="58" t="s">
        <v>4</v>
      </c>
      <c r="K375" t="s">
        <v>1429</v>
      </c>
      <c r="L375" t="s">
        <v>20</v>
      </c>
      <c r="M375" t="s">
        <v>1430</v>
      </c>
      <c r="N375" s="59">
        <v>24200</v>
      </c>
      <c r="O375" s="59">
        <v>765772700</v>
      </c>
      <c r="P375" s="59">
        <v>4697061.3216168722</v>
      </c>
      <c r="Q375" s="59">
        <v>0</v>
      </c>
      <c r="R375" s="59">
        <v>0</v>
      </c>
      <c r="S375" s="59">
        <v>761075638.67838311</v>
      </c>
      <c r="T375" s="41"/>
      <c r="U375" s="41"/>
      <c r="V375" s="41"/>
      <c r="W375" s="41"/>
      <c r="X375" s="41"/>
      <c r="Y375" s="41"/>
      <c r="Z375" s="41"/>
      <c r="AA375" s="41"/>
      <c r="AB375" s="41"/>
      <c r="AC375" s="41"/>
      <c r="AD375" s="41"/>
      <c r="AE375" s="59">
        <v>30557.613409434536</v>
      </c>
      <c r="AF375" s="59">
        <v>30746.203053790541</v>
      </c>
      <c r="AG375" s="59" t="s">
        <v>109</v>
      </c>
      <c r="AH375" s="59" t="s">
        <v>1166</v>
      </c>
    </row>
    <row r="376" spans="1:34" x14ac:dyDescent="0.35">
      <c r="A376" s="58">
        <v>2024</v>
      </c>
      <c r="B376" s="58">
        <v>8</v>
      </c>
      <c r="C376">
        <v>8</v>
      </c>
      <c r="D376" s="58" t="s">
        <v>601</v>
      </c>
      <c r="E376" t="s">
        <v>501</v>
      </c>
      <c r="F376" s="58" t="s">
        <v>171</v>
      </c>
      <c r="G376" t="s">
        <v>731</v>
      </c>
      <c r="H376" s="58" t="s">
        <v>4</v>
      </c>
      <c r="I376" t="s">
        <v>4</v>
      </c>
      <c r="J376" s="58" t="s">
        <v>4</v>
      </c>
      <c r="K376" t="s">
        <v>1429</v>
      </c>
      <c r="L376" t="s">
        <v>20</v>
      </c>
      <c r="M376" t="s">
        <v>1432</v>
      </c>
      <c r="N376" s="59">
        <v>2200</v>
      </c>
      <c r="O376" s="59">
        <v>0</v>
      </c>
      <c r="P376" s="59">
        <v>0</v>
      </c>
      <c r="Q376" s="59">
        <v>0</v>
      </c>
      <c r="R376" s="59">
        <v>0</v>
      </c>
      <c r="S376" s="59">
        <v>0</v>
      </c>
      <c r="T376" s="41"/>
      <c r="U376" s="41"/>
      <c r="V376" s="41"/>
      <c r="W376" s="41"/>
      <c r="X376" s="41"/>
      <c r="Y376" s="41"/>
      <c r="Z376" s="41"/>
      <c r="AA376" s="41"/>
      <c r="AB376" s="41"/>
      <c r="AC376" s="41"/>
      <c r="AD376" s="41"/>
      <c r="AE376" s="59">
        <v>0</v>
      </c>
      <c r="AF376" s="59">
        <v>0</v>
      </c>
      <c r="AG376" s="59" t="s">
        <v>109</v>
      </c>
      <c r="AH376" s="59" t="s">
        <v>1166</v>
      </c>
    </row>
    <row r="377" spans="1:34" x14ac:dyDescent="0.35">
      <c r="A377" s="58">
        <v>2024</v>
      </c>
      <c r="B377" s="58">
        <v>8</v>
      </c>
      <c r="C377">
        <v>8</v>
      </c>
      <c r="D377" s="58" t="s">
        <v>601</v>
      </c>
      <c r="E377" t="s">
        <v>501</v>
      </c>
      <c r="F377" s="58" t="s">
        <v>1535</v>
      </c>
      <c r="G377" t="s">
        <v>1536</v>
      </c>
      <c r="H377" s="58" t="s">
        <v>1012</v>
      </c>
      <c r="I377" t="s">
        <v>1012</v>
      </c>
      <c r="J377" s="58" t="s">
        <v>1012</v>
      </c>
      <c r="K377" t="s">
        <v>1429</v>
      </c>
      <c r="L377" t="s">
        <v>20</v>
      </c>
      <c r="M377" t="s">
        <v>1430</v>
      </c>
      <c r="N377" s="59">
        <v>0</v>
      </c>
      <c r="O377" s="59">
        <v>0</v>
      </c>
      <c r="P377" s="59">
        <v>0</v>
      </c>
      <c r="Q377" s="59">
        <v>0</v>
      </c>
      <c r="R377" s="59">
        <v>0</v>
      </c>
      <c r="S377" s="59">
        <v>153860212</v>
      </c>
      <c r="T377" s="41"/>
      <c r="U377" s="41"/>
      <c r="V377" s="41"/>
      <c r="W377" s="41"/>
      <c r="X377" s="41"/>
      <c r="Y377" s="41"/>
      <c r="Z377" s="41"/>
      <c r="AA377" s="41"/>
      <c r="AB377" s="41"/>
      <c r="AC377" s="41"/>
      <c r="AD377" s="41"/>
      <c r="AE377" s="59">
        <v>6177.5737370256993</v>
      </c>
      <c r="AF377" s="59">
        <v>0</v>
      </c>
      <c r="AG377" s="59" t="s">
        <v>109</v>
      </c>
      <c r="AH377" s="59" t="s">
        <v>1270</v>
      </c>
    </row>
    <row r="378" spans="1:34" x14ac:dyDescent="0.35">
      <c r="A378" s="58">
        <v>2024</v>
      </c>
      <c r="B378" s="58">
        <v>8</v>
      </c>
      <c r="C378">
        <v>8</v>
      </c>
      <c r="D378" s="58" t="s">
        <v>620</v>
      </c>
      <c r="E378" t="s">
        <v>324</v>
      </c>
      <c r="F378" s="58" t="s">
        <v>168</v>
      </c>
      <c r="G378" t="s">
        <v>700</v>
      </c>
      <c r="H378" s="58" t="s">
        <v>4</v>
      </c>
      <c r="I378" t="s">
        <v>4</v>
      </c>
      <c r="J378" s="58" t="s">
        <v>4</v>
      </c>
      <c r="K378" t="s">
        <v>1429</v>
      </c>
      <c r="L378" t="s">
        <v>20</v>
      </c>
      <c r="M378" t="s">
        <v>1508</v>
      </c>
      <c r="N378" s="59">
        <v>-29981.8</v>
      </c>
      <c r="O378" s="59">
        <v>-1059670743</v>
      </c>
      <c r="P378" s="59">
        <v>0</v>
      </c>
      <c r="Q378" s="59">
        <v>0</v>
      </c>
      <c r="R378" s="59">
        <v>0</v>
      </c>
      <c r="S378" s="59">
        <v>-1059670743</v>
      </c>
      <c r="T378" s="41"/>
      <c r="U378" s="41"/>
      <c r="V378" s="41"/>
      <c r="W378" s="41"/>
      <c r="X378" s="41"/>
      <c r="Y378" s="41"/>
      <c r="Z378" s="41"/>
      <c r="AA378" s="41"/>
      <c r="AB378" s="41"/>
      <c r="AC378" s="41"/>
      <c r="AD378" s="41"/>
      <c r="AE378" s="59">
        <v>-42546.374184453292</v>
      </c>
      <c r="AF378" s="59">
        <v>-42546.374184453292</v>
      </c>
      <c r="AG378" s="59" t="s">
        <v>8</v>
      </c>
      <c r="AH378" s="59" t="s">
        <v>1160</v>
      </c>
    </row>
    <row r="379" spans="1:34" x14ac:dyDescent="0.35">
      <c r="A379" s="58">
        <v>2024</v>
      </c>
      <c r="B379" s="58">
        <v>8</v>
      </c>
      <c r="C379">
        <v>8</v>
      </c>
      <c r="D379" s="58" t="s">
        <v>1531</v>
      </c>
      <c r="E379" t="s">
        <v>1296</v>
      </c>
      <c r="F379" s="58" t="s">
        <v>1482</v>
      </c>
      <c r="G379" t="s">
        <v>1483</v>
      </c>
      <c r="H379" s="58" t="s">
        <v>1012</v>
      </c>
      <c r="I379" t="s">
        <v>1012</v>
      </c>
      <c r="J379" s="58" t="s">
        <v>1012</v>
      </c>
      <c r="K379" t="s">
        <v>1429</v>
      </c>
      <c r="L379" t="s">
        <v>20</v>
      </c>
      <c r="M379" t="s">
        <v>1430</v>
      </c>
      <c r="N379" s="59">
        <v>0</v>
      </c>
      <c r="O379" s="59">
        <v>39000000</v>
      </c>
      <c r="P379" s="59">
        <v>0</v>
      </c>
      <c r="Q379" s="59">
        <v>0</v>
      </c>
      <c r="R379" s="59">
        <v>0</v>
      </c>
      <c r="S379" s="59">
        <v>39000000</v>
      </c>
      <c r="T379" s="41"/>
      <c r="U379" s="41"/>
      <c r="V379" s="41"/>
      <c r="W379" s="41"/>
      <c r="X379" s="41"/>
      <c r="Y379" s="41"/>
      <c r="Z379" s="41"/>
      <c r="AA379" s="41"/>
      <c r="AB379" s="41"/>
      <c r="AC379" s="41"/>
      <c r="AD379" s="41"/>
      <c r="AE379" s="59">
        <v>1565.8718560975483</v>
      </c>
      <c r="AF379" s="59">
        <v>1565.8718560975483</v>
      </c>
      <c r="AG379" s="59" t="s">
        <v>1296</v>
      </c>
      <c r="AH379" s="59" t="s">
        <v>1325</v>
      </c>
    </row>
    <row r="380" spans="1:34" x14ac:dyDescent="0.35">
      <c r="A380" s="58">
        <v>2024</v>
      </c>
      <c r="B380" s="58">
        <v>8</v>
      </c>
      <c r="C380">
        <v>8</v>
      </c>
      <c r="D380" s="58" t="s">
        <v>682</v>
      </c>
      <c r="E380" t="s">
        <v>156</v>
      </c>
      <c r="F380" s="58" t="s">
        <v>1468</v>
      </c>
      <c r="G380" t="s">
        <v>1012</v>
      </c>
      <c r="H380" s="58" t="s">
        <v>1012</v>
      </c>
      <c r="I380" t="s">
        <v>1012</v>
      </c>
      <c r="J380" s="58" t="s">
        <v>1012</v>
      </c>
      <c r="K380" t="s">
        <v>1429</v>
      </c>
      <c r="L380" t="s">
        <v>20</v>
      </c>
      <c r="M380" t="s">
        <v>1430</v>
      </c>
      <c r="N380" s="59">
        <v>0</v>
      </c>
      <c r="O380" s="59">
        <v>180515352</v>
      </c>
      <c r="P380" s="59">
        <v>0</v>
      </c>
      <c r="Q380" s="59">
        <v>0</v>
      </c>
      <c r="R380" s="59">
        <v>0</v>
      </c>
      <c r="S380" s="59">
        <v>180515352</v>
      </c>
      <c r="T380" s="41"/>
      <c r="U380" s="41"/>
      <c r="V380" s="41"/>
      <c r="W380" s="41"/>
      <c r="X380" s="41"/>
      <c r="Y380" s="41"/>
      <c r="Z380" s="41"/>
      <c r="AA380" s="41"/>
      <c r="AB380" s="41"/>
      <c r="AC380" s="41"/>
      <c r="AD380" s="41"/>
      <c r="AE380" s="59">
        <v>7247.7925459062117</v>
      </c>
      <c r="AF380" s="59">
        <v>7247.7925459062117</v>
      </c>
      <c r="AG380" s="59" t="s">
        <v>156</v>
      </c>
      <c r="AH380" s="59" t="s">
        <v>1284</v>
      </c>
    </row>
    <row r="381" spans="1:34" x14ac:dyDescent="0.35">
      <c r="A381" s="58">
        <v>2024</v>
      </c>
      <c r="B381" s="58">
        <v>8</v>
      </c>
      <c r="C381">
        <v>8</v>
      </c>
      <c r="D381" s="58" t="s">
        <v>615</v>
      </c>
      <c r="E381" t="s">
        <v>320</v>
      </c>
      <c r="F381" s="58" t="s">
        <v>168</v>
      </c>
      <c r="G381" t="s">
        <v>700</v>
      </c>
      <c r="H381" s="58" t="s">
        <v>4</v>
      </c>
      <c r="I381" t="s">
        <v>4</v>
      </c>
      <c r="J381" s="58" t="s">
        <v>4</v>
      </c>
      <c r="K381" t="s">
        <v>1429</v>
      </c>
      <c r="L381" t="s">
        <v>20</v>
      </c>
      <c r="M381" t="s">
        <v>1430</v>
      </c>
      <c r="N381" s="59">
        <v>57200</v>
      </c>
      <c r="O381" s="59">
        <v>1965849600</v>
      </c>
      <c r="P381" s="59">
        <v>11102144.942003515</v>
      </c>
      <c r="Q381" s="59">
        <v>0</v>
      </c>
      <c r="R381" s="59">
        <v>34722222.222222239</v>
      </c>
      <c r="S381" s="59">
        <v>1920025232.8357744</v>
      </c>
      <c r="T381" s="41"/>
      <c r="U381" s="41"/>
      <c r="V381" s="41"/>
      <c r="W381" s="41"/>
      <c r="X381" s="41"/>
      <c r="Y381" s="41"/>
      <c r="Z381" s="41"/>
      <c r="AA381" s="41"/>
      <c r="AB381" s="41"/>
      <c r="AC381" s="41"/>
      <c r="AD381" s="41"/>
      <c r="AE381" s="59">
        <v>77090.089104991843</v>
      </c>
      <c r="AF381" s="59">
        <v>78929.963127195457</v>
      </c>
      <c r="AG381" s="59" t="s">
        <v>99</v>
      </c>
      <c r="AH381" s="59" t="s">
        <v>1160</v>
      </c>
    </row>
    <row r="382" spans="1:34" x14ac:dyDescent="0.35">
      <c r="A382" s="58">
        <v>2024</v>
      </c>
      <c r="B382" s="58">
        <v>8</v>
      </c>
      <c r="C382">
        <v>8</v>
      </c>
      <c r="D382" s="58" t="s">
        <v>605</v>
      </c>
      <c r="E382" t="s">
        <v>479</v>
      </c>
      <c r="F382" s="58" t="s">
        <v>184</v>
      </c>
      <c r="G382" t="s">
        <v>717</v>
      </c>
      <c r="H382" s="58" t="s">
        <v>1428</v>
      </c>
      <c r="I382" t="s">
        <v>75</v>
      </c>
      <c r="J382" s="58" t="s">
        <v>75</v>
      </c>
      <c r="K382" t="s">
        <v>1429</v>
      </c>
      <c r="L382" t="s">
        <v>20</v>
      </c>
      <c r="M382" t="s">
        <v>1430</v>
      </c>
      <c r="N382" s="59">
        <v>11000</v>
      </c>
      <c r="O382" s="59">
        <v>399234000</v>
      </c>
      <c r="P382" s="59">
        <v>0</v>
      </c>
      <c r="Q382" s="59">
        <v>0</v>
      </c>
      <c r="R382" s="59">
        <v>11574074.074074103</v>
      </c>
      <c r="S382" s="59">
        <v>387659925.92592591</v>
      </c>
      <c r="T382" s="41"/>
      <c r="U382" s="41"/>
      <c r="V382" s="41"/>
      <c r="W382" s="41"/>
      <c r="X382" s="41"/>
      <c r="Y382" s="41"/>
      <c r="Z382" s="41"/>
      <c r="AA382" s="41"/>
      <c r="AB382" s="41"/>
      <c r="AC382" s="41"/>
      <c r="AD382" s="41"/>
      <c r="AE382" s="59">
        <v>15564.763275494044</v>
      </c>
      <c r="AF382" s="59">
        <v>16029.468835826887</v>
      </c>
      <c r="AG382" s="59" t="s">
        <v>5</v>
      </c>
      <c r="AH382" s="59" t="s">
        <v>1198</v>
      </c>
    </row>
    <row r="383" spans="1:34" x14ac:dyDescent="0.35">
      <c r="A383" s="58">
        <v>2024</v>
      </c>
      <c r="B383" s="58">
        <v>8</v>
      </c>
      <c r="C383">
        <v>8</v>
      </c>
      <c r="D383" s="58" t="s">
        <v>1502</v>
      </c>
      <c r="E383" t="s">
        <v>1236</v>
      </c>
      <c r="F383" s="58" t="s">
        <v>879</v>
      </c>
      <c r="G383" t="s">
        <v>880</v>
      </c>
      <c r="H383" s="58" t="s">
        <v>1234</v>
      </c>
      <c r="I383" t="s">
        <v>1234</v>
      </c>
      <c r="J383" s="58" t="s">
        <v>1234</v>
      </c>
      <c r="K383" t="s">
        <v>1429</v>
      </c>
      <c r="L383" t="s">
        <v>20</v>
      </c>
      <c r="M383" t="s">
        <v>1430</v>
      </c>
      <c r="N383" s="59">
        <v>380000</v>
      </c>
      <c r="O383" s="59">
        <v>7215000000</v>
      </c>
      <c r="P383" s="59">
        <v>0</v>
      </c>
      <c r="Q383" s="59">
        <v>531500000</v>
      </c>
      <c r="R383" s="59">
        <v>0</v>
      </c>
      <c r="S383" s="59">
        <v>6683500000</v>
      </c>
      <c r="T383" s="41"/>
      <c r="U383" s="41"/>
      <c r="V383" s="41"/>
      <c r="W383" s="41"/>
      <c r="X383" s="41"/>
      <c r="Y383" s="41"/>
      <c r="Z383" s="41"/>
      <c r="AA383" s="41"/>
      <c r="AB383" s="41"/>
      <c r="AC383" s="41"/>
      <c r="AD383" s="41"/>
      <c r="AE383" s="59">
        <v>268346.27051866578</v>
      </c>
      <c r="AF383" s="59">
        <v>289686.29337804642</v>
      </c>
      <c r="AG383" s="59" t="s">
        <v>1236</v>
      </c>
      <c r="AH383" s="59" t="s">
        <v>1235</v>
      </c>
    </row>
    <row r="384" spans="1:34" x14ac:dyDescent="0.35">
      <c r="A384" s="58">
        <v>2024</v>
      </c>
      <c r="B384" s="58">
        <v>8</v>
      </c>
      <c r="C384">
        <v>8</v>
      </c>
      <c r="D384" s="58" t="s">
        <v>1469</v>
      </c>
      <c r="E384" t="s">
        <v>1211</v>
      </c>
      <c r="F384" s="58" t="s">
        <v>1550</v>
      </c>
      <c r="G384" t="s">
        <v>1551</v>
      </c>
      <c r="H384" s="58" t="s">
        <v>1012</v>
      </c>
      <c r="I384" t="s">
        <v>86</v>
      </c>
      <c r="J384" s="58" t="s">
        <v>86</v>
      </c>
      <c r="K384" t="s">
        <v>1429</v>
      </c>
      <c r="L384" t="s">
        <v>20</v>
      </c>
      <c r="M384" t="s">
        <v>1430</v>
      </c>
      <c r="N384" s="59">
        <v>866</v>
      </c>
      <c r="O384" s="59">
        <v>16454000</v>
      </c>
      <c r="P384" s="59">
        <v>0</v>
      </c>
      <c r="Q384" s="59">
        <v>0</v>
      </c>
      <c r="R384" s="59">
        <v>0</v>
      </c>
      <c r="S384" s="59">
        <v>16454000</v>
      </c>
      <c r="T384" s="41"/>
      <c r="U384" s="41"/>
      <c r="V384" s="41"/>
      <c r="W384" s="41"/>
      <c r="X384" s="41"/>
      <c r="Y384" s="41"/>
      <c r="Z384" s="41"/>
      <c r="AA384" s="41"/>
      <c r="AB384" s="41"/>
      <c r="AC384" s="41"/>
      <c r="AD384" s="41"/>
      <c r="AE384" s="59">
        <v>660.63732103151438</v>
      </c>
      <c r="AF384" s="59">
        <v>660.63732103151438</v>
      </c>
      <c r="AG384" s="59" t="s">
        <v>1211</v>
      </c>
      <c r="AH384" s="59" t="s">
        <v>1227</v>
      </c>
    </row>
    <row r="385" spans="1:34" x14ac:dyDescent="0.35">
      <c r="A385" s="58">
        <v>2024</v>
      </c>
      <c r="B385" s="58">
        <v>8</v>
      </c>
      <c r="C385">
        <v>8</v>
      </c>
      <c r="D385" s="58" t="s">
        <v>1505</v>
      </c>
      <c r="E385" t="s">
        <v>1216</v>
      </c>
      <c r="F385" s="58" t="s">
        <v>1472</v>
      </c>
      <c r="G385" t="s">
        <v>1473</v>
      </c>
      <c r="H385" s="58" t="s">
        <v>1012</v>
      </c>
      <c r="I385" t="s">
        <v>86</v>
      </c>
      <c r="J385" s="58" t="s">
        <v>86</v>
      </c>
      <c r="K385" t="s">
        <v>1429</v>
      </c>
      <c r="L385" t="s">
        <v>20</v>
      </c>
      <c r="M385" t="s">
        <v>1430</v>
      </c>
      <c r="N385" s="59">
        <v>2330</v>
      </c>
      <c r="O385" s="59">
        <v>49396000</v>
      </c>
      <c r="P385" s="59">
        <v>0</v>
      </c>
      <c r="Q385" s="59">
        <v>0</v>
      </c>
      <c r="R385" s="59">
        <v>0</v>
      </c>
      <c r="S385" s="59">
        <v>49396000</v>
      </c>
      <c r="T385" s="41"/>
      <c r="U385" s="41"/>
      <c r="V385" s="41"/>
      <c r="W385" s="41"/>
      <c r="X385" s="41"/>
      <c r="Y385" s="41"/>
      <c r="Z385" s="41"/>
      <c r="AA385" s="41"/>
      <c r="AB385" s="41"/>
      <c r="AC385" s="41"/>
      <c r="AD385" s="41"/>
      <c r="AE385" s="59">
        <v>1983.2770821485767</v>
      </c>
      <c r="AF385" s="59">
        <v>1983.2770821485767</v>
      </c>
      <c r="AG385" s="59" t="s">
        <v>1216</v>
      </c>
      <c r="AH385" s="59" t="s">
        <v>1215</v>
      </c>
    </row>
    <row r="386" spans="1:34" x14ac:dyDescent="0.35">
      <c r="A386" s="58">
        <v>2024</v>
      </c>
      <c r="B386" s="58">
        <v>8</v>
      </c>
      <c r="C386">
        <v>8</v>
      </c>
      <c r="D386" s="58" t="s">
        <v>595</v>
      </c>
      <c r="E386" t="s">
        <v>478</v>
      </c>
      <c r="F386" s="58" t="s">
        <v>184</v>
      </c>
      <c r="G386" t="s">
        <v>717</v>
      </c>
      <c r="H386" s="58" t="s">
        <v>1428</v>
      </c>
      <c r="I386" t="s">
        <v>75</v>
      </c>
      <c r="J386" s="58" t="s">
        <v>75</v>
      </c>
      <c r="K386" t="s">
        <v>1429</v>
      </c>
      <c r="L386" t="s">
        <v>20</v>
      </c>
      <c r="M386" t="s">
        <v>1430</v>
      </c>
      <c r="N386" s="59">
        <v>22000</v>
      </c>
      <c r="O386" s="59">
        <v>772068000</v>
      </c>
      <c r="P386" s="59">
        <v>0</v>
      </c>
      <c r="Q386" s="59">
        <v>0</v>
      </c>
      <c r="R386" s="59">
        <v>0</v>
      </c>
      <c r="S386" s="59">
        <v>772068000</v>
      </c>
      <c r="T386" s="41"/>
      <c r="U386" s="41"/>
      <c r="V386" s="41"/>
      <c r="W386" s="41"/>
      <c r="X386" s="41"/>
      <c r="Y386" s="41"/>
      <c r="Z386" s="41"/>
      <c r="AA386" s="41"/>
      <c r="AB386" s="41"/>
      <c r="AC386" s="41"/>
      <c r="AD386" s="41"/>
      <c r="AE386" s="59">
        <v>30998.962876756974</v>
      </c>
      <c r="AF386" s="59">
        <v>30998.962876756974</v>
      </c>
      <c r="AG386" s="59" t="s">
        <v>5</v>
      </c>
      <c r="AH386" s="59" t="s">
        <v>1198</v>
      </c>
    </row>
    <row r="387" spans="1:34" x14ac:dyDescent="0.35">
      <c r="A387" s="58">
        <v>2024</v>
      </c>
      <c r="B387" s="58">
        <v>8</v>
      </c>
      <c r="C387">
        <v>8</v>
      </c>
      <c r="D387" s="58" t="s">
        <v>595</v>
      </c>
      <c r="E387" t="s">
        <v>478</v>
      </c>
      <c r="F387" s="58" t="s">
        <v>171</v>
      </c>
      <c r="G387" t="s">
        <v>731</v>
      </c>
      <c r="H387" s="58" t="s">
        <v>4</v>
      </c>
      <c r="I387" t="s">
        <v>4</v>
      </c>
      <c r="J387" s="58" t="s">
        <v>4</v>
      </c>
      <c r="K387" t="s">
        <v>1429</v>
      </c>
      <c r="L387" t="s">
        <v>20</v>
      </c>
      <c r="M387" t="s">
        <v>1430</v>
      </c>
      <c r="N387" s="59">
        <v>22000</v>
      </c>
      <c r="O387" s="59">
        <v>714846000</v>
      </c>
      <c r="P387" s="59">
        <v>4270055.7469244292</v>
      </c>
      <c r="Q387" s="59">
        <v>0</v>
      </c>
      <c r="R387" s="59">
        <v>0</v>
      </c>
      <c r="S387" s="59">
        <v>710575944.2530756</v>
      </c>
      <c r="T387" s="41"/>
      <c r="U387" s="41"/>
      <c r="V387" s="41"/>
      <c r="W387" s="41"/>
      <c r="X387" s="41"/>
      <c r="Y387" s="41"/>
      <c r="Z387" s="41"/>
      <c r="AA387" s="41"/>
      <c r="AB387" s="41"/>
      <c r="AC387" s="41"/>
      <c r="AD387" s="41"/>
      <c r="AE387" s="59">
        <v>28530.022377585425</v>
      </c>
      <c r="AF387" s="59">
        <v>28701.467508818154</v>
      </c>
      <c r="AG387" s="59" t="s">
        <v>5</v>
      </c>
      <c r="AH387" s="59" t="s">
        <v>1166</v>
      </c>
    </row>
    <row r="388" spans="1:34" x14ac:dyDescent="0.35">
      <c r="A388" s="58">
        <v>2024</v>
      </c>
      <c r="B388" s="58">
        <v>8</v>
      </c>
      <c r="C388">
        <v>8</v>
      </c>
      <c r="D388" s="58" t="s">
        <v>595</v>
      </c>
      <c r="E388" t="s">
        <v>478</v>
      </c>
      <c r="F388" s="58" t="s">
        <v>187</v>
      </c>
      <c r="G388" t="s">
        <v>869</v>
      </c>
      <c r="H388" s="58" t="s">
        <v>1428</v>
      </c>
      <c r="I388" t="s">
        <v>75</v>
      </c>
      <c r="J388" s="58" t="s">
        <v>75</v>
      </c>
      <c r="K388" t="s">
        <v>1429</v>
      </c>
      <c r="L388" t="s">
        <v>20</v>
      </c>
      <c r="M388" t="s">
        <v>1430</v>
      </c>
      <c r="N388" s="59">
        <v>5500</v>
      </c>
      <c r="O388" s="59">
        <v>186153000</v>
      </c>
      <c r="P388" s="59">
        <v>0</v>
      </c>
      <c r="Q388" s="59">
        <v>0</v>
      </c>
      <c r="R388" s="59">
        <v>0</v>
      </c>
      <c r="S388" s="59">
        <v>186153000</v>
      </c>
      <c r="T388" s="41"/>
      <c r="U388" s="41"/>
      <c r="V388" s="41"/>
      <c r="W388" s="41"/>
      <c r="X388" s="41"/>
      <c r="Y388" s="41"/>
      <c r="Z388" s="41"/>
      <c r="AA388" s="41"/>
      <c r="AB388" s="41"/>
      <c r="AC388" s="41"/>
      <c r="AD388" s="41"/>
      <c r="AE388" s="59">
        <v>7474.1472725160747</v>
      </c>
      <c r="AF388" s="59">
        <v>7474.1472725160747</v>
      </c>
      <c r="AG388" s="59" t="s">
        <v>5</v>
      </c>
      <c r="AH388" s="59" t="s">
        <v>1203</v>
      </c>
    </row>
    <row r="389" spans="1:34" x14ac:dyDescent="0.35">
      <c r="A389" s="58">
        <v>2024</v>
      </c>
      <c r="B389" s="58">
        <v>8</v>
      </c>
      <c r="C389">
        <v>8</v>
      </c>
      <c r="D389" s="58" t="s">
        <v>595</v>
      </c>
      <c r="E389" t="s">
        <v>478</v>
      </c>
      <c r="F389" s="58" t="s">
        <v>188</v>
      </c>
      <c r="G389" t="s">
        <v>872</v>
      </c>
      <c r="H389" s="58" t="s">
        <v>1428</v>
      </c>
      <c r="I389" t="s">
        <v>75</v>
      </c>
      <c r="J389" s="58" t="s">
        <v>75</v>
      </c>
      <c r="K389" t="s">
        <v>1429</v>
      </c>
      <c r="L389" t="s">
        <v>20</v>
      </c>
      <c r="M389" t="s">
        <v>1430</v>
      </c>
      <c r="N389" s="59">
        <v>16500</v>
      </c>
      <c r="O389" s="59">
        <v>558459000</v>
      </c>
      <c r="P389" s="59">
        <v>0</v>
      </c>
      <c r="Q389" s="59">
        <v>0</v>
      </c>
      <c r="R389" s="59">
        <v>0</v>
      </c>
      <c r="S389" s="59">
        <v>558459000</v>
      </c>
      <c r="T389" s="41"/>
      <c r="U389" s="41"/>
      <c r="V389" s="41"/>
      <c r="W389" s="41"/>
      <c r="X389" s="41"/>
      <c r="Y389" s="41"/>
      <c r="Z389" s="41"/>
      <c r="AA389" s="41"/>
      <c r="AB389" s="41"/>
      <c r="AC389" s="41"/>
      <c r="AD389" s="41"/>
      <c r="AE389" s="59">
        <v>22422.441817548224</v>
      </c>
      <c r="AF389" s="59">
        <v>22422.441817548224</v>
      </c>
      <c r="AG389" s="59" t="s">
        <v>5</v>
      </c>
      <c r="AH389" s="59" t="s">
        <v>1204</v>
      </c>
    </row>
    <row r="390" spans="1:34" x14ac:dyDescent="0.35">
      <c r="A390" s="58">
        <v>2024</v>
      </c>
      <c r="B390" s="58">
        <v>8</v>
      </c>
      <c r="C390">
        <v>8</v>
      </c>
      <c r="D390" s="58" t="s">
        <v>595</v>
      </c>
      <c r="E390" t="s">
        <v>478</v>
      </c>
      <c r="F390" s="58" t="s">
        <v>191</v>
      </c>
      <c r="G390" t="s">
        <v>941</v>
      </c>
      <c r="H390" s="58" t="s">
        <v>1428</v>
      </c>
      <c r="I390" t="s">
        <v>75</v>
      </c>
      <c r="J390" s="58" t="s">
        <v>75</v>
      </c>
      <c r="K390" t="s">
        <v>1429</v>
      </c>
      <c r="L390" t="s">
        <v>20</v>
      </c>
      <c r="M390" t="s">
        <v>1430</v>
      </c>
      <c r="N390" s="59">
        <v>11000</v>
      </c>
      <c r="O390" s="59">
        <v>386034000</v>
      </c>
      <c r="P390" s="59">
        <v>0</v>
      </c>
      <c r="Q390" s="59">
        <v>0</v>
      </c>
      <c r="R390" s="59">
        <v>0</v>
      </c>
      <c r="S390" s="59">
        <v>386034000</v>
      </c>
      <c r="T390" s="41"/>
      <c r="U390" s="41"/>
      <c r="V390" s="41"/>
      <c r="W390" s="41"/>
      <c r="X390" s="41"/>
      <c r="Y390" s="41"/>
      <c r="Z390" s="41"/>
      <c r="AA390" s="41"/>
      <c r="AB390" s="41"/>
      <c r="AC390" s="41"/>
      <c r="AD390" s="41"/>
      <c r="AE390" s="59">
        <v>15499.481438378487</v>
      </c>
      <c r="AF390" s="59">
        <v>15499.481438378487</v>
      </c>
      <c r="AG390" s="59" t="s">
        <v>5</v>
      </c>
      <c r="AH390" s="59" t="s">
        <v>1208</v>
      </c>
    </row>
    <row r="391" spans="1:34" x14ac:dyDescent="0.35">
      <c r="A391" s="58">
        <v>2024</v>
      </c>
      <c r="B391" s="58">
        <v>8</v>
      </c>
      <c r="C391">
        <v>8</v>
      </c>
      <c r="D391" s="58" t="s">
        <v>1518</v>
      </c>
      <c r="E391" t="s">
        <v>1172</v>
      </c>
      <c r="F391" s="58" t="s">
        <v>171</v>
      </c>
      <c r="G391" t="s">
        <v>731</v>
      </c>
      <c r="H391" s="58" t="s">
        <v>4</v>
      </c>
      <c r="I391" t="s">
        <v>4</v>
      </c>
      <c r="J391" s="58" t="s">
        <v>4</v>
      </c>
      <c r="K391" t="s">
        <v>1429</v>
      </c>
      <c r="L391" t="s">
        <v>20</v>
      </c>
      <c r="M391" t="s">
        <v>1430</v>
      </c>
      <c r="N391" s="59">
        <v>300</v>
      </c>
      <c r="O391" s="59">
        <v>9960000</v>
      </c>
      <c r="P391" s="59">
        <v>213502.78734622145</v>
      </c>
      <c r="Q391" s="59">
        <v>0</v>
      </c>
      <c r="R391" s="59">
        <v>0</v>
      </c>
      <c r="S391" s="59">
        <v>9746497.2126537785</v>
      </c>
      <c r="T391" s="41"/>
      <c r="U391" s="41"/>
      <c r="V391" s="41"/>
      <c r="W391" s="41"/>
      <c r="X391" s="41"/>
      <c r="Y391" s="41"/>
      <c r="Z391" s="41"/>
      <c r="AA391" s="41"/>
      <c r="AB391" s="41"/>
      <c r="AC391" s="41"/>
      <c r="AD391" s="41"/>
      <c r="AE391" s="59">
        <v>391.32732514942956</v>
      </c>
      <c r="AF391" s="59">
        <v>399.89958171106616</v>
      </c>
      <c r="AG391" s="59" t="s">
        <v>1172</v>
      </c>
      <c r="AH391" s="59" t="s">
        <v>1166</v>
      </c>
    </row>
    <row r="392" spans="1:34" x14ac:dyDescent="0.35">
      <c r="A392" s="58">
        <v>2024</v>
      </c>
      <c r="B392" s="58">
        <v>8</v>
      </c>
      <c r="C392">
        <v>8</v>
      </c>
      <c r="D392" s="58" t="s">
        <v>1518</v>
      </c>
      <c r="E392" t="s">
        <v>1172</v>
      </c>
      <c r="F392" s="58" t="s">
        <v>784</v>
      </c>
      <c r="G392" t="s">
        <v>785</v>
      </c>
      <c r="H392" s="58" t="s">
        <v>4</v>
      </c>
      <c r="I392" t="s">
        <v>4</v>
      </c>
      <c r="J392" s="58" t="s">
        <v>4</v>
      </c>
      <c r="K392" t="s">
        <v>1429</v>
      </c>
      <c r="L392" t="s">
        <v>20</v>
      </c>
      <c r="M392" t="s">
        <v>1430</v>
      </c>
      <c r="N392" s="59">
        <v>300</v>
      </c>
      <c r="O392" s="59">
        <v>9551400</v>
      </c>
      <c r="P392" s="59">
        <v>213502.78734622145</v>
      </c>
      <c r="Q392" s="59">
        <v>0</v>
      </c>
      <c r="R392" s="59">
        <v>0</v>
      </c>
      <c r="S392" s="59">
        <v>9337897.2126537785</v>
      </c>
      <c r="T392" s="41"/>
      <c r="U392" s="41"/>
      <c r="V392" s="41"/>
      <c r="W392" s="41"/>
      <c r="X392" s="41"/>
      <c r="Y392" s="41"/>
      <c r="Z392" s="41"/>
      <c r="AA392" s="41"/>
      <c r="AB392" s="41"/>
      <c r="AC392" s="41"/>
      <c r="AD392" s="41"/>
      <c r="AE392" s="59">
        <v>374.9218061647768</v>
      </c>
      <c r="AF392" s="59">
        <v>383.4940627264134</v>
      </c>
      <c r="AG392" s="59" t="s">
        <v>1172</v>
      </c>
      <c r="AH392" s="59" t="s">
        <v>1186</v>
      </c>
    </row>
    <row r="393" spans="1:34" x14ac:dyDescent="0.35">
      <c r="A393" s="58">
        <v>2024</v>
      </c>
      <c r="B393" s="58">
        <v>8</v>
      </c>
      <c r="C393">
        <v>8</v>
      </c>
      <c r="D393" s="58" t="s">
        <v>684</v>
      </c>
      <c r="E393" t="s">
        <v>63</v>
      </c>
      <c r="F393" s="58" t="s">
        <v>214</v>
      </c>
      <c r="G393" t="s">
        <v>902</v>
      </c>
      <c r="H393" s="58" t="s">
        <v>21</v>
      </c>
      <c r="I393" t="s">
        <v>21</v>
      </c>
      <c r="J393" s="58" t="s">
        <v>21</v>
      </c>
      <c r="K393" t="s">
        <v>1429</v>
      </c>
      <c r="L393" t="s">
        <v>20</v>
      </c>
      <c r="M393" t="s">
        <v>1430</v>
      </c>
      <c r="N393" s="59">
        <v>7000</v>
      </c>
      <c r="O393" s="59">
        <v>175000000</v>
      </c>
      <c r="P393" s="59">
        <v>0</v>
      </c>
      <c r="Q393" s="59">
        <v>0</v>
      </c>
      <c r="R393" s="59">
        <v>0</v>
      </c>
      <c r="S393" s="59">
        <v>175000000</v>
      </c>
      <c r="T393" s="41"/>
      <c r="U393" s="41"/>
      <c r="V393" s="41"/>
      <c r="W393" s="41"/>
      <c r="X393" s="41"/>
      <c r="Y393" s="41"/>
      <c r="Z393" s="41"/>
      <c r="AA393" s="41"/>
      <c r="AB393" s="41"/>
      <c r="AC393" s="41"/>
      <c r="AD393" s="41"/>
      <c r="AE393" s="59">
        <v>7026.3480722325885</v>
      </c>
      <c r="AF393" s="59">
        <v>7026.3480722325885</v>
      </c>
      <c r="AG393" s="59" t="s">
        <v>63</v>
      </c>
      <c r="AH393" s="59" t="s">
        <v>1355</v>
      </c>
    </row>
    <row r="394" spans="1:34" x14ac:dyDescent="0.35">
      <c r="A394" s="58">
        <v>2024</v>
      </c>
      <c r="B394" s="58">
        <v>8</v>
      </c>
      <c r="C394">
        <v>8</v>
      </c>
      <c r="D394" s="58" t="s">
        <v>596</v>
      </c>
      <c r="E394" t="s">
        <v>266</v>
      </c>
      <c r="F394" s="58" t="s">
        <v>171</v>
      </c>
      <c r="G394" t="s">
        <v>731</v>
      </c>
      <c r="H394" s="58" t="s">
        <v>4</v>
      </c>
      <c r="I394" t="s">
        <v>4</v>
      </c>
      <c r="J394" s="58" t="s">
        <v>4</v>
      </c>
      <c r="K394" t="s">
        <v>1429</v>
      </c>
      <c r="L394" t="s">
        <v>20</v>
      </c>
      <c r="M394" t="s">
        <v>1430</v>
      </c>
      <c r="N394" s="59">
        <v>99000</v>
      </c>
      <c r="O394" s="59">
        <v>3200457150</v>
      </c>
      <c r="P394" s="59">
        <v>19215250.861159932</v>
      </c>
      <c r="Q394" s="59">
        <v>0</v>
      </c>
      <c r="R394" s="59">
        <v>0</v>
      </c>
      <c r="S394" s="59">
        <v>3181241899.1388402</v>
      </c>
      <c r="T394" s="41"/>
      <c r="U394" s="41"/>
      <c r="V394" s="41"/>
      <c r="W394" s="41"/>
      <c r="X394" s="41"/>
      <c r="Y394" s="41"/>
      <c r="Z394" s="41"/>
      <c r="AA394" s="41"/>
      <c r="AB394" s="41"/>
      <c r="AC394" s="41"/>
      <c r="AD394" s="41"/>
      <c r="AE394" s="59">
        <v>127728.64505896988</v>
      </c>
      <c r="AF394" s="59">
        <v>128500.14814951716</v>
      </c>
      <c r="AG394" s="59" t="s">
        <v>100</v>
      </c>
      <c r="AH394" s="59" t="s">
        <v>1166</v>
      </c>
    </row>
    <row r="395" spans="1:34" x14ac:dyDescent="0.35">
      <c r="A395" s="58">
        <v>2024</v>
      </c>
      <c r="B395" s="58">
        <v>8</v>
      </c>
      <c r="C395">
        <v>8</v>
      </c>
      <c r="D395" s="58" t="s">
        <v>610</v>
      </c>
      <c r="E395" t="s">
        <v>44</v>
      </c>
      <c r="F395" s="58" t="s">
        <v>184</v>
      </c>
      <c r="G395" t="s">
        <v>717</v>
      </c>
      <c r="H395" s="58" t="s">
        <v>1428</v>
      </c>
      <c r="I395" t="s">
        <v>75</v>
      </c>
      <c r="J395" s="58" t="s">
        <v>75</v>
      </c>
      <c r="K395" t="s">
        <v>1429</v>
      </c>
      <c r="L395" t="s">
        <v>20</v>
      </c>
      <c r="M395" t="s">
        <v>1431</v>
      </c>
      <c r="N395" s="59">
        <v>-11650</v>
      </c>
      <c r="O395" s="59">
        <v>0</v>
      </c>
      <c r="P395" s="59">
        <v>0</v>
      </c>
      <c r="Q395" s="59">
        <v>0</v>
      </c>
      <c r="R395" s="59">
        <v>0</v>
      </c>
      <c r="S395" s="59">
        <v>0</v>
      </c>
      <c r="T395" s="41"/>
      <c r="U395" s="41"/>
      <c r="V395" s="41"/>
      <c r="W395" s="41"/>
      <c r="X395" s="41"/>
      <c r="Y395" s="41"/>
      <c r="Z395" s="41"/>
      <c r="AA395" s="41"/>
      <c r="AB395" s="41"/>
      <c r="AC395" s="41"/>
      <c r="AD395" s="41"/>
      <c r="AE395" s="59">
        <v>0</v>
      </c>
      <c r="AF395" s="59">
        <v>0</v>
      </c>
      <c r="AG395" s="59" t="s">
        <v>44</v>
      </c>
      <c r="AH395" s="59" t="s">
        <v>1198</v>
      </c>
    </row>
    <row r="396" spans="1:34" x14ac:dyDescent="0.35">
      <c r="A396" s="58">
        <v>2024</v>
      </c>
      <c r="B396" s="58">
        <v>8</v>
      </c>
      <c r="C396">
        <v>8</v>
      </c>
      <c r="D396" s="58" t="s">
        <v>610</v>
      </c>
      <c r="E396" t="s">
        <v>44</v>
      </c>
      <c r="F396" s="58" t="s">
        <v>184</v>
      </c>
      <c r="G396" t="s">
        <v>717</v>
      </c>
      <c r="H396" s="58" t="s">
        <v>1428</v>
      </c>
      <c r="I396" t="s">
        <v>75</v>
      </c>
      <c r="J396" s="58" t="s">
        <v>75</v>
      </c>
      <c r="K396" t="s">
        <v>1429</v>
      </c>
      <c r="L396" t="s">
        <v>20</v>
      </c>
      <c r="M396" t="s">
        <v>1430</v>
      </c>
      <c r="N396" s="59">
        <v>44000</v>
      </c>
      <c r="O396" s="59">
        <v>1512027000</v>
      </c>
      <c r="P396" s="59">
        <v>0</v>
      </c>
      <c r="Q396" s="59">
        <v>0</v>
      </c>
      <c r="R396" s="59">
        <v>0</v>
      </c>
      <c r="S396" s="59">
        <v>1512027000</v>
      </c>
      <c r="T396" s="41"/>
      <c r="U396" s="41"/>
      <c r="V396" s="41"/>
      <c r="W396" s="41"/>
      <c r="X396" s="41"/>
      <c r="Y396" s="41"/>
      <c r="Z396" s="41"/>
      <c r="AA396" s="41"/>
      <c r="AB396" s="41"/>
      <c r="AC396" s="41"/>
      <c r="AD396" s="41"/>
      <c r="AE396" s="59">
        <v>60708.731409220709</v>
      </c>
      <c r="AF396" s="59">
        <v>60708.731409220709</v>
      </c>
      <c r="AG396" s="59" t="s">
        <v>44</v>
      </c>
      <c r="AH396" s="59" t="s">
        <v>1198</v>
      </c>
    </row>
    <row r="397" spans="1:34" x14ac:dyDescent="0.35">
      <c r="A397" s="58">
        <v>2024</v>
      </c>
      <c r="B397" s="58">
        <v>8</v>
      </c>
      <c r="C397">
        <v>8</v>
      </c>
      <c r="D397" s="58" t="s">
        <v>610</v>
      </c>
      <c r="E397" t="s">
        <v>44</v>
      </c>
      <c r="F397" s="58" t="s">
        <v>184</v>
      </c>
      <c r="G397" t="s">
        <v>717</v>
      </c>
      <c r="H397" s="58" t="s">
        <v>1428</v>
      </c>
      <c r="I397" t="s">
        <v>75</v>
      </c>
      <c r="J397" s="58" t="s">
        <v>75</v>
      </c>
      <c r="K397" t="s">
        <v>1429</v>
      </c>
      <c r="L397" t="s">
        <v>20</v>
      </c>
      <c r="M397" t="s">
        <v>1432</v>
      </c>
      <c r="N397" s="59">
        <v>11650</v>
      </c>
      <c r="O397" s="59">
        <v>0</v>
      </c>
      <c r="P397" s="59">
        <v>0</v>
      </c>
      <c r="Q397" s="59">
        <v>0</v>
      </c>
      <c r="R397" s="59">
        <v>0</v>
      </c>
      <c r="S397" s="59">
        <v>0</v>
      </c>
      <c r="T397" s="41"/>
      <c r="U397" s="41"/>
      <c r="V397" s="41"/>
      <c r="W397" s="41"/>
      <c r="X397" s="41"/>
      <c r="Y397" s="41"/>
      <c r="Z397" s="41"/>
      <c r="AA397" s="41"/>
      <c r="AB397" s="41"/>
      <c r="AC397" s="41"/>
      <c r="AD397" s="41"/>
      <c r="AE397" s="59">
        <v>0</v>
      </c>
      <c r="AF397" s="59">
        <v>0</v>
      </c>
      <c r="AG397" s="59" t="s">
        <v>44</v>
      </c>
      <c r="AH397" s="59" t="s">
        <v>1198</v>
      </c>
    </row>
    <row r="398" spans="1:34" x14ac:dyDescent="0.35">
      <c r="A398" s="58">
        <v>2024</v>
      </c>
      <c r="B398" s="58">
        <v>8</v>
      </c>
      <c r="C398">
        <v>8</v>
      </c>
      <c r="D398" s="58" t="s">
        <v>594</v>
      </c>
      <c r="E398" t="s">
        <v>267</v>
      </c>
      <c r="F398" s="58" t="s">
        <v>174</v>
      </c>
      <c r="G398" t="s">
        <v>740</v>
      </c>
      <c r="H398" s="58" t="s">
        <v>4</v>
      </c>
      <c r="I398" t="s">
        <v>4</v>
      </c>
      <c r="J398" s="58" t="s">
        <v>4</v>
      </c>
      <c r="K398" t="s">
        <v>1429</v>
      </c>
      <c r="L398" t="s">
        <v>20</v>
      </c>
      <c r="M398" t="s">
        <v>1430</v>
      </c>
      <c r="N398" s="59">
        <v>5500</v>
      </c>
      <c r="O398" s="59">
        <v>168300000</v>
      </c>
      <c r="P398" s="59">
        <v>1067513.9367311073</v>
      </c>
      <c r="Q398" s="59">
        <v>0</v>
      </c>
      <c r="R398" s="59">
        <v>0</v>
      </c>
      <c r="S398" s="59">
        <v>167232486.0632689</v>
      </c>
      <c r="T398" s="41"/>
      <c r="U398" s="41"/>
      <c r="V398" s="41"/>
      <c r="W398" s="41"/>
      <c r="X398" s="41"/>
      <c r="Y398" s="41"/>
      <c r="Z398" s="41"/>
      <c r="AA398" s="41"/>
      <c r="AB398" s="41"/>
      <c r="AC398" s="41"/>
      <c r="AD398" s="41"/>
      <c r="AE398" s="59">
        <v>6714.4780346589296</v>
      </c>
      <c r="AF398" s="59">
        <v>6757.3393174671119</v>
      </c>
      <c r="AG398" s="59" t="s">
        <v>22</v>
      </c>
      <c r="AH398" s="59" t="s">
        <v>1185</v>
      </c>
    </row>
    <row r="399" spans="1:34" x14ac:dyDescent="0.35">
      <c r="A399" s="58">
        <v>2024</v>
      </c>
      <c r="B399" s="58">
        <v>8</v>
      </c>
      <c r="C399">
        <v>8</v>
      </c>
      <c r="D399" s="58" t="s">
        <v>1558</v>
      </c>
      <c r="E399" t="s">
        <v>1223</v>
      </c>
      <c r="F399" s="58" t="s">
        <v>841</v>
      </c>
      <c r="G399" t="s">
        <v>842</v>
      </c>
      <c r="H399" s="58" t="s">
        <v>1012</v>
      </c>
      <c r="I399" t="s">
        <v>86</v>
      </c>
      <c r="J399" s="58" t="s">
        <v>86</v>
      </c>
      <c r="K399" t="s">
        <v>1429</v>
      </c>
      <c r="L399" t="s">
        <v>20</v>
      </c>
      <c r="M399" t="s">
        <v>1430</v>
      </c>
      <c r="N399" s="59">
        <v>20349</v>
      </c>
      <c r="O399" s="59">
        <v>101745000</v>
      </c>
      <c r="P399" s="59">
        <v>0</v>
      </c>
      <c r="Q399" s="59">
        <v>0</v>
      </c>
      <c r="R399" s="59">
        <v>0</v>
      </c>
      <c r="S399" s="59">
        <v>101745000</v>
      </c>
      <c r="T399" s="41"/>
      <c r="U399" s="41"/>
      <c r="V399" s="41"/>
      <c r="W399" s="41"/>
      <c r="X399" s="41"/>
      <c r="Y399" s="41"/>
      <c r="Z399" s="41"/>
      <c r="AA399" s="41"/>
      <c r="AB399" s="41"/>
      <c r="AC399" s="41"/>
      <c r="AD399" s="41"/>
      <c r="AE399" s="59">
        <v>4085.1187691960267</v>
      </c>
      <c r="AF399" s="59">
        <v>4085.1187691960267</v>
      </c>
      <c r="AG399" s="59" t="s">
        <v>1223</v>
      </c>
      <c r="AH399" s="59" t="s">
        <v>1222</v>
      </c>
    </row>
    <row r="400" spans="1:34" x14ac:dyDescent="0.35">
      <c r="A400" s="58">
        <v>2024</v>
      </c>
      <c r="B400" s="58">
        <v>8</v>
      </c>
      <c r="C400">
        <v>8</v>
      </c>
      <c r="D400" s="58" t="s">
        <v>1558</v>
      </c>
      <c r="E400" t="s">
        <v>1223</v>
      </c>
      <c r="F400" s="58" t="s">
        <v>843</v>
      </c>
      <c r="G400" t="s">
        <v>844</v>
      </c>
      <c r="H400" s="58" t="s">
        <v>1012</v>
      </c>
      <c r="I400" t="s">
        <v>86</v>
      </c>
      <c r="J400" s="58" t="s">
        <v>86</v>
      </c>
      <c r="K400" t="s">
        <v>1429</v>
      </c>
      <c r="L400" t="s">
        <v>20</v>
      </c>
      <c r="M400" t="s">
        <v>1430</v>
      </c>
      <c r="N400" s="59">
        <v>54750</v>
      </c>
      <c r="O400" s="59">
        <v>273750000</v>
      </c>
      <c r="P400" s="59">
        <v>0</v>
      </c>
      <c r="Q400" s="59">
        <v>0</v>
      </c>
      <c r="R400" s="59">
        <v>0</v>
      </c>
      <c r="S400" s="59">
        <v>273750000</v>
      </c>
      <c r="T400" s="41"/>
      <c r="U400" s="41"/>
      <c r="V400" s="41"/>
      <c r="W400" s="41"/>
      <c r="X400" s="41"/>
      <c r="Y400" s="41"/>
      <c r="Z400" s="41"/>
      <c r="AA400" s="41"/>
      <c r="AB400" s="41"/>
      <c r="AC400" s="41"/>
      <c r="AD400" s="41"/>
      <c r="AE400" s="59">
        <v>10991.215912992406</v>
      </c>
      <c r="AF400" s="59">
        <v>10991.215912992406</v>
      </c>
      <c r="AG400" s="59" t="s">
        <v>1223</v>
      </c>
      <c r="AH400" s="59" t="s">
        <v>1224</v>
      </c>
    </row>
    <row r="401" spans="1:34" x14ac:dyDescent="0.35">
      <c r="A401" s="58">
        <v>2024</v>
      </c>
      <c r="B401" s="58">
        <v>8</v>
      </c>
      <c r="C401">
        <v>8</v>
      </c>
      <c r="D401" s="58" t="s">
        <v>1558</v>
      </c>
      <c r="E401" t="s">
        <v>1223</v>
      </c>
      <c r="F401" s="58" t="s">
        <v>845</v>
      </c>
      <c r="G401" t="s">
        <v>846</v>
      </c>
      <c r="H401" s="58" t="s">
        <v>1012</v>
      </c>
      <c r="I401" t="s">
        <v>86</v>
      </c>
      <c r="J401" s="58" t="s">
        <v>86</v>
      </c>
      <c r="K401" t="s">
        <v>1429</v>
      </c>
      <c r="L401" t="s">
        <v>20</v>
      </c>
      <c r="M401" t="s">
        <v>1430</v>
      </c>
      <c r="N401" s="59">
        <v>56821</v>
      </c>
      <c r="O401" s="59">
        <v>284105000</v>
      </c>
      <c r="P401" s="59">
        <v>0</v>
      </c>
      <c r="Q401" s="59">
        <v>0</v>
      </c>
      <c r="R401" s="59">
        <v>0</v>
      </c>
      <c r="S401" s="59">
        <v>284105000</v>
      </c>
      <c r="T401" s="41"/>
      <c r="U401" s="41"/>
      <c r="V401" s="41"/>
      <c r="W401" s="41"/>
      <c r="X401" s="41"/>
      <c r="Y401" s="41"/>
      <c r="Z401" s="41"/>
      <c r="AA401" s="41"/>
      <c r="AB401" s="41"/>
      <c r="AC401" s="41"/>
      <c r="AD401" s="41"/>
      <c r="AE401" s="59">
        <v>11406.974966066515</v>
      </c>
      <c r="AF401" s="59">
        <v>11406.974966066515</v>
      </c>
      <c r="AG401" s="59" t="s">
        <v>1223</v>
      </c>
      <c r="AH401" s="59" t="s">
        <v>1225</v>
      </c>
    </row>
    <row r="402" spans="1:34" x14ac:dyDescent="0.35">
      <c r="A402" s="58">
        <v>2024</v>
      </c>
      <c r="B402" s="58">
        <v>8</v>
      </c>
      <c r="C402">
        <v>8</v>
      </c>
      <c r="D402" s="58" t="s">
        <v>1558</v>
      </c>
      <c r="E402" t="s">
        <v>1223</v>
      </c>
      <c r="F402" s="58" t="s">
        <v>847</v>
      </c>
      <c r="G402" t="s">
        <v>848</v>
      </c>
      <c r="H402" s="58" t="s">
        <v>1012</v>
      </c>
      <c r="I402" t="s">
        <v>86</v>
      </c>
      <c r="J402" s="58" t="s">
        <v>86</v>
      </c>
      <c r="K402" t="s">
        <v>1429</v>
      </c>
      <c r="L402" t="s">
        <v>20</v>
      </c>
      <c r="M402" t="s">
        <v>1430</v>
      </c>
      <c r="N402" s="59">
        <v>58060</v>
      </c>
      <c r="O402" s="59">
        <v>290300000</v>
      </c>
      <c r="P402" s="59">
        <v>0</v>
      </c>
      <c r="Q402" s="59">
        <v>0</v>
      </c>
      <c r="R402" s="59">
        <v>0</v>
      </c>
      <c r="S402" s="59">
        <v>290300000</v>
      </c>
      <c r="T402" s="41"/>
      <c r="U402" s="41"/>
      <c r="V402" s="41"/>
      <c r="W402" s="41"/>
      <c r="X402" s="41"/>
      <c r="Y402" s="41"/>
      <c r="Z402" s="41"/>
      <c r="AA402" s="41"/>
      <c r="AB402" s="41"/>
      <c r="AC402" s="41"/>
      <c r="AD402" s="41"/>
      <c r="AE402" s="59">
        <v>11655.707687823546</v>
      </c>
      <c r="AF402" s="59">
        <v>11655.707687823546</v>
      </c>
      <c r="AG402" s="59" t="s">
        <v>1223</v>
      </c>
      <c r="AH402" s="59" t="s">
        <v>1226</v>
      </c>
    </row>
    <row r="403" spans="1:34" x14ac:dyDescent="0.35">
      <c r="A403" s="58">
        <v>2024</v>
      </c>
      <c r="B403" s="58">
        <v>8</v>
      </c>
      <c r="C403">
        <v>8</v>
      </c>
      <c r="D403" s="58" t="s">
        <v>652</v>
      </c>
      <c r="E403" t="s">
        <v>71</v>
      </c>
      <c r="F403" s="58" t="s">
        <v>171</v>
      </c>
      <c r="G403" t="s">
        <v>731</v>
      </c>
      <c r="H403" s="58" t="s">
        <v>4</v>
      </c>
      <c r="I403" t="s">
        <v>4</v>
      </c>
      <c r="J403" s="58" t="s">
        <v>4</v>
      </c>
      <c r="K403" t="s">
        <v>1429</v>
      </c>
      <c r="L403" t="s">
        <v>20</v>
      </c>
      <c r="M403" t="s">
        <v>1430</v>
      </c>
      <c r="N403" s="59">
        <v>100</v>
      </c>
      <c r="O403" s="59">
        <v>3309100</v>
      </c>
      <c r="P403" s="59">
        <v>0</v>
      </c>
      <c r="Q403" s="59">
        <v>0</v>
      </c>
      <c r="R403" s="59">
        <v>0</v>
      </c>
      <c r="S403" s="59">
        <v>3309100</v>
      </c>
      <c r="T403" s="41"/>
      <c r="U403" s="41"/>
      <c r="V403" s="41"/>
      <c r="W403" s="41"/>
      <c r="X403" s="41"/>
      <c r="Y403" s="41"/>
      <c r="Z403" s="41"/>
      <c r="AA403" s="41"/>
      <c r="AB403" s="41"/>
      <c r="AC403" s="41"/>
      <c r="AD403" s="41"/>
      <c r="AE403" s="59">
        <v>132.86221946185634</v>
      </c>
      <c r="AF403" s="59">
        <v>132.86221946185634</v>
      </c>
      <c r="AG403" s="59" t="s">
        <v>71</v>
      </c>
      <c r="AH403" s="59" t="s">
        <v>1166</v>
      </c>
    </row>
    <row r="404" spans="1:34" x14ac:dyDescent="0.35">
      <c r="A404" s="58">
        <v>2024</v>
      </c>
      <c r="B404" s="58">
        <v>8</v>
      </c>
      <c r="C404">
        <v>8</v>
      </c>
      <c r="D404" s="58" t="s">
        <v>652</v>
      </c>
      <c r="E404" t="s">
        <v>71</v>
      </c>
      <c r="F404" s="58" t="s">
        <v>210</v>
      </c>
      <c r="G404" t="s">
        <v>833</v>
      </c>
      <c r="H404" s="58" t="s">
        <v>21</v>
      </c>
      <c r="I404" t="s">
        <v>21</v>
      </c>
      <c r="J404" s="58" t="s">
        <v>21</v>
      </c>
      <c r="K404" t="s">
        <v>1429</v>
      </c>
      <c r="L404" t="s">
        <v>20</v>
      </c>
      <c r="M404" t="s">
        <v>1430</v>
      </c>
      <c r="N404" s="59">
        <v>50</v>
      </c>
      <c r="O404" s="59">
        <v>1018250</v>
      </c>
      <c r="P404" s="59">
        <v>0</v>
      </c>
      <c r="Q404" s="59">
        <v>0</v>
      </c>
      <c r="R404" s="59">
        <v>0</v>
      </c>
      <c r="S404" s="59">
        <v>1018250</v>
      </c>
      <c r="T404" s="41"/>
      <c r="U404" s="41"/>
      <c r="V404" s="41"/>
      <c r="W404" s="41"/>
      <c r="X404" s="41"/>
      <c r="Y404" s="41"/>
      <c r="Z404" s="41"/>
      <c r="AA404" s="41"/>
      <c r="AB404" s="41"/>
      <c r="AC404" s="41"/>
      <c r="AD404" s="41"/>
      <c r="AE404" s="59">
        <v>40.883308140290474</v>
      </c>
      <c r="AF404" s="59">
        <v>40.883308140290474</v>
      </c>
      <c r="AG404" s="59" t="s">
        <v>71</v>
      </c>
      <c r="AH404" s="59" t="s">
        <v>1354</v>
      </c>
    </row>
    <row r="405" spans="1:34" x14ac:dyDescent="0.35">
      <c r="A405" s="58">
        <v>2024</v>
      </c>
      <c r="B405" s="58">
        <v>8</v>
      </c>
      <c r="C405">
        <v>8</v>
      </c>
      <c r="D405" s="58" t="s">
        <v>1559</v>
      </c>
      <c r="E405" t="s">
        <v>1171</v>
      </c>
      <c r="F405" s="58" t="s">
        <v>171</v>
      </c>
      <c r="G405" t="s">
        <v>731</v>
      </c>
      <c r="H405" s="58" t="s">
        <v>4</v>
      </c>
      <c r="I405" t="s">
        <v>4</v>
      </c>
      <c r="J405" s="58" t="s">
        <v>4</v>
      </c>
      <c r="K405" t="s">
        <v>1429</v>
      </c>
      <c r="L405" t="s">
        <v>20</v>
      </c>
      <c r="M405" t="s">
        <v>1430</v>
      </c>
      <c r="N405" s="59">
        <v>1100</v>
      </c>
      <c r="O405" s="59">
        <v>36717560</v>
      </c>
      <c r="P405" s="59">
        <v>213502.78734622145</v>
      </c>
      <c r="Q405" s="59">
        <v>0</v>
      </c>
      <c r="R405" s="59">
        <v>0</v>
      </c>
      <c r="S405" s="59">
        <v>36504057.212653778</v>
      </c>
      <c r="T405" s="41"/>
      <c r="U405" s="41"/>
      <c r="V405" s="41"/>
      <c r="W405" s="41"/>
      <c r="X405" s="41"/>
      <c r="Y405" s="41"/>
      <c r="Z405" s="41"/>
      <c r="AA405" s="41"/>
      <c r="AB405" s="41"/>
      <c r="AC405" s="41"/>
      <c r="AD405" s="41"/>
      <c r="AE405" s="59">
        <v>1465.6583544274172</v>
      </c>
      <c r="AF405" s="59">
        <v>1474.2306109890537</v>
      </c>
      <c r="AG405" s="59" t="s">
        <v>1171</v>
      </c>
      <c r="AH405" s="59" t="s">
        <v>1166</v>
      </c>
    </row>
    <row r="406" spans="1:34" x14ac:dyDescent="0.35">
      <c r="A406" s="58">
        <v>2024</v>
      </c>
      <c r="B406" s="58">
        <v>8</v>
      </c>
      <c r="C406">
        <v>8</v>
      </c>
      <c r="D406" s="58" t="s">
        <v>1560</v>
      </c>
      <c r="E406" t="s">
        <v>1181</v>
      </c>
      <c r="F406" s="58" t="s">
        <v>172</v>
      </c>
      <c r="G406" t="s">
        <v>734</v>
      </c>
      <c r="H406" s="58" t="s">
        <v>4</v>
      </c>
      <c r="I406" t="s">
        <v>4</v>
      </c>
      <c r="J406" s="58" t="s">
        <v>4</v>
      </c>
      <c r="K406" t="s">
        <v>1429</v>
      </c>
      <c r="L406" t="s">
        <v>20</v>
      </c>
      <c r="M406" t="s">
        <v>1430</v>
      </c>
      <c r="N406" s="59">
        <v>2200</v>
      </c>
      <c r="O406" s="59">
        <v>73700000</v>
      </c>
      <c r="P406" s="59">
        <v>427005.5746924429</v>
      </c>
      <c r="Q406" s="59">
        <v>0</v>
      </c>
      <c r="R406" s="59">
        <v>0</v>
      </c>
      <c r="S406" s="59">
        <v>73272994.425307557</v>
      </c>
      <c r="T406" s="41"/>
      <c r="U406" s="41"/>
      <c r="V406" s="41"/>
      <c r="W406" s="41"/>
      <c r="X406" s="41"/>
      <c r="Y406" s="41"/>
      <c r="Z406" s="41"/>
      <c r="AA406" s="41"/>
      <c r="AB406" s="41"/>
      <c r="AC406" s="41"/>
      <c r="AD406" s="41"/>
      <c r="AE406" s="59">
        <v>2941.9517892969657</v>
      </c>
      <c r="AF406" s="59">
        <v>2959.0963024202388</v>
      </c>
      <c r="AG406" s="59" t="s">
        <v>1181</v>
      </c>
      <c r="AH406" s="59" t="s">
        <v>1175</v>
      </c>
    </row>
    <row r="407" spans="1:34" x14ac:dyDescent="0.35">
      <c r="A407" s="58">
        <v>2024</v>
      </c>
      <c r="B407" s="58">
        <v>8</v>
      </c>
      <c r="C407">
        <v>8</v>
      </c>
      <c r="D407" s="58" t="s">
        <v>1561</v>
      </c>
      <c r="E407" t="s">
        <v>1251</v>
      </c>
      <c r="F407" s="58" t="s">
        <v>198</v>
      </c>
      <c r="G407" t="s">
        <v>755</v>
      </c>
      <c r="H407" s="58" t="s">
        <v>1428</v>
      </c>
      <c r="I407" t="s">
        <v>76</v>
      </c>
      <c r="J407" s="58" t="s">
        <v>76</v>
      </c>
      <c r="K407" t="s">
        <v>1429</v>
      </c>
      <c r="L407" t="s">
        <v>20</v>
      </c>
      <c r="M407" t="s">
        <v>1430</v>
      </c>
      <c r="N407" s="59">
        <v>5000</v>
      </c>
      <c r="O407" s="59">
        <v>132825000</v>
      </c>
      <c r="P407" s="59">
        <v>0</v>
      </c>
      <c r="Q407" s="59">
        <v>0</v>
      </c>
      <c r="R407" s="59">
        <v>0</v>
      </c>
      <c r="S407" s="59">
        <v>132825000</v>
      </c>
      <c r="T407" s="41"/>
      <c r="U407" s="41"/>
      <c r="V407" s="41"/>
      <c r="W407" s="41"/>
      <c r="X407" s="41"/>
      <c r="Y407" s="41"/>
      <c r="Z407" s="41"/>
      <c r="AA407" s="41"/>
      <c r="AB407" s="41"/>
      <c r="AC407" s="41"/>
      <c r="AD407" s="41"/>
      <c r="AE407" s="59">
        <v>5332.998186824535</v>
      </c>
      <c r="AF407" s="59">
        <v>5332.998186824535</v>
      </c>
      <c r="AG407" s="59" t="s">
        <v>1251</v>
      </c>
      <c r="AH407" s="59" t="s">
        <v>1250</v>
      </c>
    </row>
    <row r="408" spans="1:34" x14ac:dyDescent="0.35">
      <c r="A408" s="58">
        <v>2024</v>
      </c>
      <c r="B408" s="58">
        <v>8</v>
      </c>
      <c r="C408">
        <v>8</v>
      </c>
      <c r="D408" s="58" t="s">
        <v>602</v>
      </c>
      <c r="E408" t="s">
        <v>122</v>
      </c>
      <c r="F408" s="58" t="s">
        <v>171</v>
      </c>
      <c r="G408" t="s">
        <v>731</v>
      </c>
      <c r="H408" s="58" t="s">
        <v>4</v>
      </c>
      <c r="I408" t="s">
        <v>4</v>
      </c>
      <c r="J408" s="58" t="s">
        <v>4</v>
      </c>
      <c r="K408" t="s">
        <v>1476</v>
      </c>
      <c r="L408" t="s">
        <v>1477</v>
      </c>
      <c r="M408" t="s">
        <v>1430</v>
      </c>
      <c r="N408" s="59">
        <v>132000</v>
      </c>
      <c r="O408" s="59">
        <v>3993729300</v>
      </c>
      <c r="P408" s="59">
        <v>10175358.418230563</v>
      </c>
      <c r="Q408" s="59">
        <v>0</v>
      </c>
      <c r="R408" s="59">
        <v>56393665</v>
      </c>
      <c r="S408" s="59">
        <v>3927160276.5817695</v>
      </c>
      <c r="T408" s="41"/>
      <c r="U408" s="41"/>
      <c r="V408" s="41"/>
      <c r="W408" s="41"/>
      <c r="X408" s="41"/>
      <c r="Y408" s="41"/>
      <c r="Z408" s="41"/>
      <c r="AA408" s="41"/>
      <c r="AB408" s="41"/>
      <c r="AC408" s="41"/>
      <c r="AD408" s="41"/>
      <c r="AE408" s="59">
        <v>157706.74016381524</v>
      </c>
      <c r="AF408" s="59">
        <v>160380</v>
      </c>
      <c r="AG408" s="59" t="s">
        <v>122</v>
      </c>
      <c r="AH408" s="59" t="s">
        <v>1166</v>
      </c>
    </row>
    <row r="409" spans="1:34" x14ac:dyDescent="0.35">
      <c r="A409" s="58">
        <v>2024</v>
      </c>
      <c r="B409" s="58">
        <v>8</v>
      </c>
      <c r="C409">
        <v>8</v>
      </c>
      <c r="D409" s="58" t="s">
        <v>602</v>
      </c>
      <c r="E409" t="s">
        <v>122</v>
      </c>
      <c r="F409" s="58" t="s">
        <v>803</v>
      </c>
      <c r="G409" t="s">
        <v>804</v>
      </c>
      <c r="H409" s="58" t="s">
        <v>4</v>
      </c>
      <c r="I409" t="s">
        <v>4</v>
      </c>
      <c r="J409" s="58" t="s">
        <v>4</v>
      </c>
      <c r="K409" t="s">
        <v>1476</v>
      </c>
      <c r="L409" t="s">
        <v>1477</v>
      </c>
      <c r="M409" t="s">
        <v>1430</v>
      </c>
      <c r="N409" s="59">
        <v>44000</v>
      </c>
      <c r="O409" s="59">
        <v>1794481920</v>
      </c>
      <c r="P409" s="59">
        <v>3391786.139410188</v>
      </c>
      <c r="Q409" s="59">
        <v>0</v>
      </c>
      <c r="R409" s="59">
        <v>0</v>
      </c>
      <c r="S409" s="59">
        <v>1791090133.8605897</v>
      </c>
      <c r="T409" s="41"/>
      <c r="U409" s="41"/>
      <c r="V409" s="41"/>
      <c r="W409" s="41"/>
      <c r="X409" s="41"/>
      <c r="Y409" s="41"/>
      <c r="Z409" s="41"/>
      <c r="AA409" s="41"/>
      <c r="AB409" s="41"/>
      <c r="AC409" s="41"/>
      <c r="AD409" s="41"/>
      <c r="AE409" s="59">
        <v>71672.274264129243</v>
      </c>
      <c r="AF409" s="59">
        <v>71808</v>
      </c>
      <c r="AG409" s="59" t="s">
        <v>122</v>
      </c>
      <c r="AH409" s="59" t="s">
        <v>1188</v>
      </c>
    </row>
    <row r="410" spans="1:34" x14ac:dyDescent="0.35">
      <c r="A410" s="58">
        <v>2024</v>
      </c>
      <c r="B410" s="58">
        <v>8</v>
      </c>
      <c r="C410">
        <v>8</v>
      </c>
      <c r="D410" s="58" t="s">
        <v>587</v>
      </c>
      <c r="E410" t="s">
        <v>6</v>
      </c>
      <c r="F410" s="58" t="s">
        <v>171</v>
      </c>
      <c r="G410" t="s">
        <v>731</v>
      </c>
      <c r="H410" s="58" t="s">
        <v>4</v>
      </c>
      <c r="I410" t="s">
        <v>4</v>
      </c>
      <c r="J410" s="58" t="s">
        <v>4</v>
      </c>
      <c r="K410" t="s">
        <v>1476</v>
      </c>
      <c r="L410" t="s">
        <v>1509</v>
      </c>
      <c r="M410" t="s">
        <v>1430</v>
      </c>
      <c r="N410" s="59">
        <v>330000</v>
      </c>
      <c r="O410" s="59">
        <v>10004052895</v>
      </c>
      <c r="P410" s="59">
        <v>25438396.045576412</v>
      </c>
      <c r="Q410" s="59">
        <v>150060793.42499998</v>
      </c>
      <c r="R410" s="59">
        <v>132859662.99999999</v>
      </c>
      <c r="S410" s="59">
        <v>9695694042.5294209</v>
      </c>
      <c r="T410" s="41"/>
      <c r="U410" s="41"/>
      <c r="V410" s="41"/>
      <c r="W410" s="41"/>
      <c r="X410" s="41"/>
      <c r="Y410" s="41"/>
      <c r="Z410" s="41"/>
      <c r="AA410" s="41"/>
      <c r="AB410" s="41"/>
      <c r="AC410" s="41"/>
      <c r="AD410" s="41"/>
      <c r="AE410" s="59">
        <v>388101.20818519278</v>
      </c>
      <c r="AF410" s="59">
        <v>400444.05007980851</v>
      </c>
      <c r="AG410" s="59" t="s">
        <v>6</v>
      </c>
      <c r="AH410" s="59" t="s">
        <v>1166</v>
      </c>
    </row>
    <row r="411" spans="1:34" x14ac:dyDescent="0.35">
      <c r="A411" s="58">
        <v>2024</v>
      </c>
      <c r="B411" s="58">
        <v>8</v>
      </c>
      <c r="C411">
        <v>8</v>
      </c>
      <c r="D411" s="58" t="s">
        <v>587</v>
      </c>
      <c r="E411" t="s">
        <v>6</v>
      </c>
      <c r="F411" s="58" t="s">
        <v>171</v>
      </c>
      <c r="G411" t="s">
        <v>731</v>
      </c>
      <c r="H411" s="58" t="s">
        <v>4</v>
      </c>
      <c r="I411" t="s">
        <v>4</v>
      </c>
      <c r="J411" s="58" t="s">
        <v>4</v>
      </c>
      <c r="K411" t="s">
        <v>1476</v>
      </c>
      <c r="L411" t="s">
        <v>1477</v>
      </c>
      <c r="M411" t="s">
        <v>1430</v>
      </c>
      <c r="N411" s="59">
        <v>1210000</v>
      </c>
      <c r="O411" s="59">
        <v>36551504522</v>
      </c>
      <c r="P411" s="59">
        <v>93274118.833780199</v>
      </c>
      <c r="Q411" s="59">
        <v>548272567.83000016</v>
      </c>
      <c r="R411" s="59">
        <v>469771775.14285719</v>
      </c>
      <c r="S411" s="59">
        <v>35440186060.193375</v>
      </c>
      <c r="T411" s="41"/>
      <c r="U411" s="41"/>
      <c r="V411" s="41"/>
      <c r="W411" s="41"/>
      <c r="X411" s="41"/>
      <c r="Y411" s="41"/>
      <c r="Z411" s="41"/>
      <c r="AA411" s="41"/>
      <c r="AB411" s="41"/>
      <c r="AC411" s="41"/>
      <c r="AD411" s="41"/>
      <c r="AE411" s="59">
        <v>1422245.3763735914</v>
      </c>
      <c r="AF411" s="59">
        <v>1466843.640160141</v>
      </c>
      <c r="AG411" s="59" t="s">
        <v>6</v>
      </c>
      <c r="AH411" s="59" t="s">
        <v>1166</v>
      </c>
    </row>
    <row r="412" spans="1:34" x14ac:dyDescent="0.35">
      <c r="A412" s="58">
        <v>2024</v>
      </c>
      <c r="B412" s="58">
        <v>8</v>
      </c>
      <c r="C412">
        <v>8</v>
      </c>
      <c r="D412" s="58" t="s">
        <v>1500</v>
      </c>
      <c r="E412" t="s">
        <v>1176</v>
      </c>
      <c r="F412" s="58" t="s">
        <v>172</v>
      </c>
      <c r="G412" t="s">
        <v>734</v>
      </c>
      <c r="H412" s="58" t="s">
        <v>4</v>
      </c>
      <c r="I412" t="s">
        <v>4</v>
      </c>
      <c r="J412" s="58" t="s">
        <v>4</v>
      </c>
      <c r="K412" t="s">
        <v>1476</v>
      </c>
      <c r="L412" t="s">
        <v>1501</v>
      </c>
      <c r="M412" t="s">
        <v>1430</v>
      </c>
      <c r="N412" s="59">
        <v>660000</v>
      </c>
      <c r="O412" s="59">
        <v>23894068000</v>
      </c>
      <c r="P412" s="59">
        <v>50876792.091152802</v>
      </c>
      <c r="Q412" s="59">
        <v>0</v>
      </c>
      <c r="R412" s="59">
        <v>3850393530.9999995</v>
      </c>
      <c r="S412" s="59">
        <v>19992797676.90884</v>
      </c>
      <c r="T412" s="41"/>
      <c r="U412" s="41"/>
      <c r="V412" s="41"/>
      <c r="W412" s="41"/>
      <c r="X412" s="41"/>
      <c r="Y412" s="41"/>
      <c r="Z412" s="41"/>
      <c r="AA412" s="41"/>
      <c r="AB412" s="41"/>
      <c r="AC412" s="41"/>
      <c r="AD412" s="41"/>
      <c r="AE412" s="59">
        <v>806269.44100303191</v>
      </c>
      <c r="AF412" s="59">
        <v>963600</v>
      </c>
      <c r="AG412" s="59" t="s">
        <v>1176</v>
      </c>
      <c r="AH412" s="59" t="s">
        <v>1175</v>
      </c>
    </row>
    <row r="413" spans="1:34" x14ac:dyDescent="0.35">
      <c r="A413" s="58">
        <v>2024</v>
      </c>
      <c r="B413" s="58">
        <v>8</v>
      </c>
      <c r="C413">
        <v>8</v>
      </c>
      <c r="D413" s="58" t="s">
        <v>1480</v>
      </c>
      <c r="E413" t="s">
        <v>1189</v>
      </c>
      <c r="F413" s="58" t="s">
        <v>803</v>
      </c>
      <c r="G413" t="s">
        <v>804</v>
      </c>
      <c r="H413" s="58" t="s">
        <v>4</v>
      </c>
      <c r="I413" t="s">
        <v>4</v>
      </c>
      <c r="J413" s="58" t="s">
        <v>4</v>
      </c>
      <c r="K413" t="s">
        <v>1476</v>
      </c>
      <c r="L413" t="s">
        <v>1477</v>
      </c>
      <c r="M413" t="s">
        <v>1508</v>
      </c>
      <c r="N413" s="59">
        <v>-44000</v>
      </c>
      <c r="O413" s="59">
        <v>-2134007999.9999981</v>
      </c>
      <c r="P413" s="59">
        <v>-4748500.5951742623</v>
      </c>
      <c r="Q413" s="59">
        <v>0</v>
      </c>
      <c r="R413" s="59">
        <v>0</v>
      </c>
      <c r="S413" s="59">
        <v>-2129259499.4048238</v>
      </c>
      <c r="T413" s="41"/>
      <c r="U413" s="41"/>
      <c r="V413" s="41"/>
      <c r="W413" s="41"/>
      <c r="X413" s="41"/>
      <c r="Y413" s="41"/>
      <c r="Z413" s="41"/>
      <c r="AA413" s="41"/>
      <c r="AB413" s="41"/>
      <c r="AC413" s="41"/>
      <c r="AD413" s="41"/>
      <c r="AE413" s="59">
        <v>-85409.526650815242</v>
      </c>
      <c r="AF413" s="59">
        <v>-85599.999999999927</v>
      </c>
      <c r="AG413" s="59" t="s">
        <v>1189</v>
      </c>
      <c r="AH413" s="59" t="s">
        <v>1188</v>
      </c>
    </row>
    <row r="414" spans="1:34" x14ac:dyDescent="0.35">
      <c r="A414" s="58">
        <v>2024</v>
      </c>
      <c r="B414" s="58">
        <v>8</v>
      </c>
      <c r="C414">
        <v>8</v>
      </c>
      <c r="D414" s="58" t="s">
        <v>637</v>
      </c>
      <c r="E414" t="s">
        <v>64</v>
      </c>
      <c r="F414" s="58" t="s">
        <v>216</v>
      </c>
      <c r="G414" t="s">
        <v>935</v>
      </c>
      <c r="H414" s="58" t="s">
        <v>21</v>
      </c>
      <c r="I414" t="s">
        <v>21</v>
      </c>
      <c r="J414" s="58" t="s">
        <v>21</v>
      </c>
      <c r="K414" t="s">
        <v>1476</v>
      </c>
      <c r="L414" t="s">
        <v>1477</v>
      </c>
      <c r="M414" t="s">
        <v>1430</v>
      </c>
      <c r="N414" s="59">
        <v>19150</v>
      </c>
      <c r="O414" s="59">
        <v>524097200.00000012</v>
      </c>
      <c r="P414" s="59">
        <v>0</v>
      </c>
      <c r="Q414" s="59">
        <v>0</v>
      </c>
      <c r="R414" s="59">
        <v>11496965.238</v>
      </c>
      <c r="S414" s="59">
        <v>512600234.76200008</v>
      </c>
      <c r="T414" s="41"/>
      <c r="U414" s="41"/>
      <c r="V414" s="41"/>
      <c r="W414" s="41"/>
      <c r="X414" s="41"/>
      <c r="Y414" s="41"/>
      <c r="Z414" s="41"/>
      <c r="AA414" s="41"/>
      <c r="AB414" s="41"/>
      <c r="AC414" s="41"/>
      <c r="AD414" s="41"/>
      <c r="AE414" s="59">
        <v>20602.903326446947</v>
      </c>
      <c r="AF414" s="59">
        <v>21065.000000000004</v>
      </c>
      <c r="AG414" s="59" t="s">
        <v>64</v>
      </c>
      <c r="AH414" s="59" t="s">
        <v>1358</v>
      </c>
    </row>
    <row r="415" spans="1:34" x14ac:dyDescent="0.35">
      <c r="A415" s="58">
        <v>2024</v>
      </c>
      <c r="B415" s="58">
        <v>8</v>
      </c>
      <c r="C415">
        <v>8</v>
      </c>
      <c r="D415" s="58" t="s">
        <v>637</v>
      </c>
      <c r="E415" t="s">
        <v>64</v>
      </c>
      <c r="F415" s="58" t="s">
        <v>217</v>
      </c>
      <c r="G415" t="s">
        <v>938</v>
      </c>
      <c r="H415" s="58" t="s">
        <v>21</v>
      </c>
      <c r="I415" t="s">
        <v>21</v>
      </c>
      <c r="J415" s="58" t="s">
        <v>21</v>
      </c>
      <c r="K415" t="s">
        <v>1476</v>
      </c>
      <c r="L415" t="s">
        <v>1477</v>
      </c>
      <c r="M415" t="s">
        <v>1430</v>
      </c>
      <c r="N415" s="59">
        <v>5850</v>
      </c>
      <c r="O415" s="59">
        <v>160102800.00000003</v>
      </c>
      <c r="P415" s="59">
        <v>0</v>
      </c>
      <c r="Q415" s="59">
        <v>0</v>
      </c>
      <c r="R415" s="59">
        <v>3512127.7620000001</v>
      </c>
      <c r="S415" s="59">
        <v>156590672.23800004</v>
      </c>
      <c r="T415" s="41"/>
      <c r="U415" s="41"/>
      <c r="V415" s="41"/>
      <c r="W415" s="41"/>
      <c r="X415" s="41"/>
      <c r="Y415" s="41"/>
      <c r="Z415" s="41"/>
      <c r="AA415" s="41"/>
      <c r="AB415" s="41"/>
      <c r="AC415" s="41"/>
      <c r="AD415" s="41"/>
      <c r="AE415" s="59">
        <v>6293.837308601288</v>
      </c>
      <c r="AF415" s="59">
        <v>6435.0000000000009</v>
      </c>
      <c r="AG415" s="59" t="s">
        <v>64</v>
      </c>
      <c r="AH415" s="59" t="s">
        <v>1359</v>
      </c>
    </row>
    <row r="416" spans="1:34" x14ac:dyDescent="0.35">
      <c r="A416" s="58">
        <v>2024</v>
      </c>
      <c r="B416" s="58">
        <v>8</v>
      </c>
      <c r="C416">
        <v>8</v>
      </c>
      <c r="D416" s="58" t="s">
        <v>604</v>
      </c>
      <c r="E416" t="s">
        <v>145</v>
      </c>
      <c r="F416" s="58" t="s">
        <v>174</v>
      </c>
      <c r="G416" t="s">
        <v>740</v>
      </c>
      <c r="H416" s="58" t="s">
        <v>4</v>
      </c>
      <c r="I416" t="s">
        <v>4</v>
      </c>
      <c r="J416" s="58" t="s">
        <v>4</v>
      </c>
      <c r="K416" t="s">
        <v>1476</v>
      </c>
      <c r="L416" t="s">
        <v>1477</v>
      </c>
      <c r="M416" t="s">
        <v>1430</v>
      </c>
      <c r="N416" s="59">
        <v>887300</v>
      </c>
      <c r="O416" s="59">
        <v>23490201020</v>
      </c>
      <c r="P416" s="59">
        <v>69531615.857908815</v>
      </c>
      <c r="Q416" s="59">
        <v>0</v>
      </c>
      <c r="R416" s="59">
        <v>343990466.85714298</v>
      </c>
      <c r="S416" s="59">
        <v>23076678937.284954</v>
      </c>
      <c r="T416" s="41"/>
      <c r="U416" s="41"/>
      <c r="V416" s="41"/>
      <c r="W416" s="41"/>
      <c r="X416" s="41"/>
      <c r="Y416" s="41"/>
      <c r="Z416" s="41"/>
      <c r="AA416" s="41"/>
      <c r="AB416" s="41"/>
      <c r="AC416" s="41"/>
      <c r="AD416" s="41"/>
      <c r="AE416" s="59">
        <v>923980.81858044688</v>
      </c>
      <c r="AF416" s="59">
        <v>940538</v>
      </c>
      <c r="AG416" s="59" t="s">
        <v>145</v>
      </c>
      <c r="AH416" s="59" t="s">
        <v>1185</v>
      </c>
    </row>
    <row r="417" spans="1:34" x14ac:dyDescent="0.35">
      <c r="A417" s="58">
        <v>2024</v>
      </c>
      <c r="B417" s="58">
        <v>8</v>
      </c>
      <c r="C417">
        <v>8</v>
      </c>
      <c r="D417" s="58" t="s">
        <v>1562</v>
      </c>
      <c r="E417" t="s">
        <v>1161</v>
      </c>
      <c r="F417" s="58" t="s">
        <v>168</v>
      </c>
      <c r="G417" t="s">
        <v>700</v>
      </c>
      <c r="H417" s="58" t="s">
        <v>4</v>
      </c>
      <c r="I417" t="s">
        <v>4</v>
      </c>
      <c r="J417" s="58" t="s">
        <v>4</v>
      </c>
      <c r="K417" t="s">
        <v>1476</v>
      </c>
      <c r="L417" t="s">
        <v>303</v>
      </c>
      <c r="M417" t="s">
        <v>1430</v>
      </c>
      <c r="N417" s="59">
        <v>22000</v>
      </c>
      <c r="O417" s="59">
        <v>706094400</v>
      </c>
      <c r="P417" s="59">
        <v>1695893.069705094</v>
      </c>
      <c r="Q417" s="59">
        <v>0</v>
      </c>
      <c r="R417" s="59">
        <v>10686111</v>
      </c>
      <c r="S417" s="59">
        <v>693712395.93029487</v>
      </c>
      <c r="T417" s="41"/>
      <c r="U417" s="41"/>
      <c r="V417" s="41"/>
      <c r="W417" s="41"/>
      <c r="X417" s="41"/>
      <c r="Y417" s="41"/>
      <c r="Z417" s="41"/>
      <c r="AA417" s="41"/>
      <c r="AB417" s="41"/>
      <c r="AC417" s="41"/>
      <c r="AD417" s="41"/>
      <c r="AE417" s="59">
        <v>27882.331026137254</v>
      </c>
      <c r="AF417" s="59">
        <v>28380</v>
      </c>
      <c r="AG417" s="59" t="s">
        <v>1161</v>
      </c>
      <c r="AH417" s="59" t="s">
        <v>1160</v>
      </c>
    </row>
    <row r="418" spans="1:34" x14ac:dyDescent="0.35">
      <c r="A418" s="58">
        <v>2024</v>
      </c>
      <c r="B418" s="58">
        <v>8</v>
      </c>
      <c r="C418">
        <v>8</v>
      </c>
      <c r="D418" s="58" t="s">
        <v>1563</v>
      </c>
      <c r="E418" t="s">
        <v>1177</v>
      </c>
      <c r="F418" s="58" t="s">
        <v>172</v>
      </c>
      <c r="G418" t="s">
        <v>734</v>
      </c>
      <c r="H418" s="58" t="s">
        <v>4</v>
      </c>
      <c r="I418" t="s">
        <v>4</v>
      </c>
      <c r="J418" s="58" t="s">
        <v>4</v>
      </c>
      <c r="K418" t="s">
        <v>1476</v>
      </c>
      <c r="L418" t="s">
        <v>1479</v>
      </c>
      <c r="M418" t="s">
        <v>1430</v>
      </c>
      <c r="N418" s="59">
        <v>44000</v>
      </c>
      <c r="O418" s="59">
        <v>1612371200.0000002</v>
      </c>
      <c r="P418" s="59">
        <v>3391786.139410188</v>
      </c>
      <c r="Q418" s="59">
        <v>0</v>
      </c>
      <c r="R418" s="59">
        <v>261703418.70000002</v>
      </c>
      <c r="S418" s="59">
        <v>1347275995.1605899</v>
      </c>
      <c r="T418" s="41"/>
      <c r="U418" s="41"/>
      <c r="V418" s="41"/>
      <c r="W418" s="41"/>
      <c r="X418" s="41"/>
      <c r="Y418" s="41"/>
      <c r="Z418" s="41"/>
      <c r="AA418" s="41"/>
      <c r="AB418" s="41"/>
      <c r="AC418" s="41"/>
      <c r="AD418" s="41"/>
      <c r="AE418" s="59">
        <v>54413.408528295229</v>
      </c>
      <c r="AF418" s="59">
        <v>65120.000000000007</v>
      </c>
      <c r="AG418" s="59" t="s">
        <v>1177</v>
      </c>
      <c r="AH418" s="59" t="s">
        <v>1175</v>
      </c>
    </row>
    <row r="419" spans="1:34" x14ac:dyDescent="0.35">
      <c r="A419" s="58">
        <v>2024</v>
      </c>
      <c r="B419" s="58">
        <v>8</v>
      </c>
      <c r="C419">
        <v>8</v>
      </c>
      <c r="D419" s="58" t="s">
        <v>1485</v>
      </c>
      <c r="E419" t="s">
        <v>1318</v>
      </c>
      <c r="F419" s="58" t="s">
        <v>1486</v>
      </c>
      <c r="G419" t="s">
        <v>1487</v>
      </c>
      <c r="H419" s="58" t="s">
        <v>1012</v>
      </c>
      <c r="I419" t="s">
        <v>1012</v>
      </c>
      <c r="J419" s="58" t="s">
        <v>1012</v>
      </c>
      <c r="K419" t="s">
        <v>1429</v>
      </c>
      <c r="L419" t="s">
        <v>20</v>
      </c>
      <c r="M419" t="s">
        <v>1430</v>
      </c>
      <c r="N419" s="59">
        <v>0</v>
      </c>
      <c r="O419" s="59">
        <v>0</v>
      </c>
      <c r="P419" s="59">
        <v>0</v>
      </c>
      <c r="Q419" s="59">
        <v>0</v>
      </c>
      <c r="R419" s="59">
        <v>0</v>
      </c>
      <c r="S419" s="59">
        <v>0</v>
      </c>
      <c r="T419" s="41"/>
      <c r="U419" s="41"/>
      <c r="V419" s="41"/>
      <c r="W419" s="41"/>
      <c r="X419" s="41"/>
      <c r="Y419" s="41"/>
      <c r="Z419" s="41"/>
      <c r="AA419" s="41"/>
      <c r="AB419" s="41"/>
      <c r="AC419" s="41"/>
      <c r="AD419" s="41"/>
      <c r="AE419" s="59">
        <v>0</v>
      </c>
      <c r="AF419" s="59">
        <v>0</v>
      </c>
      <c r="AG419" s="59" t="s">
        <v>1318</v>
      </c>
      <c r="AH419" s="59" t="s">
        <v>1317</v>
      </c>
    </row>
    <row r="420" spans="1:34" x14ac:dyDescent="0.35">
      <c r="A420" s="58">
        <v>2024</v>
      </c>
      <c r="B420" s="58">
        <v>8</v>
      </c>
      <c r="C420">
        <v>8</v>
      </c>
      <c r="D420" s="58" t="s">
        <v>1491</v>
      </c>
      <c r="E420" t="s">
        <v>1264</v>
      </c>
      <c r="F420" s="58" t="s">
        <v>1556</v>
      </c>
      <c r="G420" t="s">
        <v>1557</v>
      </c>
      <c r="H420" s="58" t="s">
        <v>1012</v>
      </c>
      <c r="I420" t="s">
        <v>1012</v>
      </c>
      <c r="J420" s="58" t="s">
        <v>1012</v>
      </c>
      <c r="K420" t="s">
        <v>1429</v>
      </c>
      <c r="L420" t="s">
        <v>20</v>
      </c>
      <c r="M420" t="s">
        <v>1430</v>
      </c>
      <c r="N420" s="59">
        <v>0</v>
      </c>
      <c r="O420" s="59">
        <v>0</v>
      </c>
      <c r="P420" s="59">
        <v>0</v>
      </c>
      <c r="Q420" s="59">
        <v>0</v>
      </c>
      <c r="R420" s="59">
        <v>0</v>
      </c>
      <c r="S420" s="59">
        <v>0</v>
      </c>
      <c r="T420" s="41"/>
      <c r="U420" s="41"/>
      <c r="V420" s="41"/>
      <c r="W420" s="41"/>
      <c r="X420" s="41"/>
      <c r="Y420" s="41"/>
      <c r="Z420" s="41"/>
      <c r="AA420" s="41"/>
      <c r="AB420" s="41"/>
      <c r="AC420" s="41"/>
      <c r="AD420" s="41"/>
      <c r="AE420" s="59">
        <v>0</v>
      </c>
      <c r="AF420" s="59">
        <v>0</v>
      </c>
      <c r="AG420" s="59" t="s">
        <v>1264</v>
      </c>
      <c r="AH420" s="59" t="s">
        <v>1267</v>
      </c>
    </row>
    <row r="421" spans="1:34" x14ac:dyDescent="0.35">
      <c r="A421" s="58">
        <v>2024</v>
      </c>
      <c r="B421" s="58">
        <v>8</v>
      </c>
      <c r="C421">
        <v>8</v>
      </c>
      <c r="D421" s="58" t="s">
        <v>1491</v>
      </c>
      <c r="E421" t="s">
        <v>1264</v>
      </c>
      <c r="F421" s="58" t="s">
        <v>1522</v>
      </c>
      <c r="G421" t="s">
        <v>1523</v>
      </c>
      <c r="H421" s="58" t="s">
        <v>1012</v>
      </c>
      <c r="I421" t="s">
        <v>1012</v>
      </c>
      <c r="J421" s="58" t="s">
        <v>1389</v>
      </c>
      <c r="K421" t="s">
        <v>1429</v>
      </c>
      <c r="L421" t="s">
        <v>20</v>
      </c>
      <c r="M421" t="s">
        <v>1430</v>
      </c>
      <c r="N421" s="59">
        <v>0</v>
      </c>
      <c r="O421" s="59">
        <v>0</v>
      </c>
      <c r="P421" s="59">
        <v>0</v>
      </c>
      <c r="Q421" s="59">
        <v>0</v>
      </c>
      <c r="R421" s="59">
        <v>1625925.9259259</v>
      </c>
      <c r="S421" s="59">
        <v>-1625925.9259259</v>
      </c>
      <c r="T421" s="41"/>
      <c r="U421" s="41"/>
      <c r="V421" s="41"/>
      <c r="W421" s="41"/>
      <c r="X421" s="41"/>
      <c r="Y421" s="41"/>
      <c r="Z421" s="41"/>
      <c r="AA421" s="41"/>
      <c r="AB421" s="41"/>
      <c r="AC421" s="41"/>
      <c r="AD421" s="41"/>
      <c r="AE421" s="59">
        <v>-65.281837115556769</v>
      </c>
      <c r="AF421" s="59">
        <v>0</v>
      </c>
      <c r="AG421" s="59" t="s">
        <v>1264</v>
      </c>
      <c r="AH421" s="59" t="s">
        <v>1390</v>
      </c>
    </row>
    <row r="422" spans="1:34" x14ac:dyDescent="0.35">
      <c r="A422" s="58">
        <v>2024</v>
      </c>
      <c r="B422" s="58">
        <v>8</v>
      </c>
      <c r="C422">
        <v>8</v>
      </c>
      <c r="D422" s="58" t="s">
        <v>1491</v>
      </c>
      <c r="E422" t="s">
        <v>1264</v>
      </c>
      <c r="F422" s="58" t="s">
        <v>1152</v>
      </c>
      <c r="G422" t="s">
        <v>1153</v>
      </c>
      <c r="H422" s="58" t="s">
        <v>1012</v>
      </c>
      <c r="I422" t="s">
        <v>1012</v>
      </c>
      <c r="J422" s="58" t="s">
        <v>1399</v>
      </c>
      <c r="K422" t="s">
        <v>1429</v>
      </c>
      <c r="L422" t="s">
        <v>20</v>
      </c>
      <c r="M422" t="s">
        <v>1430</v>
      </c>
      <c r="N422" s="59">
        <v>0</v>
      </c>
      <c r="O422" s="59">
        <v>0</v>
      </c>
      <c r="P422" s="59">
        <v>0</v>
      </c>
      <c r="Q422" s="59">
        <v>-1262791.2549997568</v>
      </c>
      <c r="R422" s="59">
        <v>37456784.744446509</v>
      </c>
      <c r="S422" s="59">
        <v>-36193993.489446752</v>
      </c>
      <c r="T422" s="41"/>
      <c r="U422" s="41"/>
      <c r="V422" s="41"/>
      <c r="W422" s="41"/>
      <c r="X422" s="41"/>
      <c r="Y422" s="41"/>
      <c r="Z422" s="41"/>
      <c r="AA422" s="41"/>
      <c r="AB422" s="41"/>
      <c r="AC422" s="41"/>
      <c r="AD422" s="41"/>
      <c r="AE422" s="59">
        <v>-1453.2091221769867</v>
      </c>
      <c r="AF422" s="59">
        <v>0</v>
      </c>
      <c r="AG422" s="59" t="s">
        <v>1264</v>
      </c>
      <c r="AH422" s="59" t="s">
        <v>1400</v>
      </c>
    </row>
    <row r="423" spans="1:34" x14ac:dyDescent="0.35">
      <c r="A423" s="58">
        <v>2024</v>
      </c>
      <c r="B423" s="58">
        <v>8</v>
      </c>
      <c r="C423">
        <v>8</v>
      </c>
      <c r="D423" s="58" t="s">
        <v>1491</v>
      </c>
      <c r="E423" t="s">
        <v>1264</v>
      </c>
      <c r="F423" s="58" t="s">
        <v>1514</v>
      </c>
      <c r="G423" t="s">
        <v>1515</v>
      </c>
      <c r="H423" s="58" t="s">
        <v>1012</v>
      </c>
      <c r="I423" t="s">
        <v>1012</v>
      </c>
      <c r="J423" s="58" t="s">
        <v>1401</v>
      </c>
      <c r="K423" t="s">
        <v>1429</v>
      </c>
      <c r="L423" t="s">
        <v>20</v>
      </c>
      <c r="M423" t="s">
        <v>1430</v>
      </c>
      <c r="N423" s="59">
        <v>0</v>
      </c>
      <c r="O423" s="59">
        <v>0</v>
      </c>
      <c r="P423" s="59">
        <v>0</v>
      </c>
      <c r="Q423" s="59">
        <v>0</v>
      </c>
      <c r="R423" s="59">
        <v>-250000</v>
      </c>
      <c r="S423" s="59">
        <v>250000</v>
      </c>
      <c r="T423" s="41"/>
      <c r="U423" s="41"/>
      <c r="V423" s="41"/>
      <c r="W423" s="41"/>
      <c r="X423" s="41"/>
      <c r="Y423" s="41"/>
      <c r="Z423" s="41"/>
      <c r="AA423" s="41"/>
      <c r="AB423" s="41"/>
      <c r="AC423" s="41"/>
      <c r="AD423" s="41"/>
      <c r="AE423" s="59">
        <v>10.037640103189412</v>
      </c>
      <c r="AF423" s="59">
        <v>0</v>
      </c>
      <c r="AG423" s="59" t="s">
        <v>1264</v>
      </c>
      <c r="AH423" s="59" t="s">
        <v>1402</v>
      </c>
    </row>
    <row r="424" spans="1:34" x14ac:dyDescent="0.35">
      <c r="A424" s="58">
        <v>2024</v>
      </c>
      <c r="B424" s="58">
        <v>8</v>
      </c>
      <c r="C424">
        <v>8</v>
      </c>
      <c r="D424" s="58" t="s">
        <v>1491</v>
      </c>
      <c r="E424" t="s">
        <v>1264</v>
      </c>
      <c r="F424" s="58" t="s">
        <v>1489</v>
      </c>
      <c r="G424" t="s">
        <v>1490</v>
      </c>
      <c r="H424" s="58" t="s">
        <v>1012</v>
      </c>
      <c r="I424" t="s">
        <v>1012</v>
      </c>
      <c r="J424" s="58" t="s">
        <v>1012</v>
      </c>
      <c r="K424" t="s">
        <v>1429</v>
      </c>
      <c r="L424" t="s">
        <v>20</v>
      </c>
      <c r="M424" t="s">
        <v>1430</v>
      </c>
      <c r="N424" s="59">
        <v>0</v>
      </c>
      <c r="O424" s="59">
        <v>0</v>
      </c>
      <c r="P424" s="59">
        <v>0</v>
      </c>
      <c r="Q424" s="59">
        <v>0</v>
      </c>
      <c r="R424" s="59">
        <v>0</v>
      </c>
      <c r="S424" s="59">
        <v>0</v>
      </c>
      <c r="T424" s="41"/>
      <c r="U424" s="41"/>
      <c r="V424" s="41"/>
      <c r="W424" s="41"/>
      <c r="X424" s="41"/>
      <c r="Y424" s="41"/>
      <c r="Z424" s="41"/>
      <c r="AA424" s="41"/>
      <c r="AB424" s="41"/>
      <c r="AC424" s="41"/>
      <c r="AD424" s="41"/>
      <c r="AE424" s="59">
        <v>0</v>
      </c>
      <c r="AF424" s="59">
        <v>0</v>
      </c>
      <c r="AG424" s="59" t="s">
        <v>1264</v>
      </c>
      <c r="AH424" s="59" t="s">
        <v>1274</v>
      </c>
    </row>
    <row r="425" spans="1:34" x14ac:dyDescent="0.35">
      <c r="A425" s="58">
        <v>2024</v>
      </c>
      <c r="B425" s="58">
        <v>8</v>
      </c>
      <c r="C425">
        <v>8</v>
      </c>
      <c r="D425" s="58" t="s">
        <v>1491</v>
      </c>
      <c r="E425" t="s">
        <v>1264</v>
      </c>
      <c r="F425" s="58" t="s">
        <v>1468</v>
      </c>
      <c r="G425" t="s">
        <v>1012</v>
      </c>
      <c r="H425" s="58" t="s">
        <v>1012</v>
      </c>
      <c r="I425" t="s">
        <v>1012</v>
      </c>
      <c r="J425" s="58" t="s">
        <v>1012</v>
      </c>
      <c r="K425" t="s">
        <v>1429</v>
      </c>
      <c r="L425" t="s">
        <v>20</v>
      </c>
      <c r="M425" t="s">
        <v>1430</v>
      </c>
      <c r="N425" s="59">
        <v>0</v>
      </c>
      <c r="O425" s="59">
        <v>0</v>
      </c>
      <c r="P425" s="59">
        <v>0</v>
      </c>
      <c r="Q425" s="59">
        <v>0</v>
      </c>
      <c r="R425" s="59">
        <v>0</v>
      </c>
      <c r="S425" s="59">
        <v>0</v>
      </c>
      <c r="T425" s="41"/>
      <c r="U425" s="41"/>
      <c r="V425" s="41"/>
      <c r="W425" s="41"/>
      <c r="X425" s="41"/>
      <c r="Y425" s="41"/>
      <c r="Z425" s="41"/>
      <c r="AA425" s="41"/>
      <c r="AB425" s="41"/>
      <c r="AC425" s="41"/>
      <c r="AD425" s="41"/>
      <c r="AE425" s="59">
        <v>0</v>
      </c>
      <c r="AF425" s="59">
        <v>0</v>
      </c>
      <c r="AG425" s="59" t="s">
        <v>1264</v>
      </c>
      <c r="AH425" s="59" t="s">
        <v>1284</v>
      </c>
    </row>
    <row r="426" spans="1:34" x14ac:dyDescent="0.35">
      <c r="A426" s="58">
        <v>2024</v>
      </c>
      <c r="B426" s="58">
        <v>8</v>
      </c>
      <c r="C426">
        <v>8</v>
      </c>
      <c r="D426" s="58" t="s">
        <v>1491</v>
      </c>
      <c r="E426" t="s">
        <v>1264</v>
      </c>
      <c r="F426" s="58" t="s">
        <v>1496</v>
      </c>
      <c r="G426" t="s">
        <v>1497</v>
      </c>
      <c r="H426" s="58" t="s">
        <v>1012</v>
      </c>
      <c r="I426" t="s">
        <v>1012</v>
      </c>
      <c r="J426" s="58" t="s">
        <v>1012</v>
      </c>
      <c r="K426" t="s">
        <v>1429</v>
      </c>
      <c r="L426" t="s">
        <v>20</v>
      </c>
      <c r="M426" t="s">
        <v>1430</v>
      </c>
      <c r="N426" s="59">
        <v>0</v>
      </c>
      <c r="O426" s="59">
        <v>0</v>
      </c>
      <c r="P426" s="59">
        <v>0</v>
      </c>
      <c r="Q426" s="59">
        <v>0</v>
      </c>
      <c r="R426" s="59">
        <v>0</v>
      </c>
      <c r="S426" s="59">
        <v>0</v>
      </c>
      <c r="T426" s="41"/>
      <c r="U426" s="41"/>
      <c r="V426" s="41"/>
      <c r="W426" s="41"/>
      <c r="X426" s="41"/>
      <c r="Y426" s="41"/>
      <c r="Z426" s="41"/>
      <c r="AA426" s="41"/>
      <c r="AB426" s="41"/>
      <c r="AC426" s="41"/>
      <c r="AD426" s="41"/>
      <c r="AE426" s="59">
        <v>0</v>
      </c>
      <c r="AF426" s="59">
        <v>0</v>
      </c>
      <c r="AG426" s="59" t="s">
        <v>1264</v>
      </c>
      <c r="AH426" s="59" t="s">
        <v>1329</v>
      </c>
    </row>
    <row r="427" spans="1:34" x14ac:dyDescent="0.35">
      <c r="A427" s="58">
        <v>2024</v>
      </c>
      <c r="B427" s="58">
        <v>9</v>
      </c>
      <c r="C427">
        <v>9</v>
      </c>
      <c r="D427" s="58" t="s">
        <v>1433</v>
      </c>
      <c r="E427" t="s">
        <v>1276</v>
      </c>
      <c r="F427" s="58" t="s">
        <v>1434</v>
      </c>
      <c r="G427" t="s">
        <v>1435</v>
      </c>
      <c r="H427" s="58" t="s">
        <v>1012</v>
      </c>
      <c r="I427" t="s">
        <v>1012</v>
      </c>
      <c r="J427" s="58" t="s">
        <v>1012</v>
      </c>
      <c r="K427" t="s">
        <v>1429</v>
      </c>
      <c r="L427" t="s">
        <v>20</v>
      </c>
      <c r="M427" t="s">
        <v>1430</v>
      </c>
      <c r="N427" s="59">
        <v>0</v>
      </c>
      <c r="O427" s="59">
        <v>0</v>
      </c>
      <c r="P427" s="59">
        <v>0</v>
      </c>
      <c r="Q427" s="59">
        <v>0</v>
      </c>
      <c r="R427" s="59">
        <v>0</v>
      </c>
      <c r="S427" s="59">
        <v>0</v>
      </c>
      <c r="T427" s="41"/>
      <c r="U427" s="41"/>
      <c r="V427" s="41"/>
      <c r="W427" s="41"/>
      <c r="X427" s="41"/>
      <c r="Y427" s="41"/>
      <c r="Z427" s="41"/>
      <c r="AA427" s="41"/>
      <c r="AB427" s="41"/>
      <c r="AC427" s="41"/>
      <c r="AD427" s="41"/>
      <c r="AE427" s="59">
        <v>0</v>
      </c>
      <c r="AF427" s="59">
        <v>0</v>
      </c>
      <c r="AG427" s="59" t="s">
        <v>1276</v>
      </c>
      <c r="AH427" s="59" t="s">
        <v>1319</v>
      </c>
    </row>
    <row r="428" spans="1:34" x14ac:dyDescent="0.35">
      <c r="A428" s="58">
        <v>2024</v>
      </c>
      <c r="B428" s="58">
        <v>9</v>
      </c>
      <c r="C428">
        <v>9</v>
      </c>
      <c r="D428" s="58" t="s">
        <v>609</v>
      </c>
      <c r="E428" t="s">
        <v>263</v>
      </c>
      <c r="F428" s="58" t="s">
        <v>174</v>
      </c>
      <c r="G428" t="s">
        <v>740</v>
      </c>
      <c r="H428" s="58" t="s">
        <v>4</v>
      </c>
      <c r="I428" t="s">
        <v>4</v>
      </c>
      <c r="J428" s="58" t="s">
        <v>4</v>
      </c>
      <c r="K428" t="s">
        <v>1429</v>
      </c>
      <c r="L428" t="s">
        <v>20</v>
      </c>
      <c r="M428" t="s">
        <v>1430</v>
      </c>
      <c r="N428" s="59">
        <v>88000</v>
      </c>
      <c r="O428" s="59">
        <v>2323024000</v>
      </c>
      <c r="P428" s="59">
        <v>14408825.921325052</v>
      </c>
      <c r="Q428" s="59">
        <v>0</v>
      </c>
      <c r="R428" s="59">
        <v>19360000</v>
      </c>
      <c r="S428" s="59">
        <v>2289255174.0786748</v>
      </c>
      <c r="T428" s="41"/>
      <c r="U428" s="41"/>
      <c r="V428" s="41"/>
      <c r="W428" s="41"/>
      <c r="X428" s="41"/>
      <c r="Y428" s="41"/>
      <c r="Z428" s="41"/>
      <c r="AA428" s="41"/>
      <c r="AB428" s="41"/>
      <c r="AC428" s="41"/>
      <c r="AD428" s="41"/>
      <c r="AE428" s="59">
        <v>93493.250206092547</v>
      </c>
      <c r="AF428" s="59">
        <v>94872.370073015671</v>
      </c>
      <c r="AG428" s="59" t="s">
        <v>15</v>
      </c>
      <c r="AH428" s="59" t="s">
        <v>1185</v>
      </c>
    </row>
    <row r="429" spans="1:34" x14ac:dyDescent="0.35">
      <c r="A429" s="58">
        <v>2024</v>
      </c>
      <c r="B429" s="58">
        <v>9</v>
      </c>
      <c r="C429">
        <v>9</v>
      </c>
      <c r="D429" s="58" t="s">
        <v>589</v>
      </c>
      <c r="E429" t="s">
        <v>322</v>
      </c>
      <c r="F429" s="58" t="s">
        <v>171</v>
      </c>
      <c r="G429" t="s">
        <v>731</v>
      </c>
      <c r="H429" s="58" t="s">
        <v>4</v>
      </c>
      <c r="I429" t="s">
        <v>4</v>
      </c>
      <c r="J429" s="58" t="s">
        <v>4</v>
      </c>
      <c r="K429" t="s">
        <v>1429</v>
      </c>
      <c r="L429" t="s">
        <v>20</v>
      </c>
      <c r="M429" t="s">
        <v>1430</v>
      </c>
      <c r="N429" s="59">
        <v>220000</v>
      </c>
      <c r="O429" s="59">
        <v>7148460000</v>
      </c>
      <c r="P429" s="59">
        <v>36022064.803312637</v>
      </c>
      <c r="Q429" s="59">
        <v>0</v>
      </c>
      <c r="R429" s="59">
        <v>32340000</v>
      </c>
      <c r="S429" s="59">
        <v>7080097935.1966867</v>
      </c>
      <c r="T429" s="41"/>
      <c r="U429" s="41"/>
      <c r="V429" s="41"/>
      <c r="W429" s="41"/>
      <c r="X429" s="41"/>
      <c r="Y429" s="41"/>
      <c r="Z429" s="41"/>
      <c r="AA429" s="41"/>
      <c r="AB429" s="41"/>
      <c r="AC429" s="41"/>
      <c r="AD429" s="41"/>
      <c r="AE429" s="59">
        <v>289151.41275388206</v>
      </c>
      <c r="AF429" s="59">
        <v>291943.3215378531</v>
      </c>
      <c r="AG429" s="59" t="s">
        <v>5</v>
      </c>
      <c r="AH429" s="59" t="s">
        <v>1166</v>
      </c>
    </row>
    <row r="430" spans="1:34" x14ac:dyDescent="0.35">
      <c r="A430" s="58">
        <v>2024</v>
      </c>
      <c r="B430" s="58">
        <v>9</v>
      </c>
      <c r="C430">
        <v>9</v>
      </c>
      <c r="D430" s="58" t="s">
        <v>621</v>
      </c>
      <c r="E430" t="s">
        <v>257</v>
      </c>
      <c r="F430" s="58" t="s">
        <v>167</v>
      </c>
      <c r="G430" t="s">
        <v>693</v>
      </c>
      <c r="H430" s="58" t="s">
        <v>4</v>
      </c>
      <c r="I430" t="s">
        <v>4</v>
      </c>
      <c r="J430" s="58" t="s">
        <v>4</v>
      </c>
      <c r="K430" t="s">
        <v>1429</v>
      </c>
      <c r="L430" t="s">
        <v>20</v>
      </c>
      <c r="M430" t="s">
        <v>1431</v>
      </c>
      <c r="N430" s="59">
        <v>-2300</v>
      </c>
      <c r="O430" s="59">
        <v>0</v>
      </c>
      <c r="P430" s="59">
        <v>0</v>
      </c>
      <c r="Q430" s="59">
        <v>0</v>
      </c>
      <c r="R430" s="59">
        <v>0</v>
      </c>
      <c r="S430" s="59">
        <v>0</v>
      </c>
      <c r="T430" s="41"/>
      <c r="U430" s="41"/>
      <c r="V430" s="41"/>
      <c r="W430" s="41"/>
      <c r="X430" s="41"/>
      <c r="Y430" s="41"/>
      <c r="Z430" s="41"/>
      <c r="AA430" s="41"/>
      <c r="AB430" s="41"/>
      <c r="AC430" s="41"/>
      <c r="AD430" s="41"/>
      <c r="AE430" s="59">
        <v>0</v>
      </c>
      <c r="AF430" s="59">
        <v>0</v>
      </c>
      <c r="AG430" s="59" t="s">
        <v>16</v>
      </c>
      <c r="AH430" s="59" t="s">
        <v>1156</v>
      </c>
    </row>
    <row r="431" spans="1:34" x14ac:dyDescent="0.35">
      <c r="A431" s="58">
        <v>2024</v>
      </c>
      <c r="B431" s="58">
        <v>9</v>
      </c>
      <c r="C431">
        <v>9</v>
      </c>
      <c r="D431" s="58" t="s">
        <v>621</v>
      </c>
      <c r="E431" t="s">
        <v>257</v>
      </c>
      <c r="F431" s="58" t="s">
        <v>167</v>
      </c>
      <c r="G431" t="s">
        <v>693</v>
      </c>
      <c r="H431" s="58" t="s">
        <v>4</v>
      </c>
      <c r="I431" t="s">
        <v>4</v>
      </c>
      <c r="J431" s="58" t="s">
        <v>4</v>
      </c>
      <c r="K431" t="s">
        <v>1429</v>
      </c>
      <c r="L431" t="s">
        <v>20</v>
      </c>
      <c r="M431" t="s">
        <v>1430</v>
      </c>
      <c r="N431" s="59">
        <v>242000</v>
      </c>
      <c r="O431" s="59">
        <v>8104112940</v>
      </c>
      <c r="P431" s="59">
        <v>39624271.283643886</v>
      </c>
      <c r="Q431" s="59">
        <v>0</v>
      </c>
      <c r="R431" s="59">
        <v>0</v>
      </c>
      <c r="S431" s="59">
        <v>8064488668.7163553</v>
      </c>
      <c r="T431" s="41"/>
      <c r="U431" s="41"/>
      <c r="V431" s="41"/>
      <c r="W431" s="41"/>
      <c r="X431" s="41"/>
      <c r="Y431" s="41"/>
      <c r="Z431" s="41"/>
      <c r="AA431" s="41"/>
      <c r="AB431" s="41"/>
      <c r="AC431" s="41"/>
      <c r="AD431" s="41"/>
      <c r="AE431" s="59">
        <v>329353.95993674605</v>
      </c>
      <c r="AF431" s="59">
        <v>330972.21636848996</v>
      </c>
      <c r="AG431" s="59" t="s">
        <v>16</v>
      </c>
      <c r="AH431" s="59" t="s">
        <v>1156</v>
      </c>
    </row>
    <row r="432" spans="1:34" x14ac:dyDescent="0.35">
      <c r="A432" s="58">
        <v>2024</v>
      </c>
      <c r="B432" s="58">
        <v>9</v>
      </c>
      <c r="C432">
        <v>9</v>
      </c>
      <c r="D432" s="58" t="s">
        <v>621</v>
      </c>
      <c r="E432" t="s">
        <v>257</v>
      </c>
      <c r="F432" s="58" t="s">
        <v>167</v>
      </c>
      <c r="G432" t="s">
        <v>693</v>
      </c>
      <c r="H432" s="58" t="s">
        <v>4</v>
      </c>
      <c r="I432" t="s">
        <v>4</v>
      </c>
      <c r="J432" s="58" t="s">
        <v>4</v>
      </c>
      <c r="K432" t="s">
        <v>1429</v>
      </c>
      <c r="L432" t="s">
        <v>20</v>
      </c>
      <c r="M432" t="s">
        <v>1432</v>
      </c>
      <c r="N432" s="59">
        <v>2300</v>
      </c>
      <c r="O432" s="59">
        <v>0</v>
      </c>
      <c r="P432" s="59">
        <v>0</v>
      </c>
      <c r="Q432" s="59">
        <v>0</v>
      </c>
      <c r="R432" s="59">
        <v>0</v>
      </c>
      <c r="S432" s="59">
        <v>0</v>
      </c>
      <c r="T432" s="41"/>
      <c r="U432" s="41"/>
      <c r="V432" s="41"/>
      <c r="W432" s="41"/>
      <c r="X432" s="41"/>
      <c r="Y432" s="41"/>
      <c r="Z432" s="41"/>
      <c r="AA432" s="41"/>
      <c r="AB432" s="41"/>
      <c r="AC432" s="41"/>
      <c r="AD432" s="41"/>
      <c r="AE432" s="59">
        <v>0</v>
      </c>
      <c r="AF432" s="59">
        <v>0</v>
      </c>
      <c r="AG432" s="59" t="s">
        <v>16</v>
      </c>
      <c r="AH432" s="59" t="s">
        <v>1156</v>
      </c>
    </row>
    <row r="433" spans="1:34" x14ac:dyDescent="0.35">
      <c r="A433" s="58">
        <v>2024</v>
      </c>
      <c r="B433" s="58">
        <v>9</v>
      </c>
      <c r="C433">
        <v>9</v>
      </c>
      <c r="D433" s="58" t="s">
        <v>590</v>
      </c>
      <c r="E433" t="s">
        <v>500</v>
      </c>
      <c r="F433" s="58" t="s">
        <v>168</v>
      </c>
      <c r="G433" t="s">
        <v>700</v>
      </c>
      <c r="H433" s="58" t="s">
        <v>4</v>
      </c>
      <c r="I433" t="s">
        <v>4</v>
      </c>
      <c r="J433" s="58" t="s">
        <v>4</v>
      </c>
      <c r="K433" t="s">
        <v>1429</v>
      </c>
      <c r="L433" t="s">
        <v>20</v>
      </c>
      <c r="M433" t="s">
        <v>1430</v>
      </c>
      <c r="N433" s="59">
        <v>260600</v>
      </c>
      <c r="O433" s="59">
        <v>9605192953</v>
      </c>
      <c r="P433" s="59">
        <v>42686146.791925475</v>
      </c>
      <c r="Q433" s="59">
        <v>0</v>
      </c>
      <c r="R433" s="59">
        <v>216018518.22222218</v>
      </c>
      <c r="S433" s="59">
        <v>9280929145.9858513</v>
      </c>
      <c r="T433" s="41"/>
      <c r="U433" s="41"/>
      <c r="V433" s="41"/>
      <c r="W433" s="41"/>
      <c r="X433" s="41"/>
      <c r="Y433" s="41"/>
      <c r="Z433" s="41"/>
      <c r="AA433" s="41"/>
      <c r="AB433" s="41"/>
      <c r="AC433" s="41"/>
      <c r="AD433" s="41"/>
      <c r="AE433" s="59">
        <v>379033.42563805066</v>
      </c>
      <c r="AF433" s="59">
        <v>392276.36927545234</v>
      </c>
      <c r="AG433" s="59" t="s">
        <v>8</v>
      </c>
      <c r="AH433" s="59" t="s">
        <v>1160</v>
      </c>
    </row>
    <row r="434" spans="1:34" x14ac:dyDescent="0.35">
      <c r="A434" s="58">
        <v>2024</v>
      </c>
      <c r="B434" s="58">
        <v>9</v>
      </c>
      <c r="C434">
        <v>9</v>
      </c>
      <c r="D434" s="58" t="s">
        <v>590</v>
      </c>
      <c r="E434" t="s">
        <v>500</v>
      </c>
      <c r="F434" s="58" t="s">
        <v>168</v>
      </c>
      <c r="G434" t="s">
        <v>700</v>
      </c>
      <c r="H434" s="58" t="s">
        <v>4</v>
      </c>
      <c r="I434" t="s">
        <v>4</v>
      </c>
      <c r="J434" s="58" t="s">
        <v>4</v>
      </c>
      <c r="K434" t="s">
        <v>1429</v>
      </c>
      <c r="L434" t="s">
        <v>20</v>
      </c>
      <c r="M434" t="s">
        <v>1508</v>
      </c>
      <c r="N434" s="59">
        <v>-106700</v>
      </c>
      <c r="O434" s="59">
        <v>-3915491529</v>
      </c>
      <c r="P434" s="59">
        <v>0</v>
      </c>
      <c r="Q434" s="59">
        <v>0</v>
      </c>
      <c r="R434" s="59">
        <v>87089655.172413811</v>
      </c>
      <c r="S434" s="59">
        <v>-3975738665.1724138</v>
      </c>
      <c r="T434" s="41"/>
      <c r="U434" s="41"/>
      <c r="V434" s="41"/>
      <c r="W434" s="41"/>
      <c r="X434" s="41"/>
      <c r="Y434" s="41"/>
      <c r="Z434" s="41"/>
      <c r="AA434" s="41"/>
      <c r="AB434" s="41"/>
      <c r="AC434" s="41"/>
      <c r="AD434" s="41"/>
      <c r="AE434" s="59">
        <v>-162369.28673824921</v>
      </c>
      <c r="AF434" s="59">
        <v>-159908.79188378851</v>
      </c>
      <c r="AG434" s="59" t="s">
        <v>8</v>
      </c>
      <c r="AH434" s="59" t="s">
        <v>1160</v>
      </c>
    </row>
    <row r="435" spans="1:34" x14ac:dyDescent="0.35">
      <c r="A435" s="58">
        <v>2024</v>
      </c>
      <c r="B435" s="58">
        <v>9</v>
      </c>
      <c r="C435">
        <v>9</v>
      </c>
      <c r="D435" s="58" t="s">
        <v>590</v>
      </c>
      <c r="E435" t="s">
        <v>500</v>
      </c>
      <c r="F435" s="58" t="s">
        <v>1535</v>
      </c>
      <c r="G435" t="s">
        <v>1536</v>
      </c>
      <c r="H435" s="58" t="s">
        <v>1012</v>
      </c>
      <c r="I435" t="s">
        <v>1012</v>
      </c>
      <c r="J435" s="58" t="s">
        <v>1012</v>
      </c>
      <c r="K435" t="s">
        <v>1429</v>
      </c>
      <c r="L435" t="s">
        <v>20</v>
      </c>
      <c r="M435" t="s">
        <v>1430</v>
      </c>
      <c r="N435" s="59">
        <v>0</v>
      </c>
      <c r="O435" s="59">
        <v>0</v>
      </c>
      <c r="P435" s="59">
        <v>0</v>
      </c>
      <c r="Q435" s="59">
        <v>0</v>
      </c>
      <c r="R435" s="59">
        <v>0</v>
      </c>
      <c r="S435" s="59">
        <v>38716623</v>
      </c>
      <c r="T435" s="41"/>
      <c r="U435" s="41"/>
      <c r="V435" s="41"/>
      <c r="W435" s="41"/>
      <c r="X435" s="41"/>
      <c r="Y435" s="41"/>
      <c r="Z435" s="41"/>
      <c r="AA435" s="41"/>
      <c r="AB435" s="41"/>
      <c r="AC435" s="41"/>
      <c r="AD435" s="41"/>
      <c r="AE435" s="59">
        <v>1581.1880485235754</v>
      </c>
      <c r="AF435" s="59">
        <v>0</v>
      </c>
      <c r="AG435" s="59" t="s">
        <v>8</v>
      </c>
      <c r="AH435" s="59" t="s">
        <v>1270</v>
      </c>
    </row>
    <row r="436" spans="1:34" x14ac:dyDescent="0.35">
      <c r="A436" s="58">
        <v>2024</v>
      </c>
      <c r="B436" s="58">
        <v>9</v>
      </c>
      <c r="C436">
        <v>9</v>
      </c>
      <c r="D436" s="58" t="s">
        <v>601</v>
      </c>
      <c r="E436" t="s">
        <v>501</v>
      </c>
      <c r="F436" s="58" t="s">
        <v>168</v>
      </c>
      <c r="G436" t="s">
        <v>700</v>
      </c>
      <c r="H436" s="58" t="s">
        <v>4</v>
      </c>
      <c r="I436" t="s">
        <v>4</v>
      </c>
      <c r="J436" s="58" t="s">
        <v>4</v>
      </c>
      <c r="K436" t="s">
        <v>1429</v>
      </c>
      <c r="L436" t="s">
        <v>20</v>
      </c>
      <c r="M436" t="s">
        <v>1431</v>
      </c>
      <c r="N436" s="59">
        <v>-3300</v>
      </c>
      <c r="O436" s="59">
        <v>0</v>
      </c>
      <c r="P436" s="59">
        <v>0</v>
      </c>
      <c r="Q436" s="59">
        <v>0</v>
      </c>
      <c r="R436" s="59">
        <v>0</v>
      </c>
      <c r="S436" s="59">
        <v>0</v>
      </c>
      <c r="T436" s="41"/>
      <c r="U436" s="41"/>
      <c r="V436" s="41"/>
      <c r="W436" s="41"/>
      <c r="X436" s="41"/>
      <c r="Y436" s="41"/>
      <c r="Z436" s="41"/>
      <c r="AA436" s="41"/>
      <c r="AB436" s="41"/>
      <c r="AC436" s="41"/>
      <c r="AD436" s="41"/>
      <c r="AE436" s="59">
        <v>0</v>
      </c>
      <c r="AF436" s="59">
        <v>0</v>
      </c>
      <c r="AG436" s="59" t="s">
        <v>109</v>
      </c>
      <c r="AH436" s="59" t="s">
        <v>1160</v>
      </c>
    </row>
    <row r="437" spans="1:34" x14ac:dyDescent="0.35">
      <c r="A437" s="58">
        <v>2024</v>
      </c>
      <c r="B437" s="58">
        <v>9</v>
      </c>
      <c r="C437">
        <v>9</v>
      </c>
      <c r="D437" s="58" t="s">
        <v>601</v>
      </c>
      <c r="E437" t="s">
        <v>501</v>
      </c>
      <c r="F437" s="58" t="s">
        <v>168</v>
      </c>
      <c r="G437" t="s">
        <v>700</v>
      </c>
      <c r="H437" s="58" t="s">
        <v>4</v>
      </c>
      <c r="I437" t="s">
        <v>4</v>
      </c>
      <c r="J437" s="58" t="s">
        <v>4</v>
      </c>
      <c r="K437" t="s">
        <v>1429</v>
      </c>
      <c r="L437" t="s">
        <v>20</v>
      </c>
      <c r="M437" t="s">
        <v>1432</v>
      </c>
      <c r="N437" s="59">
        <v>3300</v>
      </c>
      <c r="O437" s="59">
        <v>0</v>
      </c>
      <c r="P437" s="59">
        <v>0</v>
      </c>
      <c r="Q437" s="59">
        <v>0</v>
      </c>
      <c r="R437" s="59">
        <v>0</v>
      </c>
      <c r="S437" s="59">
        <v>0</v>
      </c>
      <c r="T437" s="41"/>
      <c r="U437" s="41"/>
      <c r="V437" s="41"/>
      <c r="W437" s="41"/>
      <c r="X437" s="41"/>
      <c r="Y437" s="41"/>
      <c r="Z437" s="41"/>
      <c r="AA437" s="41"/>
      <c r="AB437" s="41"/>
      <c r="AC437" s="41"/>
      <c r="AD437" s="41"/>
      <c r="AE437" s="59">
        <v>0</v>
      </c>
      <c r="AF437" s="59">
        <v>0</v>
      </c>
      <c r="AG437" s="59" t="s">
        <v>109</v>
      </c>
      <c r="AH437" s="59" t="s">
        <v>1160</v>
      </c>
    </row>
    <row r="438" spans="1:34" x14ac:dyDescent="0.35">
      <c r="A438" s="58">
        <v>2024</v>
      </c>
      <c r="B438" s="58">
        <v>9</v>
      </c>
      <c r="C438">
        <v>9</v>
      </c>
      <c r="D438" s="58" t="s">
        <v>620</v>
      </c>
      <c r="E438" t="s">
        <v>324</v>
      </c>
      <c r="F438" s="58" t="s">
        <v>168</v>
      </c>
      <c r="G438" t="s">
        <v>700</v>
      </c>
      <c r="H438" s="58" t="s">
        <v>4</v>
      </c>
      <c r="I438" t="s">
        <v>4</v>
      </c>
      <c r="J438" s="58" t="s">
        <v>4</v>
      </c>
      <c r="K438" t="s">
        <v>1429</v>
      </c>
      <c r="L438" t="s">
        <v>20</v>
      </c>
      <c r="M438" t="s">
        <v>1431</v>
      </c>
      <c r="N438" s="59">
        <v>-25684</v>
      </c>
      <c r="O438" s="59">
        <v>0</v>
      </c>
      <c r="P438" s="59">
        <v>0</v>
      </c>
      <c r="Q438" s="59">
        <v>0</v>
      </c>
      <c r="R438" s="59">
        <v>0</v>
      </c>
      <c r="S438" s="59">
        <v>0</v>
      </c>
      <c r="T438" s="41"/>
      <c r="U438" s="41"/>
      <c r="V438" s="41"/>
      <c r="W438" s="41"/>
      <c r="X438" s="41"/>
      <c r="Y438" s="41"/>
      <c r="Z438" s="41"/>
      <c r="AA438" s="41"/>
      <c r="AB438" s="41"/>
      <c r="AC438" s="41"/>
      <c r="AD438" s="41"/>
      <c r="AE438" s="59">
        <v>0</v>
      </c>
      <c r="AF438" s="59">
        <v>0</v>
      </c>
      <c r="AG438" s="59" t="s">
        <v>8</v>
      </c>
      <c r="AH438" s="59" t="s">
        <v>1160</v>
      </c>
    </row>
    <row r="439" spans="1:34" x14ac:dyDescent="0.35">
      <c r="A439" s="58">
        <v>2024</v>
      </c>
      <c r="B439" s="58">
        <v>9</v>
      </c>
      <c r="C439">
        <v>9</v>
      </c>
      <c r="D439" s="58" t="s">
        <v>620</v>
      </c>
      <c r="E439" t="s">
        <v>324</v>
      </c>
      <c r="F439" s="58" t="s">
        <v>168</v>
      </c>
      <c r="G439" t="s">
        <v>700</v>
      </c>
      <c r="H439" s="58" t="s">
        <v>4</v>
      </c>
      <c r="I439" t="s">
        <v>4</v>
      </c>
      <c r="J439" s="58" t="s">
        <v>4</v>
      </c>
      <c r="K439" t="s">
        <v>1429</v>
      </c>
      <c r="L439" t="s">
        <v>20</v>
      </c>
      <c r="M439" t="s">
        <v>1430</v>
      </c>
      <c r="N439" s="59">
        <v>66000</v>
      </c>
      <c r="O439" s="59">
        <v>2405944200</v>
      </c>
      <c r="P439" s="59">
        <v>10806619.44099379</v>
      </c>
      <c r="Q439" s="59">
        <v>0</v>
      </c>
      <c r="R439" s="59">
        <v>10560000</v>
      </c>
      <c r="S439" s="59">
        <v>2367973960.5590057</v>
      </c>
      <c r="T439" s="41"/>
      <c r="U439" s="41"/>
      <c r="V439" s="41"/>
      <c r="W439" s="41"/>
      <c r="X439" s="41"/>
      <c r="Y439" s="41"/>
      <c r="Z439" s="41"/>
      <c r="AA439" s="41"/>
      <c r="AB439" s="41"/>
      <c r="AC439" s="41"/>
      <c r="AD439" s="41"/>
      <c r="AE439" s="59">
        <v>96708.127815045649</v>
      </c>
      <c r="AF439" s="59">
        <v>98258.8335365565</v>
      </c>
      <c r="AG439" s="59" t="s">
        <v>8</v>
      </c>
      <c r="AH439" s="59" t="s">
        <v>1160</v>
      </c>
    </row>
    <row r="440" spans="1:34" x14ac:dyDescent="0.35">
      <c r="A440" s="58">
        <v>2024</v>
      </c>
      <c r="B440" s="58">
        <v>9</v>
      </c>
      <c r="C440">
        <v>9</v>
      </c>
      <c r="D440" s="58" t="s">
        <v>620</v>
      </c>
      <c r="E440" t="s">
        <v>324</v>
      </c>
      <c r="F440" s="58" t="s">
        <v>168</v>
      </c>
      <c r="G440" t="s">
        <v>700</v>
      </c>
      <c r="H440" s="58" t="s">
        <v>4</v>
      </c>
      <c r="I440" t="s">
        <v>4</v>
      </c>
      <c r="J440" s="58" t="s">
        <v>4</v>
      </c>
      <c r="K440" t="s">
        <v>1429</v>
      </c>
      <c r="L440" t="s">
        <v>20</v>
      </c>
      <c r="M440" t="s">
        <v>1432</v>
      </c>
      <c r="N440" s="59">
        <v>25684</v>
      </c>
      <c r="O440" s="59">
        <v>0</v>
      </c>
      <c r="P440" s="59">
        <v>0</v>
      </c>
      <c r="Q440" s="59">
        <v>0</v>
      </c>
      <c r="R440" s="59">
        <v>0</v>
      </c>
      <c r="S440" s="59">
        <v>0</v>
      </c>
      <c r="T440" s="41"/>
      <c r="U440" s="41"/>
      <c r="V440" s="41"/>
      <c r="W440" s="41"/>
      <c r="X440" s="41"/>
      <c r="Y440" s="41"/>
      <c r="Z440" s="41"/>
      <c r="AA440" s="41"/>
      <c r="AB440" s="41"/>
      <c r="AC440" s="41"/>
      <c r="AD440" s="41"/>
      <c r="AE440" s="59">
        <v>0</v>
      </c>
      <c r="AF440" s="59">
        <v>0</v>
      </c>
      <c r="AG440" s="59" t="s">
        <v>8</v>
      </c>
      <c r="AH440" s="59" t="s">
        <v>1160</v>
      </c>
    </row>
    <row r="441" spans="1:34" x14ac:dyDescent="0.35">
      <c r="A441" s="58">
        <v>2024</v>
      </c>
      <c r="B441" s="58">
        <v>9</v>
      </c>
      <c r="C441">
        <v>9</v>
      </c>
      <c r="D441" s="58" t="s">
        <v>620</v>
      </c>
      <c r="E441" t="s">
        <v>324</v>
      </c>
      <c r="F441" s="58" t="s">
        <v>1535</v>
      </c>
      <c r="G441" t="s">
        <v>1536</v>
      </c>
      <c r="H441" s="58" t="s">
        <v>1012</v>
      </c>
      <c r="I441" t="s">
        <v>1012</v>
      </c>
      <c r="J441" s="58" t="s">
        <v>1012</v>
      </c>
      <c r="K441" t="s">
        <v>1429</v>
      </c>
      <c r="L441" t="s">
        <v>20</v>
      </c>
      <c r="M441" t="s">
        <v>1430</v>
      </c>
      <c r="N441" s="59">
        <v>0</v>
      </c>
      <c r="O441" s="59">
        <v>0</v>
      </c>
      <c r="P441" s="59">
        <v>0</v>
      </c>
      <c r="Q441" s="59">
        <v>0</v>
      </c>
      <c r="R441" s="59">
        <v>0</v>
      </c>
      <c r="S441" s="59">
        <v>16603620</v>
      </c>
      <c r="T441" s="41"/>
      <c r="U441" s="41"/>
      <c r="V441" s="41"/>
      <c r="W441" s="41"/>
      <c r="X441" s="41"/>
      <c r="Y441" s="41"/>
      <c r="Z441" s="41"/>
      <c r="AA441" s="41"/>
      <c r="AB441" s="41"/>
      <c r="AC441" s="41"/>
      <c r="AD441" s="41"/>
      <c r="AE441" s="59">
        <v>678.09234049743975</v>
      </c>
      <c r="AF441" s="59">
        <v>0</v>
      </c>
      <c r="AG441" s="59" t="s">
        <v>8</v>
      </c>
      <c r="AH441" s="59" t="s">
        <v>1270</v>
      </c>
    </row>
    <row r="442" spans="1:34" x14ac:dyDescent="0.35">
      <c r="A442" s="58">
        <v>2024</v>
      </c>
      <c r="B442" s="58">
        <v>9</v>
      </c>
      <c r="C442">
        <v>9</v>
      </c>
      <c r="D442" s="58" t="s">
        <v>1531</v>
      </c>
      <c r="E442" t="s">
        <v>1296</v>
      </c>
      <c r="F442" s="58" t="s">
        <v>1482</v>
      </c>
      <c r="G442" t="s">
        <v>1483</v>
      </c>
      <c r="H442" s="58" t="s">
        <v>1012</v>
      </c>
      <c r="I442" t="s">
        <v>1012</v>
      </c>
      <c r="J442" s="58" t="s">
        <v>1012</v>
      </c>
      <c r="K442" t="s">
        <v>1429</v>
      </c>
      <c r="L442" t="s">
        <v>20</v>
      </c>
      <c r="M442" t="s">
        <v>1430</v>
      </c>
      <c r="N442" s="59">
        <v>0</v>
      </c>
      <c r="O442" s="59">
        <v>48000000</v>
      </c>
      <c r="P442" s="59">
        <v>0</v>
      </c>
      <c r="Q442" s="59">
        <v>0</v>
      </c>
      <c r="R442" s="59">
        <v>0</v>
      </c>
      <c r="S442" s="59">
        <v>48000000</v>
      </c>
      <c r="T442" s="41"/>
      <c r="U442" s="41"/>
      <c r="V442" s="41"/>
      <c r="W442" s="41"/>
      <c r="X442" s="41"/>
      <c r="Y442" s="41"/>
      <c r="Z442" s="41"/>
      <c r="AA442" s="41"/>
      <c r="AB442" s="41"/>
      <c r="AC442" s="41"/>
      <c r="AD442" s="41"/>
      <c r="AE442" s="59">
        <v>1960.3214445932338</v>
      </c>
      <c r="AF442" s="59">
        <v>1960.3214445932338</v>
      </c>
      <c r="AG442" s="59" t="s">
        <v>1296</v>
      </c>
      <c r="AH442" s="59" t="s">
        <v>1325</v>
      </c>
    </row>
    <row r="443" spans="1:34" x14ac:dyDescent="0.35">
      <c r="A443" s="58">
        <v>2024</v>
      </c>
      <c r="B443" s="58">
        <v>9</v>
      </c>
      <c r="C443">
        <v>9</v>
      </c>
      <c r="D443" s="58" t="s">
        <v>1465</v>
      </c>
      <c r="E443" t="s">
        <v>1309</v>
      </c>
      <c r="F443" s="58" t="s">
        <v>1466</v>
      </c>
      <c r="G443" t="s">
        <v>1467</v>
      </c>
      <c r="H443" s="58" t="s">
        <v>1012</v>
      </c>
      <c r="I443" t="s">
        <v>1012</v>
      </c>
      <c r="J443" s="58" t="s">
        <v>1012</v>
      </c>
      <c r="K443" t="s">
        <v>1429</v>
      </c>
      <c r="L443" t="s">
        <v>20</v>
      </c>
      <c r="M443" t="s">
        <v>1430</v>
      </c>
      <c r="N443" s="59">
        <v>0</v>
      </c>
      <c r="O443" s="59">
        <v>2685185185</v>
      </c>
      <c r="P443" s="59">
        <v>0</v>
      </c>
      <c r="Q443" s="59">
        <v>0</v>
      </c>
      <c r="R443" s="59">
        <v>0</v>
      </c>
      <c r="S443" s="59">
        <v>2685185185</v>
      </c>
      <c r="T443" s="41"/>
      <c r="U443" s="41"/>
      <c r="V443" s="41"/>
      <c r="W443" s="41"/>
      <c r="X443" s="41"/>
      <c r="Y443" s="41"/>
      <c r="Z443" s="41"/>
      <c r="AA443" s="41"/>
      <c r="AB443" s="41"/>
      <c r="AC443" s="41"/>
      <c r="AD443" s="41"/>
      <c r="AE443" s="59">
        <v>109663.04376790728</v>
      </c>
      <c r="AF443" s="59">
        <v>109663.04376790728</v>
      </c>
      <c r="AG443" s="59" t="s">
        <v>1309</v>
      </c>
      <c r="AH443" s="59" t="s">
        <v>1306</v>
      </c>
    </row>
    <row r="444" spans="1:34" x14ac:dyDescent="0.35">
      <c r="A444" s="58">
        <v>2024</v>
      </c>
      <c r="B444" s="58">
        <v>9</v>
      </c>
      <c r="C444">
        <v>9</v>
      </c>
      <c r="D444" s="58" t="s">
        <v>682</v>
      </c>
      <c r="E444" t="s">
        <v>156</v>
      </c>
      <c r="F444" s="58" t="s">
        <v>1468</v>
      </c>
      <c r="G444" t="s">
        <v>1012</v>
      </c>
      <c r="H444" s="58" t="s">
        <v>1012</v>
      </c>
      <c r="I444" t="s">
        <v>1012</v>
      </c>
      <c r="J444" s="58" t="s">
        <v>1012</v>
      </c>
      <c r="K444" t="s">
        <v>1429</v>
      </c>
      <c r="L444" t="s">
        <v>20</v>
      </c>
      <c r="M444" t="s">
        <v>1430</v>
      </c>
      <c r="N444" s="59">
        <v>0</v>
      </c>
      <c r="O444" s="59">
        <v>123496909</v>
      </c>
      <c r="P444" s="59">
        <v>0</v>
      </c>
      <c r="Q444" s="59">
        <v>0</v>
      </c>
      <c r="R444" s="59">
        <v>0</v>
      </c>
      <c r="S444" s="59">
        <v>123496909</v>
      </c>
      <c r="T444" s="41"/>
      <c r="U444" s="41"/>
      <c r="V444" s="41"/>
      <c r="W444" s="41"/>
      <c r="X444" s="41"/>
      <c r="Y444" s="41"/>
      <c r="Z444" s="41"/>
      <c r="AA444" s="41"/>
      <c r="AB444" s="41"/>
      <c r="AC444" s="41"/>
      <c r="AD444" s="41"/>
      <c r="AE444" s="59">
        <v>5043.617480284981</v>
      </c>
      <c r="AF444" s="59">
        <v>5043.617480284981</v>
      </c>
      <c r="AG444" s="59" t="s">
        <v>156</v>
      </c>
      <c r="AH444" s="59" t="s">
        <v>1284</v>
      </c>
    </row>
    <row r="445" spans="1:34" x14ac:dyDescent="0.35">
      <c r="A445" s="58">
        <v>2024</v>
      </c>
      <c r="B445" s="58">
        <v>9</v>
      </c>
      <c r="C445">
        <v>9</v>
      </c>
      <c r="D445" s="58" t="s">
        <v>615</v>
      </c>
      <c r="E445" t="s">
        <v>320</v>
      </c>
      <c r="F445" s="58" t="s">
        <v>168</v>
      </c>
      <c r="G445" t="s">
        <v>700</v>
      </c>
      <c r="H445" s="58" t="s">
        <v>4</v>
      </c>
      <c r="I445" t="s">
        <v>4</v>
      </c>
      <c r="J445" s="58" t="s">
        <v>4</v>
      </c>
      <c r="K445" t="s">
        <v>1429</v>
      </c>
      <c r="L445" t="s">
        <v>20</v>
      </c>
      <c r="M445" t="s">
        <v>1431</v>
      </c>
      <c r="N445" s="59">
        <v>-30800</v>
      </c>
      <c r="O445" s="59">
        <v>0</v>
      </c>
      <c r="P445" s="59">
        <v>0</v>
      </c>
      <c r="Q445" s="59">
        <v>0</v>
      </c>
      <c r="R445" s="59">
        <v>27710344.827586208</v>
      </c>
      <c r="S445" s="59">
        <v>-27710344.827586208</v>
      </c>
      <c r="T445" s="41"/>
      <c r="U445" s="41"/>
      <c r="V445" s="41"/>
      <c r="W445" s="41"/>
      <c r="X445" s="41"/>
      <c r="Y445" s="41"/>
      <c r="Z445" s="41"/>
      <c r="AA445" s="41"/>
      <c r="AB445" s="41"/>
      <c r="AC445" s="41"/>
      <c r="AD445" s="41"/>
      <c r="AE445" s="59">
        <v>-1131.6913167206342</v>
      </c>
      <c r="AF445" s="59">
        <v>0</v>
      </c>
      <c r="AG445" s="59" t="s">
        <v>99</v>
      </c>
      <c r="AH445" s="59" t="s">
        <v>1160</v>
      </c>
    </row>
    <row r="446" spans="1:34" x14ac:dyDescent="0.35">
      <c r="A446" s="58">
        <v>2024</v>
      </c>
      <c r="B446" s="58">
        <v>9</v>
      </c>
      <c r="C446">
        <v>9</v>
      </c>
      <c r="D446" s="58" t="s">
        <v>615</v>
      </c>
      <c r="E446" t="s">
        <v>320</v>
      </c>
      <c r="F446" s="58" t="s">
        <v>168</v>
      </c>
      <c r="G446" t="s">
        <v>700</v>
      </c>
      <c r="H446" s="58" t="s">
        <v>4</v>
      </c>
      <c r="I446" t="s">
        <v>4</v>
      </c>
      <c r="J446" s="58" t="s">
        <v>4</v>
      </c>
      <c r="K446" t="s">
        <v>1429</v>
      </c>
      <c r="L446" t="s">
        <v>20</v>
      </c>
      <c r="M446" t="s">
        <v>1430</v>
      </c>
      <c r="N446" s="59">
        <v>88000</v>
      </c>
      <c r="O446" s="59">
        <v>2990724000</v>
      </c>
      <c r="P446" s="59">
        <v>14408825.921325052</v>
      </c>
      <c r="Q446" s="59">
        <v>0</v>
      </c>
      <c r="R446" s="59">
        <v>35185185.148148142</v>
      </c>
      <c r="S446" s="59">
        <v>2941129988.9305267</v>
      </c>
      <c r="T446" s="41"/>
      <c r="U446" s="41"/>
      <c r="V446" s="41"/>
      <c r="W446" s="41"/>
      <c r="X446" s="41"/>
      <c r="Y446" s="41"/>
      <c r="Z446" s="41"/>
      <c r="AA446" s="41"/>
      <c r="AB446" s="41"/>
      <c r="AC446" s="41"/>
      <c r="AD446" s="41"/>
      <c r="AE446" s="59">
        <v>120115.83726326609</v>
      </c>
      <c r="AF446" s="59">
        <v>122141.25816790946</v>
      </c>
      <c r="AG446" s="59" t="s">
        <v>99</v>
      </c>
      <c r="AH446" s="59" t="s">
        <v>1160</v>
      </c>
    </row>
    <row r="447" spans="1:34" x14ac:dyDescent="0.35">
      <c r="A447" s="58">
        <v>2024</v>
      </c>
      <c r="B447" s="58">
        <v>9</v>
      </c>
      <c r="C447">
        <v>9</v>
      </c>
      <c r="D447" s="58" t="s">
        <v>615</v>
      </c>
      <c r="E447" t="s">
        <v>320</v>
      </c>
      <c r="F447" s="58" t="s">
        <v>168</v>
      </c>
      <c r="G447" t="s">
        <v>700</v>
      </c>
      <c r="H447" s="58" t="s">
        <v>4</v>
      </c>
      <c r="I447" t="s">
        <v>4</v>
      </c>
      <c r="J447" s="58" t="s">
        <v>4</v>
      </c>
      <c r="K447" t="s">
        <v>1429</v>
      </c>
      <c r="L447" t="s">
        <v>20</v>
      </c>
      <c r="M447" t="s">
        <v>1508</v>
      </c>
      <c r="N447" s="59">
        <v>-22000</v>
      </c>
      <c r="O447" s="59">
        <v>-756096000</v>
      </c>
      <c r="P447" s="59">
        <v>-3602206.480331263</v>
      </c>
      <c r="Q447" s="59">
        <v>0</v>
      </c>
      <c r="R447" s="59">
        <v>0</v>
      </c>
      <c r="S447" s="59">
        <v>-752493793.5196687</v>
      </c>
      <c r="T447" s="41"/>
      <c r="U447" s="41"/>
      <c r="V447" s="41"/>
      <c r="W447" s="41"/>
      <c r="X447" s="41"/>
      <c r="Y447" s="41"/>
      <c r="Z447" s="41"/>
      <c r="AA447" s="41"/>
      <c r="AB447" s="41"/>
      <c r="AC447" s="41"/>
      <c r="AD447" s="41"/>
      <c r="AE447" s="59">
        <v>-30731.869174164989</v>
      </c>
      <c r="AF447" s="59">
        <v>-30878.983395232619</v>
      </c>
      <c r="AG447" s="59" t="s">
        <v>99</v>
      </c>
      <c r="AH447" s="59" t="s">
        <v>1160</v>
      </c>
    </row>
    <row r="448" spans="1:34" x14ac:dyDescent="0.35">
      <c r="A448" s="58">
        <v>2024</v>
      </c>
      <c r="B448" s="58">
        <v>9</v>
      </c>
      <c r="C448">
        <v>9</v>
      </c>
      <c r="D448" s="58" t="s">
        <v>615</v>
      </c>
      <c r="E448" t="s">
        <v>320</v>
      </c>
      <c r="F448" s="58" t="s">
        <v>168</v>
      </c>
      <c r="G448" t="s">
        <v>700</v>
      </c>
      <c r="H448" s="58" t="s">
        <v>4</v>
      </c>
      <c r="I448" t="s">
        <v>4</v>
      </c>
      <c r="J448" s="58" t="s">
        <v>4</v>
      </c>
      <c r="K448" t="s">
        <v>1429</v>
      </c>
      <c r="L448" t="s">
        <v>20</v>
      </c>
      <c r="M448" t="s">
        <v>1432</v>
      </c>
      <c r="N448" s="59">
        <v>30800</v>
      </c>
      <c r="O448" s="59">
        <v>0</v>
      </c>
      <c r="P448" s="59">
        <v>5403309.7204968948</v>
      </c>
      <c r="Q448" s="59">
        <v>0</v>
      </c>
      <c r="R448" s="59">
        <v>27000000</v>
      </c>
      <c r="S448" s="59">
        <v>-32403309.720496893</v>
      </c>
      <c r="T448" s="41"/>
      <c r="U448" s="41"/>
      <c r="V448" s="41"/>
      <c r="W448" s="41"/>
      <c r="X448" s="41"/>
      <c r="Y448" s="41"/>
      <c r="Z448" s="41"/>
      <c r="AA448" s="41"/>
      <c r="AB448" s="41"/>
      <c r="AC448" s="41"/>
      <c r="AD448" s="41"/>
      <c r="AE448" s="59">
        <v>-1323.3521441851342</v>
      </c>
      <c r="AF448" s="59">
        <v>0</v>
      </c>
      <c r="AG448" s="59" t="s">
        <v>99</v>
      </c>
      <c r="AH448" s="59" t="s">
        <v>1160</v>
      </c>
    </row>
    <row r="449" spans="1:34" x14ac:dyDescent="0.35">
      <c r="A449" s="58">
        <v>2024</v>
      </c>
      <c r="B449" s="58">
        <v>9</v>
      </c>
      <c r="C449">
        <v>9</v>
      </c>
      <c r="D449" s="58" t="s">
        <v>605</v>
      </c>
      <c r="E449" t="s">
        <v>479</v>
      </c>
      <c r="F449" s="58" t="s">
        <v>184</v>
      </c>
      <c r="G449" t="s">
        <v>717</v>
      </c>
      <c r="H449" s="58" t="s">
        <v>1428</v>
      </c>
      <c r="I449" t="s">
        <v>75</v>
      </c>
      <c r="J449" s="58" t="s">
        <v>75</v>
      </c>
      <c r="K449" t="s">
        <v>1429</v>
      </c>
      <c r="L449" t="s">
        <v>20</v>
      </c>
      <c r="M449" t="s">
        <v>1430</v>
      </c>
      <c r="N449" s="59">
        <v>11000</v>
      </c>
      <c r="O449" s="59">
        <v>399234000</v>
      </c>
      <c r="P449" s="59">
        <v>0</v>
      </c>
      <c r="Q449" s="59">
        <v>0</v>
      </c>
      <c r="R449" s="59">
        <v>11574074</v>
      </c>
      <c r="S449" s="59">
        <v>387659926</v>
      </c>
      <c r="T449" s="41"/>
      <c r="U449" s="41"/>
      <c r="V449" s="41"/>
      <c r="W449" s="41"/>
      <c r="X449" s="41"/>
      <c r="Y449" s="41"/>
      <c r="Z449" s="41"/>
      <c r="AA449" s="41"/>
      <c r="AB449" s="41"/>
      <c r="AC449" s="41"/>
      <c r="AD449" s="41"/>
      <c r="AE449" s="59">
        <v>15832.043044733877</v>
      </c>
      <c r="AF449" s="59">
        <v>16304.728575223648</v>
      </c>
      <c r="AG449" s="59" t="s">
        <v>5</v>
      </c>
      <c r="AH449" s="59" t="s">
        <v>1198</v>
      </c>
    </row>
    <row r="450" spans="1:34" x14ac:dyDescent="0.35">
      <c r="A450" s="58">
        <v>2024</v>
      </c>
      <c r="B450" s="58">
        <v>9</v>
      </c>
      <c r="C450">
        <v>9</v>
      </c>
      <c r="D450" s="58" t="s">
        <v>1541</v>
      </c>
      <c r="E450" t="s">
        <v>5</v>
      </c>
      <c r="F450" s="58" t="s">
        <v>1466</v>
      </c>
      <c r="G450" t="s">
        <v>1467</v>
      </c>
      <c r="H450" s="58" t="s">
        <v>1012</v>
      </c>
      <c r="I450" t="s">
        <v>1012</v>
      </c>
      <c r="J450" s="58" t="s">
        <v>1012</v>
      </c>
      <c r="K450" t="s">
        <v>1429</v>
      </c>
      <c r="L450" t="s">
        <v>20</v>
      </c>
      <c r="M450" t="s">
        <v>1430</v>
      </c>
      <c r="N450" s="59">
        <v>0</v>
      </c>
      <c r="O450" s="59">
        <v>8510750000</v>
      </c>
      <c r="P450" s="59">
        <v>0</v>
      </c>
      <c r="Q450" s="59">
        <v>0</v>
      </c>
      <c r="R450" s="59">
        <v>0</v>
      </c>
      <c r="S450" s="59">
        <v>8510750000</v>
      </c>
      <c r="T450" s="41"/>
      <c r="U450" s="41"/>
      <c r="V450" s="41"/>
      <c r="W450" s="41"/>
      <c r="X450" s="41"/>
      <c r="Y450" s="41"/>
      <c r="Z450" s="41"/>
      <c r="AA450" s="41"/>
      <c r="AB450" s="41"/>
      <c r="AC450" s="41"/>
      <c r="AD450" s="41"/>
      <c r="AE450" s="59">
        <v>347579.28613691381</v>
      </c>
      <c r="AF450" s="59">
        <v>347579.28613691381</v>
      </c>
      <c r="AG450" s="59" t="s">
        <v>5</v>
      </c>
      <c r="AH450" s="59" t="s">
        <v>1306</v>
      </c>
    </row>
    <row r="451" spans="1:34" x14ac:dyDescent="0.35">
      <c r="A451" s="58">
        <v>2024</v>
      </c>
      <c r="B451" s="58">
        <v>9</v>
      </c>
      <c r="C451">
        <v>9</v>
      </c>
      <c r="D451" s="58" t="s">
        <v>1469</v>
      </c>
      <c r="E451" t="s">
        <v>1211</v>
      </c>
      <c r="F451" s="58" t="s">
        <v>1472</v>
      </c>
      <c r="G451" t="s">
        <v>1473</v>
      </c>
      <c r="H451" s="58" t="s">
        <v>1012</v>
      </c>
      <c r="I451" t="s">
        <v>86</v>
      </c>
      <c r="J451" s="58" t="s">
        <v>86</v>
      </c>
      <c r="K451" t="s">
        <v>1429</v>
      </c>
      <c r="L451" t="s">
        <v>20</v>
      </c>
      <c r="M451" t="s">
        <v>1430</v>
      </c>
      <c r="N451" s="59">
        <v>2374</v>
      </c>
      <c r="O451" s="59">
        <v>50328800</v>
      </c>
      <c r="P451" s="59">
        <v>0</v>
      </c>
      <c r="Q451" s="59">
        <v>0</v>
      </c>
      <c r="R451" s="59">
        <v>0</v>
      </c>
      <c r="S451" s="59">
        <v>50328800</v>
      </c>
      <c r="T451" s="41"/>
      <c r="U451" s="41"/>
      <c r="V451" s="41"/>
      <c r="W451" s="41"/>
      <c r="X451" s="41"/>
      <c r="Y451" s="41"/>
      <c r="Z451" s="41"/>
      <c r="AA451" s="41"/>
      <c r="AB451" s="41"/>
      <c r="AC451" s="41"/>
      <c r="AD451" s="41"/>
      <c r="AE451" s="59">
        <v>2055.4297066800823</v>
      </c>
      <c r="AF451" s="59">
        <v>2055.4297066800823</v>
      </c>
      <c r="AG451" s="59" t="s">
        <v>1211</v>
      </c>
      <c r="AH451" s="59" t="s">
        <v>1215</v>
      </c>
    </row>
    <row r="452" spans="1:34" x14ac:dyDescent="0.35">
      <c r="A452" s="58">
        <v>2024</v>
      </c>
      <c r="B452" s="58">
        <v>9</v>
      </c>
      <c r="C452">
        <v>9</v>
      </c>
      <c r="D452" s="58" t="s">
        <v>595</v>
      </c>
      <c r="E452" t="s">
        <v>478</v>
      </c>
      <c r="F452" s="58" t="s">
        <v>184</v>
      </c>
      <c r="G452" t="s">
        <v>717</v>
      </c>
      <c r="H452" s="58" t="s">
        <v>1428</v>
      </c>
      <c r="I452" t="s">
        <v>75</v>
      </c>
      <c r="J452" s="58" t="s">
        <v>75</v>
      </c>
      <c r="K452" t="s">
        <v>1429</v>
      </c>
      <c r="L452" t="s">
        <v>20</v>
      </c>
      <c r="M452" t="s">
        <v>1430</v>
      </c>
      <c r="N452" s="59">
        <v>77000</v>
      </c>
      <c r="O452" s="59">
        <v>2702238000</v>
      </c>
      <c r="P452" s="59">
        <v>0</v>
      </c>
      <c r="Q452" s="59">
        <v>0</v>
      </c>
      <c r="R452" s="59">
        <v>0</v>
      </c>
      <c r="S452" s="59">
        <v>2702238000</v>
      </c>
      <c r="T452" s="41"/>
      <c r="U452" s="41"/>
      <c r="V452" s="41"/>
      <c r="W452" s="41"/>
      <c r="X452" s="41"/>
      <c r="Y452" s="41"/>
      <c r="Z452" s="41"/>
      <c r="AA452" s="41"/>
      <c r="AB452" s="41"/>
      <c r="AC452" s="41"/>
      <c r="AD452" s="41"/>
      <c r="AE452" s="59">
        <v>110359.48124572355</v>
      </c>
      <c r="AF452" s="59">
        <v>110359.48124572355</v>
      </c>
      <c r="AG452" s="59" t="s">
        <v>5</v>
      </c>
      <c r="AH452" s="59" t="s">
        <v>1198</v>
      </c>
    </row>
    <row r="453" spans="1:34" x14ac:dyDescent="0.35">
      <c r="A453" s="58">
        <v>2024</v>
      </c>
      <c r="B453" s="58">
        <v>9</v>
      </c>
      <c r="C453">
        <v>9</v>
      </c>
      <c r="D453" s="58" t="s">
        <v>595</v>
      </c>
      <c r="E453" t="s">
        <v>478</v>
      </c>
      <c r="F453" s="58" t="s">
        <v>187</v>
      </c>
      <c r="G453" t="s">
        <v>869</v>
      </c>
      <c r="H453" s="58" t="s">
        <v>1428</v>
      </c>
      <c r="I453" t="s">
        <v>75</v>
      </c>
      <c r="J453" s="58" t="s">
        <v>75</v>
      </c>
      <c r="K453" t="s">
        <v>1429</v>
      </c>
      <c r="L453" t="s">
        <v>20</v>
      </c>
      <c r="M453" t="s">
        <v>1430</v>
      </c>
      <c r="N453" s="59">
        <v>5500</v>
      </c>
      <c r="O453" s="59">
        <v>186153000</v>
      </c>
      <c r="P453" s="59">
        <v>0</v>
      </c>
      <c r="Q453" s="59">
        <v>0</v>
      </c>
      <c r="R453" s="59">
        <v>0</v>
      </c>
      <c r="S453" s="59">
        <v>186153000</v>
      </c>
      <c r="T453" s="41"/>
      <c r="U453" s="41"/>
      <c r="V453" s="41"/>
      <c r="W453" s="41"/>
      <c r="X453" s="41"/>
      <c r="Y453" s="41"/>
      <c r="Z453" s="41"/>
      <c r="AA453" s="41"/>
      <c r="AB453" s="41"/>
      <c r="AC453" s="41"/>
      <c r="AD453" s="41"/>
      <c r="AE453" s="59">
        <v>7602.4941224034219</v>
      </c>
      <c r="AF453" s="59">
        <v>7602.4941224034219</v>
      </c>
      <c r="AG453" s="59" t="s">
        <v>5</v>
      </c>
      <c r="AH453" s="59" t="s">
        <v>1203</v>
      </c>
    </row>
    <row r="454" spans="1:34" x14ac:dyDescent="0.35">
      <c r="A454" s="58">
        <v>2024</v>
      </c>
      <c r="B454" s="58">
        <v>9</v>
      </c>
      <c r="C454">
        <v>9</v>
      </c>
      <c r="D454" s="58" t="s">
        <v>595</v>
      </c>
      <c r="E454" t="s">
        <v>478</v>
      </c>
      <c r="F454" s="58" t="s">
        <v>188</v>
      </c>
      <c r="G454" t="s">
        <v>872</v>
      </c>
      <c r="H454" s="58" t="s">
        <v>1428</v>
      </c>
      <c r="I454" t="s">
        <v>75</v>
      </c>
      <c r="J454" s="58" t="s">
        <v>75</v>
      </c>
      <c r="K454" t="s">
        <v>1429</v>
      </c>
      <c r="L454" t="s">
        <v>20</v>
      </c>
      <c r="M454" t="s">
        <v>1430</v>
      </c>
      <c r="N454" s="59">
        <v>27500</v>
      </c>
      <c r="O454" s="59">
        <v>930765000</v>
      </c>
      <c r="P454" s="59">
        <v>0</v>
      </c>
      <c r="Q454" s="59">
        <v>0</v>
      </c>
      <c r="R454" s="59">
        <v>0</v>
      </c>
      <c r="S454" s="59">
        <v>930765000</v>
      </c>
      <c r="T454" s="41"/>
      <c r="U454" s="41"/>
      <c r="V454" s="41"/>
      <c r="W454" s="41"/>
      <c r="X454" s="41"/>
      <c r="Y454" s="41"/>
      <c r="Z454" s="41"/>
      <c r="AA454" s="41"/>
      <c r="AB454" s="41"/>
      <c r="AC454" s="41"/>
      <c r="AD454" s="41"/>
      <c r="AE454" s="59">
        <v>38012.47061201711</v>
      </c>
      <c r="AF454" s="59">
        <v>38012.47061201711</v>
      </c>
      <c r="AG454" s="59" t="s">
        <v>5</v>
      </c>
      <c r="AH454" s="59" t="s">
        <v>1204</v>
      </c>
    </row>
    <row r="455" spans="1:34" x14ac:dyDescent="0.35">
      <c r="A455" s="58">
        <v>2024</v>
      </c>
      <c r="B455" s="58">
        <v>9</v>
      </c>
      <c r="C455">
        <v>9</v>
      </c>
      <c r="D455" s="58" t="s">
        <v>595</v>
      </c>
      <c r="E455" t="s">
        <v>478</v>
      </c>
      <c r="F455" s="58" t="s">
        <v>191</v>
      </c>
      <c r="G455" t="s">
        <v>941</v>
      </c>
      <c r="H455" s="58" t="s">
        <v>1428</v>
      </c>
      <c r="I455" t="s">
        <v>75</v>
      </c>
      <c r="J455" s="58" t="s">
        <v>75</v>
      </c>
      <c r="K455" t="s">
        <v>1429</v>
      </c>
      <c r="L455" t="s">
        <v>20</v>
      </c>
      <c r="M455" t="s">
        <v>1430</v>
      </c>
      <c r="N455" s="59">
        <v>11000</v>
      </c>
      <c r="O455" s="59">
        <v>386034000</v>
      </c>
      <c r="P455" s="59">
        <v>0</v>
      </c>
      <c r="Q455" s="59">
        <v>0</v>
      </c>
      <c r="R455" s="59">
        <v>0</v>
      </c>
      <c r="S455" s="59">
        <v>386034000</v>
      </c>
      <c r="T455" s="41"/>
      <c r="U455" s="41"/>
      <c r="V455" s="41"/>
      <c r="W455" s="41"/>
      <c r="X455" s="41"/>
      <c r="Y455" s="41"/>
      <c r="Z455" s="41"/>
      <c r="AA455" s="41"/>
      <c r="AB455" s="41"/>
      <c r="AC455" s="41"/>
      <c r="AD455" s="41"/>
      <c r="AE455" s="59">
        <v>15765.640177960508</v>
      </c>
      <c r="AF455" s="59">
        <v>15765.640177960508</v>
      </c>
      <c r="AG455" s="59" t="s">
        <v>5</v>
      </c>
      <c r="AH455" s="59" t="s">
        <v>1208</v>
      </c>
    </row>
    <row r="456" spans="1:34" x14ac:dyDescent="0.35">
      <c r="A456" s="58">
        <v>2024</v>
      </c>
      <c r="B456" s="58">
        <v>9</v>
      </c>
      <c r="C456">
        <v>9</v>
      </c>
      <c r="D456" s="58" t="s">
        <v>1518</v>
      </c>
      <c r="E456" t="s">
        <v>1172</v>
      </c>
      <c r="F456" s="58" t="s">
        <v>784</v>
      </c>
      <c r="G456" t="s">
        <v>785</v>
      </c>
      <c r="H456" s="58" t="s">
        <v>4</v>
      </c>
      <c r="I456" t="s">
        <v>4</v>
      </c>
      <c r="J456" s="58" t="s">
        <v>4</v>
      </c>
      <c r="K456" t="s">
        <v>1429</v>
      </c>
      <c r="L456" t="s">
        <v>20</v>
      </c>
      <c r="M456" t="s">
        <v>1430</v>
      </c>
      <c r="N456" s="59">
        <v>200</v>
      </c>
      <c r="O456" s="59">
        <v>6367600</v>
      </c>
      <c r="P456" s="59">
        <v>180110.32401656316</v>
      </c>
      <c r="Q456" s="59">
        <v>0</v>
      </c>
      <c r="R456" s="59">
        <v>0</v>
      </c>
      <c r="S456" s="59">
        <v>6187489.6759834364</v>
      </c>
      <c r="T456" s="41"/>
      <c r="U456" s="41"/>
      <c r="V456" s="41"/>
      <c r="W456" s="41"/>
      <c r="X456" s="41"/>
      <c r="Y456" s="41"/>
      <c r="Z456" s="41"/>
      <c r="AA456" s="41"/>
      <c r="AB456" s="41"/>
      <c r="AC456" s="41"/>
      <c r="AD456" s="41"/>
      <c r="AE456" s="59">
        <v>252.69726458394936</v>
      </c>
      <c r="AF456" s="59">
        <v>260.05297563733075</v>
      </c>
      <c r="AG456" s="59" t="s">
        <v>1172</v>
      </c>
      <c r="AH456" s="59" t="s">
        <v>1186</v>
      </c>
    </row>
    <row r="457" spans="1:34" x14ac:dyDescent="0.35">
      <c r="A457" s="58">
        <v>2024</v>
      </c>
      <c r="B457" s="58">
        <v>9</v>
      </c>
      <c r="C457">
        <v>9</v>
      </c>
      <c r="D457" s="58" t="s">
        <v>596</v>
      </c>
      <c r="E457" t="s">
        <v>266</v>
      </c>
      <c r="F457" s="58" t="s">
        <v>171</v>
      </c>
      <c r="G457" t="s">
        <v>731</v>
      </c>
      <c r="H457" s="58" t="s">
        <v>4</v>
      </c>
      <c r="I457" t="s">
        <v>4</v>
      </c>
      <c r="J457" s="58" t="s">
        <v>4</v>
      </c>
      <c r="K457" t="s">
        <v>1429</v>
      </c>
      <c r="L457" t="s">
        <v>20</v>
      </c>
      <c r="M457" t="s">
        <v>1430</v>
      </c>
      <c r="N457" s="59">
        <v>66000</v>
      </c>
      <c r="O457" s="59">
        <v>2133638100</v>
      </c>
      <c r="P457" s="59">
        <v>10806619.44099379</v>
      </c>
      <c r="Q457" s="59">
        <v>0</v>
      </c>
      <c r="R457" s="59">
        <v>0</v>
      </c>
      <c r="S457" s="59">
        <v>2122831480.559006</v>
      </c>
      <c r="T457" s="41"/>
      <c r="U457" s="41"/>
      <c r="V457" s="41"/>
      <c r="W457" s="41"/>
      <c r="X457" s="41"/>
      <c r="Y457" s="41"/>
      <c r="Z457" s="41"/>
      <c r="AA457" s="41"/>
      <c r="AB457" s="41"/>
      <c r="AC457" s="41"/>
      <c r="AD457" s="41"/>
      <c r="AE457" s="59">
        <v>86696.501554112998</v>
      </c>
      <c r="AF457" s="59">
        <v>87137.844217315884</v>
      </c>
      <c r="AG457" s="59" t="s">
        <v>100</v>
      </c>
      <c r="AH457" s="59" t="s">
        <v>1166</v>
      </c>
    </row>
    <row r="458" spans="1:34" x14ac:dyDescent="0.35">
      <c r="A458" s="58">
        <v>2024</v>
      </c>
      <c r="B458" s="58">
        <v>9</v>
      </c>
      <c r="C458">
        <v>9</v>
      </c>
      <c r="D458" s="58" t="s">
        <v>1558</v>
      </c>
      <c r="E458" t="s">
        <v>1223</v>
      </c>
      <c r="F458" s="58" t="s">
        <v>841</v>
      </c>
      <c r="G458" t="s">
        <v>842</v>
      </c>
      <c r="H458" s="58" t="s">
        <v>1012</v>
      </c>
      <c r="I458" t="s">
        <v>86</v>
      </c>
      <c r="J458" s="58" t="s">
        <v>86</v>
      </c>
      <c r="K458" t="s">
        <v>1429</v>
      </c>
      <c r="L458" t="s">
        <v>20</v>
      </c>
      <c r="M458" t="s">
        <v>1430</v>
      </c>
      <c r="N458" s="59">
        <v>28076</v>
      </c>
      <c r="O458" s="59">
        <v>140380000</v>
      </c>
      <c r="P458" s="59">
        <v>0</v>
      </c>
      <c r="Q458" s="59">
        <v>0</v>
      </c>
      <c r="R458" s="59">
        <v>0</v>
      </c>
      <c r="S458" s="59">
        <v>140380000</v>
      </c>
      <c r="T458" s="41"/>
      <c r="U458" s="41"/>
      <c r="V458" s="41"/>
      <c r="W458" s="41"/>
      <c r="X458" s="41"/>
      <c r="Y458" s="41"/>
      <c r="Z458" s="41"/>
      <c r="AA458" s="41"/>
      <c r="AB458" s="41"/>
      <c r="AC458" s="41"/>
      <c r="AD458" s="41"/>
      <c r="AE458" s="59">
        <v>5733.1234248332948</v>
      </c>
      <c r="AF458" s="59">
        <v>5733.1234248332948</v>
      </c>
      <c r="AG458" s="59" t="s">
        <v>1223</v>
      </c>
      <c r="AH458" s="59" t="s">
        <v>1222</v>
      </c>
    </row>
    <row r="459" spans="1:34" x14ac:dyDescent="0.35">
      <c r="A459" s="58">
        <v>2024</v>
      </c>
      <c r="B459" s="58">
        <v>9</v>
      </c>
      <c r="C459">
        <v>9</v>
      </c>
      <c r="D459" s="58" t="s">
        <v>1558</v>
      </c>
      <c r="E459" t="s">
        <v>1223</v>
      </c>
      <c r="F459" s="58" t="s">
        <v>843</v>
      </c>
      <c r="G459" t="s">
        <v>844</v>
      </c>
      <c r="H459" s="58" t="s">
        <v>1012</v>
      </c>
      <c r="I459" t="s">
        <v>86</v>
      </c>
      <c r="J459" s="58" t="s">
        <v>86</v>
      </c>
      <c r="K459" t="s">
        <v>1429</v>
      </c>
      <c r="L459" t="s">
        <v>20</v>
      </c>
      <c r="M459" t="s">
        <v>1430</v>
      </c>
      <c r="N459" s="59">
        <v>83213</v>
      </c>
      <c r="O459" s="59">
        <v>416065000</v>
      </c>
      <c r="P459" s="59">
        <v>0</v>
      </c>
      <c r="Q459" s="59">
        <v>0</v>
      </c>
      <c r="R459" s="59">
        <v>0</v>
      </c>
      <c r="S459" s="59">
        <v>416065000</v>
      </c>
      <c r="T459" s="41"/>
      <c r="U459" s="41"/>
      <c r="V459" s="41"/>
      <c r="W459" s="41"/>
      <c r="X459" s="41"/>
      <c r="Y459" s="41"/>
      <c r="Z459" s="41"/>
      <c r="AA459" s="41"/>
      <c r="AB459" s="41"/>
      <c r="AC459" s="41"/>
      <c r="AD459" s="41"/>
      <c r="AE459" s="59">
        <v>16992.107121764249</v>
      </c>
      <c r="AF459" s="59">
        <v>16992.107121764249</v>
      </c>
      <c r="AG459" s="59" t="s">
        <v>1223</v>
      </c>
      <c r="AH459" s="59" t="s">
        <v>1224</v>
      </c>
    </row>
    <row r="460" spans="1:34" x14ac:dyDescent="0.35">
      <c r="A460" s="58">
        <v>2024</v>
      </c>
      <c r="B460" s="58">
        <v>9</v>
      </c>
      <c r="C460">
        <v>9</v>
      </c>
      <c r="D460" s="58" t="s">
        <v>1558</v>
      </c>
      <c r="E460" t="s">
        <v>1223</v>
      </c>
      <c r="F460" s="58" t="s">
        <v>845</v>
      </c>
      <c r="G460" t="s">
        <v>846</v>
      </c>
      <c r="H460" s="58" t="s">
        <v>1012</v>
      </c>
      <c r="I460" t="s">
        <v>86</v>
      </c>
      <c r="J460" s="58" t="s">
        <v>86</v>
      </c>
      <c r="K460" t="s">
        <v>1429</v>
      </c>
      <c r="L460" t="s">
        <v>20</v>
      </c>
      <c r="M460" t="s">
        <v>1430</v>
      </c>
      <c r="N460" s="59">
        <v>70206</v>
      </c>
      <c r="O460" s="59">
        <v>351030000</v>
      </c>
      <c r="P460" s="59">
        <v>0</v>
      </c>
      <c r="Q460" s="59">
        <v>0</v>
      </c>
      <c r="R460" s="59">
        <v>0</v>
      </c>
      <c r="S460" s="59">
        <v>351030000</v>
      </c>
      <c r="T460" s="41"/>
      <c r="U460" s="41"/>
      <c r="V460" s="41"/>
      <c r="W460" s="41"/>
      <c r="X460" s="41"/>
      <c r="Y460" s="41"/>
      <c r="Z460" s="41"/>
      <c r="AA460" s="41"/>
      <c r="AB460" s="41"/>
      <c r="AC460" s="41"/>
      <c r="AD460" s="41"/>
      <c r="AE460" s="59">
        <v>14336.075764490894</v>
      </c>
      <c r="AF460" s="59">
        <v>14336.075764490894</v>
      </c>
      <c r="AG460" s="59" t="s">
        <v>1223</v>
      </c>
      <c r="AH460" s="59" t="s">
        <v>1225</v>
      </c>
    </row>
    <row r="461" spans="1:34" x14ac:dyDescent="0.35">
      <c r="A461" s="58">
        <v>2024</v>
      </c>
      <c r="B461" s="58">
        <v>9</v>
      </c>
      <c r="C461">
        <v>9</v>
      </c>
      <c r="D461" s="58" t="s">
        <v>1558</v>
      </c>
      <c r="E461" t="s">
        <v>1223</v>
      </c>
      <c r="F461" s="58" t="s">
        <v>847</v>
      </c>
      <c r="G461" t="s">
        <v>848</v>
      </c>
      <c r="H461" s="58" t="s">
        <v>1012</v>
      </c>
      <c r="I461" t="s">
        <v>86</v>
      </c>
      <c r="J461" s="58" t="s">
        <v>86</v>
      </c>
      <c r="K461" t="s">
        <v>1429</v>
      </c>
      <c r="L461" t="s">
        <v>20</v>
      </c>
      <c r="M461" t="s">
        <v>1430</v>
      </c>
      <c r="N461" s="59">
        <v>65038</v>
      </c>
      <c r="O461" s="59">
        <v>325190000</v>
      </c>
      <c r="P461" s="59">
        <v>0</v>
      </c>
      <c r="Q461" s="59">
        <v>0</v>
      </c>
      <c r="R461" s="59">
        <v>0</v>
      </c>
      <c r="S461" s="59">
        <v>325190000</v>
      </c>
      <c r="T461" s="41"/>
      <c r="U461" s="41"/>
      <c r="V461" s="41"/>
      <c r="W461" s="41"/>
      <c r="X461" s="41"/>
      <c r="Y461" s="41"/>
      <c r="Z461" s="41"/>
      <c r="AA461" s="41"/>
      <c r="AB461" s="41"/>
      <c r="AC461" s="41"/>
      <c r="AD461" s="41"/>
      <c r="AE461" s="59">
        <v>13280.769386818203</v>
      </c>
      <c r="AF461" s="59">
        <v>13280.769386818203</v>
      </c>
      <c r="AG461" s="59" t="s">
        <v>1223</v>
      </c>
      <c r="AH461" s="59" t="s">
        <v>1226</v>
      </c>
    </row>
    <row r="462" spans="1:34" x14ac:dyDescent="0.35">
      <c r="A462" s="58">
        <v>2024</v>
      </c>
      <c r="B462" s="58">
        <v>9</v>
      </c>
      <c r="C462">
        <v>9</v>
      </c>
      <c r="D462" s="58" t="s">
        <v>652</v>
      </c>
      <c r="E462" t="s">
        <v>71</v>
      </c>
      <c r="F462" s="58" t="s">
        <v>171</v>
      </c>
      <c r="G462" t="s">
        <v>731</v>
      </c>
      <c r="H462" s="58" t="s">
        <v>4</v>
      </c>
      <c r="I462" t="s">
        <v>4</v>
      </c>
      <c r="J462" s="58" t="s">
        <v>4</v>
      </c>
      <c r="K462" t="s">
        <v>1429</v>
      </c>
      <c r="L462" t="s">
        <v>20</v>
      </c>
      <c r="M462" t="s">
        <v>1430</v>
      </c>
      <c r="N462" s="59">
        <v>3300</v>
      </c>
      <c r="O462" s="59">
        <v>110477400</v>
      </c>
      <c r="P462" s="59">
        <v>540330.9720496895</v>
      </c>
      <c r="Q462" s="59">
        <v>0</v>
      </c>
      <c r="R462" s="59">
        <v>0</v>
      </c>
      <c r="S462" s="59">
        <v>109937069.02795032</v>
      </c>
      <c r="T462" s="41"/>
      <c r="U462" s="41"/>
      <c r="V462" s="41"/>
      <c r="W462" s="41"/>
      <c r="X462" s="41"/>
      <c r="Y462" s="41"/>
      <c r="Z462" s="41"/>
      <c r="AA462" s="41"/>
      <c r="AB462" s="41"/>
      <c r="AC462" s="41"/>
      <c r="AD462" s="41"/>
      <c r="AE462" s="59">
        <v>4489.8332077337</v>
      </c>
      <c r="AF462" s="59">
        <v>4511.9003408938443</v>
      </c>
      <c r="AG462" s="59" t="s">
        <v>71</v>
      </c>
      <c r="AH462" s="59" t="s">
        <v>1166</v>
      </c>
    </row>
    <row r="463" spans="1:34" x14ac:dyDescent="0.35">
      <c r="A463" s="58">
        <v>2024</v>
      </c>
      <c r="B463" s="58">
        <v>9</v>
      </c>
      <c r="C463">
        <v>9</v>
      </c>
      <c r="D463" s="58" t="s">
        <v>622</v>
      </c>
      <c r="E463" t="s">
        <v>53</v>
      </c>
      <c r="F463" s="58" t="s">
        <v>185</v>
      </c>
      <c r="G463" t="s">
        <v>720</v>
      </c>
      <c r="H463" s="58" t="s">
        <v>1428</v>
      </c>
      <c r="I463" t="s">
        <v>75</v>
      </c>
      <c r="J463" s="58" t="s">
        <v>75</v>
      </c>
      <c r="K463" t="s">
        <v>1429</v>
      </c>
      <c r="L463" t="s">
        <v>20</v>
      </c>
      <c r="M463" t="s">
        <v>1430</v>
      </c>
      <c r="N463" s="59">
        <v>1000</v>
      </c>
      <c r="O463" s="59">
        <v>21000000</v>
      </c>
      <c r="P463" s="59">
        <v>0</v>
      </c>
      <c r="Q463" s="59">
        <v>0</v>
      </c>
      <c r="R463" s="59">
        <v>0</v>
      </c>
      <c r="S463" s="59">
        <v>21000000</v>
      </c>
      <c r="T463" s="41"/>
      <c r="U463" s="41"/>
      <c r="V463" s="41"/>
      <c r="W463" s="41"/>
      <c r="X463" s="41"/>
      <c r="Y463" s="41"/>
      <c r="Z463" s="41"/>
      <c r="AA463" s="41"/>
      <c r="AB463" s="41"/>
      <c r="AC463" s="41"/>
      <c r="AD463" s="41"/>
      <c r="AE463" s="59">
        <v>857.64063200953979</v>
      </c>
      <c r="AF463" s="59">
        <v>857.64063200953979</v>
      </c>
      <c r="AG463" s="59" t="s">
        <v>53</v>
      </c>
      <c r="AH463" s="59" t="s">
        <v>1199</v>
      </c>
    </row>
    <row r="464" spans="1:34" x14ac:dyDescent="0.35">
      <c r="A464" s="58">
        <v>2024</v>
      </c>
      <c r="B464" s="58">
        <v>9</v>
      </c>
      <c r="C464">
        <v>9</v>
      </c>
      <c r="D464" s="58" t="s">
        <v>1564</v>
      </c>
      <c r="E464" t="s">
        <v>1173</v>
      </c>
      <c r="F464" s="58" t="s">
        <v>171</v>
      </c>
      <c r="G464" t="s">
        <v>731</v>
      </c>
      <c r="H464" s="58" t="s">
        <v>4</v>
      </c>
      <c r="I464" t="s">
        <v>4</v>
      </c>
      <c r="J464" s="58" t="s">
        <v>4</v>
      </c>
      <c r="K464" t="s">
        <v>1429</v>
      </c>
      <c r="L464" t="s">
        <v>20</v>
      </c>
      <c r="M464" t="s">
        <v>1430</v>
      </c>
      <c r="N464" s="59">
        <v>500</v>
      </c>
      <c r="O464" s="59">
        <v>16191600</v>
      </c>
      <c r="P464" s="59">
        <v>180110.32401656316</v>
      </c>
      <c r="Q464" s="59">
        <v>0</v>
      </c>
      <c r="R464" s="59">
        <v>0</v>
      </c>
      <c r="S464" s="59">
        <v>16011489.675983436</v>
      </c>
      <c r="T464" s="41"/>
      <c r="U464" s="41"/>
      <c r="V464" s="41"/>
      <c r="W464" s="41"/>
      <c r="X464" s="41"/>
      <c r="Y464" s="41"/>
      <c r="Z464" s="41"/>
      <c r="AA464" s="41"/>
      <c r="AB464" s="41"/>
      <c r="AC464" s="41"/>
      <c r="AD464" s="41"/>
      <c r="AE464" s="59">
        <v>653.90972024403118</v>
      </c>
      <c r="AF464" s="59">
        <v>661.26543129741253</v>
      </c>
      <c r="AG464" s="59" t="s">
        <v>1173</v>
      </c>
      <c r="AH464" s="59" t="s">
        <v>1166</v>
      </c>
    </row>
    <row r="465" spans="1:34" x14ac:dyDescent="0.35">
      <c r="A465" s="58">
        <v>2024</v>
      </c>
      <c r="B465" s="58">
        <v>9</v>
      </c>
      <c r="C465">
        <v>9</v>
      </c>
      <c r="D465" s="58" t="s">
        <v>1565</v>
      </c>
      <c r="E465" t="s">
        <v>1311</v>
      </c>
      <c r="F465" s="58" t="s">
        <v>1466</v>
      </c>
      <c r="G465" t="s">
        <v>1467</v>
      </c>
      <c r="H465" s="58" t="s">
        <v>1012</v>
      </c>
      <c r="I465" t="s">
        <v>1012</v>
      </c>
      <c r="J465" s="58" t="s">
        <v>1012</v>
      </c>
      <c r="K465" t="s">
        <v>1429</v>
      </c>
      <c r="L465" t="s">
        <v>20</v>
      </c>
      <c r="M465" t="s">
        <v>1430</v>
      </c>
      <c r="N465" s="59">
        <v>0</v>
      </c>
      <c r="O465" s="59">
        <v>266175500</v>
      </c>
      <c r="P465" s="59">
        <v>0</v>
      </c>
      <c r="Q465" s="59">
        <v>0</v>
      </c>
      <c r="R465" s="59">
        <v>0</v>
      </c>
      <c r="S465" s="59">
        <v>266175500</v>
      </c>
      <c r="T465" s="41"/>
      <c r="U465" s="41"/>
      <c r="V465" s="41"/>
      <c r="W465" s="41"/>
      <c r="X465" s="41"/>
      <c r="Y465" s="41"/>
      <c r="Z465" s="41"/>
      <c r="AA465" s="41"/>
      <c r="AB465" s="41"/>
      <c r="AC465" s="41"/>
      <c r="AD465" s="41"/>
      <c r="AE465" s="59">
        <v>10870.615430735965</v>
      </c>
      <c r="AF465" s="59">
        <v>10870.615430735965</v>
      </c>
      <c r="AG465" s="59" t="s">
        <v>1311</v>
      </c>
      <c r="AH465" s="59" t="s">
        <v>1306</v>
      </c>
    </row>
    <row r="466" spans="1:34" x14ac:dyDescent="0.35">
      <c r="A466" s="58">
        <v>2024</v>
      </c>
      <c r="B466" s="58">
        <v>9</v>
      </c>
      <c r="C466">
        <v>9</v>
      </c>
      <c r="D466" s="58" t="s">
        <v>1566</v>
      </c>
      <c r="E466" t="s">
        <v>1197</v>
      </c>
      <c r="F466" s="58" t="s">
        <v>713</v>
      </c>
      <c r="G466" t="s">
        <v>714</v>
      </c>
      <c r="H466" s="58" t="s">
        <v>1428</v>
      </c>
      <c r="I466" t="s">
        <v>75</v>
      </c>
      <c r="J466" s="58" t="s">
        <v>75</v>
      </c>
      <c r="K466" t="s">
        <v>1429</v>
      </c>
      <c r="L466" t="s">
        <v>20</v>
      </c>
      <c r="M466" t="s">
        <v>1430</v>
      </c>
      <c r="N466" s="59">
        <v>25</v>
      </c>
      <c r="O466" s="59">
        <v>834637.99999999988</v>
      </c>
      <c r="P466" s="59">
        <v>0</v>
      </c>
      <c r="Q466" s="59">
        <v>0</v>
      </c>
      <c r="R466" s="59">
        <v>0</v>
      </c>
      <c r="S466" s="59">
        <v>834637.99999999988</v>
      </c>
      <c r="T466" s="41"/>
      <c r="U466" s="41"/>
      <c r="V466" s="41"/>
      <c r="W466" s="41"/>
      <c r="X466" s="41"/>
      <c r="Y466" s="41"/>
      <c r="Z466" s="41"/>
      <c r="AA466" s="41"/>
      <c r="AB466" s="41"/>
      <c r="AC466" s="41"/>
      <c r="AD466" s="41"/>
      <c r="AE466" s="59">
        <v>34.086641039008484</v>
      </c>
      <c r="AF466" s="59">
        <v>34.086641039008484</v>
      </c>
      <c r="AG466" s="59" t="s">
        <v>1197</v>
      </c>
      <c r="AH466" s="59" t="s">
        <v>1195</v>
      </c>
    </row>
    <row r="467" spans="1:34" x14ac:dyDescent="0.35">
      <c r="A467" s="58">
        <v>2024</v>
      </c>
      <c r="B467" s="58">
        <v>9</v>
      </c>
      <c r="C467">
        <v>9</v>
      </c>
      <c r="D467" s="58" t="s">
        <v>1566</v>
      </c>
      <c r="E467" t="s">
        <v>1197</v>
      </c>
      <c r="F467" s="58" t="s">
        <v>916</v>
      </c>
      <c r="G467" t="s">
        <v>917</v>
      </c>
      <c r="H467" s="58" t="s">
        <v>21</v>
      </c>
      <c r="I467" t="s">
        <v>21</v>
      </c>
      <c r="J467" s="58" t="s">
        <v>21</v>
      </c>
      <c r="K467" t="s">
        <v>1429</v>
      </c>
      <c r="L467" t="s">
        <v>20</v>
      </c>
      <c r="M467" t="s">
        <v>1430</v>
      </c>
      <c r="N467" s="59">
        <v>25</v>
      </c>
      <c r="O467" s="59">
        <v>618250</v>
      </c>
      <c r="P467" s="59">
        <v>0</v>
      </c>
      <c r="Q467" s="59">
        <v>0</v>
      </c>
      <c r="R467" s="59">
        <v>0</v>
      </c>
      <c r="S467" s="59">
        <v>618250</v>
      </c>
      <c r="T467" s="41"/>
      <c r="U467" s="41"/>
      <c r="V467" s="41"/>
      <c r="W467" s="41"/>
      <c r="X467" s="41"/>
      <c r="Y467" s="41"/>
      <c r="Z467" s="41"/>
      <c r="AA467" s="41"/>
      <c r="AB467" s="41"/>
      <c r="AC467" s="41"/>
      <c r="AD467" s="41"/>
      <c r="AE467" s="59">
        <v>25.249348606661808</v>
      </c>
      <c r="AF467" s="59">
        <v>25.249348606661808</v>
      </c>
      <c r="AG467" s="59" t="s">
        <v>1197</v>
      </c>
      <c r="AH467" s="59" t="s">
        <v>1356</v>
      </c>
    </row>
    <row r="468" spans="1:34" x14ac:dyDescent="0.35">
      <c r="A468" s="58">
        <v>2024</v>
      </c>
      <c r="B468" s="58">
        <v>9</v>
      </c>
      <c r="C468">
        <v>9</v>
      </c>
      <c r="D468" s="58" t="s">
        <v>1567</v>
      </c>
      <c r="E468" t="s">
        <v>1261</v>
      </c>
      <c r="F468" s="58" t="s">
        <v>931</v>
      </c>
      <c r="G468" t="s">
        <v>932</v>
      </c>
      <c r="H468" s="58" t="s">
        <v>1428</v>
      </c>
      <c r="I468" t="s">
        <v>76</v>
      </c>
      <c r="J468" s="58" t="s">
        <v>76</v>
      </c>
      <c r="K468" t="s">
        <v>1429</v>
      </c>
      <c r="L468" t="s">
        <v>20</v>
      </c>
      <c r="M468" t="s">
        <v>1430</v>
      </c>
      <c r="N468" s="59">
        <v>5000</v>
      </c>
      <c r="O468" s="59">
        <v>112000000</v>
      </c>
      <c r="P468" s="59">
        <v>1260772.2681159421</v>
      </c>
      <c r="Q468" s="59">
        <v>0</v>
      </c>
      <c r="R468" s="59">
        <v>0</v>
      </c>
      <c r="S468" s="59">
        <v>110739227.73188406</v>
      </c>
      <c r="T468" s="41"/>
      <c r="U468" s="41"/>
      <c r="V468" s="41"/>
      <c r="W468" s="41"/>
      <c r="X468" s="41"/>
      <c r="Y468" s="41"/>
      <c r="Z468" s="41"/>
      <c r="AA468" s="41"/>
      <c r="AB468" s="41"/>
      <c r="AC468" s="41"/>
      <c r="AD468" s="41"/>
      <c r="AE468" s="59">
        <v>4522.5933933438764</v>
      </c>
      <c r="AF468" s="59">
        <v>4574.0833707175452</v>
      </c>
      <c r="AG468" s="59" t="s">
        <v>1261</v>
      </c>
      <c r="AH468" s="59" t="s">
        <v>1260</v>
      </c>
    </row>
    <row r="469" spans="1:34" x14ac:dyDescent="0.35">
      <c r="A469" s="58">
        <v>2024</v>
      </c>
      <c r="B469" s="58">
        <v>9</v>
      </c>
      <c r="C469">
        <v>9</v>
      </c>
      <c r="D469" s="58" t="s">
        <v>1568</v>
      </c>
      <c r="E469" t="s">
        <v>1258</v>
      </c>
      <c r="F469" s="58" t="s">
        <v>202</v>
      </c>
      <c r="G469" t="s">
        <v>473</v>
      </c>
      <c r="H469" s="58" t="s">
        <v>1428</v>
      </c>
      <c r="I469" t="s">
        <v>76</v>
      </c>
      <c r="J469" s="58" t="s">
        <v>76</v>
      </c>
      <c r="K469" t="s">
        <v>1429</v>
      </c>
      <c r="L469" t="s">
        <v>20</v>
      </c>
      <c r="M469" t="s">
        <v>1430</v>
      </c>
      <c r="N469" s="59">
        <v>5250</v>
      </c>
      <c r="O469" s="59">
        <v>108111111.00000001</v>
      </c>
      <c r="P469" s="59">
        <v>1260772.2681159421</v>
      </c>
      <c r="Q469" s="59">
        <v>0</v>
      </c>
      <c r="R469" s="59">
        <v>0</v>
      </c>
      <c r="S469" s="59">
        <v>106850338.73188408</v>
      </c>
      <c r="T469" s="41"/>
      <c r="U469" s="41"/>
      <c r="V469" s="41"/>
      <c r="W469" s="41"/>
      <c r="X469" s="41"/>
      <c r="Y469" s="41"/>
      <c r="Z469" s="41"/>
      <c r="AA469" s="41"/>
      <c r="AB469" s="41"/>
      <c r="AC469" s="41"/>
      <c r="AD469" s="41"/>
      <c r="AE469" s="59">
        <v>4363.7710495450701</v>
      </c>
      <c r="AF469" s="59">
        <v>4415.2610269187389</v>
      </c>
      <c r="AG469" s="59" t="s">
        <v>1258</v>
      </c>
      <c r="AH469" s="59" t="s">
        <v>80</v>
      </c>
    </row>
    <row r="470" spans="1:34" x14ac:dyDescent="0.35">
      <c r="A470" s="58">
        <v>2024</v>
      </c>
      <c r="B470" s="58">
        <v>9</v>
      </c>
      <c r="C470">
        <v>9</v>
      </c>
      <c r="D470" s="58" t="s">
        <v>602</v>
      </c>
      <c r="E470" t="s">
        <v>122</v>
      </c>
      <c r="F470" s="58" t="s">
        <v>171</v>
      </c>
      <c r="G470" t="s">
        <v>731</v>
      </c>
      <c r="H470" s="58" t="s">
        <v>4</v>
      </c>
      <c r="I470" t="s">
        <v>4</v>
      </c>
      <c r="J470" s="58" t="s">
        <v>4</v>
      </c>
      <c r="K470" t="s">
        <v>1476</v>
      </c>
      <c r="L470" t="s">
        <v>1477</v>
      </c>
      <c r="M470" t="s">
        <v>1430</v>
      </c>
      <c r="N470" s="59">
        <v>88000</v>
      </c>
      <c r="O470" s="59">
        <v>2611521000.0000005</v>
      </c>
      <c r="P470" s="59">
        <v>6649728.1983071333</v>
      </c>
      <c r="Q470" s="59">
        <v>0</v>
      </c>
      <c r="R470" s="59">
        <v>36747619</v>
      </c>
      <c r="S470" s="59">
        <v>2568123652.8016934</v>
      </c>
      <c r="T470" s="41"/>
      <c r="U470" s="41"/>
      <c r="V470" s="41"/>
      <c r="W470" s="41"/>
      <c r="X470" s="41"/>
      <c r="Y470" s="41"/>
      <c r="Z470" s="41"/>
      <c r="AA470" s="41"/>
      <c r="AB470" s="41"/>
      <c r="AC470" s="41"/>
      <c r="AD470" s="41"/>
      <c r="AE470" s="59">
        <v>105143.29520407728</v>
      </c>
      <c r="AF470" s="59">
        <v>106920.00000000001</v>
      </c>
      <c r="AG470" s="59" t="s">
        <v>122</v>
      </c>
      <c r="AH470" s="59" t="s">
        <v>1166</v>
      </c>
    </row>
    <row r="471" spans="1:34" x14ac:dyDescent="0.35">
      <c r="A471" s="58">
        <v>2024</v>
      </c>
      <c r="B471" s="58">
        <v>9</v>
      </c>
      <c r="C471">
        <v>9</v>
      </c>
      <c r="D471" s="58" t="s">
        <v>587</v>
      </c>
      <c r="E471" t="s">
        <v>6</v>
      </c>
      <c r="F471" s="58" t="s">
        <v>171</v>
      </c>
      <c r="G471" t="s">
        <v>731</v>
      </c>
      <c r="H471" s="58" t="s">
        <v>4</v>
      </c>
      <c r="I471" t="s">
        <v>4</v>
      </c>
      <c r="J471" s="58" t="s">
        <v>4</v>
      </c>
      <c r="K471" t="s">
        <v>1476</v>
      </c>
      <c r="L471" t="s">
        <v>1509</v>
      </c>
      <c r="M471" t="s">
        <v>1430</v>
      </c>
      <c r="N471" s="59">
        <v>110000</v>
      </c>
      <c r="O471" s="59">
        <v>3346073280</v>
      </c>
      <c r="P471" s="59">
        <v>8312160.2478839168</v>
      </c>
      <c r="Q471" s="59">
        <v>50191099.200000003</v>
      </c>
      <c r="R471" s="59">
        <v>44115596.090909094</v>
      </c>
      <c r="S471" s="59">
        <v>3243454424.4612069</v>
      </c>
      <c r="T471" s="41"/>
      <c r="U471" s="41"/>
      <c r="V471" s="41"/>
      <c r="W471" s="41"/>
      <c r="X471" s="41"/>
      <c r="Y471" s="41"/>
      <c r="Z471" s="41"/>
      <c r="AA471" s="41"/>
      <c r="AB471" s="41"/>
      <c r="AC471" s="41"/>
      <c r="AD471" s="41"/>
      <c r="AE471" s="59">
        <v>132494.05328681399</v>
      </c>
      <c r="AF471" s="59">
        <v>136686</v>
      </c>
      <c r="AG471" s="59" t="s">
        <v>6</v>
      </c>
      <c r="AH471" s="59" t="s">
        <v>1166</v>
      </c>
    </row>
    <row r="472" spans="1:34" x14ac:dyDescent="0.35">
      <c r="A472" s="58">
        <v>2024</v>
      </c>
      <c r="B472" s="58">
        <v>9</v>
      </c>
      <c r="C472">
        <v>9</v>
      </c>
      <c r="D472" s="58" t="s">
        <v>587</v>
      </c>
      <c r="E472" t="s">
        <v>6</v>
      </c>
      <c r="F472" s="58" t="s">
        <v>171</v>
      </c>
      <c r="G472" t="s">
        <v>731</v>
      </c>
      <c r="H472" s="58" t="s">
        <v>4</v>
      </c>
      <c r="I472" t="s">
        <v>4</v>
      </c>
      <c r="J472" s="58" t="s">
        <v>4</v>
      </c>
      <c r="K472" t="s">
        <v>1476</v>
      </c>
      <c r="L472" t="s">
        <v>1477</v>
      </c>
      <c r="M472" t="s">
        <v>1430</v>
      </c>
      <c r="N472" s="59">
        <v>1540000</v>
      </c>
      <c r="O472" s="59">
        <v>46766858248</v>
      </c>
      <c r="P472" s="59">
        <v>116370243.47037496</v>
      </c>
      <c r="Q472" s="59">
        <v>701502873.72000051</v>
      </c>
      <c r="R472" s="59">
        <v>591384516.909091</v>
      </c>
      <c r="S472" s="59">
        <v>45357600613.90052</v>
      </c>
      <c r="T472" s="41"/>
      <c r="U472" s="41"/>
      <c r="V472" s="41"/>
      <c r="W472" s="41"/>
      <c r="X472" s="41"/>
      <c r="Y472" s="41"/>
      <c r="Z472" s="41"/>
      <c r="AA472" s="41"/>
      <c r="AB472" s="41"/>
      <c r="AC472" s="41"/>
      <c r="AD472" s="41"/>
      <c r="AE472" s="59">
        <v>1848857.2007144303</v>
      </c>
      <c r="AF472" s="59">
        <v>1906299.9999999977</v>
      </c>
      <c r="AG472" s="59" t="s">
        <v>6</v>
      </c>
      <c r="AH472" s="59" t="s">
        <v>1166</v>
      </c>
    </row>
    <row r="473" spans="1:34" x14ac:dyDescent="0.35">
      <c r="A473" s="58">
        <v>2024</v>
      </c>
      <c r="B473" s="58">
        <v>9</v>
      </c>
      <c r="C473">
        <v>9</v>
      </c>
      <c r="D473" s="58" t="s">
        <v>1527</v>
      </c>
      <c r="E473" t="s">
        <v>1179</v>
      </c>
      <c r="F473" s="58" t="s">
        <v>172</v>
      </c>
      <c r="G473" t="s">
        <v>734</v>
      </c>
      <c r="H473" s="58" t="s">
        <v>4</v>
      </c>
      <c r="I473" t="s">
        <v>4</v>
      </c>
      <c r="J473" s="58" t="s">
        <v>4</v>
      </c>
      <c r="K473" t="s">
        <v>1476</v>
      </c>
      <c r="L473" t="s">
        <v>1528</v>
      </c>
      <c r="M473" t="s">
        <v>1430</v>
      </c>
      <c r="N473" s="59">
        <v>4400</v>
      </c>
      <c r="O473" s="59">
        <v>133870000</v>
      </c>
      <c r="P473" s="59">
        <v>664972.81983071344</v>
      </c>
      <c r="Q473" s="59">
        <v>0</v>
      </c>
      <c r="R473" s="59">
        <v>9321855</v>
      </c>
      <c r="S473" s="59">
        <v>123883172.18016928</v>
      </c>
      <c r="T473" s="41"/>
      <c r="U473" s="41"/>
      <c r="V473" s="41"/>
      <c r="W473" s="41"/>
      <c r="X473" s="41"/>
      <c r="Y473" s="41"/>
      <c r="Z473" s="41"/>
      <c r="AA473" s="41"/>
      <c r="AB473" s="41"/>
      <c r="AC473" s="41"/>
      <c r="AD473" s="41"/>
      <c r="AE473" s="59">
        <v>5089.6948307382618</v>
      </c>
      <c r="AF473" s="59">
        <v>5500</v>
      </c>
      <c r="AG473" s="59" t="s">
        <v>1179</v>
      </c>
      <c r="AH473" s="59" t="s">
        <v>1175</v>
      </c>
    </row>
    <row r="474" spans="1:34" x14ac:dyDescent="0.35">
      <c r="A474" s="58">
        <v>2024</v>
      </c>
      <c r="B474" s="58">
        <v>9</v>
      </c>
      <c r="C474">
        <v>9</v>
      </c>
      <c r="D474" s="58" t="s">
        <v>641</v>
      </c>
      <c r="E474" t="s">
        <v>125</v>
      </c>
      <c r="F474" s="58" t="s">
        <v>172</v>
      </c>
      <c r="G474" t="s">
        <v>734</v>
      </c>
      <c r="H474" s="58" t="s">
        <v>4</v>
      </c>
      <c r="I474" t="s">
        <v>4</v>
      </c>
      <c r="J474" s="58" t="s">
        <v>4</v>
      </c>
      <c r="K474" t="s">
        <v>1476</v>
      </c>
      <c r="L474" t="s">
        <v>1510</v>
      </c>
      <c r="M474" t="s">
        <v>1430</v>
      </c>
      <c r="N474" s="59">
        <v>22000</v>
      </c>
      <c r="O474" s="59">
        <v>688793600</v>
      </c>
      <c r="P474" s="59">
        <v>1662432.0495767833</v>
      </c>
      <c r="Q474" s="59">
        <v>0</v>
      </c>
      <c r="R474" s="59">
        <v>12099278</v>
      </c>
      <c r="S474" s="59">
        <v>675031889.95042324</v>
      </c>
      <c r="T474" s="41"/>
      <c r="U474" s="41"/>
      <c r="V474" s="41"/>
      <c r="W474" s="41"/>
      <c r="X474" s="41"/>
      <c r="Y474" s="41"/>
      <c r="Z474" s="41"/>
      <c r="AA474" s="41"/>
      <c r="AB474" s="41"/>
      <c r="AC474" s="41"/>
      <c r="AD474" s="41"/>
      <c r="AE474" s="59">
        <v>27597.378984072904</v>
      </c>
      <c r="AF474" s="59">
        <v>28160</v>
      </c>
      <c r="AG474" s="59" t="s">
        <v>125</v>
      </c>
      <c r="AH474" s="59" t="s">
        <v>1175</v>
      </c>
    </row>
    <row r="475" spans="1:34" x14ac:dyDescent="0.35">
      <c r="A475" s="58">
        <v>2024</v>
      </c>
      <c r="B475" s="58">
        <v>9</v>
      </c>
      <c r="C475">
        <v>9</v>
      </c>
      <c r="D475" s="58" t="s">
        <v>588</v>
      </c>
      <c r="E475" t="s">
        <v>9</v>
      </c>
      <c r="F475" s="58" t="s">
        <v>172</v>
      </c>
      <c r="G475" t="s">
        <v>734</v>
      </c>
      <c r="H475" s="58" t="s">
        <v>4</v>
      </c>
      <c r="I475" t="s">
        <v>4</v>
      </c>
      <c r="J475" s="58" t="s">
        <v>4</v>
      </c>
      <c r="K475" t="s">
        <v>1476</v>
      </c>
      <c r="L475" t="s">
        <v>1501</v>
      </c>
      <c r="M475" t="s">
        <v>1430</v>
      </c>
      <c r="N475" s="59">
        <v>770000</v>
      </c>
      <c r="O475" s="59">
        <v>25800442800</v>
      </c>
      <c r="P475" s="59">
        <v>58185121.735187419</v>
      </c>
      <c r="Q475" s="59">
        <v>0</v>
      </c>
      <c r="R475" s="59">
        <v>2418190801</v>
      </c>
      <c r="S475" s="59">
        <v>23324066877.264797</v>
      </c>
      <c r="T475" s="41"/>
      <c r="U475" s="41"/>
      <c r="V475" s="41"/>
      <c r="W475" s="41"/>
      <c r="X475" s="41"/>
      <c r="Y475" s="41"/>
      <c r="Z475" s="41"/>
      <c r="AA475" s="41"/>
      <c r="AB475" s="41"/>
      <c r="AC475" s="41"/>
      <c r="AD475" s="41"/>
      <c r="AE475" s="59">
        <v>953648.65104891476</v>
      </c>
      <c r="AF475" s="59">
        <v>1054900</v>
      </c>
      <c r="AG475" s="59" t="s">
        <v>9</v>
      </c>
      <c r="AH475" s="59" t="s">
        <v>1175</v>
      </c>
    </row>
    <row r="476" spans="1:34" x14ac:dyDescent="0.35">
      <c r="A476" s="58">
        <v>2024</v>
      </c>
      <c r="B476" s="58">
        <v>9</v>
      </c>
      <c r="C476">
        <v>9</v>
      </c>
      <c r="D476" s="58" t="s">
        <v>1519</v>
      </c>
      <c r="E476" t="s">
        <v>1168</v>
      </c>
      <c r="F476" s="58" t="s">
        <v>171</v>
      </c>
      <c r="G476" t="s">
        <v>731</v>
      </c>
      <c r="H476" s="58" t="s">
        <v>4</v>
      </c>
      <c r="I476" t="s">
        <v>4</v>
      </c>
      <c r="J476" s="58" t="s">
        <v>4</v>
      </c>
      <c r="K476" t="s">
        <v>1476</v>
      </c>
      <c r="L476" t="s">
        <v>1520</v>
      </c>
      <c r="M476" t="s">
        <v>1430</v>
      </c>
      <c r="N476" s="59">
        <v>44000</v>
      </c>
      <c r="O476" s="59">
        <v>1366266000</v>
      </c>
      <c r="P476" s="59">
        <v>3324864.0991535666</v>
      </c>
      <c r="Q476" s="59">
        <v>0</v>
      </c>
      <c r="R476" s="59">
        <v>82238222</v>
      </c>
      <c r="S476" s="59">
        <v>1280702913.9008465</v>
      </c>
      <c r="T476" s="41"/>
      <c r="U476" s="41"/>
      <c r="V476" s="41"/>
      <c r="W476" s="41"/>
      <c r="X476" s="41"/>
      <c r="Y476" s="41"/>
      <c r="Z476" s="41"/>
      <c r="AA476" s="41"/>
      <c r="AB476" s="41"/>
      <c r="AC476" s="41"/>
      <c r="AD476" s="41"/>
      <c r="AE476" s="59">
        <v>52380.487276108237</v>
      </c>
      <c r="AF476" s="59">
        <v>55880</v>
      </c>
      <c r="AG476" s="59" t="s">
        <v>1168</v>
      </c>
      <c r="AH476" s="59" t="s">
        <v>1166</v>
      </c>
    </row>
    <row r="477" spans="1:34" x14ac:dyDescent="0.35">
      <c r="A477" s="58">
        <v>2024</v>
      </c>
      <c r="B477" s="58">
        <v>9</v>
      </c>
      <c r="C477">
        <v>9</v>
      </c>
      <c r="D477" s="58" t="s">
        <v>1529</v>
      </c>
      <c r="E477" t="s">
        <v>1243</v>
      </c>
      <c r="F477" s="58" t="s">
        <v>182</v>
      </c>
      <c r="G477" t="s">
        <v>905</v>
      </c>
      <c r="H477" s="58" t="s">
        <v>74</v>
      </c>
      <c r="I477" t="s">
        <v>74</v>
      </c>
      <c r="J477" s="58" t="s">
        <v>74</v>
      </c>
      <c r="K477" t="s">
        <v>1476</v>
      </c>
      <c r="L477" t="s">
        <v>1477</v>
      </c>
      <c r="M477" t="s">
        <v>1430</v>
      </c>
      <c r="N477" s="59">
        <v>220000</v>
      </c>
      <c r="O477" s="59">
        <v>4752570900</v>
      </c>
      <c r="P477" s="59">
        <v>16624320.495767834</v>
      </c>
      <c r="Q477" s="59">
        <v>53823000</v>
      </c>
      <c r="R477" s="59">
        <v>883682416.00000012</v>
      </c>
      <c r="S477" s="59">
        <v>3798441163.5042329</v>
      </c>
      <c r="T477" s="41"/>
      <c r="U477" s="41"/>
      <c r="V477" s="41"/>
      <c r="W477" s="41"/>
      <c r="X477" s="41"/>
      <c r="Y477" s="41"/>
      <c r="Z477" s="41"/>
      <c r="AA477" s="41"/>
      <c r="AB477" s="41"/>
      <c r="AC477" s="41"/>
      <c r="AD477" s="41"/>
      <c r="AE477" s="59">
        <v>155260.20131058287</v>
      </c>
      <c r="AF477" s="59">
        <v>194260</v>
      </c>
      <c r="AG477" s="59" t="s">
        <v>1243</v>
      </c>
      <c r="AH477" s="59" t="s">
        <v>1242</v>
      </c>
    </row>
    <row r="478" spans="1:34" x14ac:dyDescent="0.35">
      <c r="A478" s="58">
        <v>2024</v>
      </c>
      <c r="B478" s="58">
        <v>9</v>
      </c>
      <c r="C478">
        <v>9</v>
      </c>
      <c r="D478" s="58" t="s">
        <v>623</v>
      </c>
      <c r="E478" t="s">
        <v>137</v>
      </c>
      <c r="F478" s="58" t="s">
        <v>172</v>
      </c>
      <c r="G478" t="s">
        <v>734</v>
      </c>
      <c r="H478" s="58" t="s">
        <v>4</v>
      </c>
      <c r="I478" t="s">
        <v>4</v>
      </c>
      <c r="J478" s="58" t="s">
        <v>4</v>
      </c>
      <c r="K478" t="s">
        <v>1476</v>
      </c>
      <c r="L478" t="s">
        <v>1540</v>
      </c>
      <c r="M478" t="s">
        <v>1430</v>
      </c>
      <c r="N478" s="59">
        <v>88000</v>
      </c>
      <c r="O478" s="59">
        <v>3126200000</v>
      </c>
      <c r="P478" s="59">
        <v>6649728.1983071333</v>
      </c>
      <c r="Q478" s="59">
        <v>0</v>
      </c>
      <c r="R478" s="59">
        <v>409311140</v>
      </c>
      <c r="S478" s="59">
        <v>2710239131.801693</v>
      </c>
      <c r="T478" s="41"/>
      <c r="U478" s="41"/>
      <c r="V478" s="41"/>
      <c r="W478" s="41"/>
      <c r="X478" s="41"/>
      <c r="Y478" s="41"/>
      <c r="Z478" s="41"/>
      <c r="AA478" s="41"/>
      <c r="AB478" s="41"/>
      <c r="AC478" s="41"/>
      <c r="AD478" s="41"/>
      <c r="AE478" s="59">
        <v>110622.00537966094</v>
      </c>
      <c r="AF478" s="59">
        <v>127600</v>
      </c>
      <c r="AG478" s="59" t="s">
        <v>137</v>
      </c>
      <c r="AH478" s="59" t="s">
        <v>1175</v>
      </c>
    </row>
    <row r="479" spans="1:34" x14ac:dyDescent="0.35">
      <c r="A479" s="58">
        <v>2024</v>
      </c>
      <c r="B479" s="58">
        <v>9</v>
      </c>
      <c r="C479">
        <v>9</v>
      </c>
      <c r="D479" s="58" t="s">
        <v>607</v>
      </c>
      <c r="E479" t="s">
        <v>126</v>
      </c>
      <c r="F479" s="58" t="s">
        <v>168</v>
      </c>
      <c r="G479" t="s">
        <v>700</v>
      </c>
      <c r="H479" s="58" t="s">
        <v>4</v>
      </c>
      <c r="I479" t="s">
        <v>4</v>
      </c>
      <c r="J479" s="58" t="s">
        <v>4</v>
      </c>
      <c r="K479" t="s">
        <v>1476</v>
      </c>
      <c r="L479" t="s">
        <v>301</v>
      </c>
      <c r="M479" t="s">
        <v>1430</v>
      </c>
      <c r="N479" s="59">
        <v>88000</v>
      </c>
      <c r="O479" s="59">
        <v>3195744640</v>
      </c>
      <c r="P479" s="59">
        <v>6649728.1983071333</v>
      </c>
      <c r="Q479" s="59">
        <v>0</v>
      </c>
      <c r="R479" s="59">
        <v>412162976</v>
      </c>
      <c r="S479" s="59">
        <v>2776931935.801693</v>
      </c>
      <c r="T479" s="41"/>
      <c r="U479" s="41"/>
      <c r="V479" s="41"/>
      <c r="W479" s="41"/>
      <c r="X479" s="41"/>
      <c r="Y479" s="41"/>
      <c r="Z479" s="41"/>
      <c r="AA479" s="41"/>
      <c r="AB479" s="41"/>
      <c r="AC479" s="41"/>
      <c r="AD479" s="41"/>
      <c r="AE479" s="59">
        <v>114089.23318823718</v>
      </c>
      <c r="AF479" s="59">
        <v>131296</v>
      </c>
      <c r="AG479" s="59" t="s">
        <v>126</v>
      </c>
      <c r="AH479" s="59" t="s">
        <v>1160</v>
      </c>
    </row>
    <row r="480" spans="1:34" x14ac:dyDescent="0.35">
      <c r="A480" s="58">
        <v>2024</v>
      </c>
      <c r="B480" s="58">
        <v>9</v>
      </c>
      <c r="C480">
        <v>9</v>
      </c>
      <c r="D480" s="58" t="s">
        <v>604</v>
      </c>
      <c r="E480" t="s">
        <v>145</v>
      </c>
      <c r="F480" s="58" t="s">
        <v>174</v>
      </c>
      <c r="G480" t="s">
        <v>740</v>
      </c>
      <c r="H480" s="58" t="s">
        <v>4</v>
      </c>
      <c r="I480" t="s">
        <v>4</v>
      </c>
      <c r="J480" s="58" t="s">
        <v>4</v>
      </c>
      <c r="K480" t="s">
        <v>1476</v>
      </c>
      <c r="L480" t="s">
        <v>1477</v>
      </c>
      <c r="M480" t="s">
        <v>1430</v>
      </c>
      <c r="N480" s="59">
        <v>660000</v>
      </c>
      <c r="O480" s="59">
        <v>17102421600</v>
      </c>
      <c r="P480" s="59">
        <v>49872961.48730351</v>
      </c>
      <c r="Q480" s="59">
        <v>0</v>
      </c>
      <c r="R480" s="59">
        <v>245103129.00000003</v>
      </c>
      <c r="S480" s="59">
        <v>16807445509.512707</v>
      </c>
      <c r="T480" s="41"/>
      <c r="U480" s="41"/>
      <c r="V480" s="41"/>
      <c r="W480" s="41"/>
      <c r="X480" s="41"/>
      <c r="Y480" s="41"/>
      <c r="Z480" s="41"/>
      <c r="AA480" s="41"/>
      <c r="AB480" s="41"/>
      <c r="AC480" s="41"/>
      <c r="AD480" s="41"/>
      <c r="AE480" s="59">
        <v>687533.56221819273</v>
      </c>
      <c r="AF480" s="59">
        <v>699600</v>
      </c>
      <c r="AG480" s="59" t="s">
        <v>145</v>
      </c>
      <c r="AH480" s="59" t="s">
        <v>1185</v>
      </c>
    </row>
    <row r="481" spans="1:34" x14ac:dyDescent="0.35">
      <c r="A481" s="58">
        <v>2024</v>
      </c>
      <c r="B481" s="58">
        <v>9</v>
      </c>
      <c r="C481">
        <v>9</v>
      </c>
      <c r="D481" s="58" t="s">
        <v>1484</v>
      </c>
      <c r="E481" t="s">
        <v>1298</v>
      </c>
      <c r="F481" s="58" t="s">
        <v>1482</v>
      </c>
      <c r="G481" t="s">
        <v>1483</v>
      </c>
      <c r="H481" s="58" t="s">
        <v>1012</v>
      </c>
      <c r="I481" t="s">
        <v>1012</v>
      </c>
      <c r="J481" s="58" t="s">
        <v>1012</v>
      </c>
      <c r="K481" t="s">
        <v>1429</v>
      </c>
      <c r="L481" t="s">
        <v>20</v>
      </c>
      <c r="M481" t="s">
        <v>1430</v>
      </c>
      <c r="N481" s="59">
        <v>0</v>
      </c>
      <c r="O481" s="59">
        <v>3000000</v>
      </c>
      <c r="P481" s="59">
        <v>0</v>
      </c>
      <c r="Q481" s="59">
        <v>0</v>
      </c>
      <c r="R481" s="59">
        <v>0</v>
      </c>
      <c r="S481" s="59">
        <v>3000000</v>
      </c>
      <c r="T481" s="41"/>
      <c r="U481" s="41"/>
      <c r="V481" s="41"/>
      <c r="W481" s="41"/>
      <c r="X481" s="41"/>
      <c r="Y481" s="41"/>
      <c r="Z481" s="41"/>
      <c r="AA481" s="41"/>
      <c r="AB481" s="41"/>
      <c r="AC481" s="41"/>
      <c r="AD481" s="41"/>
      <c r="AE481" s="59">
        <v>122.52009028707711</v>
      </c>
      <c r="AF481" s="59">
        <v>122.52009028707711</v>
      </c>
      <c r="AG481" s="59" t="s">
        <v>1298</v>
      </c>
      <c r="AH481" s="59" t="s">
        <v>1325</v>
      </c>
    </row>
    <row r="482" spans="1:34" x14ac:dyDescent="0.35">
      <c r="A482" s="58">
        <v>2024</v>
      </c>
      <c r="B482" s="58">
        <v>9</v>
      </c>
      <c r="C482">
        <v>9</v>
      </c>
      <c r="D482" s="58" t="s">
        <v>1485</v>
      </c>
      <c r="E482" t="s">
        <v>1318</v>
      </c>
      <c r="F482" s="58" t="s">
        <v>1486</v>
      </c>
      <c r="G482" t="s">
        <v>1487</v>
      </c>
      <c r="H482" s="58" t="s">
        <v>1012</v>
      </c>
      <c r="I482" t="s">
        <v>1012</v>
      </c>
      <c r="J482" s="58" t="s">
        <v>1012</v>
      </c>
      <c r="K482" t="s">
        <v>1429</v>
      </c>
      <c r="L482" t="s">
        <v>20</v>
      </c>
      <c r="M482" t="s">
        <v>1430</v>
      </c>
      <c r="N482" s="59">
        <v>0</v>
      </c>
      <c r="O482" s="59">
        <v>0</v>
      </c>
      <c r="P482" s="59">
        <v>0</v>
      </c>
      <c r="Q482" s="59">
        <v>0</v>
      </c>
      <c r="R482" s="59">
        <v>0</v>
      </c>
      <c r="S482" s="59">
        <v>0</v>
      </c>
      <c r="T482" s="41"/>
      <c r="U482" s="41"/>
      <c r="V482" s="41"/>
      <c r="W482" s="41"/>
      <c r="X482" s="41"/>
      <c r="Y482" s="41"/>
      <c r="Z482" s="41"/>
      <c r="AA482" s="41"/>
      <c r="AB482" s="41"/>
      <c r="AC482" s="41"/>
      <c r="AD482" s="41"/>
      <c r="AE482" s="59">
        <v>0</v>
      </c>
      <c r="AF482" s="59">
        <v>0</v>
      </c>
      <c r="AG482" s="59" t="s">
        <v>1318</v>
      </c>
      <c r="AH482" s="59" t="s">
        <v>1317</v>
      </c>
    </row>
    <row r="483" spans="1:34" x14ac:dyDescent="0.35">
      <c r="A483" s="58">
        <v>2024</v>
      </c>
      <c r="B483" s="58">
        <v>9</v>
      </c>
      <c r="C483">
        <v>9</v>
      </c>
      <c r="D483" s="58" t="s">
        <v>1569</v>
      </c>
      <c r="E483" t="s">
        <v>1279</v>
      </c>
      <c r="F483" s="58" t="s">
        <v>1524</v>
      </c>
      <c r="G483" t="s">
        <v>1525</v>
      </c>
      <c r="H483" s="58" t="s">
        <v>1012</v>
      </c>
      <c r="I483" t="s">
        <v>1012</v>
      </c>
      <c r="J483" s="58" t="s">
        <v>1012</v>
      </c>
      <c r="K483" t="s">
        <v>1429</v>
      </c>
      <c r="L483" t="s">
        <v>20</v>
      </c>
      <c r="M483" t="s">
        <v>1430</v>
      </c>
      <c r="N483" s="59">
        <v>0</v>
      </c>
      <c r="O483" s="59">
        <v>0</v>
      </c>
      <c r="P483" s="59">
        <v>0</v>
      </c>
      <c r="Q483" s="59">
        <v>0</v>
      </c>
      <c r="R483" s="59">
        <v>0</v>
      </c>
      <c r="S483" s="59">
        <v>0</v>
      </c>
      <c r="T483" s="41"/>
      <c r="U483" s="41"/>
      <c r="V483" s="41"/>
      <c r="W483" s="41"/>
      <c r="X483" s="41"/>
      <c r="Y483" s="41"/>
      <c r="Z483" s="41"/>
      <c r="AA483" s="41"/>
      <c r="AB483" s="41"/>
      <c r="AC483" s="41"/>
      <c r="AD483" s="41"/>
      <c r="AE483" s="59">
        <v>0</v>
      </c>
      <c r="AF483" s="59">
        <v>0</v>
      </c>
      <c r="AG483" s="59" t="s">
        <v>1279</v>
      </c>
      <c r="AH483" s="59" t="s">
        <v>1277</v>
      </c>
    </row>
    <row r="484" spans="1:34" x14ac:dyDescent="0.35">
      <c r="A484" s="58">
        <v>2024</v>
      </c>
      <c r="B484" s="58">
        <v>9</v>
      </c>
      <c r="C484">
        <v>9</v>
      </c>
      <c r="D484" s="58" t="s">
        <v>1570</v>
      </c>
      <c r="E484" t="s">
        <v>1282</v>
      </c>
      <c r="F484" s="58" t="s">
        <v>1496</v>
      </c>
      <c r="G484" t="s">
        <v>1497</v>
      </c>
      <c r="H484" s="58" t="s">
        <v>1012</v>
      </c>
      <c r="I484" t="s">
        <v>1012</v>
      </c>
      <c r="J484" s="58" t="s">
        <v>1012</v>
      </c>
      <c r="K484" t="s">
        <v>1429</v>
      </c>
      <c r="L484" t="s">
        <v>20</v>
      </c>
      <c r="M484" t="s">
        <v>1430</v>
      </c>
      <c r="N484" s="59">
        <v>0</v>
      </c>
      <c r="O484" s="59">
        <v>0</v>
      </c>
      <c r="P484" s="59">
        <v>0</v>
      </c>
      <c r="Q484" s="59">
        <v>0</v>
      </c>
      <c r="R484" s="59">
        <v>0</v>
      </c>
      <c r="S484" s="59">
        <v>0</v>
      </c>
      <c r="T484" s="41"/>
      <c r="U484" s="41"/>
      <c r="V484" s="41"/>
      <c r="W484" s="41"/>
      <c r="X484" s="41"/>
      <c r="Y484" s="41"/>
      <c r="Z484" s="41"/>
      <c r="AA484" s="41"/>
      <c r="AB484" s="41"/>
      <c r="AC484" s="41"/>
      <c r="AD484" s="41"/>
      <c r="AE484" s="59">
        <v>0</v>
      </c>
      <c r="AF484" s="59">
        <v>0</v>
      </c>
      <c r="AG484" s="59" t="s">
        <v>1282</v>
      </c>
      <c r="AH484" s="59" t="s">
        <v>1329</v>
      </c>
    </row>
    <row r="485" spans="1:34" x14ac:dyDescent="0.35">
      <c r="A485" s="58">
        <v>2024</v>
      </c>
      <c r="B485" s="58">
        <v>9</v>
      </c>
      <c r="C485">
        <v>9</v>
      </c>
      <c r="D485" s="58" t="s">
        <v>1571</v>
      </c>
      <c r="E485" t="s">
        <v>1283</v>
      </c>
      <c r="F485" s="58" t="s">
        <v>1496</v>
      </c>
      <c r="G485" t="s">
        <v>1497</v>
      </c>
      <c r="H485" s="58" t="s">
        <v>1012</v>
      </c>
      <c r="I485" t="s">
        <v>1012</v>
      </c>
      <c r="J485" s="58" t="s">
        <v>1012</v>
      </c>
      <c r="K485" t="s">
        <v>1429</v>
      </c>
      <c r="L485" t="s">
        <v>20</v>
      </c>
      <c r="M485" t="s">
        <v>1430</v>
      </c>
      <c r="N485" s="59">
        <v>0</v>
      </c>
      <c r="O485" s="59">
        <v>0</v>
      </c>
      <c r="P485" s="59">
        <v>0</v>
      </c>
      <c r="Q485" s="59">
        <v>0</v>
      </c>
      <c r="R485" s="59">
        <v>0</v>
      </c>
      <c r="S485" s="59">
        <v>0</v>
      </c>
      <c r="T485" s="41"/>
      <c r="U485" s="41"/>
      <c r="V485" s="41"/>
      <c r="W485" s="41"/>
      <c r="X485" s="41"/>
      <c r="Y485" s="41"/>
      <c r="Z485" s="41"/>
      <c r="AA485" s="41"/>
      <c r="AB485" s="41"/>
      <c r="AC485" s="41"/>
      <c r="AD485" s="41"/>
      <c r="AE485" s="59">
        <v>0</v>
      </c>
      <c r="AF485" s="59">
        <v>0</v>
      </c>
      <c r="AG485" s="59" t="s">
        <v>1283</v>
      </c>
      <c r="AH485" s="59" t="s">
        <v>1329</v>
      </c>
    </row>
    <row r="486" spans="1:34" x14ac:dyDescent="0.35">
      <c r="A486" s="58">
        <v>2024</v>
      </c>
      <c r="B486" s="58">
        <v>9</v>
      </c>
      <c r="C486">
        <v>9</v>
      </c>
      <c r="D486" s="58" t="s">
        <v>1491</v>
      </c>
      <c r="E486" t="s">
        <v>1264</v>
      </c>
      <c r="F486" s="58" t="s">
        <v>1556</v>
      </c>
      <c r="G486" t="s">
        <v>1557</v>
      </c>
      <c r="H486" s="58" t="s">
        <v>1012</v>
      </c>
      <c r="I486" t="s">
        <v>1012</v>
      </c>
      <c r="J486" s="58" t="s">
        <v>1012</v>
      </c>
      <c r="K486" t="s">
        <v>1429</v>
      </c>
      <c r="L486" t="s">
        <v>20</v>
      </c>
      <c r="M486" t="s">
        <v>1430</v>
      </c>
      <c r="N486" s="59">
        <v>0</v>
      </c>
      <c r="O486" s="59">
        <v>0</v>
      </c>
      <c r="P486" s="59">
        <v>0</v>
      </c>
      <c r="Q486" s="59">
        <v>0</v>
      </c>
      <c r="R486" s="59">
        <v>0</v>
      </c>
      <c r="S486" s="59">
        <v>0</v>
      </c>
      <c r="T486" s="41"/>
      <c r="U486" s="41"/>
      <c r="V486" s="41"/>
      <c r="W486" s="41"/>
      <c r="X486" s="41"/>
      <c r="Y486" s="41"/>
      <c r="Z486" s="41"/>
      <c r="AA486" s="41"/>
      <c r="AB486" s="41"/>
      <c r="AC486" s="41"/>
      <c r="AD486" s="41"/>
      <c r="AE486" s="59">
        <v>0</v>
      </c>
      <c r="AF486" s="59">
        <v>0</v>
      </c>
      <c r="AG486" s="59" t="s">
        <v>1264</v>
      </c>
      <c r="AH486" s="59" t="s">
        <v>1267</v>
      </c>
    </row>
    <row r="487" spans="1:34" x14ac:dyDescent="0.35">
      <c r="A487" s="58">
        <v>2024</v>
      </c>
      <c r="B487" s="58">
        <v>9</v>
      </c>
      <c r="C487">
        <v>9</v>
      </c>
      <c r="D487" s="58" t="s">
        <v>1491</v>
      </c>
      <c r="E487" t="s">
        <v>1264</v>
      </c>
      <c r="F487" s="58" t="s">
        <v>1522</v>
      </c>
      <c r="G487" t="s">
        <v>1523</v>
      </c>
      <c r="H487" s="58" t="s">
        <v>1012</v>
      </c>
      <c r="I487" t="s">
        <v>1012</v>
      </c>
      <c r="J487" s="58" t="s">
        <v>1389</v>
      </c>
      <c r="K487" t="s">
        <v>1429</v>
      </c>
      <c r="L487" t="s">
        <v>20</v>
      </c>
      <c r="M487" t="s">
        <v>1430</v>
      </c>
      <c r="N487" s="59">
        <v>0</v>
      </c>
      <c r="O487" s="59">
        <v>0</v>
      </c>
      <c r="P487" s="59">
        <v>0</v>
      </c>
      <c r="Q487" s="59">
        <v>0</v>
      </c>
      <c r="R487" s="59">
        <v>-1625925.9259259</v>
      </c>
      <c r="S487" s="59">
        <v>1625925.9259259</v>
      </c>
      <c r="T487" s="41"/>
      <c r="U487" s="41"/>
      <c r="V487" s="41"/>
      <c r="W487" s="41"/>
      <c r="X487" s="41"/>
      <c r="Y487" s="41"/>
      <c r="Z487" s="41"/>
      <c r="AA487" s="41"/>
      <c r="AB487" s="41"/>
      <c r="AC487" s="41"/>
      <c r="AD487" s="41"/>
      <c r="AE487" s="59">
        <v>66.402863748180238</v>
      </c>
      <c r="AF487" s="59">
        <v>0</v>
      </c>
      <c r="AG487" s="59" t="s">
        <v>1264</v>
      </c>
      <c r="AH487" s="59" t="s">
        <v>1390</v>
      </c>
    </row>
    <row r="488" spans="1:34" x14ac:dyDescent="0.35">
      <c r="A488" s="58">
        <v>2024</v>
      </c>
      <c r="B488" s="58">
        <v>9</v>
      </c>
      <c r="C488">
        <v>9</v>
      </c>
      <c r="D488" s="58" t="s">
        <v>1491</v>
      </c>
      <c r="E488" t="s">
        <v>1264</v>
      </c>
      <c r="F488" s="58" t="s">
        <v>1152</v>
      </c>
      <c r="G488" t="s">
        <v>1153</v>
      </c>
      <c r="H488" s="58" t="s">
        <v>1012</v>
      </c>
      <c r="I488" t="s">
        <v>1012</v>
      </c>
      <c r="J488" s="58" t="s">
        <v>1399</v>
      </c>
      <c r="K488" t="s">
        <v>1429</v>
      </c>
      <c r="L488" t="s">
        <v>20</v>
      </c>
      <c r="M488" t="s">
        <v>1430</v>
      </c>
      <c r="N488" s="59">
        <v>0</v>
      </c>
      <c r="O488" s="59">
        <v>0</v>
      </c>
      <c r="P488" s="59">
        <v>0</v>
      </c>
      <c r="Q488" s="59">
        <v>-19272.920000314713</v>
      </c>
      <c r="R488" s="59">
        <v>-109949291.44444267</v>
      </c>
      <c r="S488" s="59">
        <v>109968564.36444299</v>
      </c>
      <c r="T488" s="41"/>
      <c r="U488" s="41"/>
      <c r="V488" s="41"/>
      <c r="W488" s="41"/>
      <c r="X488" s="41"/>
      <c r="Y488" s="41"/>
      <c r="Z488" s="41"/>
      <c r="AA488" s="41"/>
      <c r="AB488" s="41"/>
      <c r="AC488" s="41"/>
      <c r="AD488" s="41"/>
      <c r="AE488" s="59">
        <v>4491.1194782239254</v>
      </c>
      <c r="AF488" s="59">
        <v>0</v>
      </c>
      <c r="AG488" s="59" t="s">
        <v>1264</v>
      </c>
      <c r="AH488" s="59" t="s">
        <v>1400</v>
      </c>
    </row>
    <row r="489" spans="1:34" x14ac:dyDescent="0.35">
      <c r="A489" s="58">
        <v>2024</v>
      </c>
      <c r="B489" s="58">
        <v>9</v>
      </c>
      <c r="C489">
        <v>9</v>
      </c>
      <c r="D489" s="58" t="s">
        <v>1491</v>
      </c>
      <c r="E489" t="s">
        <v>1264</v>
      </c>
      <c r="F489" s="58" t="s">
        <v>1514</v>
      </c>
      <c r="G489" t="s">
        <v>1515</v>
      </c>
      <c r="H489" s="58" t="s">
        <v>1012</v>
      </c>
      <c r="I489" t="s">
        <v>1012</v>
      </c>
      <c r="J489" s="58" t="s">
        <v>1401</v>
      </c>
      <c r="K489" t="s">
        <v>1429</v>
      </c>
      <c r="L489" t="s">
        <v>20</v>
      </c>
      <c r="M489" t="s">
        <v>1430</v>
      </c>
      <c r="N489" s="59">
        <v>0</v>
      </c>
      <c r="O489" s="59">
        <v>0</v>
      </c>
      <c r="P489" s="59">
        <v>0</v>
      </c>
      <c r="Q489" s="59">
        <v>0</v>
      </c>
      <c r="R489" s="59">
        <v>600000</v>
      </c>
      <c r="S489" s="59">
        <v>-600000</v>
      </c>
      <c r="T489" s="41"/>
      <c r="U489" s="41"/>
      <c r="V489" s="41"/>
      <c r="W489" s="41"/>
      <c r="X489" s="41"/>
      <c r="Y489" s="41"/>
      <c r="Z489" s="41"/>
      <c r="AA489" s="41"/>
      <c r="AB489" s="41"/>
      <c r="AC489" s="41"/>
      <c r="AD489" s="41"/>
      <c r="AE489" s="59">
        <v>-24.504018057415422</v>
      </c>
      <c r="AF489" s="59">
        <v>0</v>
      </c>
      <c r="AG489" s="59" t="s">
        <v>1264</v>
      </c>
      <c r="AH489" s="59" t="s">
        <v>1402</v>
      </c>
    </row>
    <row r="490" spans="1:34" x14ac:dyDescent="0.35">
      <c r="A490" s="58">
        <v>2024</v>
      </c>
      <c r="B490" s="58">
        <v>9</v>
      </c>
      <c r="C490">
        <v>9</v>
      </c>
      <c r="D490" s="58" t="s">
        <v>1491</v>
      </c>
      <c r="E490" t="s">
        <v>1264</v>
      </c>
      <c r="F490" s="58" t="s">
        <v>1494</v>
      </c>
      <c r="G490" t="s">
        <v>1495</v>
      </c>
      <c r="H490" s="58" t="s">
        <v>1012</v>
      </c>
      <c r="I490" t="s">
        <v>1012</v>
      </c>
      <c r="J490" s="58" t="s">
        <v>1397</v>
      </c>
      <c r="K490" t="s">
        <v>1429</v>
      </c>
      <c r="L490" t="s">
        <v>20</v>
      </c>
      <c r="M490" t="s">
        <v>1430</v>
      </c>
      <c r="N490" s="59">
        <v>0</v>
      </c>
      <c r="O490" s="59">
        <v>0</v>
      </c>
      <c r="P490" s="59">
        <v>0</v>
      </c>
      <c r="Q490" s="59">
        <v>0</v>
      </c>
      <c r="R490" s="59">
        <v>-1045805.9999999999</v>
      </c>
      <c r="S490" s="59">
        <v>1045805.9999999999</v>
      </c>
      <c r="T490" s="41"/>
      <c r="U490" s="41"/>
      <c r="V490" s="41"/>
      <c r="W490" s="41"/>
      <c r="X490" s="41"/>
      <c r="Y490" s="41"/>
      <c r="Z490" s="41"/>
      <c r="AA490" s="41"/>
      <c r="AB490" s="41"/>
      <c r="AC490" s="41"/>
      <c r="AD490" s="41"/>
      <c r="AE490" s="59">
        <v>42.710748514255663</v>
      </c>
      <c r="AF490" s="59">
        <v>0</v>
      </c>
      <c r="AG490" s="59" t="s">
        <v>1264</v>
      </c>
      <c r="AH490" s="59" t="s">
        <v>1398</v>
      </c>
    </row>
    <row r="491" spans="1:34" x14ac:dyDescent="0.35">
      <c r="A491" s="58">
        <v>2024</v>
      </c>
      <c r="B491" s="58">
        <v>9</v>
      </c>
      <c r="C491">
        <v>9</v>
      </c>
      <c r="D491" s="58" t="s">
        <v>1491</v>
      </c>
      <c r="E491" t="s">
        <v>1264</v>
      </c>
      <c r="F491" s="58" t="s">
        <v>1572</v>
      </c>
      <c r="G491" t="s">
        <v>1573</v>
      </c>
      <c r="H491" s="58" t="s">
        <v>1012</v>
      </c>
      <c r="I491" t="s">
        <v>1012</v>
      </c>
      <c r="J491" s="58" t="s">
        <v>1012</v>
      </c>
      <c r="K491" t="s">
        <v>1429</v>
      </c>
      <c r="L491" t="s">
        <v>20</v>
      </c>
      <c r="M491" t="s">
        <v>1430</v>
      </c>
      <c r="N491" s="59">
        <v>0</v>
      </c>
      <c r="O491" s="59">
        <v>0</v>
      </c>
      <c r="P491" s="59">
        <v>0</v>
      </c>
      <c r="Q491" s="59">
        <v>0</v>
      </c>
      <c r="R491" s="59">
        <v>0</v>
      </c>
      <c r="S491" s="59">
        <v>0</v>
      </c>
      <c r="T491" s="41"/>
      <c r="U491" s="41"/>
      <c r="V491" s="41"/>
      <c r="W491" s="41"/>
      <c r="X491" s="41"/>
      <c r="Y491" s="41"/>
      <c r="Z491" s="41"/>
      <c r="AA491" s="41"/>
      <c r="AB491" s="41"/>
      <c r="AC491" s="41"/>
      <c r="AD491" s="41"/>
      <c r="AE491" s="59">
        <v>0</v>
      </c>
      <c r="AF491" s="59">
        <v>0</v>
      </c>
      <c r="AG491" s="59" t="s">
        <v>1264</v>
      </c>
      <c r="AH491" s="59" t="s">
        <v>1273</v>
      </c>
    </row>
    <row r="492" spans="1:34" x14ac:dyDescent="0.35">
      <c r="A492" s="58">
        <v>2024</v>
      </c>
      <c r="B492" s="58">
        <v>9</v>
      </c>
      <c r="C492">
        <v>9</v>
      </c>
      <c r="D492" s="58" t="s">
        <v>1491</v>
      </c>
      <c r="E492" t="s">
        <v>1264</v>
      </c>
      <c r="F492" s="58" t="s">
        <v>1489</v>
      </c>
      <c r="G492" t="s">
        <v>1490</v>
      </c>
      <c r="H492" s="58" t="s">
        <v>1012</v>
      </c>
      <c r="I492" t="s">
        <v>1012</v>
      </c>
      <c r="J492" s="58" t="s">
        <v>1012</v>
      </c>
      <c r="K492" t="s">
        <v>1429</v>
      </c>
      <c r="L492" t="s">
        <v>20</v>
      </c>
      <c r="M492" t="s">
        <v>1430</v>
      </c>
      <c r="N492" s="59">
        <v>0</v>
      </c>
      <c r="O492" s="59">
        <v>0</v>
      </c>
      <c r="P492" s="59">
        <v>0</v>
      </c>
      <c r="Q492" s="59">
        <v>0</v>
      </c>
      <c r="R492" s="59">
        <v>0</v>
      </c>
      <c r="S492" s="59">
        <v>0</v>
      </c>
      <c r="T492" s="41"/>
      <c r="U492" s="41"/>
      <c r="V492" s="41"/>
      <c r="W492" s="41"/>
      <c r="X492" s="41"/>
      <c r="Y492" s="41"/>
      <c r="Z492" s="41"/>
      <c r="AA492" s="41"/>
      <c r="AB492" s="41"/>
      <c r="AC492" s="41"/>
      <c r="AD492" s="41"/>
      <c r="AE492" s="59">
        <v>0</v>
      </c>
      <c r="AF492" s="59">
        <v>0</v>
      </c>
      <c r="AG492" s="59" t="s">
        <v>1264</v>
      </c>
      <c r="AH492" s="59" t="s">
        <v>1274</v>
      </c>
    </row>
    <row r="493" spans="1:34" x14ac:dyDescent="0.35">
      <c r="A493" s="58">
        <v>2024</v>
      </c>
      <c r="B493" s="58">
        <v>9</v>
      </c>
      <c r="C493">
        <v>9</v>
      </c>
      <c r="D493" s="58" t="s">
        <v>1491</v>
      </c>
      <c r="E493" t="s">
        <v>1264</v>
      </c>
      <c r="F493" s="58" t="s">
        <v>1468</v>
      </c>
      <c r="G493" t="s">
        <v>1012</v>
      </c>
      <c r="H493" s="58" t="s">
        <v>1012</v>
      </c>
      <c r="I493" t="s">
        <v>1012</v>
      </c>
      <c r="J493" s="58" t="s">
        <v>1012</v>
      </c>
      <c r="K493" t="s">
        <v>1429</v>
      </c>
      <c r="L493" t="s">
        <v>20</v>
      </c>
      <c r="M493" t="s">
        <v>1430</v>
      </c>
      <c r="N493" s="59">
        <v>0</v>
      </c>
      <c r="O493" s="59">
        <v>0</v>
      </c>
      <c r="P493" s="59">
        <v>0</v>
      </c>
      <c r="Q493" s="59">
        <v>0</v>
      </c>
      <c r="R493" s="59">
        <v>0</v>
      </c>
      <c r="S493" s="59">
        <v>0</v>
      </c>
      <c r="T493" s="41"/>
      <c r="U493" s="41"/>
      <c r="V493" s="41"/>
      <c r="W493" s="41"/>
      <c r="X493" s="41"/>
      <c r="Y493" s="41"/>
      <c r="Z493" s="41"/>
      <c r="AA493" s="41"/>
      <c r="AB493" s="41"/>
      <c r="AC493" s="41"/>
      <c r="AD493" s="41"/>
      <c r="AE493" s="59">
        <v>0</v>
      </c>
      <c r="AF493" s="59">
        <v>0</v>
      </c>
      <c r="AG493" s="59" t="s">
        <v>1264</v>
      </c>
      <c r="AH493" s="59" t="s">
        <v>1284</v>
      </c>
    </row>
    <row r="494" spans="1:34" x14ac:dyDescent="0.35">
      <c r="A494" s="58">
        <v>2024</v>
      </c>
      <c r="B494" s="58">
        <v>9</v>
      </c>
      <c r="C494">
        <v>9</v>
      </c>
      <c r="D494" s="58" t="s">
        <v>1491</v>
      </c>
      <c r="E494" t="s">
        <v>1264</v>
      </c>
      <c r="F494" s="58" t="s">
        <v>1496</v>
      </c>
      <c r="G494" t="s">
        <v>1497</v>
      </c>
      <c r="H494" s="58" t="s">
        <v>1012</v>
      </c>
      <c r="I494" t="s">
        <v>1012</v>
      </c>
      <c r="J494" s="58" t="s">
        <v>1012</v>
      </c>
      <c r="K494" t="s">
        <v>1429</v>
      </c>
      <c r="L494" t="s">
        <v>20</v>
      </c>
      <c r="M494" t="s">
        <v>1430</v>
      </c>
      <c r="N494" s="59">
        <v>0</v>
      </c>
      <c r="O494" s="59">
        <v>0</v>
      </c>
      <c r="P494" s="59">
        <v>0</v>
      </c>
      <c r="Q494" s="59">
        <v>0</v>
      </c>
      <c r="R494" s="59">
        <v>0</v>
      </c>
      <c r="S494" s="59">
        <v>0</v>
      </c>
      <c r="T494" s="41"/>
      <c r="U494" s="41"/>
      <c r="V494" s="41"/>
      <c r="W494" s="41"/>
      <c r="X494" s="41"/>
      <c r="Y494" s="41"/>
      <c r="Z494" s="41"/>
      <c r="AA494" s="41"/>
      <c r="AB494" s="41"/>
      <c r="AC494" s="41"/>
      <c r="AD494" s="41"/>
      <c r="AE494" s="59">
        <v>0</v>
      </c>
      <c r="AF494" s="59">
        <v>0</v>
      </c>
      <c r="AG494" s="59" t="s">
        <v>1264</v>
      </c>
      <c r="AH494" s="59" t="s">
        <v>1329</v>
      </c>
    </row>
    <row r="495" spans="1:34" x14ac:dyDescent="0.35">
      <c r="A495" s="58">
        <v>2024</v>
      </c>
      <c r="B495" s="58">
        <v>10</v>
      </c>
      <c r="C495">
        <v>10</v>
      </c>
      <c r="D495" s="58" t="s">
        <v>625</v>
      </c>
      <c r="E495" t="s">
        <v>271</v>
      </c>
      <c r="F495" s="58" t="s">
        <v>194</v>
      </c>
      <c r="G495" t="s">
        <v>743</v>
      </c>
      <c r="H495" s="58" t="s">
        <v>1428</v>
      </c>
      <c r="I495" t="s">
        <v>76</v>
      </c>
      <c r="J495" s="58" t="s">
        <v>76</v>
      </c>
      <c r="K495" t="s">
        <v>1429</v>
      </c>
      <c r="L495" t="s">
        <v>20</v>
      </c>
      <c r="M495" t="s">
        <v>1430</v>
      </c>
      <c r="N495" s="59">
        <v>11000</v>
      </c>
      <c r="O495" s="59">
        <v>240693486</v>
      </c>
      <c r="P495" s="59">
        <v>0</v>
      </c>
      <c r="Q495" s="59">
        <v>0</v>
      </c>
      <c r="R495" s="59">
        <v>0</v>
      </c>
      <c r="S495" s="59">
        <v>240693486</v>
      </c>
      <c r="T495" s="41"/>
      <c r="U495" s="41"/>
      <c r="V495" s="41"/>
      <c r="W495" s="41"/>
      <c r="X495" s="41"/>
      <c r="Y495" s="41"/>
      <c r="Z495" s="41"/>
      <c r="AA495" s="41"/>
      <c r="AB495" s="41"/>
      <c r="AC495" s="41"/>
      <c r="AD495" s="41"/>
      <c r="AE495" s="59">
        <v>9713.7370600723189</v>
      </c>
      <c r="AF495" s="59">
        <v>9713.7370600723189</v>
      </c>
      <c r="AG495" s="59" t="s">
        <v>47</v>
      </c>
      <c r="AH495" s="59" t="s">
        <v>1246</v>
      </c>
    </row>
    <row r="496" spans="1:34" x14ac:dyDescent="0.35">
      <c r="A496" s="58">
        <v>2024</v>
      </c>
      <c r="B496" s="58">
        <v>10</v>
      </c>
      <c r="C496">
        <v>10</v>
      </c>
      <c r="D496" s="58" t="s">
        <v>625</v>
      </c>
      <c r="E496" t="s">
        <v>271</v>
      </c>
      <c r="F496" s="58" t="s">
        <v>195</v>
      </c>
      <c r="G496" t="s">
        <v>746</v>
      </c>
      <c r="H496" s="58" t="s">
        <v>1428</v>
      </c>
      <c r="I496" t="s">
        <v>76</v>
      </c>
      <c r="J496" s="58" t="s">
        <v>76</v>
      </c>
      <c r="K496" t="s">
        <v>1429</v>
      </c>
      <c r="L496" t="s">
        <v>20</v>
      </c>
      <c r="M496" t="s">
        <v>1430</v>
      </c>
      <c r="N496" s="59">
        <v>5500</v>
      </c>
      <c r="O496" s="59">
        <v>119000475</v>
      </c>
      <c r="P496" s="59">
        <v>0</v>
      </c>
      <c r="Q496" s="59">
        <v>0</v>
      </c>
      <c r="R496" s="59">
        <v>0</v>
      </c>
      <c r="S496" s="59">
        <v>119000475</v>
      </c>
      <c r="T496" s="41"/>
      <c r="U496" s="41"/>
      <c r="V496" s="41"/>
      <c r="W496" s="41"/>
      <c r="X496" s="41"/>
      <c r="Y496" s="41"/>
      <c r="Z496" s="41"/>
      <c r="AA496" s="41"/>
      <c r="AB496" s="41"/>
      <c r="AC496" s="41"/>
      <c r="AD496" s="41"/>
      <c r="AE496" s="59">
        <v>4802.5368005751079</v>
      </c>
      <c r="AF496" s="59">
        <v>4802.5368005751079</v>
      </c>
      <c r="AG496" s="59" t="s">
        <v>47</v>
      </c>
      <c r="AH496" s="59" t="s">
        <v>1247</v>
      </c>
    </row>
    <row r="497" spans="1:34" x14ac:dyDescent="0.35">
      <c r="A497" s="58">
        <v>2024</v>
      </c>
      <c r="B497" s="58">
        <v>10</v>
      </c>
      <c r="C497">
        <v>10</v>
      </c>
      <c r="D497" s="58" t="s">
        <v>625</v>
      </c>
      <c r="E497" t="s">
        <v>271</v>
      </c>
      <c r="F497" s="58" t="s">
        <v>761</v>
      </c>
      <c r="G497" t="s">
        <v>762</v>
      </c>
      <c r="H497" s="58" t="s">
        <v>21</v>
      </c>
      <c r="I497" t="s">
        <v>21</v>
      </c>
      <c r="J497" s="58" t="s">
        <v>21</v>
      </c>
      <c r="K497" t="s">
        <v>1429</v>
      </c>
      <c r="L497" t="s">
        <v>20</v>
      </c>
      <c r="M497" t="s">
        <v>1430</v>
      </c>
      <c r="N497" s="59">
        <v>1500</v>
      </c>
      <c r="O497" s="59">
        <v>33145200</v>
      </c>
      <c r="P497" s="59">
        <v>0</v>
      </c>
      <c r="Q497" s="59">
        <v>0</v>
      </c>
      <c r="R497" s="59">
        <v>0</v>
      </c>
      <c r="S497" s="59">
        <v>33145200</v>
      </c>
      <c r="T497" s="41"/>
      <c r="U497" s="41"/>
      <c r="V497" s="41"/>
      <c r="W497" s="41"/>
      <c r="X497" s="41"/>
      <c r="Y497" s="41"/>
      <c r="Z497" s="41"/>
      <c r="AA497" s="41"/>
      <c r="AB497" s="41"/>
      <c r="AC497" s="41"/>
      <c r="AD497" s="41"/>
      <c r="AE497" s="59">
        <v>1337.6504821717904</v>
      </c>
      <c r="AF497" s="59">
        <v>1337.6504821717904</v>
      </c>
      <c r="AG497" s="59" t="s">
        <v>47</v>
      </c>
      <c r="AH497" s="59" t="s">
        <v>1351</v>
      </c>
    </row>
    <row r="498" spans="1:34" x14ac:dyDescent="0.35">
      <c r="A498" s="58">
        <v>2024</v>
      </c>
      <c r="B498" s="58">
        <v>10</v>
      </c>
      <c r="C498">
        <v>10</v>
      </c>
      <c r="D498" s="58" t="s">
        <v>625</v>
      </c>
      <c r="E498" t="s">
        <v>271</v>
      </c>
      <c r="F498" s="58" t="s">
        <v>218</v>
      </c>
      <c r="G498" t="s">
        <v>944</v>
      </c>
      <c r="H498" s="58" t="s">
        <v>21</v>
      </c>
      <c r="I498" t="s">
        <v>21</v>
      </c>
      <c r="J498" s="58" t="s">
        <v>21</v>
      </c>
      <c r="K498" t="s">
        <v>1429</v>
      </c>
      <c r="L498" t="s">
        <v>20</v>
      </c>
      <c r="M498" t="s">
        <v>1430</v>
      </c>
      <c r="N498" s="59">
        <v>16500</v>
      </c>
      <c r="O498" s="59">
        <v>368721936</v>
      </c>
      <c r="P498" s="59">
        <v>0</v>
      </c>
      <c r="Q498" s="59">
        <v>0</v>
      </c>
      <c r="R498" s="59">
        <v>0</v>
      </c>
      <c r="S498" s="59">
        <v>368721936</v>
      </c>
      <c r="T498" s="41"/>
      <c r="U498" s="41"/>
      <c r="V498" s="41"/>
      <c r="W498" s="41"/>
      <c r="X498" s="41"/>
      <c r="Y498" s="41"/>
      <c r="Z498" s="41"/>
      <c r="AA498" s="41"/>
      <c r="AB498" s="41"/>
      <c r="AC498" s="41"/>
      <c r="AD498" s="41"/>
      <c r="AE498" s="59">
        <v>14880.618475004405</v>
      </c>
      <c r="AF498" s="59">
        <v>14880.618475004405</v>
      </c>
      <c r="AG498" s="59" t="s">
        <v>47</v>
      </c>
      <c r="AH498" s="59" t="s">
        <v>1360</v>
      </c>
    </row>
    <row r="499" spans="1:34" x14ac:dyDescent="0.35">
      <c r="A499" s="58">
        <v>2024</v>
      </c>
      <c r="B499" s="58">
        <v>10</v>
      </c>
      <c r="C499">
        <v>10</v>
      </c>
      <c r="D499" s="58" t="s">
        <v>1433</v>
      </c>
      <c r="E499" t="s">
        <v>1276</v>
      </c>
      <c r="F499" s="58" t="s">
        <v>1434</v>
      </c>
      <c r="G499" t="s">
        <v>1435</v>
      </c>
      <c r="H499" s="58" t="s">
        <v>1012</v>
      </c>
      <c r="I499" t="s">
        <v>1012</v>
      </c>
      <c r="J499" s="58" t="s">
        <v>1012</v>
      </c>
      <c r="K499" t="s">
        <v>1429</v>
      </c>
      <c r="L499" t="s">
        <v>20</v>
      </c>
      <c r="M499" t="s">
        <v>1430</v>
      </c>
      <c r="N499" s="59">
        <v>0</v>
      </c>
      <c r="O499" s="59">
        <v>0</v>
      </c>
      <c r="P499" s="59">
        <v>0</v>
      </c>
      <c r="Q499" s="59">
        <v>0</v>
      </c>
      <c r="R499" s="59">
        <v>0</v>
      </c>
      <c r="S499" s="59">
        <v>0</v>
      </c>
      <c r="T499" s="41"/>
      <c r="U499" s="41"/>
      <c r="V499" s="41"/>
      <c r="W499" s="41"/>
      <c r="X499" s="41"/>
      <c r="Y499" s="41"/>
      <c r="Z499" s="41"/>
      <c r="AA499" s="41"/>
      <c r="AB499" s="41"/>
      <c r="AC499" s="41"/>
      <c r="AD499" s="41"/>
      <c r="AE499" s="59">
        <v>0</v>
      </c>
      <c r="AF499" s="59">
        <v>0</v>
      </c>
      <c r="AG499" s="59" t="s">
        <v>1276</v>
      </c>
      <c r="AH499" s="59" t="s">
        <v>1319</v>
      </c>
    </row>
    <row r="500" spans="1:34" x14ac:dyDescent="0.35">
      <c r="A500" s="58">
        <v>2024</v>
      </c>
      <c r="B500" s="58">
        <v>10</v>
      </c>
      <c r="C500">
        <v>10</v>
      </c>
      <c r="D500" s="58" t="s">
        <v>609</v>
      </c>
      <c r="E500" t="s">
        <v>263</v>
      </c>
      <c r="F500" s="58" t="s">
        <v>174</v>
      </c>
      <c r="G500" t="s">
        <v>740</v>
      </c>
      <c r="H500" s="58" t="s">
        <v>4</v>
      </c>
      <c r="I500" t="s">
        <v>4</v>
      </c>
      <c r="J500" s="58" t="s">
        <v>4</v>
      </c>
      <c r="K500" t="s">
        <v>1429</v>
      </c>
      <c r="L500" t="s">
        <v>20</v>
      </c>
      <c r="M500" t="s">
        <v>1430</v>
      </c>
      <c r="N500" s="59">
        <v>132000</v>
      </c>
      <c r="O500" s="59">
        <v>3484536000</v>
      </c>
      <c r="P500" s="59">
        <v>21613238.97334649</v>
      </c>
      <c r="Q500" s="59">
        <v>0</v>
      </c>
      <c r="R500" s="59">
        <v>29040000</v>
      </c>
      <c r="S500" s="59">
        <v>3433882761.0266533</v>
      </c>
      <c r="T500" s="41"/>
      <c r="U500" s="41"/>
      <c r="V500" s="41"/>
      <c r="W500" s="41"/>
      <c r="X500" s="41"/>
      <c r="Y500" s="41"/>
      <c r="Z500" s="41"/>
      <c r="AA500" s="41"/>
      <c r="AB500" s="41"/>
      <c r="AC500" s="41"/>
      <c r="AD500" s="41"/>
      <c r="AE500" s="59">
        <v>138582.20590036266</v>
      </c>
      <c r="AF500" s="59">
        <v>140626.43340649511</v>
      </c>
      <c r="AG500" s="59" t="s">
        <v>15</v>
      </c>
      <c r="AH500" s="59" t="s">
        <v>1185</v>
      </c>
    </row>
    <row r="501" spans="1:34" x14ac:dyDescent="0.35">
      <c r="A501" s="58">
        <v>2024</v>
      </c>
      <c r="B501" s="58">
        <v>10</v>
      </c>
      <c r="C501">
        <v>10</v>
      </c>
      <c r="D501" s="58" t="s">
        <v>589</v>
      </c>
      <c r="E501" t="s">
        <v>322</v>
      </c>
      <c r="F501" s="58" t="s">
        <v>171</v>
      </c>
      <c r="G501" t="s">
        <v>731</v>
      </c>
      <c r="H501" s="58" t="s">
        <v>4</v>
      </c>
      <c r="I501" t="s">
        <v>4</v>
      </c>
      <c r="J501" s="58" t="s">
        <v>4</v>
      </c>
      <c r="K501" t="s">
        <v>1429</v>
      </c>
      <c r="L501" t="s">
        <v>20</v>
      </c>
      <c r="M501" t="s">
        <v>1431</v>
      </c>
      <c r="N501" s="59">
        <v>-22000</v>
      </c>
      <c r="O501" s="59">
        <v>0</v>
      </c>
      <c r="P501" s="59">
        <v>0</v>
      </c>
      <c r="Q501" s="59">
        <v>0</v>
      </c>
      <c r="R501" s="59">
        <v>0</v>
      </c>
      <c r="S501" s="59">
        <v>0</v>
      </c>
      <c r="T501" s="41"/>
      <c r="U501" s="41"/>
      <c r="V501" s="41"/>
      <c r="W501" s="41"/>
      <c r="X501" s="41"/>
      <c r="Y501" s="41"/>
      <c r="Z501" s="41"/>
      <c r="AA501" s="41"/>
      <c r="AB501" s="41"/>
      <c r="AC501" s="41"/>
      <c r="AD501" s="41"/>
      <c r="AE501" s="59">
        <v>0</v>
      </c>
      <c r="AF501" s="59">
        <v>0</v>
      </c>
      <c r="AG501" s="59" t="s">
        <v>5</v>
      </c>
      <c r="AH501" s="59" t="s">
        <v>1166</v>
      </c>
    </row>
    <row r="502" spans="1:34" x14ac:dyDescent="0.35">
      <c r="A502" s="58">
        <v>2024</v>
      </c>
      <c r="B502" s="58">
        <v>10</v>
      </c>
      <c r="C502">
        <v>10</v>
      </c>
      <c r="D502" s="58" t="s">
        <v>589</v>
      </c>
      <c r="E502" t="s">
        <v>322</v>
      </c>
      <c r="F502" s="58" t="s">
        <v>171</v>
      </c>
      <c r="G502" t="s">
        <v>731</v>
      </c>
      <c r="H502" s="58" t="s">
        <v>4</v>
      </c>
      <c r="I502" t="s">
        <v>4</v>
      </c>
      <c r="J502" s="58" t="s">
        <v>4</v>
      </c>
      <c r="K502" t="s">
        <v>1429</v>
      </c>
      <c r="L502" t="s">
        <v>20</v>
      </c>
      <c r="M502" t="s">
        <v>1430</v>
      </c>
      <c r="N502" s="59">
        <v>242000</v>
      </c>
      <c r="O502" s="59">
        <v>7863306000</v>
      </c>
      <c r="P502" s="59">
        <v>39624271.451135233</v>
      </c>
      <c r="Q502" s="59">
        <v>0</v>
      </c>
      <c r="R502" s="59">
        <v>33880000</v>
      </c>
      <c r="S502" s="59">
        <v>7789801728.5488644</v>
      </c>
      <c r="T502" s="41"/>
      <c r="U502" s="41"/>
      <c r="V502" s="41"/>
      <c r="W502" s="41"/>
      <c r="X502" s="41"/>
      <c r="Y502" s="41"/>
      <c r="Z502" s="41"/>
      <c r="AA502" s="41"/>
      <c r="AB502" s="41"/>
      <c r="AC502" s="41"/>
      <c r="AD502" s="41"/>
      <c r="AE502" s="59">
        <v>314375.29531322885</v>
      </c>
      <c r="AF502" s="59">
        <v>317341.72858707537</v>
      </c>
      <c r="AG502" s="59" t="s">
        <v>5</v>
      </c>
      <c r="AH502" s="59" t="s">
        <v>1166</v>
      </c>
    </row>
    <row r="503" spans="1:34" x14ac:dyDescent="0.35">
      <c r="A503" s="58">
        <v>2024</v>
      </c>
      <c r="B503" s="58">
        <v>10</v>
      </c>
      <c r="C503">
        <v>10</v>
      </c>
      <c r="D503" s="58" t="s">
        <v>589</v>
      </c>
      <c r="E503" t="s">
        <v>322</v>
      </c>
      <c r="F503" s="58" t="s">
        <v>171</v>
      </c>
      <c r="G503" t="s">
        <v>731</v>
      </c>
      <c r="H503" s="58" t="s">
        <v>4</v>
      </c>
      <c r="I503" t="s">
        <v>4</v>
      </c>
      <c r="J503" s="58" t="s">
        <v>4</v>
      </c>
      <c r="K503" t="s">
        <v>1429</v>
      </c>
      <c r="L503" t="s">
        <v>20</v>
      </c>
      <c r="M503" t="s">
        <v>1432</v>
      </c>
      <c r="N503" s="59">
        <v>22000</v>
      </c>
      <c r="O503" s="59">
        <v>0</v>
      </c>
      <c r="P503" s="59">
        <v>0</v>
      </c>
      <c r="Q503" s="59">
        <v>0</v>
      </c>
      <c r="R503" s="59">
        <v>3080000</v>
      </c>
      <c r="S503" s="59">
        <v>-3080000</v>
      </c>
      <c r="T503" s="41"/>
      <c r="U503" s="41"/>
      <c r="V503" s="41"/>
      <c r="W503" s="41"/>
      <c r="X503" s="41"/>
      <c r="Y503" s="41"/>
      <c r="Z503" s="41"/>
      <c r="AA503" s="41"/>
      <c r="AB503" s="41"/>
      <c r="AC503" s="41"/>
      <c r="AD503" s="41"/>
      <c r="AE503" s="59">
        <v>-124.30045632818972</v>
      </c>
      <c r="AF503" s="59">
        <v>0</v>
      </c>
      <c r="AG503" s="59" t="s">
        <v>5</v>
      </c>
      <c r="AH503" s="59" t="s">
        <v>1166</v>
      </c>
    </row>
    <row r="504" spans="1:34" x14ac:dyDescent="0.35">
      <c r="A504" s="58">
        <v>2024</v>
      </c>
      <c r="B504" s="58">
        <v>10</v>
      </c>
      <c r="C504">
        <v>10</v>
      </c>
      <c r="D504" s="58" t="s">
        <v>621</v>
      </c>
      <c r="E504" t="s">
        <v>257</v>
      </c>
      <c r="F504" s="58" t="s">
        <v>167</v>
      </c>
      <c r="G504" t="s">
        <v>693</v>
      </c>
      <c r="H504" s="58" t="s">
        <v>4</v>
      </c>
      <c r="I504" t="s">
        <v>4</v>
      </c>
      <c r="J504" s="58" t="s">
        <v>4</v>
      </c>
      <c r="K504" t="s">
        <v>1429</v>
      </c>
      <c r="L504" t="s">
        <v>20</v>
      </c>
      <c r="M504" t="s">
        <v>1431</v>
      </c>
      <c r="N504" s="59">
        <v>-63807</v>
      </c>
      <c r="O504" s="59">
        <v>0</v>
      </c>
      <c r="P504" s="59">
        <v>0</v>
      </c>
      <c r="Q504" s="59">
        <v>0</v>
      </c>
      <c r="R504" s="59">
        <v>30000000</v>
      </c>
      <c r="S504" s="59">
        <v>-30000000</v>
      </c>
      <c r="T504" s="41"/>
      <c r="U504" s="41"/>
      <c r="V504" s="41"/>
      <c r="W504" s="41"/>
      <c r="X504" s="41"/>
      <c r="Y504" s="41"/>
      <c r="Z504" s="41"/>
      <c r="AA504" s="41"/>
      <c r="AB504" s="41"/>
      <c r="AC504" s="41"/>
      <c r="AD504" s="41"/>
      <c r="AE504" s="59">
        <v>-1210.7187304693805</v>
      </c>
      <c r="AF504" s="59">
        <v>0</v>
      </c>
      <c r="AG504" s="59" t="s">
        <v>16</v>
      </c>
      <c r="AH504" s="59" t="s">
        <v>1156</v>
      </c>
    </row>
    <row r="505" spans="1:34" x14ac:dyDescent="0.35">
      <c r="A505" s="58">
        <v>2024</v>
      </c>
      <c r="B505" s="58">
        <v>10</v>
      </c>
      <c r="C505">
        <v>10</v>
      </c>
      <c r="D505" s="58" t="s">
        <v>621</v>
      </c>
      <c r="E505" t="s">
        <v>257</v>
      </c>
      <c r="F505" s="58" t="s">
        <v>167</v>
      </c>
      <c r="G505" t="s">
        <v>693</v>
      </c>
      <c r="H505" s="58" t="s">
        <v>4</v>
      </c>
      <c r="I505" t="s">
        <v>4</v>
      </c>
      <c r="J505" s="58" t="s">
        <v>4</v>
      </c>
      <c r="K505" t="s">
        <v>1429</v>
      </c>
      <c r="L505" t="s">
        <v>20</v>
      </c>
      <c r="M505" t="s">
        <v>1430</v>
      </c>
      <c r="N505" s="59">
        <v>187000</v>
      </c>
      <c r="O505" s="59">
        <v>6262269090</v>
      </c>
      <c r="P505" s="59">
        <v>28817651.964461993</v>
      </c>
      <c r="Q505" s="59">
        <v>0</v>
      </c>
      <c r="R505" s="59">
        <v>0</v>
      </c>
      <c r="S505" s="59">
        <v>6233451438.0355377</v>
      </c>
      <c r="T505" s="41"/>
      <c r="U505" s="41"/>
      <c r="V505" s="41"/>
      <c r="W505" s="41"/>
      <c r="X505" s="41"/>
      <c r="Y505" s="41"/>
      <c r="Z505" s="41"/>
      <c r="AA505" s="41"/>
      <c r="AB505" s="41"/>
      <c r="AC505" s="41"/>
      <c r="AD505" s="41"/>
      <c r="AE505" s="59">
        <v>251565.21371669736</v>
      </c>
      <c r="AF505" s="59">
        <v>252728.21608341477</v>
      </c>
      <c r="AG505" s="59" t="s">
        <v>16</v>
      </c>
      <c r="AH505" s="59" t="s">
        <v>1156</v>
      </c>
    </row>
    <row r="506" spans="1:34" x14ac:dyDescent="0.35">
      <c r="A506" s="58">
        <v>2024</v>
      </c>
      <c r="B506" s="58">
        <v>10</v>
      </c>
      <c r="C506">
        <v>10</v>
      </c>
      <c r="D506" s="58" t="s">
        <v>621</v>
      </c>
      <c r="E506" t="s">
        <v>257</v>
      </c>
      <c r="F506" s="58" t="s">
        <v>167</v>
      </c>
      <c r="G506" t="s">
        <v>693</v>
      </c>
      <c r="H506" s="58" t="s">
        <v>4</v>
      </c>
      <c r="I506" t="s">
        <v>4</v>
      </c>
      <c r="J506" s="58" t="s">
        <v>4</v>
      </c>
      <c r="K506" t="s">
        <v>1429</v>
      </c>
      <c r="L506" t="s">
        <v>20</v>
      </c>
      <c r="M506" t="s">
        <v>1432</v>
      </c>
      <c r="N506" s="59">
        <v>63807</v>
      </c>
      <c r="O506" s="59">
        <v>0</v>
      </c>
      <c r="P506" s="59">
        <v>0</v>
      </c>
      <c r="Q506" s="59">
        <v>0</v>
      </c>
      <c r="R506" s="59">
        <v>0</v>
      </c>
      <c r="S506" s="59">
        <v>0</v>
      </c>
      <c r="T506" s="41"/>
      <c r="U506" s="41"/>
      <c r="V506" s="41"/>
      <c r="W506" s="41"/>
      <c r="X506" s="41"/>
      <c r="Y506" s="41"/>
      <c r="Z506" s="41"/>
      <c r="AA506" s="41"/>
      <c r="AB506" s="41"/>
      <c r="AC506" s="41"/>
      <c r="AD506" s="41"/>
      <c r="AE506" s="59">
        <v>0</v>
      </c>
      <c r="AF506" s="59">
        <v>0</v>
      </c>
      <c r="AG506" s="59" t="s">
        <v>16</v>
      </c>
      <c r="AH506" s="59" t="s">
        <v>1156</v>
      </c>
    </row>
    <row r="507" spans="1:34" x14ac:dyDescent="0.35">
      <c r="A507" s="58">
        <v>2024</v>
      </c>
      <c r="B507" s="58">
        <v>10</v>
      </c>
      <c r="C507">
        <v>10</v>
      </c>
      <c r="D507" s="58" t="s">
        <v>621</v>
      </c>
      <c r="E507" t="s">
        <v>257</v>
      </c>
      <c r="F507" s="58" t="s">
        <v>1468</v>
      </c>
      <c r="G507" t="s">
        <v>1012</v>
      </c>
      <c r="H507" s="58" t="s">
        <v>1012</v>
      </c>
      <c r="I507" t="s">
        <v>1012</v>
      </c>
      <c r="J507" s="58" t="s">
        <v>1012</v>
      </c>
      <c r="K507" t="s">
        <v>1429</v>
      </c>
      <c r="L507" t="s">
        <v>20</v>
      </c>
      <c r="M507" t="s">
        <v>1430</v>
      </c>
      <c r="N507" s="59">
        <v>0</v>
      </c>
      <c r="O507" s="59">
        <v>631668424</v>
      </c>
      <c r="P507" s="59">
        <v>0</v>
      </c>
      <c r="Q507" s="59">
        <v>0</v>
      </c>
      <c r="R507" s="59">
        <v>0</v>
      </c>
      <c r="S507" s="59">
        <v>631668424</v>
      </c>
      <c r="T507" s="41"/>
      <c r="U507" s="41"/>
      <c r="V507" s="41"/>
      <c r="W507" s="41"/>
      <c r="X507" s="41"/>
      <c r="Y507" s="41"/>
      <c r="Z507" s="41"/>
      <c r="AA507" s="41"/>
      <c r="AB507" s="41"/>
      <c r="AC507" s="41"/>
      <c r="AD507" s="41"/>
      <c r="AE507" s="59">
        <v>25492.426412762477</v>
      </c>
      <c r="AF507" s="59">
        <v>25492.426412762477</v>
      </c>
      <c r="AG507" s="59" t="s">
        <v>16</v>
      </c>
      <c r="AH507" s="59" t="s">
        <v>1284</v>
      </c>
    </row>
    <row r="508" spans="1:34" x14ac:dyDescent="0.35">
      <c r="A508" s="58">
        <v>2024</v>
      </c>
      <c r="B508" s="58">
        <v>10</v>
      </c>
      <c r="C508">
        <v>10</v>
      </c>
      <c r="D508" s="58" t="s">
        <v>590</v>
      </c>
      <c r="E508" t="s">
        <v>500</v>
      </c>
      <c r="F508" s="58" t="s">
        <v>168</v>
      </c>
      <c r="G508" t="s">
        <v>700</v>
      </c>
      <c r="H508" s="58" t="s">
        <v>4</v>
      </c>
      <c r="I508" t="s">
        <v>4</v>
      </c>
      <c r="J508" s="58" t="s">
        <v>4</v>
      </c>
      <c r="K508" t="s">
        <v>1429</v>
      </c>
      <c r="L508" t="s">
        <v>20</v>
      </c>
      <c r="M508" t="s">
        <v>1430</v>
      </c>
      <c r="N508" s="59">
        <v>390500</v>
      </c>
      <c r="O508" s="59">
        <v>14451471788</v>
      </c>
      <c r="P508" s="59">
        <v>42325926.322803557</v>
      </c>
      <c r="Q508" s="59">
        <v>0</v>
      </c>
      <c r="R508" s="59">
        <v>208333333.18518513</v>
      </c>
      <c r="S508" s="59">
        <v>14102574443.492004</v>
      </c>
      <c r="T508" s="41"/>
      <c r="U508" s="41"/>
      <c r="V508" s="41"/>
      <c r="W508" s="41"/>
      <c r="X508" s="41"/>
      <c r="Y508" s="41"/>
      <c r="Z508" s="41"/>
      <c r="AA508" s="41"/>
      <c r="AB508" s="41"/>
      <c r="AC508" s="41"/>
      <c r="AD508" s="41"/>
      <c r="AE508" s="59">
        <v>569141.70088581904</v>
      </c>
      <c r="AF508" s="59">
        <v>583222.2525527142</v>
      </c>
      <c r="AG508" s="59" t="s">
        <v>8</v>
      </c>
      <c r="AH508" s="59" t="s">
        <v>1160</v>
      </c>
    </row>
    <row r="509" spans="1:34" x14ac:dyDescent="0.35">
      <c r="A509" s="58">
        <v>2024</v>
      </c>
      <c r="B509" s="58">
        <v>10</v>
      </c>
      <c r="C509">
        <v>10</v>
      </c>
      <c r="D509" s="58" t="s">
        <v>590</v>
      </c>
      <c r="E509" t="s">
        <v>500</v>
      </c>
      <c r="F509" s="58" t="s">
        <v>168</v>
      </c>
      <c r="G509" t="s">
        <v>700</v>
      </c>
      <c r="H509" s="58" t="s">
        <v>4</v>
      </c>
      <c r="I509" t="s">
        <v>4</v>
      </c>
      <c r="J509" s="58" t="s">
        <v>4</v>
      </c>
      <c r="K509" t="s">
        <v>1429</v>
      </c>
      <c r="L509" t="s">
        <v>20</v>
      </c>
      <c r="M509" t="s">
        <v>1508</v>
      </c>
      <c r="N509" s="59">
        <v>-79200</v>
      </c>
      <c r="O509" s="59">
        <v>-2922205276</v>
      </c>
      <c r="P509" s="59">
        <v>0</v>
      </c>
      <c r="Q509" s="59">
        <v>0</v>
      </c>
      <c r="R509" s="59">
        <v>61200000</v>
      </c>
      <c r="S509" s="59">
        <v>-2963480932</v>
      </c>
      <c r="T509" s="41"/>
      <c r="U509" s="41"/>
      <c r="V509" s="41"/>
      <c r="W509" s="41"/>
      <c r="X509" s="41"/>
      <c r="Y509" s="41"/>
      <c r="Z509" s="41"/>
      <c r="AA509" s="41"/>
      <c r="AB509" s="41"/>
      <c r="AC509" s="41"/>
      <c r="AD509" s="41"/>
      <c r="AE509" s="59">
        <v>-119598.06239204186</v>
      </c>
      <c r="AF509" s="59">
        <v>-117932.28873098819</v>
      </c>
      <c r="AG509" s="59" t="s">
        <v>8</v>
      </c>
      <c r="AH509" s="59" t="s">
        <v>1160</v>
      </c>
    </row>
    <row r="510" spans="1:34" x14ac:dyDescent="0.35">
      <c r="A510" s="58">
        <v>2024</v>
      </c>
      <c r="B510" s="58">
        <v>10</v>
      </c>
      <c r="C510">
        <v>10</v>
      </c>
      <c r="D510" s="58" t="s">
        <v>590</v>
      </c>
      <c r="E510" t="s">
        <v>500</v>
      </c>
      <c r="F510" s="58" t="s">
        <v>172</v>
      </c>
      <c r="G510" t="s">
        <v>734</v>
      </c>
      <c r="H510" s="58" t="s">
        <v>4</v>
      </c>
      <c r="I510" t="s">
        <v>4</v>
      </c>
      <c r="J510" s="58" t="s">
        <v>4</v>
      </c>
      <c r="K510" t="s">
        <v>1429</v>
      </c>
      <c r="L510" t="s">
        <v>20</v>
      </c>
      <c r="M510" t="s">
        <v>1430</v>
      </c>
      <c r="N510" s="59">
        <v>4400</v>
      </c>
      <c r="O510" s="59">
        <v>155601600</v>
      </c>
      <c r="P510" s="59">
        <v>720441.29911154986</v>
      </c>
      <c r="Q510" s="59">
        <v>0</v>
      </c>
      <c r="R510" s="59">
        <v>7000000</v>
      </c>
      <c r="S510" s="59">
        <v>146774250.70088845</v>
      </c>
      <c r="T510" s="41"/>
      <c r="U510" s="41"/>
      <c r="V510" s="41"/>
      <c r="W510" s="41"/>
      <c r="X510" s="41"/>
      <c r="Y510" s="41"/>
      <c r="Z510" s="41"/>
      <c r="AA510" s="41"/>
      <c r="AB510" s="41"/>
      <c r="AC510" s="41"/>
      <c r="AD510" s="41"/>
      <c r="AE510" s="59">
        <v>5923.4111491391413</v>
      </c>
      <c r="AF510" s="59">
        <v>6279.6590537001448</v>
      </c>
      <c r="AG510" s="59" t="s">
        <v>8</v>
      </c>
      <c r="AH510" s="59" t="s">
        <v>1175</v>
      </c>
    </row>
    <row r="511" spans="1:34" x14ac:dyDescent="0.35">
      <c r="A511" s="58">
        <v>2024</v>
      </c>
      <c r="B511" s="58">
        <v>10</v>
      </c>
      <c r="C511">
        <v>10</v>
      </c>
      <c r="D511" s="58" t="s">
        <v>590</v>
      </c>
      <c r="E511" t="s">
        <v>500</v>
      </c>
      <c r="F511" s="58" t="s">
        <v>1535</v>
      </c>
      <c r="G511" t="s">
        <v>1536</v>
      </c>
      <c r="H511" s="58" t="s">
        <v>1012</v>
      </c>
      <c r="I511" t="s">
        <v>1012</v>
      </c>
      <c r="J511" s="58" t="s">
        <v>1012</v>
      </c>
      <c r="K511" t="s">
        <v>1429</v>
      </c>
      <c r="L511" t="s">
        <v>20</v>
      </c>
      <c r="M511" t="s">
        <v>1430</v>
      </c>
      <c r="N511" s="59">
        <v>0</v>
      </c>
      <c r="O511" s="59">
        <v>0</v>
      </c>
      <c r="P511" s="59">
        <v>0</v>
      </c>
      <c r="Q511" s="59">
        <v>0</v>
      </c>
      <c r="R511" s="59">
        <v>0</v>
      </c>
      <c r="S511" s="59">
        <v>79420649</v>
      </c>
      <c r="T511" s="41"/>
      <c r="U511" s="41"/>
      <c r="V511" s="41"/>
      <c r="W511" s="41"/>
      <c r="X511" s="41"/>
      <c r="Y511" s="41"/>
      <c r="Z511" s="41"/>
      <c r="AA511" s="41"/>
      <c r="AB511" s="41"/>
      <c r="AC511" s="41"/>
      <c r="AD511" s="41"/>
      <c r="AE511" s="59">
        <v>3205.2022443444757</v>
      </c>
      <c r="AF511" s="59">
        <v>0</v>
      </c>
      <c r="AG511" s="59" t="s">
        <v>8</v>
      </c>
      <c r="AH511" s="59" t="s">
        <v>1270</v>
      </c>
    </row>
    <row r="512" spans="1:34" x14ac:dyDescent="0.35">
      <c r="A512" s="58">
        <v>2024</v>
      </c>
      <c r="B512" s="58">
        <v>10</v>
      </c>
      <c r="C512">
        <v>10</v>
      </c>
      <c r="D512" s="58" t="s">
        <v>601</v>
      </c>
      <c r="E512" t="s">
        <v>501</v>
      </c>
      <c r="F512" s="58" t="s">
        <v>168</v>
      </c>
      <c r="G512" t="s">
        <v>700</v>
      </c>
      <c r="H512" s="58" t="s">
        <v>4</v>
      </c>
      <c r="I512" t="s">
        <v>4</v>
      </c>
      <c r="J512" s="58" t="s">
        <v>4</v>
      </c>
      <c r="K512" t="s">
        <v>1429</v>
      </c>
      <c r="L512" t="s">
        <v>20</v>
      </c>
      <c r="M512" t="s">
        <v>1431</v>
      </c>
      <c r="N512" s="59">
        <v>-44583</v>
      </c>
      <c r="O512" s="59">
        <v>0</v>
      </c>
      <c r="P512" s="59">
        <v>0</v>
      </c>
      <c r="Q512" s="59">
        <v>0</v>
      </c>
      <c r="R512" s="59">
        <v>2735600</v>
      </c>
      <c r="S512" s="59">
        <v>-2735600</v>
      </c>
      <c r="T512" s="41"/>
      <c r="U512" s="41"/>
      <c r="V512" s="41"/>
      <c r="W512" s="41"/>
      <c r="X512" s="41"/>
      <c r="Y512" s="41"/>
      <c r="Z512" s="41"/>
      <c r="AA512" s="41"/>
      <c r="AB512" s="41"/>
      <c r="AC512" s="41"/>
      <c r="AD512" s="41"/>
      <c r="AE512" s="59">
        <v>-110.40140530240123</v>
      </c>
      <c r="AF512" s="59">
        <v>0</v>
      </c>
      <c r="AG512" s="59" t="s">
        <v>109</v>
      </c>
      <c r="AH512" s="59" t="s">
        <v>1160</v>
      </c>
    </row>
    <row r="513" spans="1:34" x14ac:dyDescent="0.35">
      <c r="A513" s="58">
        <v>2024</v>
      </c>
      <c r="B513" s="58">
        <v>10</v>
      </c>
      <c r="C513">
        <v>10</v>
      </c>
      <c r="D513" s="58" t="s">
        <v>601</v>
      </c>
      <c r="E513" t="s">
        <v>501</v>
      </c>
      <c r="F513" s="58" t="s">
        <v>168</v>
      </c>
      <c r="G513" t="s">
        <v>700</v>
      </c>
      <c r="H513" s="58" t="s">
        <v>4</v>
      </c>
      <c r="I513" t="s">
        <v>4</v>
      </c>
      <c r="J513" s="58" t="s">
        <v>4</v>
      </c>
      <c r="K513" t="s">
        <v>1429</v>
      </c>
      <c r="L513" t="s">
        <v>20</v>
      </c>
      <c r="M513" t="s">
        <v>1430</v>
      </c>
      <c r="N513" s="59">
        <v>44000</v>
      </c>
      <c r="O513" s="59">
        <v>1610400000</v>
      </c>
      <c r="P513" s="59">
        <v>7204412.9911154974</v>
      </c>
      <c r="Q513" s="59">
        <v>0</v>
      </c>
      <c r="R513" s="59">
        <v>6160000</v>
      </c>
      <c r="S513" s="59">
        <v>1585966507.0088844</v>
      </c>
      <c r="T513" s="41"/>
      <c r="U513" s="41"/>
      <c r="V513" s="41"/>
      <c r="W513" s="41"/>
      <c r="X513" s="41"/>
      <c r="Y513" s="41"/>
      <c r="Z513" s="41"/>
      <c r="AA513" s="41"/>
      <c r="AB513" s="41"/>
      <c r="AC513" s="41"/>
      <c r="AD513" s="41"/>
      <c r="AE513" s="59">
        <v>64005.311864425144</v>
      </c>
      <c r="AF513" s="59">
        <v>64991.381451596339</v>
      </c>
      <c r="AG513" s="59" t="s">
        <v>109</v>
      </c>
      <c r="AH513" s="59" t="s">
        <v>1160</v>
      </c>
    </row>
    <row r="514" spans="1:34" x14ac:dyDescent="0.35">
      <c r="A514" s="58">
        <v>2024</v>
      </c>
      <c r="B514" s="58">
        <v>10</v>
      </c>
      <c r="C514">
        <v>10</v>
      </c>
      <c r="D514" s="58" t="s">
        <v>601</v>
      </c>
      <c r="E514" t="s">
        <v>501</v>
      </c>
      <c r="F514" s="58" t="s">
        <v>168</v>
      </c>
      <c r="G514" t="s">
        <v>700</v>
      </c>
      <c r="H514" s="58" t="s">
        <v>4</v>
      </c>
      <c r="I514" t="s">
        <v>4</v>
      </c>
      <c r="J514" s="58" t="s">
        <v>4</v>
      </c>
      <c r="K514" t="s">
        <v>1429</v>
      </c>
      <c r="L514" t="s">
        <v>20</v>
      </c>
      <c r="M514" t="s">
        <v>1432</v>
      </c>
      <c r="N514" s="59">
        <v>44583</v>
      </c>
      <c r="O514" s="59">
        <v>0</v>
      </c>
      <c r="P514" s="59">
        <v>0</v>
      </c>
      <c r="Q514" s="59">
        <v>0</v>
      </c>
      <c r="R514" s="59">
        <v>5404000</v>
      </c>
      <c r="S514" s="59">
        <v>-5404000</v>
      </c>
      <c r="T514" s="41"/>
      <c r="U514" s="41"/>
      <c r="V514" s="41"/>
      <c r="W514" s="41"/>
      <c r="X514" s="41"/>
      <c r="Y514" s="41"/>
      <c r="Z514" s="41"/>
      <c r="AA514" s="41"/>
      <c r="AB514" s="41"/>
      <c r="AC514" s="41"/>
      <c r="AD514" s="41"/>
      <c r="AE514" s="59">
        <v>-218.09080064855107</v>
      </c>
      <c r="AF514" s="59">
        <v>0</v>
      </c>
      <c r="AG514" s="59" t="s">
        <v>109</v>
      </c>
      <c r="AH514" s="59" t="s">
        <v>1160</v>
      </c>
    </row>
    <row r="515" spans="1:34" x14ac:dyDescent="0.35">
      <c r="A515" s="58">
        <v>2024</v>
      </c>
      <c r="B515" s="58">
        <v>10</v>
      </c>
      <c r="C515">
        <v>10</v>
      </c>
      <c r="D515" s="58" t="s">
        <v>601</v>
      </c>
      <c r="E515" t="s">
        <v>501</v>
      </c>
      <c r="F515" s="58" t="s">
        <v>171</v>
      </c>
      <c r="G515" t="s">
        <v>731</v>
      </c>
      <c r="H515" s="58" t="s">
        <v>4</v>
      </c>
      <c r="I515" t="s">
        <v>4</v>
      </c>
      <c r="J515" s="58" t="s">
        <v>4</v>
      </c>
      <c r="K515" t="s">
        <v>1429</v>
      </c>
      <c r="L515" t="s">
        <v>20</v>
      </c>
      <c r="M515" t="s">
        <v>1430</v>
      </c>
      <c r="N515" s="59">
        <v>42900</v>
      </c>
      <c r="O515" s="59">
        <v>1349505300</v>
      </c>
      <c r="P515" s="59">
        <v>7024302.6663376112</v>
      </c>
      <c r="Q515" s="59">
        <v>0</v>
      </c>
      <c r="R515" s="59">
        <v>6006000</v>
      </c>
      <c r="S515" s="59">
        <v>1336474997.3336623</v>
      </c>
      <c r="T515" s="41"/>
      <c r="U515" s="41"/>
      <c r="V515" s="41"/>
      <c r="W515" s="41"/>
      <c r="X515" s="41"/>
      <c r="Y515" s="41"/>
      <c r="Z515" s="41"/>
      <c r="AA515" s="41"/>
      <c r="AB515" s="41"/>
      <c r="AC515" s="41"/>
      <c r="AD515" s="41"/>
      <c r="AE515" s="59">
        <v>53936.51040252934</v>
      </c>
      <c r="AF515" s="59">
        <v>54462.378119256682</v>
      </c>
      <c r="AG515" s="59" t="s">
        <v>109</v>
      </c>
      <c r="AH515" s="59" t="s">
        <v>1166</v>
      </c>
    </row>
    <row r="516" spans="1:34" x14ac:dyDescent="0.35">
      <c r="A516" s="58">
        <v>2024</v>
      </c>
      <c r="B516" s="58">
        <v>10</v>
      </c>
      <c r="C516">
        <v>10</v>
      </c>
      <c r="D516" s="58" t="s">
        <v>601</v>
      </c>
      <c r="E516" t="s">
        <v>501</v>
      </c>
      <c r="F516" s="58" t="s">
        <v>1535</v>
      </c>
      <c r="G516" t="s">
        <v>1536</v>
      </c>
      <c r="H516" s="58" t="s">
        <v>1012</v>
      </c>
      <c r="I516" t="s">
        <v>1012</v>
      </c>
      <c r="J516" s="58" t="s">
        <v>1012</v>
      </c>
      <c r="K516" t="s">
        <v>1429</v>
      </c>
      <c r="L516" t="s">
        <v>20</v>
      </c>
      <c r="M516" t="s">
        <v>1430</v>
      </c>
      <c r="N516" s="59">
        <v>0</v>
      </c>
      <c r="O516" s="59">
        <v>0</v>
      </c>
      <c r="P516" s="59">
        <v>0</v>
      </c>
      <c r="Q516" s="59">
        <v>0</v>
      </c>
      <c r="R516" s="59">
        <v>0</v>
      </c>
      <c r="S516" s="59">
        <v>11069080</v>
      </c>
      <c r="T516" s="41"/>
      <c r="U516" s="41"/>
      <c r="V516" s="41"/>
      <c r="W516" s="41"/>
      <c r="X516" s="41"/>
      <c r="Y516" s="41"/>
      <c r="Z516" s="41"/>
      <c r="AA516" s="41"/>
      <c r="AB516" s="41"/>
      <c r="AC516" s="41"/>
      <c r="AD516" s="41"/>
      <c r="AE516" s="59">
        <v>446.71808283546699</v>
      </c>
      <c r="AF516" s="59">
        <v>0</v>
      </c>
      <c r="AG516" s="59" t="s">
        <v>109</v>
      </c>
      <c r="AH516" s="59" t="s">
        <v>1270</v>
      </c>
    </row>
    <row r="517" spans="1:34" x14ac:dyDescent="0.35">
      <c r="A517" s="58">
        <v>2024</v>
      </c>
      <c r="B517" s="58">
        <v>10</v>
      </c>
      <c r="C517">
        <v>10</v>
      </c>
      <c r="D517" s="58" t="s">
        <v>1436</v>
      </c>
      <c r="E517" t="s">
        <v>1326</v>
      </c>
      <c r="F517" s="58" t="s">
        <v>1439</v>
      </c>
      <c r="G517" t="s">
        <v>1440</v>
      </c>
      <c r="H517" s="58" t="s">
        <v>1012</v>
      </c>
      <c r="I517" t="s">
        <v>1363</v>
      </c>
      <c r="J517" s="58" t="s">
        <v>1363</v>
      </c>
      <c r="K517" t="s">
        <v>1429</v>
      </c>
      <c r="L517" t="s">
        <v>20</v>
      </c>
      <c r="M517" t="s">
        <v>1430</v>
      </c>
      <c r="N517" s="59">
        <v>4500</v>
      </c>
      <c r="O517" s="59">
        <v>14400000</v>
      </c>
      <c r="P517" s="59">
        <v>0</v>
      </c>
      <c r="Q517" s="59">
        <v>0</v>
      </c>
      <c r="R517" s="59">
        <v>0</v>
      </c>
      <c r="S517" s="59">
        <v>14400000</v>
      </c>
      <c r="T517" s="41"/>
      <c r="U517" s="41"/>
      <c r="V517" s="41"/>
      <c r="W517" s="41"/>
      <c r="X517" s="41"/>
      <c r="Y517" s="41"/>
      <c r="Z517" s="41"/>
      <c r="AA517" s="41"/>
      <c r="AB517" s="41"/>
      <c r="AC517" s="41"/>
      <c r="AD517" s="41"/>
      <c r="AE517" s="59">
        <v>581.14499062530263</v>
      </c>
      <c r="AF517" s="59">
        <v>581.14499062530263</v>
      </c>
      <c r="AG517" s="59" t="s">
        <v>1326</v>
      </c>
      <c r="AH517" s="59" t="s">
        <v>1365</v>
      </c>
    </row>
    <row r="518" spans="1:34" x14ac:dyDescent="0.35">
      <c r="A518" s="58">
        <v>2024</v>
      </c>
      <c r="B518" s="58">
        <v>10</v>
      </c>
      <c r="C518">
        <v>10</v>
      </c>
      <c r="D518" s="58" t="s">
        <v>1436</v>
      </c>
      <c r="E518" t="s">
        <v>1326</v>
      </c>
      <c r="F518" s="58" t="s">
        <v>1441</v>
      </c>
      <c r="G518" t="s">
        <v>1442</v>
      </c>
      <c r="H518" s="58" t="s">
        <v>1012</v>
      </c>
      <c r="I518" t="s">
        <v>1363</v>
      </c>
      <c r="J518" s="58" t="s">
        <v>1363</v>
      </c>
      <c r="K518" t="s">
        <v>1429</v>
      </c>
      <c r="L518" t="s">
        <v>20</v>
      </c>
      <c r="M518" t="s">
        <v>1430</v>
      </c>
      <c r="N518" s="59">
        <v>3750</v>
      </c>
      <c r="O518" s="59">
        <v>12000000</v>
      </c>
      <c r="P518" s="59">
        <v>0</v>
      </c>
      <c r="Q518" s="59">
        <v>0</v>
      </c>
      <c r="R518" s="59">
        <v>0</v>
      </c>
      <c r="S518" s="59">
        <v>12000000</v>
      </c>
      <c r="T518" s="41"/>
      <c r="U518" s="41"/>
      <c r="V518" s="41"/>
      <c r="W518" s="41"/>
      <c r="X518" s="41"/>
      <c r="Y518" s="41"/>
      <c r="Z518" s="41"/>
      <c r="AA518" s="41"/>
      <c r="AB518" s="41"/>
      <c r="AC518" s="41"/>
      <c r="AD518" s="41"/>
      <c r="AE518" s="59">
        <v>484.28749218775215</v>
      </c>
      <c r="AF518" s="59">
        <v>484.28749218775215</v>
      </c>
      <c r="AG518" s="59" t="s">
        <v>1326</v>
      </c>
      <c r="AH518" s="59" t="s">
        <v>1366</v>
      </c>
    </row>
    <row r="519" spans="1:34" x14ac:dyDescent="0.35">
      <c r="A519" s="58">
        <v>2024</v>
      </c>
      <c r="B519" s="58">
        <v>10</v>
      </c>
      <c r="C519">
        <v>10</v>
      </c>
      <c r="D519" s="58" t="s">
        <v>1436</v>
      </c>
      <c r="E519" t="s">
        <v>1326</v>
      </c>
      <c r="F519" s="58" t="s">
        <v>1443</v>
      </c>
      <c r="G519" t="s">
        <v>1444</v>
      </c>
      <c r="H519" s="58" t="s">
        <v>1012</v>
      </c>
      <c r="I519" t="s">
        <v>1363</v>
      </c>
      <c r="J519" s="58" t="s">
        <v>1363</v>
      </c>
      <c r="K519" t="s">
        <v>1429</v>
      </c>
      <c r="L519" t="s">
        <v>20</v>
      </c>
      <c r="M519" t="s">
        <v>1430</v>
      </c>
      <c r="N519" s="59">
        <v>1500</v>
      </c>
      <c r="O519" s="59">
        <v>4800000</v>
      </c>
      <c r="P519" s="59">
        <v>0</v>
      </c>
      <c r="Q519" s="59">
        <v>0</v>
      </c>
      <c r="R519" s="59">
        <v>0</v>
      </c>
      <c r="S519" s="59">
        <v>4800000</v>
      </c>
      <c r="T519" s="41"/>
      <c r="U519" s="41"/>
      <c r="V519" s="41"/>
      <c r="W519" s="41"/>
      <c r="X519" s="41"/>
      <c r="Y519" s="41"/>
      <c r="Z519" s="41"/>
      <c r="AA519" s="41"/>
      <c r="AB519" s="41"/>
      <c r="AC519" s="41"/>
      <c r="AD519" s="41"/>
      <c r="AE519" s="59">
        <v>193.71499687510087</v>
      </c>
      <c r="AF519" s="59">
        <v>193.71499687510087</v>
      </c>
      <c r="AG519" s="59" t="s">
        <v>1326</v>
      </c>
      <c r="AH519" s="59" t="s">
        <v>1367</v>
      </c>
    </row>
    <row r="520" spans="1:34" x14ac:dyDescent="0.35">
      <c r="A520" s="58">
        <v>2024</v>
      </c>
      <c r="B520" s="58">
        <v>10</v>
      </c>
      <c r="C520">
        <v>10</v>
      </c>
      <c r="D520" s="58" t="s">
        <v>1436</v>
      </c>
      <c r="E520" t="s">
        <v>1326</v>
      </c>
      <c r="F520" s="58" t="s">
        <v>1445</v>
      </c>
      <c r="G520" t="s">
        <v>1446</v>
      </c>
      <c r="H520" s="58" t="s">
        <v>1012</v>
      </c>
      <c r="I520" t="s">
        <v>1363</v>
      </c>
      <c r="J520" s="58" t="s">
        <v>1363</v>
      </c>
      <c r="K520" t="s">
        <v>1429</v>
      </c>
      <c r="L520" t="s">
        <v>20</v>
      </c>
      <c r="M520" t="s">
        <v>1430</v>
      </c>
      <c r="N520" s="59">
        <v>1500</v>
      </c>
      <c r="O520" s="59">
        <v>4800000</v>
      </c>
      <c r="P520" s="59">
        <v>0</v>
      </c>
      <c r="Q520" s="59">
        <v>0</v>
      </c>
      <c r="R520" s="59">
        <v>0</v>
      </c>
      <c r="S520" s="59">
        <v>4800000</v>
      </c>
      <c r="T520" s="41"/>
      <c r="U520" s="41"/>
      <c r="V520" s="41"/>
      <c r="W520" s="41"/>
      <c r="X520" s="41"/>
      <c r="Y520" s="41"/>
      <c r="Z520" s="41"/>
      <c r="AA520" s="41"/>
      <c r="AB520" s="41"/>
      <c r="AC520" s="41"/>
      <c r="AD520" s="41"/>
      <c r="AE520" s="59">
        <v>193.71499687510087</v>
      </c>
      <c r="AF520" s="59">
        <v>193.71499687510087</v>
      </c>
      <c r="AG520" s="59" t="s">
        <v>1326</v>
      </c>
      <c r="AH520" s="59" t="s">
        <v>1368</v>
      </c>
    </row>
    <row r="521" spans="1:34" x14ac:dyDescent="0.35">
      <c r="A521" s="58">
        <v>2024</v>
      </c>
      <c r="B521" s="58">
        <v>10</v>
      </c>
      <c r="C521">
        <v>10</v>
      </c>
      <c r="D521" s="58" t="s">
        <v>1436</v>
      </c>
      <c r="E521" t="s">
        <v>1326</v>
      </c>
      <c r="F521" s="58" t="s">
        <v>1447</v>
      </c>
      <c r="G521" t="s">
        <v>1448</v>
      </c>
      <c r="H521" s="58" t="s">
        <v>1012</v>
      </c>
      <c r="I521" t="s">
        <v>1363</v>
      </c>
      <c r="J521" s="58" t="s">
        <v>1363</v>
      </c>
      <c r="K521" t="s">
        <v>1429</v>
      </c>
      <c r="L521" t="s">
        <v>20</v>
      </c>
      <c r="M521" t="s">
        <v>1430</v>
      </c>
      <c r="N521" s="59">
        <v>1500</v>
      </c>
      <c r="O521" s="59">
        <v>4800000</v>
      </c>
      <c r="P521" s="59">
        <v>0</v>
      </c>
      <c r="Q521" s="59">
        <v>0</v>
      </c>
      <c r="R521" s="59">
        <v>0</v>
      </c>
      <c r="S521" s="59">
        <v>4800000</v>
      </c>
      <c r="T521" s="41"/>
      <c r="U521" s="41"/>
      <c r="V521" s="41"/>
      <c r="W521" s="41"/>
      <c r="X521" s="41"/>
      <c r="Y521" s="41"/>
      <c r="Z521" s="41"/>
      <c r="AA521" s="41"/>
      <c r="AB521" s="41"/>
      <c r="AC521" s="41"/>
      <c r="AD521" s="41"/>
      <c r="AE521" s="59">
        <v>193.71499687510087</v>
      </c>
      <c r="AF521" s="59">
        <v>193.71499687510087</v>
      </c>
      <c r="AG521" s="59" t="s">
        <v>1326</v>
      </c>
      <c r="AH521" s="59" t="s">
        <v>1369</v>
      </c>
    </row>
    <row r="522" spans="1:34" x14ac:dyDescent="0.35">
      <c r="A522" s="58">
        <v>2024</v>
      </c>
      <c r="B522" s="58">
        <v>10</v>
      </c>
      <c r="C522">
        <v>10</v>
      </c>
      <c r="D522" s="58" t="s">
        <v>1436</v>
      </c>
      <c r="E522" t="s">
        <v>1326</v>
      </c>
      <c r="F522" s="58" t="s">
        <v>1574</v>
      </c>
      <c r="G522" t="s">
        <v>1575</v>
      </c>
      <c r="H522" s="58" t="s">
        <v>1012</v>
      </c>
      <c r="I522" t="s">
        <v>1363</v>
      </c>
      <c r="J522" s="58" t="s">
        <v>1363</v>
      </c>
      <c r="K522" t="s">
        <v>1429</v>
      </c>
      <c r="L522" t="s">
        <v>20</v>
      </c>
      <c r="M522" t="s">
        <v>1430</v>
      </c>
      <c r="N522" s="59">
        <v>13750</v>
      </c>
      <c r="O522" s="59">
        <v>44000000</v>
      </c>
      <c r="P522" s="59">
        <v>0</v>
      </c>
      <c r="Q522" s="59">
        <v>0</v>
      </c>
      <c r="R522" s="59">
        <v>0</v>
      </c>
      <c r="S522" s="59">
        <v>44000000</v>
      </c>
      <c r="T522" s="41"/>
      <c r="U522" s="41"/>
      <c r="V522" s="41"/>
      <c r="W522" s="41"/>
      <c r="X522" s="41"/>
      <c r="Y522" s="41"/>
      <c r="Z522" s="41"/>
      <c r="AA522" s="41"/>
      <c r="AB522" s="41"/>
      <c r="AC522" s="41"/>
      <c r="AD522" s="41"/>
      <c r="AE522" s="59">
        <v>1775.7208046884246</v>
      </c>
      <c r="AF522" s="59">
        <v>1775.7208046884246</v>
      </c>
      <c r="AG522" s="59" t="s">
        <v>1326</v>
      </c>
      <c r="AH522" s="59" t="s">
        <v>1370</v>
      </c>
    </row>
    <row r="523" spans="1:34" x14ac:dyDescent="0.35">
      <c r="A523" s="58">
        <v>2024</v>
      </c>
      <c r="B523" s="58">
        <v>10</v>
      </c>
      <c r="C523">
        <v>10</v>
      </c>
      <c r="D523" s="58" t="s">
        <v>1436</v>
      </c>
      <c r="E523" t="s">
        <v>1326</v>
      </c>
      <c r="F523" s="58" t="s">
        <v>1576</v>
      </c>
      <c r="G523" t="s">
        <v>1577</v>
      </c>
      <c r="H523" s="58" t="s">
        <v>1012</v>
      </c>
      <c r="I523" t="s">
        <v>1363</v>
      </c>
      <c r="J523" s="58" t="s">
        <v>1363</v>
      </c>
      <c r="K523" t="s">
        <v>1429</v>
      </c>
      <c r="L523" t="s">
        <v>20</v>
      </c>
      <c r="M523" t="s">
        <v>1430</v>
      </c>
      <c r="N523" s="59">
        <v>12750</v>
      </c>
      <c r="O523" s="59">
        <v>40800000</v>
      </c>
      <c r="P523" s="59">
        <v>0</v>
      </c>
      <c r="Q523" s="59">
        <v>0</v>
      </c>
      <c r="R523" s="59">
        <v>0</v>
      </c>
      <c r="S523" s="59">
        <v>40800000</v>
      </c>
      <c r="T523" s="41"/>
      <c r="U523" s="41"/>
      <c r="V523" s="41"/>
      <c r="W523" s="41"/>
      <c r="X523" s="41"/>
      <c r="Y523" s="41"/>
      <c r="Z523" s="41"/>
      <c r="AA523" s="41"/>
      <c r="AB523" s="41"/>
      <c r="AC523" s="41"/>
      <c r="AD523" s="41"/>
      <c r="AE523" s="59">
        <v>1646.5774734383574</v>
      </c>
      <c r="AF523" s="59">
        <v>1646.5774734383574</v>
      </c>
      <c r="AG523" s="59" t="s">
        <v>1326</v>
      </c>
      <c r="AH523" s="59" t="s">
        <v>1371</v>
      </c>
    </row>
    <row r="524" spans="1:34" x14ac:dyDescent="0.35">
      <c r="A524" s="58">
        <v>2024</v>
      </c>
      <c r="B524" s="58">
        <v>10</v>
      </c>
      <c r="C524">
        <v>10</v>
      </c>
      <c r="D524" s="58" t="s">
        <v>1436</v>
      </c>
      <c r="E524" t="s">
        <v>1326</v>
      </c>
      <c r="F524" s="58" t="s">
        <v>1457</v>
      </c>
      <c r="G524" t="s">
        <v>1458</v>
      </c>
      <c r="H524" s="58" t="s">
        <v>1012</v>
      </c>
      <c r="I524" t="s">
        <v>1363</v>
      </c>
      <c r="J524" s="58" t="s">
        <v>1363</v>
      </c>
      <c r="K524" t="s">
        <v>1429</v>
      </c>
      <c r="L524" t="s">
        <v>20</v>
      </c>
      <c r="M524" t="s">
        <v>1430</v>
      </c>
      <c r="N524" s="59">
        <v>1500</v>
      </c>
      <c r="O524" s="59">
        <v>4800000</v>
      </c>
      <c r="P524" s="59">
        <v>0</v>
      </c>
      <c r="Q524" s="59">
        <v>0</v>
      </c>
      <c r="R524" s="59">
        <v>0</v>
      </c>
      <c r="S524" s="59">
        <v>4800000</v>
      </c>
      <c r="T524" s="41"/>
      <c r="U524" s="41"/>
      <c r="V524" s="41"/>
      <c r="W524" s="41"/>
      <c r="X524" s="41"/>
      <c r="Y524" s="41"/>
      <c r="Z524" s="41"/>
      <c r="AA524" s="41"/>
      <c r="AB524" s="41"/>
      <c r="AC524" s="41"/>
      <c r="AD524" s="41"/>
      <c r="AE524" s="59">
        <v>193.71499687510087</v>
      </c>
      <c r="AF524" s="59">
        <v>193.71499687510087</v>
      </c>
      <c r="AG524" s="59" t="s">
        <v>1326</v>
      </c>
      <c r="AH524" s="59" t="s">
        <v>1381</v>
      </c>
    </row>
    <row r="525" spans="1:34" x14ac:dyDescent="0.35">
      <c r="A525" s="58">
        <v>2024</v>
      </c>
      <c r="B525" s="58">
        <v>10</v>
      </c>
      <c r="C525">
        <v>10</v>
      </c>
      <c r="D525" s="58" t="s">
        <v>1436</v>
      </c>
      <c r="E525" t="s">
        <v>1326</v>
      </c>
      <c r="F525" s="58" t="s">
        <v>1459</v>
      </c>
      <c r="G525" t="s">
        <v>1460</v>
      </c>
      <c r="H525" s="58" t="s">
        <v>1012</v>
      </c>
      <c r="I525" t="s">
        <v>1363</v>
      </c>
      <c r="J525" s="58" t="s">
        <v>1363</v>
      </c>
      <c r="K525" t="s">
        <v>1429</v>
      </c>
      <c r="L525" t="s">
        <v>20</v>
      </c>
      <c r="M525" t="s">
        <v>1430</v>
      </c>
      <c r="N525" s="59">
        <v>1800</v>
      </c>
      <c r="O525" s="59">
        <v>5760000</v>
      </c>
      <c r="P525" s="59">
        <v>0</v>
      </c>
      <c r="Q525" s="59">
        <v>0</v>
      </c>
      <c r="R525" s="59">
        <v>0</v>
      </c>
      <c r="S525" s="59">
        <v>5760000</v>
      </c>
      <c r="T525" s="41"/>
      <c r="U525" s="41"/>
      <c r="V525" s="41"/>
      <c r="W525" s="41"/>
      <c r="X525" s="41"/>
      <c r="Y525" s="41"/>
      <c r="Z525" s="41"/>
      <c r="AA525" s="41"/>
      <c r="AB525" s="41"/>
      <c r="AC525" s="41"/>
      <c r="AD525" s="41"/>
      <c r="AE525" s="59">
        <v>232.45799625012106</v>
      </c>
      <c r="AF525" s="59">
        <v>232.45799625012106</v>
      </c>
      <c r="AG525" s="59" t="s">
        <v>1326</v>
      </c>
      <c r="AH525" s="59" t="s">
        <v>1382</v>
      </c>
    </row>
    <row r="526" spans="1:34" x14ac:dyDescent="0.35">
      <c r="A526" s="58">
        <v>2024</v>
      </c>
      <c r="B526" s="58">
        <v>10</v>
      </c>
      <c r="C526">
        <v>10</v>
      </c>
      <c r="D526" s="58" t="s">
        <v>620</v>
      </c>
      <c r="E526" t="s">
        <v>324</v>
      </c>
      <c r="F526" s="58" t="s">
        <v>168</v>
      </c>
      <c r="G526" t="s">
        <v>700</v>
      </c>
      <c r="H526" s="58" t="s">
        <v>4</v>
      </c>
      <c r="I526" t="s">
        <v>4</v>
      </c>
      <c r="J526" s="58" t="s">
        <v>4</v>
      </c>
      <c r="K526" t="s">
        <v>1429</v>
      </c>
      <c r="L526" t="s">
        <v>20</v>
      </c>
      <c r="M526" t="s">
        <v>1431</v>
      </c>
      <c r="N526" s="59">
        <v>-1938.2</v>
      </c>
      <c r="O526" s="59">
        <v>0</v>
      </c>
      <c r="P526" s="59">
        <v>0</v>
      </c>
      <c r="Q526" s="59">
        <v>0</v>
      </c>
      <c r="R526" s="59">
        <v>0</v>
      </c>
      <c r="S526" s="59">
        <v>0</v>
      </c>
      <c r="T526" s="41"/>
      <c r="U526" s="41"/>
      <c r="V526" s="41"/>
      <c r="W526" s="41"/>
      <c r="X526" s="41"/>
      <c r="Y526" s="41"/>
      <c r="Z526" s="41"/>
      <c r="AA526" s="41"/>
      <c r="AB526" s="41"/>
      <c r="AC526" s="41"/>
      <c r="AD526" s="41"/>
      <c r="AE526" s="59">
        <v>0</v>
      </c>
      <c r="AF526" s="59">
        <v>0</v>
      </c>
      <c r="AG526" s="59" t="s">
        <v>8</v>
      </c>
      <c r="AH526" s="59" t="s">
        <v>1160</v>
      </c>
    </row>
    <row r="527" spans="1:34" x14ac:dyDescent="0.35">
      <c r="A527" s="58">
        <v>2024</v>
      </c>
      <c r="B527" s="58">
        <v>10</v>
      </c>
      <c r="C527">
        <v>10</v>
      </c>
      <c r="D527" s="58" t="s">
        <v>620</v>
      </c>
      <c r="E527" t="s">
        <v>324</v>
      </c>
      <c r="F527" s="58" t="s">
        <v>168</v>
      </c>
      <c r="G527" t="s">
        <v>700</v>
      </c>
      <c r="H527" s="58" t="s">
        <v>4</v>
      </c>
      <c r="I527" t="s">
        <v>4</v>
      </c>
      <c r="J527" s="58" t="s">
        <v>4</v>
      </c>
      <c r="K527" t="s">
        <v>1429</v>
      </c>
      <c r="L527" t="s">
        <v>20</v>
      </c>
      <c r="M527" t="s">
        <v>1432</v>
      </c>
      <c r="N527" s="59">
        <v>1938.2</v>
      </c>
      <c r="O527" s="59">
        <v>0</v>
      </c>
      <c r="P527" s="59">
        <v>0</v>
      </c>
      <c r="Q527" s="59">
        <v>0</v>
      </c>
      <c r="R527" s="59">
        <v>0</v>
      </c>
      <c r="S527" s="59">
        <v>0</v>
      </c>
      <c r="T527" s="41"/>
      <c r="U527" s="41"/>
      <c r="V527" s="41"/>
      <c r="W527" s="41"/>
      <c r="X527" s="41"/>
      <c r="Y527" s="41"/>
      <c r="Z527" s="41"/>
      <c r="AA527" s="41"/>
      <c r="AB527" s="41"/>
      <c r="AC527" s="41"/>
      <c r="AD527" s="41"/>
      <c r="AE527" s="59">
        <v>0</v>
      </c>
      <c r="AF527" s="59">
        <v>0</v>
      </c>
      <c r="AG527" s="59" t="s">
        <v>8</v>
      </c>
      <c r="AH527" s="59" t="s">
        <v>1160</v>
      </c>
    </row>
    <row r="528" spans="1:34" x14ac:dyDescent="0.35">
      <c r="A528" s="58">
        <v>2024</v>
      </c>
      <c r="B528" s="58">
        <v>10</v>
      </c>
      <c r="C528">
        <v>10</v>
      </c>
      <c r="D528" s="58" t="s">
        <v>682</v>
      </c>
      <c r="E528" t="s">
        <v>156</v>
      </c>
      <c r="F528" s="58" t="s">
        <v>1468</v>
      </c>
      <c r="G528" t="s">
        <v>1012</v>
      </c>
      <c r="H528" s="58" t="s">
        <v>1012</v>
      </c>
      <c r="I528" t="s">
        <v>1012</v>
      </c>
      <c r="J528" s="58" t="s">
        <v>1012</v>
      </c>
      <c r="K528" t="s">
        <v>1429</v>
      </c>
      <c r="L528" t="s">
        <v>20</v>
      </c>
      <c r="M528" t="s">
        <v>1430</v>
      </c>
      <c r="N528" s="59">
        <v>0</v>
      </c>
      <c r="O528" s="59">
        <v>98608176</v>
      </c>
      <c r="P528" s="59">
        <v>0</v>
      </c>
      <c r="Q528" s="59">
        <v>0</v>
      </c>
      <c r="R528" s="59">
        <v>0</v>
      </c>
      <c r="S528" s="59">
        <v>98608176</v>
      </c>
      <c r="T528" s="41"/>
      <c r="U528" s="41"/>
      <c r="V528" s="41"/>
      <c r="W528" s="41"/>
      <c r="X528" s="41"/>
      <c r="Y528" s="41"/>
      <c r="Z528" s="41"/>
      <c r="AA528" s="41"/>
      <c r="AB528" s="41"/>
      <c r="AC528" s="41"/>
      <c r="AD528" s="41"/>
      <c r="AE528" s="59">
        <v>3979.5588553540406</v>
      </c>
      <c r="AF528" s="59">
        <v>3979.5588553540406</v>
      </c>
      <c r="AG528" s="59" t="s">
        <v>156</v>
      </c>
      <c r="AH528" s="59" t="s">
        <v>1284</v>
      </c>
    </row>
    <row r="529" spans="1:34" x14ac:dyDescent="0.35">
      <c r="A529" s="58">
        <v>2024</v>
      </c>
      <c r="B529" s="58">
        <v>10</v>
      </c>
      <c r="C529">
        <v>10</v>
      </c>
      <c r="D529" s="58" t="s">
        <v>1578</v>
      </c>
      <c r="E529" t="s">
        <v>1157</v>
      </c>
      <c r="F529" s="58" t="s">
        <v>167</v>
      </c>
      <c r="G529" t="s">
        <v>693</v>
      </c>
      <c r="H529" s="58" t="s">
        <v>4</v>
      </c>
      <c r="I529" t="s">
        <v>4</v>
      </c>
      <c r="J529" s="58" t="s">
        <v>4</v>
      </c>
      <c r="K529" t="s">
        <v>1429</v>
      </c>
      <c r="L529" t="s">
        <v>20</v>
      </c>
      <c r="M529" t="s">
        <v>1430</v>
      </c>
      <c r="N529" s="59">
        <v>200</v>
      </c>
      <c r="O529" s="59">
        <v>6655320</v>
      </c>
      <c r="P529" s="59">
        <v>180110.32477788746</v>
      </c>
      <c r="Q529" s="59">
        <v>0</v>
      </c>
      <c r="R529" s="59">
        <v>0</v>
      </c>
      <c r="S529" s="59">
        <v>6475209.6752221128</v>
      </c>
      <c r="T529" s="41"/>
      <c r="U529" s="41"/>
      <c r="V529" s="41"/>
      <c r="W529" s="41"/>
      <c r="X529" s="41"/>
      <c r="Y529" s="41"/>
      <c r="Z529" s="41"/>
      <c r="AA529" s="41"/>
      <c r="AB529" s="41"/>
      <c r="AC529" s="41"/>
      <c r="AD529" s="41"/>
      <c r="AE529" s="59">
        <v>261.32192125026552</v>
      </c>
      <c r="AF529" s="59">
        <v>268.59068604224922</v>
      </c>
      <c r="AG529" s="59" t="s">
        <v>1157</v>
      </c>
      <c r="AH529" s="59" t="s">
        <v>1156</v>
      </c>
    </row>
    <row r="530" spans="1:34" x14ac:dyDescent="0.35">
      <c r="A530" s="58">
        <v>2024</v>
      </c>
      <c r="B530" s="58">
        <v>10</v>
      </c>
      <c r="C530">
        <v>10</v>
      </c>
      <c r="D530" s="58" t="s">
        <v>615</v>
      </c>
      <c r="E530" t="s">
        <v>320</v>
      </c>
      <c r="F530" s="58" t="s">
        <v>168</v>
      </c>
      <c r="G530" t="s">
        <v>700</v>
      </c>
      <c r="H530" s="58" t="s">
        <v>4</v>
      </c>
      <c r="I530" t="s">
        <v>4</v>
      </c>
      <c r="J530" s="58" t="s">
        <v>4</v>
      </c>
      <c r="K530" t="s">
        <v>1429</v>
      </c>
      <c r="L530" t="s">
        <v>20</v>
      </c>
      <c r="M530" t="s">
        <v>1430</v>
      </c>
      <c r="N530" s="59">
        <v>44000</v>
      </c>
      <c r="O530" s="59">
        <v>1469556000</v>
      </c>
      <c r="P530" s="59">
        <v>3602206.4955577487</v>
      </c>
      <c r="Q530" s="59">
        <v>0</v>
      </c>
      <c r="R530" s="59">
        <v>23148148</v>
      </c>
      <c r="S530" s="59">
        <v>1442805645.5044422</v>
      </c>
      <c r="T530" s="41"/>
      <c r="U530" s="41"/>
      <c r="V530" s="41"/>
      <c r="W530" s="41"/>
      <c r="X530" s="41"/>
      <c r="Y530" s="41"/>
      <c r="Z530" s="41"/>
      <c r="AA530" s="41"/>
      <c r="AB530" s="41"/>
      <c r="AC530" s="41"/>
      <c r="AD530" s="41"/>
      <c r="AE530" s="59">
        <v>58227.727314639771</v>
      </c>
      <c r="AF530" s="59">
        <v>59307.299155788693</v>
      </c>
      <c r="AG530" s="59" t="s">
        <v>99</v>
      </c>
      <c r="AH530" s="59" t="s">
        <v>1160</v>
      </c>
    </row>
    <row r="531" spans="1:34" x14ac:dyDescent="0.35">
      <c r="A531" s="58">
        <v>2024</v>
      </c>
      <c r="B531" s="58">
        <v>10</v>
      </c>
      <c r="C531">
        <v>10</v>
      </c>
      <c r="D531" s="58" t="s">
        <v>1502</v>
      </c>
      <c r="E531" t="s">
        <v>1236</v>
      </c>
      <c r="F531" s="58" t="s">
        <v>879</v>
      </c>
      <c r="G531" t="s">
        <v>880</v>
      </c>
      <c r="H531" s="58" t="s">
        <v>1234</v>
      </c>
      <c r="I531" t="s">
        <v>1234</v>
      </c>
      <c r="J531" s="58" t="s">
        <v>1234</v>
      </c>
      <c r="K531" t="s">
        <v>1429</v>
      </c>
      <c r="L531" t="s">
        <v>20</v>
      </c>
      <c r="M531" t="s">
        <v>1430</v>
      </c>
      <c r="N531" s="59">
        <v>264740</v>
      </c>
      <c r="O531" s="59">
        <v>5119580000</v>
      </c>
      <c r="P531" s="59">
        <v>0</v>
      </c>
      <c r="Q531" s="59">
        <v>379588000</v>
      </c>
      <c r="R531" s="59">
        <v>0</v>
      </c>
      <c r="S531" s="59">
        <v>4739992000</v>
      </c>
      <c r="T531" s="41"/>
      <c r="U531" s="41"/>
      <c r="V531" s="41"/>
      <c r="W531" s="41"/>
      <c r="X531" s="41"/>
      <c r="Y531" s="41"/>
      <c r="Z531" s="41"/>
      <c r="AA531" s="41"/>
      <c r="AB531" s="41"/>
      <c r="AC531" s="41"/>
      <c r="AD531" s="41"/>
      <c r="AE531" s="59">
        <v>191293.23655583398</v>
      </c>
      <c r="AF531" s="59">
        <v>206612.37993788102</v>
      </c>
      <c r="AG531" s="59" t="s">
        <v>1236</v>
      </c>
      <c r="AH531" s="59" t="s">
        <v>1235</v>
      </c>
    </row>
    <row r="532" spans="1:34" x14ac:dyDescent="0.35">
      <c r="A532" s="58">
        <v>2024</v>
      </c>
      <c r="B532" s="58">
        <v>10</v>
      </c>
      <c r="C532">
        <v>10</v>
      </c>
      <c r="D532" s="58" t="s">
        <v>1503</v>
      </c>
      <c r="E532" t="s">
        <v>1170</v>
      </c>
      <c r="F532" s="58" t="s">
        <v>171</v>
      </c>
      <c r="G532" t="s">
        <v>731</v>
      </c>
      <c r="H532" s="58" t="s">
        <v>4</v>
      </c>
      <c r="I532" t="s">
        <v>4</v>
      </c>
      <c r="J532" s="58" t="s">
        <v>4</v>
      </c>
      <c r="K532" t="s">
        <v>1429</v>
      </c>
      <c r="L532" t="s">
        <v>20</v>
      </c>
      <c r="M532" t="s">
        <v>1430</v>
      </c>
      <c r="N532" s="59">
        <v>1100</v>
      </c>
      <c r="O532" s="59">
        <v>37118070</v>
      </c>
      <c r="P532" s="59">
        <v>180110.32477788746</v>
      </c>
      <c r="Q532" s="59">
        <v>0</v>
      </c>
      <c r="R532" s="59">
        <v>0</v>
      </c>
      <c r="S532" s="59">
        <v>36937959.675222114</v>
      </c>
      <c r="T532" s="41"/>
      <c r="U532" s="41"/>
      <c r="V532" s="41"/>
      <c r="W532" s="41"/>
      <c r="X532" s="41"/>
      <c r="Y532" s="41"/>
      <c r="Z532" s="41"/>
      <c r="AA532" s="41"/>
      <c r="AB532" s="41"/>
      <c r="AC532" s="41"/>
      <c r="AD532" s="41"/>
      <c r="AE532" s="59">
        <v>1490.7159881371363</v>
      </c>
      <c r="AF532" s="59">
        <v>1497.9847529291198</v>
      </c>
      <c r="AG532" s="59" t="s">
        <v>1170</v>
      </c>
      <c r="AH532" s="59" t="s">
        <v>1166</v>
      </c>
    </row>
    <row r="533" spans="1:34" x14ac:dyDescent="0.35">
      <c r="A533" s="58">
        <v>2024</v>
      </c>
      <c r="B533" s="58">
        <v>10</v>
      </c>
      <c r="C533">
        <v>10</v>
      </c>
      <c r="D533" s="58" t="s">
        <v>1541</v>
      </c>
      <c r="E533" t="s">
        <v>5</v>
      </c>
      <c r="F533" s="58" t="s">
        <v>1579</v>
      </c>
      <c r="G533" t="s">
        <v>1580</v>
      </c>
      <c r="H533" s="58" t="s">
        <v>1012</v>
      </c>
      <c r="I533" t="s">
        <v>1012</v>
      </c>
      <c r="J533" s="58" t="s">
        <v>1012</v>
      </c>
      <c r="K533" t="s">
        <v>1429</v>
      </c>
      <c r="L533" t="s">
        <v>20</v>
      </c>
      <c r="M533" t="s">
        <v>1430</v>
      </c>
      <c r="N533" s="59">
        <v>0</v>
      </c>
      <c r="O533" s="59">
        <v>405000000</v>
      </c>
      <c r="P533" s="59">
        <v>0</v>
      </c>
      <c r="Q533" s="59">
        <v>0</v>
      </c>
      <c r="R533" s="59">
        <v>0</v>
      </c>
      <c r="S533" s="59">
        <v>405000000</v>
      </c>
      <c r="T533" s="41"/>
      <c r="U533" s="41"/>
      <c r="V533" s="41"/>
      <c r="W533" s="41"/>
      <c r="X533" s="41"/>
      <c r="Y533" s="41"/>
      <c r="Z533" s="41"/>
      <c r="AA533" s="41"/>
      <c r="AB533" s="41"/>
      <c r="AC533" s="41"/>
      <c r="AD533" s="41"/>
      <c r="AE533" s="59">
        <v>16344.702861336636</v>
      </c>
      <c r="AF533" s="59">
        <v>16344.702861336636</v>
      </c>
      <c r="AG533" s="59" t="s">
        <v>5</v>
      </c>
      <c r="AH533" s="59" t="s">
        <v>1324</v>
      </c>
    </row>
    <row r="534" spans="1:34" x14ac:dyDescent="0.35">
      <c r="A534" s="58">
        <v>2024</v>
      </c>
      <c r="B534" s="58">
        <v>10</v>
      </c>
      <c r="C534">
        <v>10</v>
      </c>
      <c r="D534" s="58" t="s">
        <v>1469</v>
      </c>
      <c r="E534" t="s">
        <v>1211</v>
      </c>
      <c r="F534" s="58" t="s">
        <v>1472</v>
      </c>
      <c r="G534" t="s">
        <v>1473</v>
      </c>
      <c r="H534" s="58" t="s">
        <v>1012</v>
      </c>
      <c r="I534" t="s">
        <v>86</v>
      </c>
      <c r="J534" s="58" t="s">
        <v>86</v>
      </c>
      <c r="K534" t="s">
        <v>1429</v>
      </c>
      <c r="L534" t="s">
        <v>20</v>
      </c>
      <c r="M534" t="s">
        <v>1430</v>
      </c>
      <c r="N534" s="59">
        <v>2748</v>
      </c>
      <c r="O534" s="59">
        <v>58257600</v>
      </c>
      <c r="P534" s="59">
        <v>0</v>
      </c>
      <c r="Q534" s="59">
        <v>0</v>
      </c>
      <c r="R534" s="59">
        <v>0</v>
      </c>
      <c r="S534" s="59">
        <v>58257600</v>
      </c>
      <c r="T534" s="41"/>
      <c r="U534" s="41"/>
      <c r="V534" s="41"/>
      <c r="W534" s="41"/>
      <c r="X534" s="41"/>
      <c r="Y534" s="41"/>
      <c r="Z534" s="41"/>
      <c r="AA534" s="41"/>
      <c r="AB534" s="41"/>
      <c r="AC534" s="41"/>
      <c r="AD534" s="41"/>
      <c r="AE534" s="59">
        <v>2351.1189170730991</v>
      </c>
      <c r="AF534" s="59">
        <v>2351.1189170730991</v>
      </c>
      <c r="AG534" s="59" t="s">
        <v>1211</v>
      </c>
      <c r="AH534" s="59" t="s">
        <v>1215</v>
      </c>
    </row>
    <row r="535" spans="1:34" x14ac:dyDescent="0.35">
      <c r="A535" s="58">
        <v>2024</v>
      </c>
      <c r="B535" s="58">
        <v>10</v>
      </c>
      <c r="C535">
        <v>10</v>
      </c>
      <c r="D535" s="58" t="s">
        <v>635</v>
      </c>
      <c r="E535" t="s">
        <v>62</v>
      </c>
      <c r="F535" s="58" t="s">
        <v>200</v>
      </c>
      <c r="G535" t="s">
        <v>470</v>
      </c>
      <c r="H535" s="58" t="s">
        <v>1428</v>
      </c>
      <c r="I535" t="s">
        <v>76</v>
      </c>
      <c r="J535" s="58" t="s">
        <v>76</v>
      </c>
      <c r="K535" t="s">
        <v>1429</v>
      </c>
      <c r="L535" t="s">
        <v>20</v>
      </c>
      <c r="M535" t="s">
        <v>1430</v>
      </c>
      <c r="N535" s="59">
        <v>24750</v>
      </c>
      <c r="O535" s="59">
        <v>511377525</v>
      </c>
      <c r="P535" s="59">
        <v>5943640.7176702861</v>
      </c>
      <c r="Q535" s="59">
        <v>0</v>
      </c>
      <c r="R535" s="59">
        <v>0</v>
      </c>
      <c r="S535" s="59">
        <v>505433884.28232968</v>
      </c>
      <c r="T535" s="41"/>
      <c r="U535" s="41"/>
      <c r="V535" s="41"/>
      <c r="W535" s="41"/>
      <c r="X535" s="41"/>
      <c r="Y535" s="41"/>
      <c r="Z535" s="41"/>
      <c r="AA535" s="41"/>
      <c r="AB535" s="41"/>
      <c r="AC535" s="41"/>
      <c r="AD535" s="41"/>
      <c r="AE535" s="59">
        <v>20397.942357150332</v>
      </c>
      <c r="AF535" s="59">
        <v>20637.811595285795</v>
      </c>
      <c r="AG535" s="59" t="s">
        <v>62</v>
      </c>
      <c r="AH535" s="59" t="s">
        <v>79</v>
      </c>
    </row>
    <row r="536" spans="1:34" x14ac:dyDescent="0.35">
      <c r="A536" s="58">
        <v>2024</v>
      </c>
      <c r="B536" s="58">
        <v>10</v>
      </c>
      <c r="C536">
        <v>10</v>
      </c>
      <c r="D536" s="58" t="s">
        <v>635</v>
      </c>
      <c r="E536" t="s">
        <v>62</v>
      </c>
      <c r="F536" s="58" t="s">
        <v>202</v>
      </c>
      <c r="G536" t="s">
        <v>473</v>
      </c>
      <c r="H536" s="58" t="s">
        <v>1428</v>
      </c>
      <c r="I536" t="s">
        <v>76</v>
      </c>
      <c r="J536" s="58" t="s">
        <v>76</v>
      </c>
      <c r="K536" t="s">
        <v>1429</v>
      </c>
      <c r="L536" t="s">
        <v>20</v>
      </c>
      <c r="M536" t="s">
        <v>1430</v>
      </c>
      <c r="N536" s="59">
        <v>8250</v>
      </c>
      <c r="O536" s="59">
        <v>169338675.00000003</v>
      </c>
      <c r="P536" s="59">
        <v>1981213.572556762</v>
      </c>
      <c r="Q536" s="59">
        <v>0</v>
      </c>
      <c r="R536" s="59">
        <v>0</v>
      </c>
      <c r="S536" s="59">
        <v>167357461.42744327</v>
      </c>
      <c r="T536" s="41"/>
      <c r="U536" s="41"/>
      <c r="V536" s="41"/>
      <c r="W536" s="41"/>
      <c r="X536" s="41"/>
      <c r="Y536" s="41"/>
      <c r="Z536" s="41"/>
      <c r="AA536" s="41"/>
      <c r="AB536" s="41"/>
      <c r="AC536" s="41"/>
      <c r="AD536" s="41"/>
      <c r="AE536" s="59">
        <v>6754.09377446708</v>
      </c>
      <c r="AF536" s="59">
        <v>6834.050187178902</v>
      </c>
      <c r="AG536" s="59" t="s">
        <v>62</v>
      </c>
      <c r="AH536" s="59" t="s">
        <v>80</v>
      </c>
    </row>
    <row r="537" spans="1:34" x14ac:dyDescent="0.35">
      <c r="A537" s="58">
        <v>2024</v>
      </c>
      <c r="B537" s="58">
        <v>10</v>
      </c>
      <c r="C537">
        <v>10</v>
      </c>
      <c r="D537" s="58" t="s">
        <v>635</v>
      </c>
      <c r="E537" t="s">
        <v>62</v>
      </c>
      <c r="F537" s="58" t="s">
        <v>204</v>
      </c>
      <c r="G537" t="s">
        <v>474</v>
      </c>
      <c r="H537" s="58" t="s">
        <v>1428</v>
      </c>
      <c r="I537" t="s">
        <v>76</v>
      </c>
      <c r="J537" s="58" t="s">
        <v>76</v>
      </c>
      <c r="K537" t="s">
        <v>1429</v>
      </c>
      <c r="L537" t="s">
        <v>20</v>
      </c>
      <c r="M537" t="s">
        <v>1430</v>
      </c>
      <c r="N537" s="59">
        <v>5250</v>
      </c>
      <c r="O537" s="59">
        <v>107760975.00000001</v>
      </c>
      <c r="P537" s="59">
        <v>1260772.2734452123</v>
      </c>
      <c r="Q537" s="59">
        <v>0</v>
      </c>
      <c r="R537" s="59">
        <v>0</v>
      </c>
      <c r="S537" s="59">
        <v>106500202.7265548</v>
      </c>
      <c r="T537" s="41"/>
      <c r="U537" s="41"/>
      <c r="V537" s="41"/>
      <c r="W537" s="41"/>
      <c r="X537" s="41"/>
      <c r="Y537" s="41"/>
      <c r="Z537" s="41"/>
      <c r="AA537" s="41"/>
      <c r="AB537" s="41"/>
      <c r="AC537" s="41"/>
      <c r="AD537" s="41"/>
      <c r="AE537" s="59">
        <v>4298.059674660869</v>
      </c>
      <c r="AF537" s="59">
        <v>4348.9410282047556</v>
      </c>
      <c r="AG537" s="59" t="s">
        <v>62</v>
      </c>
      <c r="AH537" s="59" t="s">
        <v>81</v>
      </c>
    </row>
    <row r="538" spans="1:34" x14ac:dyDescent="0.35">
      <c r="A538" s="58">
        <v>2024</v>
      </c>
      <c r="B538" s="58">
        <v>10</v>
      </c>
      <c r="C538">
        <v>10</v>
      </c>
      <c r="D538" s="58" t="s">
        <v>1505</v>
      </c>
      <c r="E538" t="s">
        <v>1216</v>
      </c>
      <c r="F538" s="58" t="s">
        <v>1472</v>
      </c>
      <c r="G538" t="s">
        <v>1473</v>
      </c>
      <c r="H538" s="58" t="s">
        <v>1012</v>
      </c>
      <c r="I538" t="s">
        <v>86</v>
      </c>
      <c r="J538" s="58" t="s">
        <v>86</v>
      </c>
      <c r="K538" t="s">
        <v>1429</v>
      </c>
      <c r="L538" t="s">
        <v>20</v>
      </c>
      <c r="M538" t="s">
        <v>1430</v>
      </c>
      <c r="N538" s="59">
        <v>5496</v>
      </c>
      <c r="O538" s="59">
        <v>116515200</v>
      </c>
      <c r="P538" s="59">
        <v>0</v>
      </c>
      <c r="Q538" s="59">
        <v>0</v>
      </c>
      <c r="R538" s="59">
        <v>0</v>
      </c>
      <c r="S538" s="59">
        <v>116515200</v>
      </c>
      <c r="T538" s="41"/>
      <c r="U538" s="41"/>
      <c r="V538" s="41"/>
      <c r="W538" s="41"/>
      <c r="X538" s="41"/>
      <c r="Y538" s="41"/>
      <c r="Z538" s="41"/>
      <c r="AA538" s="41"/>
      <c r="AB538" s="41"/>
      <c r="AC538" s="41"/>
      <c r="AD538" s="41"/>
      <c r="AE538" s="59">
        <v>4702.2378341461981</v>
      </c>
      <c r="AF538" s="59">
        <v>4702.2378341461981</v>
      </c>
      <c r="AG538" s="59" t="s">
        <v>1216</v>
      </c>
      <c r="AH538" s="59" t="s">
        <v>1215</v>
      </c>
    </row>
    <row r="539" spans="1:34" x14ac:dyDescent="0.35">
      <c r="A539" s="58">
        <v>2024</v>
      </c>
      <c r="B539" s="58">
        <v>10</v>
      </c>
      <c r="C539">
        <v>10</v>
      </c>
      <c r="D539" s="58" t="s">
        <v>595</v>
      </c>
      <c r="E539" t="s">
        <v>478</v>
      </c>
      <c r="F539" s="58" t="s">
        <v>184</v>
      </c>
      <c r="G539" t="s">
        <v>717</v>
      </c>
      <c r="H539" s="58" t="s">
        <v>1428</v>
      </c>
      <c r="I539" t="s">
        <v>75</v>
      </c>
      <c r="J539" s="58" t="s">
        <v>75</v>
      </c>
      <c r="K539" t="s">
        <v>1429</v>
      </c>
      <c r="L539" t="s">
        <v>20</v>
      </c>
      <c r="M539" t="s">
        <v>1431</v>
      </c>
      <c r="N539" s="59">
        <v>-325</v>
      </c>
      <c r="O539" s="59">
        <v>0</v>
      </c>
      <c r="P539" s="59">
        <v>0</v>
      </c>
      <c r="Q539" s="59">
        <v>0</v>
      </c>
      <c r="R539" s="59">
        <v>0</v>
      </c>
      <c r="S539" s="59">
        <v>0</v>
      </c>
      <c r="T539" s="41"/>
      <c r="U539" s="41"/>
      <c r="V539" s="41"/>
      <c r="W539" s="41"/>
      <c r="X539" s="41"/>
      <c r="Y539" s="41"/>
      <c r="Z539" s="41"/>
      <c r="AA539" s="41"/>
      <c r="AB539" s="41"/>
      <c r="AC539" s="41"/>
      <c r="AD539" s="41"/>
      <c r="AE539" s="59">
        <v>0</v>
      </c>
      <c r="AF539" s="59">
        <v>0</v>
      </c>
      <c r="AG539" s="59" t="s">
        <v>5</v>
      </c>
      <c r="AH539" s="59" t="s">
        <v>1198</v>
      </c>
    </row>
    <row r="540" spans="1:34" x14ac:dyDescent="0.35">
      <c r="A540" s="58">
        <v>2024</v>
      </c>
      <c r="B540" s="58">
        <v>10</v>
      </c>
      <c r="C540">
        <v>10</v>
      </c>
      <c r="D540" s="58" t="s">
        <v>595</v>
      </c>
      <c r="E540" t="s">
        <v>478</v>
      </c>
      <c r="F540" s="58" t="s">
        <v>184</v>
      </c>
      <c r="G540" t="s">
        <v>717</v>
      </c>
      <c r="H540" s="58" t="s">
        <v>1428</v>
      </c>
      <c r="I540" t="s">
        <v>75</v>
      </c>
      <c r="J540" s="58" t="s">
        <v>75</v>
      </c>
      <c r="K540" t="s">
        <v>1429</v>
      </c>
      <c r="L540" t="s">
        <v>20</v>
      </c>
      <c r="M540" t="s">
        <v>1430</v>
      </c>
      <c r="N540" s="59">
        <v>88000</v>
      </c>
      <c r="O540" s="59">
        <v>3088272000</v>
      </c>
      <c r="P540" s="59">
        <v>2161323.8973346497</v>
      </c>
      <c r="Q540" s="59">
        <v>0</v>
      </c>
      <c r="R540" s="59">
        <v>0</v>
      </c>
      <c r="S540" s="59">
        <v>3086110676.1026654</v>
      </c>
      <c r="T540" s="41"/>
      <c r="U540" s="41"/>
      <c r="V540" s="41"/>
      <c r="W540" s="41"/>
      <c r="X540" s="41"/>
      <c r="Y540" s="41"/>
      <c r="Z540" s="41"/>
      <c r="AA540" s="41"/>
      <c r="AB540" s="41"/>
      <c r="AC540" s="41"/>
      <c r="AD540" s="41"/>
      <c r="AE540" s="59">
        <v>124547.06666196734</v>
      </c>
      <c r="AF540" s="59">
        <v>124634.29183947112</v>
      </c>
      <c r="AG540" s="59" t="s">
        <v>5</v>
      </c>
      <c r="AH540" s="59" t="s">
        <v>1198</v>
      </c>
    </row>
    <row r="541" spans="1:34" x14ac:dyDescent="0.35">
      <c r="A541" s="58">
        <v>2024</v>
      </c>
      <c r="B541" s="58">
        <v>10</v>
      </c>
      <c r="C541">
        <v>10</v>
      </c>
      <c r="D541" s="58" t="s">
        <v>595</v>
      </c>
      <c r="E541" t="s">
        <v>478</v>
      </c>
      <c r="F541" s="58" t="s">
        <v>184</v>
      </c>
      <c r="G541" t="s">
        <v>717</v>
      </c>
      <c r="H541" s="58" t="s">
        <v>1428</v>
      </c>
      <c r="I541" t="s">
        <v>75</v>
      </c>
      <c r="J541" s="58" t="s">
        <v>75</v>
      </c>
      <c r="K541" t="s">
        <v>1429</v>
      </c>
      <c r="L541" t="s">
        <v>20</v>
      </c>
      <c r="M541" t="s">
        <v>1432</v>
      </c>
      <c r="N541" s="59">
        <v>325</v>
      </c>
      <c r="O541" s="59">
        <v>0</v>
      </c>
      <c r="P541" s="59">
        <v>0</v>
      </c>
      <c r="Q541" s="59">
        <v>0</v>
      </c>
      <c r="R541" s="59">
        <v>0</v>
      </c>
      <c r="S541" s="59">
        <v>0</v>
      </c>
      <c r="T541" s="41"/>
      <c r="U541" s="41"/>
      <c r="V541" s="41"/>
      <c r="W541" s="41"/>
      <c r="X541" s="41"/>
      <c r="Y541" s="41"/>
      <c r="Z541" s="41"/>
      <c r="AA541" s="41"/>
      <c r="AB541" s="41"/>
      <c r="AC541" s="41"/>
      <c r="AD541" s="41"/>
      <c r="AE541" s="59">
        <v>0</v>
      </c>
      <c r="AF541" s="59">
        <v>0</v>
      </c>
      <c r="AG541" s="59" t="s">
        <v>5</v>
      </c>
      <c r="AH541" s="59" t="s">
        <v>1198</v>
      </c>
    </row>
    <row r="542" spans="1:34" x14ac:dyDescent="0.35">
      <c r="A542" s="58">
        <v>2024</v>
      </c>
      <c r="B542" s="58">
        <v>10</v>
      </c>
      <c r="C542">
        <v>10</v>
      </c>
      <c r="D542" s="58" t="s">
        <v>595</v>
      </c>
      <c r="E542" t="s">
        <v>478</v>
      </c>
      <c r="F542" s="58" t="s">
        <v>171</v>
      </c>
      <c r="G542" t="s">
        <v>731</v>
      </c>
      <c r="H542" s="58" t="s">
        <v>4</v>
      </c>
      <c r="I542" t="s">
        <v>4</v>
      </c>
      <c r="J542" s="58" t="s">
        <v>4</v>
      </c>
      <c r="K542" t="s">
        <v>1429</v>
      </c>
      <c r="L542" t="s">
        <v>20</v>
      </c>
      <c r="M542" t="s">
        <v>1430</v>
      </c>
      <c r="N542" s="59">
        <v>22000</v>
      </c>
      <c r="O542" s="59">
        <v>714846000</v>
      </c>
      <c r="P542" s="59">
        <v>720441.29911154986</v>
      </c>
      <c r="Q542" s="59">
        <v>0</v>
      </c>
      <c r="R542" s="59">
        <v>0</v>
      </c>
      <c r="S542" s="59">
        <v>714125558.7008884</v>
      </c>
      <c r="T542" s="41"/>
      <c r="U542" s="41"/>
      <c r="V542" s="41"/>
      <c r="W542" s="41"/>
      <c r="X542" s="41"/>
      <c r="Y542" s="41"/>
      <c r="Z542" s="41"/>
      <c r="AA542" s="41"/>
      <c r="AB542" s="41"/>
      <c r="AC542" s="41"/>
      <c r="AD542" s="41"/>
      <c r="AE542" s="59">
        <v>28820.172994202552</v>
      </c>
      <c r="AF542" s="59">
        <v>28849.248053370491</v>
      </c>
      <c r="AG542" s="59" t="s">
        <v>5</v>
      </c>
      <c r="AH542" s="59" t="s">
        <v>1166</v>
      </c>
    </row>
    <row r="543" spans="1:34" x14ac:dyDescent="0.35">
      <c r="A543" s="58">
        <v>2024</v>
      </c>
      <c r="B543" s="58">
        <v>10</v>
      </c>
      <c r="C543">
        <v>10</v>
      </c>
      <c r="D543" s="58" t="s">
        <v>595</v>
      </c>
      <c r="E543" t="s">
        <v>478</v>
      </c>
      <c r="F543" s="58" t="s">
        <v>188</v>
      </c>
      <c r="G543" t="s">
        <v>872</v>
      </c>
      <c r="H543" s="58" t="s">
        <v>1428</v>
      </c>
      <c r="I543" t="s">
        <v>75</v>
      </c>
      <c r="J543" s="58" t="s">
        <v>75</v>
      </c>
      <c r="K543" t="s">
        <v>1429</v>
      </c>
      <c r="L543" t="s">
        <v>20</v>
      </c>
      <c r="M543" t="s">
        <v>1430</v>
      </c>
      <c r="N543" s="59">
        <v>33000</v>
      </c>
      <c r="O543" s="59">
        <v>1116918000</v>
      </c>
      <c r="P543" s="59">
        <v>720441.29911154986</v>
      </c>
      <c r="Q543" s="59">
        <v>0</v>
      </c>
      <c r="R543" s="59">
        <v>0</v>
      </c>
      <c r="S543" s="59">
        <v>1116197558.7008884</v>
      </c>
      <c r="T543" s="41"/>
      <c r="U543" s="41"/>
      <c r="V543" s="41"/>
      <c r="W543" s="41"/>
      <c r="X543" s="41"/>
      <c r="Y543" s="41"/>
      <c r="Z543" s="41"/>
      <c r="AA543" s="41"/>
      <c r="AB543" s="41"/>
      <c r="AC543" s="41"/>
      <c r="AD543" s="41"/>
      <c r="AE543" s="59">
        <v>45046.709707445378</v>
      </c>
      <c r="AF543" s="59">
        <v>45075.784766613317</v>
      </c>
      <c r="AG543" s="59" t="s">
        <v>5</v>
      </c>
      <c r="AH543" s="59" t="s">
        <v>1204</v>
      </c>
    </row>
    <row r="544" spans="1:34" x14ac:dyDescent="0.35">
      <c r="A544" s="58">
        <v>2024</v>
      </c>
      <c r="B544" s="58">
        <v>10</v>
      </c>
      <c r="C544">
        <v>10</v>
      </c>
      <c r="D544" s="58" t="s">
        <v>595</v>
      </c>
      <c r="E544" t="s">
        <v>478</v>
      </c>
      <c r="F544" s="58" t="s">
        <v>191</v>
      </c>
      <c r="G544" t="s">
        <v>941</v>
      </c>
      <c r="H544" s="58" t="s">
        <v>1428</v>
      </c>
      <c r="I544" t="s">
        <v>75</v>
      </c>
      <c r="J544" s="58" t="s">
        <v>75</v>
      </c>
      <c r="K544" t="s">
        <v>1429</v>
      </c>
      <c r="L544" t="s">
        <v>20</v>
      </c>
      <c r="M544" t="s">
        <v>1430</v>
      </c>
      <c r="N544" s="59">
        <v>22000</v>
      </c>
      <c r="O544" s="59">
        <v>772068000</v>
      </c>
      <c r="P544" s="59">
        <v>0</v>
      </c>
      <c r="Q544" s="59">
        <v>0</v>
      </c>
      <c r="R544" s="59">
        <v>0</v>
      </c>
      <c r="S544" s="59">
        <v>772068000</v>
      </c>
      <c r="T544" s="41"/>
      <c r="U544" s="41"/>
      <c r="V544" s="41"/>
      <c r="W544" s="41"/>
      <c r="X544" s="41"/>
      <c r="Y544" s="41"/>
      <c r="Z544" s="41"/>
      <c r="AA544" s="41"/>
      <c r="AB544" s="41"/>
      <c r="AC544" s="41"/>
      <c r="AD544" s="41"/>
      <c r="AE544" s="59">
        <v>31158.572959867786</v>
      </c>
      <c r="AF544" s="59">
        <v>31158.572959867786</v>
      </c>
      <c r="AG544" s="59" t="s">
        <v>5</v>
      </c>
      <c r="AH544" s="59" t="s">
        <v>1208</v>
      </c>
    </row>
    <row r="545" spans="1:34" x14ac:dyDescent="0.35">
      <c r="A545" s="58">
        <v>2024</v>
      </c>
      <c r="B545" s="58">
        <v>10</v>
      </c>
      <c r="C545">
        <v>10</v>
      </c>
      <c r="D545" s="58" t="s">
        <v>654</v>
      </c>
      <c r="E545" t="s">
        <v>118</v>
      </c>
      <c r="F545" s="58" t="s">
        <v>171</v>
      </c>
      <c r="G545" t="s">
        <v>731</v>
      </c>
      <c r="H545" s="58" t="s">
        <v>4</v>
      </c>
      <c r="I545" t="s">
        <v>4</v>
      </c>
      <c r="J545" s="58" t="s">
        <v>4</v>
      </c>
      <c r="K545" t="s">
        <v>1429</v>
      </c>
      <c r="L545" t="s">
        <v>20</v>
      </c>
      <c r="M545" t="s">
        <v>1430</v>
      </c>
      <c r="N545" s="59">
        <v>5500</v>
      </c>
      <c r="O545" s="59">
        <v>180341150.00000003</v>
      </c>
      <c r="P545" s="59">
        <v>900551.62388943718</v>
      </c>
      <c r="Q545" s="59">
        <v>0</v>
      </c>
      <c r="R545" s="59">
        <v>0</v>
      </c>
      <c r="S545" s="59">
        <v>179440598.37611058</v>
      </c>
      <c r="T545" s="41"/>
      <c r="U545" s="41"/>
      <c r="V545" s="41"/>
      <c r="W545" s="41"/>
      <c r="X545" s="41"/>
      <c r="Y545" s="41"/>
      <c r="Z545" s="41"/>
      <c r="AA545" s="41"/>
      <c r="AB545" s="41"/>
      <c r="AC545" s="41"/>
      <c r="AD545" s="41"/>
      <c r="AE545" s="59">
        <v>7241.7364486863526</v>
      </c>
      <c r="AF545" s="59">
        <v>7278.0802726462716</v>
      </c>
      <c r="AG545" s="59" t="s">
        <v>118</v>
      </c>
      <c r="AH545" s="59" t="s">
        <v>1166</v>
      </c>
    </row>
    <row r="546" spans="1:34" x14ac:dyDescent="0.35">
      <c r="A546" s="58">
        <v>2024</v>
      </c>
      <c r="B546" s="58">
        <v>10</v>
      </c>
      <c r="C546">
        <v>10</v>
      </c>
      <c r="D546" s="58" t="s">
        <v>634</v>
      </c>
      <c r="E546" t="s">
        <v>148</v>
      </c>
      <c r="F546" s="58" t="s">
        <v>182</v>
      </c>
      <c r="G546" t="s">
        <v>905</v>
      </c>
      <c r="H546" s="58" t="s">
        <v>74</v>
      </c>
      <c r="I546" t="s">
        <v>74</v>
      </c>
      <c r="J546" s="58" t="s">
        <v>74</v>
      </c>
      <c r="K546" t="s">
        <v>1429</v>
      </c>
      <c r="L546" t="s">
        <v>20</v>
      </c>
      <c r="M546" t="s">
        <v>1430</v>
      </c>
      <c r="N546" s="59">
        <v>11000</v>
      </c>
      <c r="O546" s="59">
        <v>209000000</v>
      </c>
      <c r="P546" s="59">
        <v>1801103.2477788744</v>
      </c>
      <c r="Q546" s="59">
        <v>0</v>
      </c>
      <c r="R546" s="59">
        <v>0</v>
      </c>
      <c r="S546" s="59">
        <v>207198896.75222114</v>
      </c>
      <c r="T546" s="41"/>
      <c r="U546" s="41"/>
      <c r="V546" s="41"/>
      <c r="W546" s="41"/>
      <c r="X546" s="41"/>
      <c r="Y546" s="41"/>
      <c r="Z546" s="41"/>
      <c r="AA546" s="41"/>
      <c r="AB546" s="41"/>
      <c r="AC546" s="41"/>
      <c r="AD546" s="41"/>
      <c r="AE546" s="59">
        <v>8361.9861743501806</v>
      </c>
      <c r="AF546" s="59">
        <v>8434.6738222700169</v>
      </c>
      <c r="AG546" s="59" t="s">
        <v>148</v>
      </c>
      <c r="AH546" s="59" t="s">
        <v>1242</v>
      </c>
    </row>
    <row r="547" spans="1:34" x14ac:dyDescent="0.35">
      <c r="A547" s="58">
        <v>2024</v>
      </c>
      <c r="B547" s="58">
        <v>10</v>
      </c>
      <c r="C547">
        <v>10</v>
      </c>
      <c r="D547" s="58" t="s">
        <v>596</v>
      </c>
      <c r="E547" t="s">
        <v>266</v>
      </c>
      <c r="F547" s="58" t="s">
        <v>171</v>
      </c>
      <c r="G547" t="s">
        <v>731</v>
      </c>
      <c r="H547" s="58" t="s">
        <v>4</v>
      </c>
      <c r="I547" t="s">
        <v>4</v>
      </c>
      <c r="J547" s="58" t="s">
        <v>4</v>
      </c>
      <c r="K547" t="s">
        <v>1429</v>
      </c>
      <c r="L547" t="s">
        <v>20</v>
      </c>
      <c r="M547" t="s">
        <v>1430</v>
      </c>
      <c r="N547" s="59">
        <v>55000</v>
      </c>
      <c r="O547" s="59">
        <v>1748345500</v>
      </c>
      <c r="P547" s="59">
        <v>9005516.2388943732</v>
      </c>
      <c r="Q547" s="59">
        <v>0</v>
      </c>
      <c r="R547" s="59">
        <v>0</v>
      </c>
      <c r="S547" s="59">
        <v>1739339983.7611055</v>
      </c>
      <c r="T547" s="41"/>
      <c r="U547" s="41"/>
      <c r="V547" s="41"/>
      <c r="W547" s="41"/>
      <c r="X547" s="41"/>
      <c r="Y547" s="41"/>
      <c r="Z547" s="41"/>
      <c r="AA547" s="41"/>
      <c r="AB547" s="41"/>
      <c r="AC547" s="41"/>
      <c r="AD547" s="41"/>
      <c r="AE547" s="59">
        <v>70195.049899795951</v>
      </c>
      <c r="AF547" s="59">
        <v>70558.488139395136</v>
      </c>
      <c r="AG547" s="59" t="s">
        <v>100</v>
      </c>
      <c r="AH547" s="59" t="s">
        <v>1166</v>
      </c>
    </row>
    <row r="548" spans="1:34" x14ac:dyDescent="0.35">
      <c r="A548" s="58">
        <v>2024</v>
      </c>
      <c r="B548" s="58">
        <v>10</v>
      </c>
      <c r="C548">
        <v>10</v>
      </c>
      <c r="D548" s="58" t="s">
        <v>610</v>
      </c>
      <c r="E548" t="s">
        <v>44</v>
      </c>
      <c r="F548" s="58" t="s">
        <v>184</v>
      </c>
      <c r="G548" t="s">
        <v>717</v>
      </c>
      <c r="H548" s="58" t="s">
        <v>1428</v>
      </c>
      <c r="I548" t="s">
        <v>75</v>
      </c>
      <c r="J548" s="58" t="s">
        <v>75</v>
      </c>
      <c r="K548" t="s">
        <v>1429</v>
      </c>
      <c r="L548" t="s">
        <v>20</v>
      </c>
      <c r="M548" t="s">
        <v>1430</v>
      </c>
      <c r="N548" s="59">
        <v>22000</v>
      </c>
      <c r="O548" s="59">
        <v>743391000</v>
      </c>
      <c r="P548" s="59">
        <v>0</v>
      </c>
      <c r="Q548" s="59">
        <v>0</v>
      </c>
      <c r="R548" s="59">
        <v>0</v>
      </c>
      <c r="S548" s="59">
        <v>743391000</v>
      </c>
      <c r="T548" s="41"/>
      <c r="U548" s="41"/>
      <c r="V548" s="41"/>
      <c r="W548" s="41"/>
      <c r="X548" s="41"/>
      <c r="Y548" s="41"/>
      <c r="Z548" s="41"/>
      <c r="AA548" s="41"/>
      <c r="AB548" s="41"/>
      <c r="AC548" s="41"/>
      <c r="AD548" s="41"/>
      <c r="AE548" s="59">
        <v>30001.246925412106</v>
      </c>
      <c r="AF548" s="59">
        <v>30001.246925412106</v>
      </c>
      <c r="AG548" s="59" t="s">
        <v>44</v>
      </c>
      <c r="AH548" s="59" t="s">
        <v>1198</v>
      </c>
    </row>
    <row r="549" spans="1:34" x14ac:dyDescent="0.35">
      <c r="A549" s="58">
        <v>2024</v>
      </c>
      <c r="B549" s="58">
        <v>10</v>
      </c>
      <c r="C549">
        <v>10</v>
      </c>
      <c r="D549" s="58" t="s">
        <v>1558</v>
      </c>
      <c r="E549" t="s">
        <v>1223</v>
      </c>
      <c r="F549" s="58" t="s">
        <v>841</v>
      </c>
      <c r="G549" t="s">
        <v>842</v>
      </c>
      <c r="H549" s="58" t="s">
        <v>1012</v>
      </c>
      <c r="I549" t="s">
        <v>86</v>
      </c>
      <c r="J549" s="58" t="s">
        <v>86</v>
      </c>
      <c r="K549" t="s">
        <v>1429</v>
      </c>
      <c r="L549" t="s">
        <v>20</v>
      </c>
      <c r="M549" t="s">
        <v>1430</v>
      </c>
      <c r="N549" s="59">
        <v>37777</v>
      </c>
      <c r="O549" s="59">
        <v>188885000</v>
      </c>
      <c r="P549" s="59">
        <v>0</v>
      </c>
      <c r="Q549" s="59">
        <v>0</v>
      </c>
      <c r="R549" s="59">
        <v>0</v>
      </c>
      <c r="S549" s="59">
        <v>188885000</v>
      </c>
      <c r="T549" s="41"/>
      <c r="U549" s="41"/>
      <c r="V549" s="41"/>
      <c r="W549" s="41"/>
      <c r="X549" s="41"/>
      <c r="Y549" s="41"/>
      <c r="Z549" s="41"/>
      <c r="AA549" s="41"/>
      <c r="AB549" s="41"/>
      <c r="AC549" s="41"/>
      <c r="AD549" s="41"/>
      <c r="AE549" s="59">
        <v>7622.8869134902998</v>
      </c>
      <c r="AF549" s="59">
        <v>7622.8869134902998</v>
      </c>
      <c r="AG549" s="59" t="s">
        <v>1223</v>
      </c>
      <c r="AH549" s="59" t="s">
        <v>1222</v>
      </c>
    </row>
    <row r="550" spans="1:34" x14ac:dyDescent="0.35">
      <c r="A550" s="58">
        <v>2024</v>
      </c>
      <c r="B550" s="58">
        <v>10</v>
      </c>
      <c r="C550">
        <v>10</v>
      </c>
      <c r="D550" s="58" t="s">
        <v>1558</v>
      </c>
      <c r="E550" t="s">
        <v>1223</v>
      </c>
      <c r="F550" s="58" t="s">
        <v>843</v>
      </c>
      <c r="G550" t="s">
        <v>844</v>
      </c>
      <c r="H550" s="58" t="s">
        <v>1012</v>
      </c>
      <c r="I550" t="s">
        <v>86</v>
      </c>
      <c r="J550" s="58" t="s">
        <v>86</v>
      </c>
      <c r="K550" t="s">
        <v>1429</v>
      </c>
      <c r="L550" t="s">
        <v>20</v>
      </c>
      <c r="M550" t="s">
        <v>1430</v>
      </c>
      <c r="N550" s="59">
        <v>57722</v>
      </c>
      <c r="O550" s="59">
        <v>288610000</v>
      </c>
      <c r="P550" s="59">
        <v>0</v>
      </c>
      <c r="Q550" s="59">
        <v>0</v>
      </c>
      <c r="R550" s="59">
        <v>0</v>
      </c>
      <c r="S550" s="59">
        <v>288610000</v>
      </c>
      <c r="T550" s="41"/>
      <c r="U550" s="41"/>
      <c r="V550" s="41"/>
      <c r="W550" s="41"/>
      <c r="X550" s="41"/>
      <c r="Y550" s="41"/>
      <c r="Z550" s="41"/>
      <c r="AA550" s="41"/>
      <c r="AB550" s="41"/>
      <c r="AC550" s="41"/>
      <c r="AD550" s="41"/>
      <c r="AE550" s="59">
        <v>11647.517760025596</v>
      </c>
      <c r="AF550" s="59">
        <v>11647.517760025596</v>
      </c>
      <c r="AG550" s="59" t="s">
        <v>1223</v>
      </c>
      <c r="AH550" s="59" t="s">
        <v>1224</v>
      </c>
    </row>
    <row r="551" spans="1:34" x14ac:dyDescent="0.35">
      <c r="A551" s="58">
        <v>2024</v>
      </c>
      <c r="B551" s="58">
        <v>10</v>
      </c>
      <c r="C551">
        <v>10</v>
      </c>
      <c r="D551" s="58" t="s">
        <v>1558</v>
      </c>
      <c r="E551" t="s">
        <v>1223</v>
      </c>
      <c r="F551" s="58" t="s">
        <v>845</v>
      </c>
      <c r="G551" t="s">
        <v>846</v>
      </c>
      <c r="H551" s="58" t="s">
        <v>1012</v>
      </c>
      <c r="I551" t="s">
        <v>86</v>
      </c>
      <c r="J551" s="58" t="s">
        <v>86</v>
      </c>
      <c r="K551" t="s">
        <v>1429</v>
      </c>
      <c r="L551" t="s">
        <v>20</v>
      </c>
      <c r="M551" t="s">
        <v>1430</v>
      </c>
      <c r="N551" s="59">
        <v>35634</v>
      </c>
      <c r="O551" s="59">
        <v>178170000</v>
      </c>
      <c r="P551" s="59">
        <v>0</v>
      </c>
      <c r="Q551" s="59">
        <v>0</v>
      </c>
      <c r="R551" s="59">
        <v>0</v>
      </c>
      <c r="S551" s="59">
        <v>178170000</v>
      </c>
      <c r="T551" s="41"/>
      <c r="U551" s="41"/>
      <c r="V551" s="41"/>
      <c r="W551" s="41"/>
      <c r="X551" s="41"/>
      <c r="Y551" s="41"/>
      <c r="Z551" s="41"/>
      <c r="AA551" s="41"/>
      <c r="AB551" s="41"/>
      <c r="AC551" s="41"/>
      <c r="AD551" s="41"/>
      <c r="AE551" s="59">
        <v>7190.4585402576495</v>
      </c>
      <c r="AF551" s="59">
        <v>7190.4585402576495</v>
      </c>
      <c r="AG551" s="59" t="s">
        <v>1223</v>
      </c>
      <c r="AH551" s="59" t="s">
        <v>1225</v>
      </c>
    </row>
    <row r="552" spans="1:34" x14ac:dyDescent="0.35">
      <c r="A552" s="58">
        <v>2024</v>
      </c>
      <c r="B552" s="58">
        <v>10</v>
      </c>
      <c r="C552">
        <v>10</v>
      </c>
      <c r="D552" s="58" t="s">
        <v>1558</v>
      </c>
      <c r="E552" t="s">
        <v>1223</v>
      </c>
      <c r="F552" s="58" t="s">
        <v>847</v>
      </c>
      <c r="G552" t="s">
        <v>848</v>
      </c>
      <c r="H552" s="58" t="s">
        <v>1012</v>
      </c>
      <c r="I552" t="s">
        <v>86</v>
      </c>
      <c r="J552" s="58" t="s">
        <v>86</v>
      </c>
      <c r="K552" t="s">
        <v>1429</v>
      </c>
      <c r="L552" t="s">
        <v>20</v>
      </c>
      <c r="M552" t="s">
        <v>1430</v>
      </c>
      <c r="N552" s="59">
        <v>38011</v>
      </c>
      <c r="O552" s="59">
        <v>190055000</v>
      </c>
      <c r="P552" s="59">
        <v>0</v>
      </c>
      <c r="Q552" s="59">
        <v>0</v>
      </c>
      <c r="R552" s="59">
        <v>0</v>
      </c>
      <c r="S552" s="59">
        <v>190055000</v>
      </c>
      <c r="T552" s="41"/>
      <c r="U552" s="41"/>
      <c r="V552" s="41"/>
      <c r="W552" s="41"/>
      <c r="X552" s="41"/>
      <c r="Y552" s="41"/>
      <c r="Z552" s="41"/>
      <c r="AA552" s="41"/>
      <c r="AB552" s="41"/>
      <c r="AC552" s="41"/>
      <c r="AD552" s="41"/>
      <c r="AE552" s="59">
        <v>7670.1049439786057</v>
      </c>
      <c r="AF552" s="59">
        <v>7670.1049439786057</v>
      </c>
      <c r="AG552" s="59" t="s">
        <v>1223</v>
      </c>
      <c r="AH552" s="59" t="s">
        <v>1226</v>
      </c>
    </row>
    <row r="553" spans="1:34" x14ac:dyDescent="0.35">
      <c r="A553" s="58">
        <v>2024</v>
      </c>
      <c r="B553" s="58">
        <v>10</v>
      </c>
      <c r="C553">
        <v>10</v>
      </c>
      <c r="D553" s="58" t="s">
        <v>1567</v>
      </c>
      <c r="E553" t="s">
        <v>1261</v>
      </c>
      <c r="F553" s="58" t="s">
        <v>931</v>
      </c>
      <c r="G553" t="s">
        <v>932</v>
      </c>
      <c r="H553" s="58" t="s">
        <v>1428</v>
      </c>
      <c r="I553" t="s">
        <v>76</v>
      </c>
      <c r="J553" s="58" t="s">
        <v>76</v>
      </c>
      <c r="K553" t="s">
        <v>1429</v>
      </c>
      <c r="L553" t="s">
        <v>20</v>
      </c>
      <c r="M553" t="s">
        <v>1430</v>
      </c>
      <c r="N553" s="59">
        <v>15750</v>
      </c>
      <c r="O553" s="59">
        <v>352800000</v>
      </c>
      <c r="P553" s="59">
        <v>3782316.8203356368</v>
      </c>
      <c r="Q553" s="59">
        <v>0</v>
      </c>
      <c r="R553" s="59">
        <v>0</v>
      </c>
      <c r="S553" s="59">
        <v>349017683.17966437</v>
      </c>
      <c r="T553" s="41"/>
      <c r="U553" s="41"/>
      <c r="V553" s="41"/>
      <c r="W553" s="41"/>
      <c r="X553" s="41"/>
      <c r="Y553" s="41"/>
      <c r="Z553" s="41"/>
      <c r="AA553" s="41"/>
      <c r="AB553" s="41"/>
      <c r="AC553" s="41"/>
      <c r="AD553" s="41"/>
      <c r="AE553" s="59">
        <v>14085.408209688256</v>
      </c>
      <c r="AF553" s="59">
        <v>14238.052270319913</v>
      </c>
      <c r="AG553" s="59" t="s">
        <v>1261</v>
      </c>
      <c r="AH553" s="59" t="s">
        <v>1260</v>
      </c>
    </row>
    <row r="554" spans="1:34" x14ac:dyDescent="0.35">
      <c r="A554" s="58">
        <v>2024</v>
      </c>
      <c r="B554" s="58">
        <v>10</v>
      </c>
      <c r="C554">
        <v>10</v>
      </c>
      <c r="D554" s="58" t="s">
        <v>645</v>
      </c>
      <c r="E554" t="s">
        <v>117</v>
      </c>
      <c r="F554" s="58" t="s">
        <v>174</v>
      </c>
      <c r="G554" t="s">
        <v>740</v>
      </c>
      <c r="H554" s="58" t="s">
        <v>4</v>
      </c>
      <c r="I554" t="s">
        <v>4</v>
      </c>
      <c r="J554" s="58" t="s">
        <v>4</v>
      </c>
      <c r="K554" t="s">
        <v>1429</v>
      </c>
      <c r="L554" t="s">
        <v>20</v>
      </c>
      <c r="M554" t="s">
        <v>1430</v>
      </c>
      <c r="N554" s="59">
        <v>11000</v>
      </c>
      <c r="O554" s="59">
        <v>301653000</v>
      </c>
      <c r="P554" s="59">
        <v>1801103.2477788744</v>
      </c>
      <c r="Q554" s="59">
        <v>0</v>
      </c>
      <c r="R554" s="59">
        <v>0</v>
      </c>
      <c r="S554" s="59">
        <v>299851896.75222111</v>
      </c>
      <c r="T554" s="41"/>
      <c r="U554" s="41"/>
      <c r="V554" s="41"/>
      <c r="W554" s="41"/>
      <c r="X554" s="41"/>
      <c r="Y554" s="41"/>
      <c r="Z554" s="41"/>
      <c r="AA554" s="41"/>
      <c r="AB554" s="41"/>
      <c r="AC554" s="41"/>
      <c r="AD554" s="41"/>
      <c r="AE554" s="59">
        <v>12101.21025882283</v>
      </c>
      <c r="AF554" s="59">
        <v>12173.897906742668</v>
      </c>
      <c r="AG554" s="59" t="s">
        <v>117</v>
      </c>
      <c r="AH554" s="59" t="s">
        <v>1185</v>
      </c>
    </row>
    <row r="555" spans="1:34" x14ac:dyDescent="0.35">
      <c r="A555" s="58">
        <v>2024</v>
      </c>
      <c r="B555" s="58">
        <v>10</v>
      </c>
      <c r="C555">
        <v>10</v>
      </c>
      <c r="D555" s="58" t="s">
        <v>1581</v>
      </c>
      <c r="E555" t="s">
        <v>1158</v>
      </c>
      <c r="F555" s="58" t="s">
        <v>172</v>
      </c>
      <c r="G555" t="s">
        <v>734</v>
      </c>
      <c r="H555" s="58" t="s">
        <v>4</v>
      </c>
      <c r="I555" t="s">
        <v>4</v>
      </c>
      <c r="J555" s="58" t="s">
        <v>4</v>
      </c>
      <c r="K555" t="s">
        <v>1429</v>
      </c>
      <c r="L555" t="s">
        <v>20</v>
      </c>
      <c r="M555" t="s">
        <v>1430</v>
      </c>
      <c r="N555" s="59">
        <v>6600</v>
      </c>
      <c r="O555" s="59">
        <v>210636360</v>
      </c>
      <c r="P555" s="59">
        <v>1080661.9486673248</v>
      </c>
      <c r="Q555" s="59">
        <v>0</v>
      </c>
      <c r="R555" s="59">
        <v>2400000</v>
      </c>
      <c r="S555" s="59">
        <v>207155698.05133268</v>
      </c>
      <c r="T555" s="41"/>
      <c r="U555" s="41"/>
      <c r="V555" s="41"/>
      <c r="W555" s="41"/>
      <c r="X555" s="41"/>
      <c r="Y555" s="41"/>
      <c r="Z555" s="41"/>
      <c r="AA555" s="41"/>
      <c r="AB555" s="41"/>
      <c r="AC555" s="41"/>
      <c r="AD555" s="41"/>
      <c r="AE555" s="59">
        <v>8360.2427918069279</v>
      </c>
      <c r="AF555" s="59">
        <v>8500.712878996379</v>
      </c>
      <c r="AG555" s="59" t="s">
        <v>1158</v>
      </c>
      <c r="AH555" s="59" t="s">
        <v>1175</v>
      </c>
    </row>
    <row r="556" spans="1:34" x14ac:dyDescent="0.35">
      <c r="A556" s="58">
        <v>2024</v>
      </c>
      <c r="B556" s="58">
        <v>10</v>
      </c>
      <c r="C556">
        <v>10</v>
      </c>
      <c r="D556" s="58" t="s">
        <v>1582</v>
      </c>
      <c r="E556" t="s">
        <v>1361</v>
      </c>
      <c r="F556" s="58" t="s">
        <v>218</v>
      </c>
      <c r="G556" t="s">
        <v>944</v>
      </c>
      <c r="H556" s="58" t="s">
        <v>21</v>
      </c>
      <c r="I556" t="s">
        <v>21</v>
      </c>
      <c r="J556" s="58" t="s">
        <v>21</v>
      </c>
      <c r="K556" t="s">
        <v>1429</v>
      </c>
      <c r="L556" t="s">
        <v>20</v>
      </c>
      <c r="M556" t="s">
        <v>1430</v>
      </c>
      <c r="N556" s="59">
        <v>25</v>
      </c>
      <c r="O556" s="59">
        <v>564200</v>
      </c>
      <c r="P556" s="59">
        <v>0</v>
      </c>
      <c r="Q556" s="59">
        <v>0</v>
      </c>
      <c r="R556" s="59">
        <v>0</v>
      </c>
      <c r="S556" s="59">
        <v>564200</v>
      </c>
      <c r="T556" s="41"/>
      <c r="U556" s="41"/>
      <c r="V556" s="41"/>
      <c r="W556" s="41"/>
      <c r="X556" s="41"/>
      <c r="Y556" s="41"/>
      <c r="Z556" s="41"/>
      <c r="AA556" s="41"/>
      <c r="AB556" s="41"/>
      <c r="AC556" s="41"/>
      <c r="AD556" s="41"/>
      <c r="AE556" s="59">
        <v>22.76958359102748</v>
      </c>
      <c r="AF556" s="59">
        <v>22.76958359102748</v>
      </c>
      <c r="AG556" s="59" t="s">
        <v>1361</v>
      </c>
      <c r="AH556" s="59" t="s">
        <v>1360</v>
      </c>
    </row>
    <row r="557" spans="1:34" x14ac:dyDescent="0.35">
      <c r="A557" s="58">
        <v>2024</v>
      </c>
      <c r="B557" s="58">
        <v>10</v>
      </c>
      <c r="C557">
        <v>10</v>
      </c>
      <c r="D557" s="58" t="s">
        <v>587</v>
      </c>
      <c r="E557" t="s">
        <v>6</v>
      </c>
      <c r="F557" s="58" t="s">
        <v>171</v>
      </c>
      <c r="G557" t="s">
        <v>731</v>
      </c>
      <c r="H557" s="58" t="s">
        <v>4</v>
      </c>
      <c r="I557" t="s">
        <v>4</v>
      </c>
      <c r="J557" s="58" t="s">
        <v>4</v>
      </c>
      <c r="K557" t="s">
        <v>1476</v>
      </c>
      <c r="L557" t="s">
        <v>1477</v>
      </c>
      <c r="M557" t="s">
        <v>1430</v>
      </c>
      <c r="N557" s="59">
        <v>968000</v>
      </c>
      <c r="O557" s="59">
        <v>30301562412</v>
      </c>
      <c r="P557" s="59">
        <v>72693314.690618694</v>
      </c>
      <c r="Q557" s="59">
        <v>454523436.18000001</v>
      </c>
      <c r="R557" s="59">
        <v>361084070.14285713</v>
      </c>
      <c r="S557" s="59">
        <v>29413261590.986515</v>
      </c>
      <c r="T557" s="41"/>
      <c r="U557" s="41"/>
      <c r="V557" s="41"/>
      <c r="W557" s="41"/>
      <c r="X557" s="41"/>
      <c r="Y557" s="41"/>
      <c r="Z557" s="41"/>
      <c r="AA557" s="41"/>
      <c r="AB557" s="41"/>
      <c r="AC557" s="41"/>
      <c r="AD557" s="41"/>
      <c r="AE557" s="59">
        <v>1185191.6920070883</v>
      </c>
      <c r="AF557" s="59">
        <v>1220986.7999999991</v>
      </c>
      <c r="AG557" s="59" t="s">
        <v>6</v>
      </c>
      <c r="AH557" s="59" t="s">
        <v>1166</v>
      </c>
    </row>
    <row r="558" spans="1:34" x14ac:dyDescent="0.35">
      <c r="A558" s="58">
        <v>2024</v>
      </c>
      <c r="B558" s="58">
        <v>10</v>
      </c>
      <c r="C558">
        <v>10</v>
      </c>
      <c r="D558" s="58" t="s">
        <v>588</v>
      </c>
      <c r="E558" t="s">
        <v>9</v>
      </c>
      <c r="F558" s="58" t="s">
        <v>172</v>
      </c>
      <c r="G558" t="s">
        <v>734</v>
      </c>
      <c r="H558" s="58" t="s">
        <v>4</v>
      </c>
      <c r="I558" t="s">
        <v>4</v>
      </c>
      <c r="J558" s="58" t="s">
        <v>4</v>
      </c>
      <c r="K558" t="s">
        <v>1476</v>
      </c>
      <c r="L558" t="s">
        <v>1501</v>
      </c>
      <c r="M558" t="s">
        <v>1430</v>
      </c>
      <c r="N558" s="59">
        <v>220000</v>
      </c>
      <c r="O558" s="59">
        <v>7354160000</v>
      </c>
      <c r="P558" s="59">
        <v>16521207.884231538</v>
      </c>
      <c r="Q558" s="59">
        <v>0</v>
      </c>
      <c r="R558" s="59">
        <v>643041479.99999988</v>
      </c>
      <c r="S558" s="59">
        <v>6694597312.1157675</v>
      </c>
      <c r="T558" s="41"/>
      <c r="U558" s="41"/>
      <c r="V558" s="41"/>
      <c r="W558" s="41"/>
      <c r="X558" s="41"/>
      <c r="Y558" s="41"/>
      <c r="Z558" s="41"/>
      <c r="AA558" s="41"/>
      <c r="AB558" s="41"/>
      <c r="AC558" s="41"/>
      <c r="AD558" s="41"/>
      <c r="AE558" s="59">
        <v>274368.74229982664</v>
      </c>
      <c r="AF558" s="59">
        <v>301400</v>
      </c>
      <c r="AG558" s="59" t="s">
        <v>9</v>
      </c>
      <c r="AH558" s="59" t="s">
        <v>1175</v>
      </c>
    </row>
    <row r="559" spans="1:34" x14ac:dyDescent="0.35">
      <c r="A559" s="58">
        <v>2024</v>
      </c>
      <c r="B559" s="58">
        <v>10</v>
      </c>
      <c r="C559">
        <v>10</v>
      </c>
      <c r="D559" s="58" t="s">
        <v>1529</v>
      </c>
      <c r="E559" t="s">
        <v>1243</v>
      </c>
      <c r="F559" s="58" t="s">
        <v>182</v>
      </c>
      <c r="G559" t="s">
        <v>905</v>
      </c>
      <c r="H559" s="58" t="s">
        <v>74</v>
      </c>
      <c r="I559" t="s">
        <v>74</v>
      </c>
      <c r="J559" s="58" t="s">
        <v>74</v>
      </c>
      <c r="K559" t="s">
        <v>1476</v>
      </c>
      <c r="L559" t="s">
        <v>1477</v>
      </c>
      <c r="M559" t="s">
        <v>1430</v>
      </c>
      <c r="N559" s="59">
        <v>220000</v>
      </c>
      <c r="O559" s="59">
        <v>4979700000</v>
      </c>
      <c r="P559" s="59">
        <v>16521207.884231538</v>
      </c>
      <c r="Q559" s="59">
        <v>55330000</v>
      </c>
      <c r="R559" s="59">
        <v>951245582.99999976</v>
      </c>
      <c r="S559" s="59">
        <v>3956603209.115768</v>
      </c>
      <c r="T559" s="41"/>
      <c r="U559" s="41"/>
      <c r="V559" s="41"/>
      <c r="W559" s="41"/>
      <c r="X559" s="41"/>
      <c r="Y559" s="41"/>
      <c r="Z559" s="41"/>
      <c r="AA559" s="41"/>
      <c r="AB559" s="41"/>
      <c r="AC559" s="41"/>
      <c r="AD559" s="41"/>
      <c r="AE559" s="59">
        <v>157320.20712189932</v>
      </c>
      <c r="AF559" s="59">
        <v>198000</v>
      </c>
      <c r="AG559" s="59" t="s">
        <v>1243</v>
      </c>
      <c r="AH559" s="59" t="s">
        <v>1242</v>
      </c>
    </row>
    <row r="560" spans="1:34" x14ac:dyDescent="0.35">
      <c r="A560" s="58">
        <v>2024</v>
      </c>
      <c r="B560" s="58">
        <v>10</v>
      </c>
      <c r="C560">
        <v>10</v>
      </c>
      <c r="D560" s="58" t="s">
        <v>604</v>
      </c>
      <c r="E560" t="s">
        <v>145</v>
      </c>
      <c r="F560" s="58" t="s">
        <v>174</v>
      </c>
      <c r="G560" t="s">
        <v>740</v>
      </c>
      <c r="H560" s="58" t="s">
        <v>4</v>
      </c>
      <c r="I560" t="s">
        <v>4</v>
      </c>
      <c r="J560" s="58" t="s">
        <v>4</v>
      </c>
      <c r="K560" t="s">
        <v>1476</v>
      </c>
      <c r="L560" t="s">
        <v>1477</v>
      </c>
      <c r="M560" t="s">
        <v>1430</v>
      </c>
      <c r="N560" s="59">
        <v>660000</v>
      </c>
      <c r="O560" s="59">
        <v>17613805000</v>
      </c>
      <c r="P560" s="59">
        <v>49563623.65269459</v>
      </c>
      <c r="Q560" s="59">
        <v>0</v>
      </c>
      <c r="R560" s="59">
        <v>245678805.85714301</v>
      </c>
      <c r="S560" s="59">
        <v>17318562570.490166</v>
      </c>
      <c r="T560" s="41"/>
      <c r="U560" s="41"/>
      <c r="V560" s="41"/>
      <c r="W560" s="41"/>
      <c r="X560" s="41"/>
      <c r="Y560" s="41"/>
      <c r="Z560" s="41"/>
      <c r="AA560" s="41"/>
      <c r="AB560" s="41"/>
      <c r="AC560" s="41"/>
      <c r="AD560" s="41"/>
      <c r="AE560" s="59">
        <v>700849.92585562216</v>
      </c>
      <c r="AF560" s="59">
        <v>712800</v>
      </c>
      <c r="AG560" s="59" t="s">
        <v>145</v>
      </c>
      <c r="AH560" s="59" t="s">
        <v>1185</v>
      </c>
    </row>
    <row r="561" spans="1:34" x14ac:dyDescent="0.35">
      <c r="A561" s="58">
        <v>2024</v>
      </c>
      <c r="B561" s="58">
        <v>10</v>
      </c>
      <c r="C561">
        <v>10</v>
      </c>
      <c r="D561" s="58" t="s">
        <v>1583</v>
      </c>
      <c r="E561" t="s">
        <v>1169</v>
      </c>
      <c r="F561" s="58" t="s">
        <v>171</v>
      </c>
      <c r="G561" t="s">
        <v>731</v>
      </c>
      <c r="H561" s="58" t="s">
        <v>4</v>
      </c>
      <c r="I561" t="s">
        <v>4</v>
      </c>
      <c r="J561" s="58" t="s">
        <v>4</v>
      </c>
      <c r="K561" t="s">
        <v>1476</v>
      </c>
      <c r="L561" t="s">
        <v>1520</v>
      </c>
      <c r="M561" t="s">
        <v>1430</v>
      </c>
      <c r="N561" s="59">
        <v>44000</v>
      </c>
      <c r="O561" s="59">
        <v>1550693760</v>
      </c>
      <c r="P561" s="59">
        <v>3304241.5768463071</v>
      </c>
      <c r="Q561" s="59">
        <v>0</v>
      </c>
      <c r="R561" s="59">
        <v>101627888</v>
      </c>
      <c r="S561" s="59">
        <v>1445761630.4231536</v>
      </c>
      <c r="T561" s="41"/>
      <c r="U561" s="41"/>
      <c r="V561" s="41"/>
      <c r="W561" s="41"/>
      <c r="X561" s="41"/>
      <c r="Y561" s="41"/>
      <c r="Z561" s="41"/>
      <c r="AA561" s="41"/>
      <c r="AB561" s="41"/>
      <c r="AC561" s="41"/>
      <c r="AD561" s="41"/>
      <c r="AE561" s="59">
        <v>58580.292966902496</v>
      </c>
      <c r="AF561" s="59">
        <v>62832</v>
      </c>
      <c r="AG561" s="59" t="s">
        <v>1169</v>
      </c>
      <c r="AH561" s="59" t="s">
        <v>1166</v>
      </c>
    </row>
    <row r="562" spans="1:34" x14ac:dyDescent="0.35">
      <c r="A562" s="58">
        <v>2024</v>
      </c>
      <c r="B562" s="58">
        <v>10</v>
      </c>
      <c r="C562">
        <v>10</v>
      </c>
      <c r="D562" s="58" t="s">
        <v>616</v>
      </c>
      <c r="E562" t="s">
        <v>128</v>
      </c>
      <c r="F562" s="58" t="s">
        <v>172</v>
      </c>
      <c r="G562" t="s">
        <v>734</v>
      </c>
      <c r="H562" s="58" t="s">
        <v>4</v>
      </c>
      <c r="I562" t="s">
        <v>4</v>
      </c>
      <c r="J562" s="58" t="s">
        <v>4</v>
      </c>
      <c r="K562" t="s">
        <v>1476</v>
      </c>
      <c r="L562" t="s">
        <v>1510</v>
      </c>
      <c r="M562" t="s">
        <v>1430</v>
      </c>
      <c r="N562" s="59">
        <v>83600</v>
      </c>
      <c r="O562" s="59">
        <v>2722112800</v>
      </c>
      <c r="P562" s="59">
        <v>6575440.7379241511</v>
      </c>
      <c r="Q562" s="59">
        <v>0</v>
      </c>
      <c r="R562" s="59">
        <v>30651920.5</v>
      </c>
      <c r="S562" s="59">
        <v>2684885438.7620759</v>
      </c>
      <c r="T562" s="41"/>
      <c r="U562" s="41"/>
      <c r="V562" s="41"/>
      <c r="W562" s="41"/>
      <c r="X562" s="41"/>
      <c r="Y562" s="41"/>
      <c r="Z562" s="41"/>
      <c r="AA562" s="41"/>
      <c r="AB562" s="41"/>
      <c r="AC562" s="41"/>
      <c r="AD562" s="41"/>
      <c r="AE562" s="59">
        <v>106521.09965782301</v>
      </c>
      <c r="AF562" s="59">
        <v>107998</v>
      </c>
      <c r="AG562" s="59" t="s">
        <v>128</v>
      </c>
      <c r="AH562" s="59" t="s">
        <v>1175</v>
      </c>
    </row>
    <row r="563" spans="1:34" x14ac:dyDescent="0.35">
      <c r="A563" s="58">
        <v>2024</v>
      </c>
      <c r="B563" s="58">
        <v>10</v>
      </c>
      <c r="C563">
        <v>10</v>
      </c>
      <c r="D563" s="58" t="s">
        <v>616</v>
      </c>
      <c r="E563" t="s">
        <v>128</v>
      </c>
      <c r="F563" s="58" t="s">
        <v>174</v>
      </c>
      <c r="G563" t="s">
        <v>740</v>
      </c>
      <c r="H563" s="58" t="s">
        <v>4</v>
      </c>
      <c r="I563" t="s">
        <v>4</v>
      </c>
      <c r="J563" s="58" t="s">
        <v>4</v>
      </c>
      <c r="K563" t="s">
        <v>1476</v>
      </c>
      <c r="L563" t="s">
        <v>1510</v>
      </c>
      <c r="M563" t="s">
        <v>1430</v>
      </c>
      <c r="N563" s="59">
        <v>4400</v>
      </c>
      <c r="O563" s="59">
        <v>121968000.00000001</v>
      </c>
      <c r="P563" s="59">
        <v>363466.57345309376</v>
      </c>
      <c r="Q563" s="59">
        <v>0</v>
      </c>
      <c r="R563" s="59">
        <v>10075699.5</v>
      </c>
      <c r="S563" s="59">
        <v>111528833.92654692</v>
      </c>
      <c r="T563" s="41"/>
      <c r="U563" s="41"/>
      <c r="V563" s="41"/>
      <c r="W563" s="41"/>
      <c r="X563" s="41"/>
      <c r="Y563" s="41"/>
      <c r="Z563" s="41"/>
      <c r="AA563" s="41"/>
      <c r="AB563" s="41"/>
      <c r="AC563" s="41"/>
      <c r="AD563" s="41"/>
      <c r="AE563" s="59">
        <v>4425.7473780375758</v>
      </c>
      <c r="AF563" s="59">
        <v>4840.0000000000009</v>
      </c>
      <c r="AG563" s="59" t="s">
        <v>128</v>
      </c>
      <c r="AH563" s="59" t="s">
        <v>1185</v>
      </c>
    </row>
    <row r="564" spans="1:34" x14ac:dyDescent="0.35">
      <c r="A564" s="58">
        <v>2024</v>
      </c>
      <c r="B564" s="58">
        <v>10</v>
      </c>
      <c r="C564">
        <v>10</v>
      </c>
      <c r="D564" s="58" t="s">
        <v>1555</v>
      </c>
      <c r="E564" t="s">
        <v>1289</v>
      </c>
      <c r="F564" s="58" t="s">
        <v>1468</v>
      </c>
      <c r="G564" t="s">
        <v>1012</v>
      </c>
      <c r="H564" s="58" t="s">
        <v>1012</v>
      </c>
      <c r="I564" t="s">
        <v>1012</v>
      </c>
      <c r="J564" s="58" t="s">
        <v>1012</v>
      </c>
      <c r="K564" t="s">
        <v>1429</v>
      </c>
      <c r="L564" t="s">
        <v>20</v>
      </c>
      <c r="M564" t="s">
        <v>1430</v>
      </c>
      <c r="N564" s="59">
        <v>0</v>
      </c>
      <c r="O564" s="59">
        <v>0</v>
      </c>
      <c r="P564" s="59">
        <v>0</v>
      </c>
      <c r="Q564" s="59">
        <v>0</v>
      </c>
      <c r="R564" s="59">
        <v>0</v>
      </c>
      <c r="S564" s="59">
        <v>0</v>
      </c>
      <c r="T564" s="41"/>
      <c r="U564" s="41"/>
      <c r="V564" s="41"/>
      <c r="W564" s="41"/>
      <c r="X564" s="41"/>
      <c r="Y564" s="41"/>
      <c r="Z564" s="41"/>
      <c r="AA564" s="41"/>
      <c r="AB564" s="41"/>
      <c r="AC564" s="41"/>
      <c r="AD564" s="41"/>
      <c r="AE564" s="59">
        <v>0</v>
      </c>
      <c r="AF564" s="59">
        <v>0</v>
      </c>
      <c r="AG564" s="59" t="s">
        <v>1289</v>
      </c>
      <c r="AH564" s="59" t="s">
        <v>1284</v>
      </c>
    </row>
    <row r="565" spans="1:34" x14ac:dyDescent="0.35">
      <c r="A565" s="58">
        <v>2024</v>
      </c>
      <c r="B565" s="58">
        <v>10</v>
      </c>
      <c r="C565">
        <v>10</v>
      </c>
      <c r="D565" s="58" t="s">
        <v>1485</v>
      </c>
      <c r="E565" t="s">
        <v>1318</v>
      </c>
      <c r="F565" s="58" t="s">
        <v>1486</v>
      </c>
      <c r="G565" t="s">
        <v>1487</v>
      </c>
      <c r="H565" s="58" t="s">
        <v>1012</v>
      </c>
      <c r="I565" t="s">
        <v>1012</v>
      </c>
      <c r="J565" s="58" t="s">
        <v>1012</v>
      </c>
      <c r="K565" t="s">
        <v>1429</v>
      </c>
      <c r="L565" t="s">
        <v>20</v>
      </c>
      <c r="M565" t="s">
        <v>1430</v>
      </c>
      <c r="N565" s="59">
        <v>0</v>
      </c>
      <c r="O565" s="59">
        <v>0</v>
      </c>
      <c r="P565" s="59">
        <v>0</v>
      </c>
      <c r="Q565" s="59">
        <v>0</v>
      </c>
      <c r="R565" s="59">
        <v>0</v>
      </c>
      <c r="S565" s="59">
        <v>0</v>
      </c>
      <c r="T565" s="41"/>
      <c r="U565" s="41"/>
      <c r="V565" s="41"/>
      <c r="W565" s="41"/>
      <c r="X565" s="41"/>
      <c r="Y565" s="41"/>
      <c r="Z565" s="41"/>
      <c r="AA565" s="41"/>
      <c r="AB565" s="41"/>
      <c r="AC565" s="41"/>
      <c r="AD565" s="41"/>
      <c r="AE565" s="59">
        <v>0</v>
      </c>
      <c r="AF565" s="59">
        <v>0</v>
      </c>
      <c r="AG565" s="59" t="s">
        <v>1318</v>
      </c>
      <c r="AH565" s="59" t="s">
        <v>1317</v>
      </c>
    </row>
    <row r="566" spans="1:34" x14ac:dyDescent="0.35">
      <c r="A566" s="58">
        <v>2024</v>
      </c>
      <c r="B566" s="58">
        <v>10</v>
      </c>
      <c r="C566">
        <v>10</v>
      </c>
      <c r="D566" s="58" t="s">
        <v>1491</v>
      </c>
      <c r="E566" t="s">
        <v>1264</v>
      </c>
      <c r="F566" s="58" t="s">
        <v>1584</v>
      </c>
      <c r="G566" t="s">
        <v>1585</v>
      </c>
      <c r="H566" s="58" t="s">
        <v>1012</v>
      </c>
      <c r="I566" t="s">
        <v>1012</v>
      </c>
      <c r="J566" s="58" t="s">
        <v>1012</v>
      </c>
      <c r="K566" t="s">
        <v>1429</v>
      </c>
      <c r="L566" t="s">
        <v>20</v>
      </c>
      <c r="M566" t="s">
        <v>1430</v>
      </c>
      <c r="N566" s="59">
        <v>0</v>
      </c>
      <c r="O566" s="59">
        <v>0</v>
      </c>
      <c r="P566" s="59">
        <v>0</v>
      </c>
      <c r="Q566" s="59">
        <v>0</v>
      </c>
      <c r="R566" s="59">
        <v>0</v>
      </c>
      <c r="S566" s="59">
        <v>0</v>
      </c>
      <c r="T566" s="41"/>
      <c r="U566" s="41"/>
      <c r="V566" s="41"/>
      <c r="W566" s="41"/>
      <c r="X566" s="41"/>
      <c r="Y566" s="41"/>
      <c r="Z566" s="41"/>
      <c r="AA566" s="41"/>
      <c r="AB566" s="41"/>
      <c r="AC566" s="41"/>
      <c r="AD566" s="41"/>
      <c r="AE566" s="59">
        <v>0</v>
      </c>
      <c r="AF566" s="59">
        <v>0</v>
      </c>
      <c r="AG566" s="59" t="s">
        <v>1264</v>
      </c>
      <c r="AH566" s="59" t="s">
        <v>1263</v>
      </c>
    </row>
    <row r="567" spans="1:34" x14ac:dyDescent="0.35">
      <c r="A567" s="58">
        <v>2024</v>
      </c>
      <c r="B567" s="58">
        <v>10</v>
      </c>
      <c r="C567">
        <v>10</v>
      </c>
      <c r="D567" s="58" t="s">
        <v>1491</v>
      </c>
      <c r="E567" t="s">
        <v>1264</v>
      </c>
      <c r="F567" s="58" t="s">
        <v>1556</v>
      </c>
      <c r="G567" t="s">
        <v>1557</v>
      </c>
      <c r="H567" s="58" t="s">
        <v>1012</v>
      </c>
      <c r="I567" t="s">
        <v>1012</v>
      </c>
      <c r="J567" s="58" t="s">
        <v>1012</v>
      </c>
      <c r="K567" t="s">
        <v>1429</v>
      </c>
      <c r="L567" t="s">
        <v>20</v>
      </c>
      <c r="M567" t="s">
        <v>1430</v>
      </c>
      <c r="N567" s="59">
        <v>0</v>
      </c>
      <c r="O567" s="59">
        <v>0</v>
      </c>
      <c r="P567" s="59">
        <v>0</v>
      </c>
      <c r="Q567" s="59">
        <v>0</v>
      </c>
      <c r="R567" s="59">
        <v>0</v>
      </c>
      <c r="S567" s="59">
        <v>0</v>
      </c>
      <c r="T567" s="41"/>
      <c r="U567" s="41"/>
      <c r="V567" s="41"/>
      <c r="W567" s="41"/>
      <c r="X567" s="41"/>
      <c r="Y567" s="41"/>
      <c r="Z567" s="41"/>
      <c r="AA567" s="41"/>
      <c r="AB567" s="41"/>
      <c r="AC567" s="41"/>
      <c r="AD567" s="41"/>
      <c r="AE567" s="59">
        <v>0</v>
      </c>
      <c r="AF567" s="59">
        <v>0</v>
      </c>
      <c r="AG567" s="59" t="s">
        <v>1264</v>
      </c>
      <c r="AH567" s="59" t="s">
        <v>1267</v>
      </c>
    </row>
    <row r="568" spans="1:34" x14ac:dyDescent="0.35">
      <c r="A568" s="58">
        <v>2024</v>
      </c>
      <c r="B568" s="58">
        <v>10</v>
      </c>
      <c r="C568">
        <v>10</v>
      </c>
      <c r="D568" s="58" t="s">
        <v>1491</v>
      </c>
      <c r="E568" t="s">
        <v>1264</v>
      </c>
      <c r="F568" s="58" t="s">
        <v>1492</v>
      </c>
      <c r="G568" t="s">
        <v>1493</v>
      </c>
      <c r="H568" s="58" t="s">
        <v>1012</v>
      </c>
      <c r="I568" t="s">
        <v>1012</v>
      </c>
      <c r="J568" s="58" t="s">
        <v>1012</v>
      </c>
      <c r="K568" t="s">
        <v>1429</v>
      </c>
      <c r="L568" t="s">
        <v>20</v>
      </c>
      <c r="M568" t="s">
        <v>1430</v>
      </c>
      <c r="N568" s="59">
        <v>0</v>
      </c>
      <c r="O568" s="59">
        <v>0</v>
      </c>
      <c r="P568" s="59">
        <v>0</v>
      </c>
      <c r="Q568" s="59">
        <v>0</v>
      </c>
      <c r="R568" s="59">
        <v>-16507455.999998093</v>
      </c>
      <c r="S568" s="59">
        <v>16507455.999998093</v>
      </c>
      <c r="T568" s="41"/>
      <c r="U568" s="41"/>
      <c r="V568" s="41"/>
      <c r="W568" s="41"/>
      <c r="X568" s="41"/>
      <c r="Y568" s="41"/>
      <c r="Z568" s="41"/>
      <c r="AA568" s="41"/>
      <c r="AB568" s="41"/>
      <c r="AC568" s="41"/>
      <c r="AD568" s="41"/>
      <c r="AE568" s="59">
        <v>666.19620571989492</v>
      </c>
      <c r="AF568" s="59">
        <v>0</v>
      </c>
      <c r="AG568" s="59" t="s">
        <v>1264</v>
      </c>
      <c r="AH568" s="59" t="s">
        <v>1269</v>
      </c>
    </row>
    <row r="569" spans="1:34" x14ac:dyDescent="0.35">
      <c r="A569" s="58">
        <v>2024</v>
      </c>
      <c r="B569" s="58">
        <v>10</v>
      </c>
      <c r="C569">
        <v>10</v>
      </c>
      <c r="D569" s="58" t="s">
        <v>1491</v>
      </c>
      <c r="E569" t="s">
        <v>1264</v>
      </c>
      <c r="F569" s="58" t="s">
        <v>1152</v>
      </c>
      <c r="G569" t="s">
        <v>1153</v>
      </c>
      <c r="H569" s="58" t="s">
        <v>1012</v>
      </c>
      <c r="I569" t="s">
        <v>1012</v>
      </c>
      <c r="J569" s="58" t="s">
        <v>1399</v>
      </c>
      <c r="K569" t="s">
        <v>1429</v>
      </c>
      <c r="L569" t="s">
        <v>20</v>
      </c>
      <c r="M569" t="s">
        <v>1430</v>
      </c>
      <c r="N569" s="59">
        <v>0</v>
      </c>
      <c r="O569" s="59">
        <v>0</v>
      </c>
      <c r="P569" s="59">
        <v>0</v>
      </c>
      <c r="Q569" s="59">
        <v>154763.81999999285</v>
      </c>
      <c r="R569" s="59">
        <v>-17041995.185185015</v>
      </c>
      <c r="S569" s="59">
        <v>16887231.365185022</v>
      </c>
      <c r="T569" s="41"/>
      <c r="U569" s="41"/>
      <c r="V569" s="41"/>
      <c r="W569" s="41"/>
      <c r="X569" s="41"/>
      <c r="Y569" s="41"/>
      <c r="Z569" s="41"/>
      <c r="AA569" s="41"/>
      <c r="AB569" s="41"/>
      <c r="AC569" s="41"/>
      <c r="AD569" s="41"/>
      <c r="AE569" s="59">
        <v>681.52291065331679</v>
      </c>
      <c r="AF569" s="59">
        <v>0</v>
      </c>
      <c r="AG569" s="59" t="s">
        <v>1264</v>
      </c>
      <c r="AH569" s="59" t="s">
        <v>1400</v>
      </c>
    </row>
    <row r="570" spans="1:34" x14ac:dyDescent="0.35">
      <c r="A570" s="58">
        <v>2024</v>
      </c>
      <c r="B570" s="58">
        <v>10</v>
      </c>
      <c r="C570">
        <v>10</v>
      </c>
      <c r="D570" s="58" t="s">
        <v>1491</v>
      </c>
      <c r="E570" t="s">
        <v>1264</v>
      </c>
      <c r="F570" s="58" t="s">
        <v>1494</v>
      </c>
      <c r="G570" t="s">
        <v>1495</v>
      </c>
      <c r="H570" s="58" t="s">
        <v>1012</v>
      </c>
      <c r="I570" t="s">
        <v>1012</v>
      </c>
      <c r="J570" s="58" t="s">
        <v>1397</v>
      </c>
      <c r="K570" t="s">
        <v>1429</v>
      </c>
      <c r="L570" t="s">
        <v>20</v>
      </c>
      <c r="M570" t="s">
        <v>1430</v>
      </c>
      <c r="N570" s="59">
        <v>0</v>
      </c>
      <c r="O570" s="59">
        <v>0</v>
      </c>
      <c r="P570" s="59">
        <v>0</v>
      </c>
      <c r="Q570" s="59">
        <v>0</v>
      </c>
      <c r="R570" s="59">
        <v>-12766687.000000006</v>
      </c>
      <c r="S570" s="59">
        <v>12766687.000000006</v>
      </c>
      <c r="T570" s="41"/>
      <c r="U570" s="41"/>
      <c r="V570" s="41"/>
      <c r="W570" s="41"/>
      <c r="X570" s="41"/>
      <c r="Y570" s="41"/>
      <c r="Z570" s="41"/>
      <c r="AA570" s="41"/>
      <c r="AB570" s="41"/>
      <c r="AC570" s="41"/>
      <c r="AD570" s="41"/>
      <c r="AE570" s="59">
        <v>515.22890256466508</v>
      </c>
      <c r="AF570" s="59">
        <v>0</v>
      </c>
      <c r="AG570" s="59" t="s">
        <v>1264</v>
      </c>
      <c r="AH570" s="59" t="s">
        <v>1398</v>
      </c>
    </row>
    <row r="571" spans="1:34" x14ac:dyDescent="0.35">
      <c r="A571" s="58">
        <v>2024</v>
      </c>
      <c r="B571" s="58">
        <v>10</v>
      </c>
      <c r="C571">
        <v>10</v>
      </c>
      <c r="D571" s="58" t="s">
        <v>1491</v>
      </c>
      <c r="E571" t="s">
        <v>1264</v>
      </c>
      <c r="F571" s="58" t="s">
        <v>1489</v>
      </c>
      <c r="G571" t="s">
        <v>1490</v>
      </c>
      <c r="H571" s="58" t="s">
        <v>1012</v>
      </c>
      <c r="I571" t="s">
        <v>1012</v>
      </c>
      <c r="J571" s="58" t="s">
        <v>1012</v>
      </c>
      <c r="K571" t="s">
        <v>1429</v>
      </c>
      <c r="L571" t="s">
        <v>20</v>
      </c>
      <c r="M571" t="s">
        <v>1430</v>
      </c>
      <c r="N571" s="59">
        <v>0</v>
      </c>
      <c r="O571" s="59">
        <v>0</v>
      </c>
      <c r="P571" s="59">
        <v>0</v>
      </c>
      <c r="Q571" s="59">
        <v>0</v>
      </c>
      <c r="R571" s="59">
        <v>0</v>
      </c>
      <c r="S571" s="59">
        <v>0</v>
      </c>
      <c r="T571" s="41"/>
      <c r="U571" s="41"/>
      <c r="V571" s="41"/>
      <c r="W571" s="41"/>
      <c r="X571" s="41"/>
      <c r="Y571" s="41"/>
      <c r="Z571" s="41"/>
      <c r="AA571" s="41"/>
      <c r="AB571" s="41"/>
      <c r="AC571" s="41"/>
      <c r="AD571" s="41"/>
      <c r="AE571" s="59">
        <v>0</v>
      </c>
      <c r="AF571" s="59">
        <v>0</v>
      </c>
      <c r="AG571" s="59" t="s">
        <v>1264</v>
      </c>
      <c r="AH571" s="59" t="s">
        <v>1274</v>
      </c>
    </row>
    <row r="572" spans="1:34" x14ac:dyDescent="0.35">
      <c r="A572" s="58">
        <v>2024</v>
      </c>
      <c r="B572" s="58">
        <v>10</v>
      </c>
      <c r="C572">
        <v>10</v>
      </c>
      <c r="D572" s="58" t="s">
        <v>1491</v>
      </c>
      <c r="E572" t="s">
        <v>1264</v>
      </c>
      <c r="F572" s="58" t="s">
        <v>1524</v>
      </c>
      <c r="G572" t="s">
        <v>1525</v>
      </c>
      <c r="H572" s="58" t="s">
        <v>1012</v>
      </c>
      <c r="I572" t="s">
        <v>1012</v>
      </c>
      <c r="J572" s="58" t="s">
        <v>1012</v>
      </c>
      <c r="K572" t="s">
        <v>1429</v>
      </c>
      <c r="L572" t="s">
        <v>20</v>
      </c>
      <c r="M572" t="s">
        <v>1430</v>
      </c>
      <c r="N572" s="59">
        <v>0</v>
      </c>
      <c r="O572" s="59">
        <v>0</v>
      </c>
      <c r="P572" s="59">
        <v>0</v>
      </c>
      <c r="Q572" s="59">
        <v>0</v>
      </c>
      <c r="R572" s="59">
        <v>0</v>
      </c>
      <c r="S572" s="59">
        <v>0</v>
      </c>
      <c r="T572" s="41"/>
      <c r="U572" s="41"/>
      <c r="V572" s="41"/>
      <c r="W572" s="41"/>
      <c r="X572" s="41"/>
      <c r="Y572" s="41"/>
      <c r="Z572" s="41"/>
      <c r="AA572" s="41"/>
      <c r="AB572" s="41"/>
      <c r="AC572" s="41"/>
      <c r="AD572" s="41"/>
      <c r="AE572" s="59">
        <v>0</v>
      </c>
      <c r="AF572" s="59">
        <v>0</v>
      </c>
      <c r="AG572" s="59" t="s">
        <v>1264</v>
      </c>
      <c r="AH572" s="59" t="s">
        <v>1277</v>
      </c>
    </row>
    <row r="573" spans="1:34" x14ac:dyDescent="0.35">
      <c r="A573" s="58">
        <v>2024</v>
      </c>
      <c r="B573" s="58">
        <v>10</v>
      </c>
      <c r="C573">
        <v>10</v>
      </c>
      <c r="D573" s="58" t="s">
        <v>1491</v>
      </c>
      <c r="E573" t="s">
        <v>1264</v>
      </c>
      <c r="F573" s="58" t="s">
        <v>1468</v>
      </c>
      <c r="G573" t="s">
        <v>1012</v>
      </c>
      <c r="H573" s="58" t="s">
        <v>1012</v>
      </c>
      <c r="I573" t="s">
        <v>1012</v>
      </c>
      <c r="J573" s="58" t="s">
        <v>1012</v>
      </c>
      <c r="K573" t="s">
        <v>1429</v>
      </c>
      <c r="L573" t="s">
        <v>20</v>
      </c>
      <c r="M573" t="s">
        <v>1430</v>
      </c>
      <c r="N573" s="59">
        <v>0</v>
      </c>
      <c r="O573" s="59">
        <v>0</v>
      </c>
      <c r="P573" s="59">
        <v>0</v>
      </c>
      <c r="Q573" s="59">
        <v>-321470064</v>
      </c>
      <c r="R573" s="59">
        <v>0</v>
      </c>
      <c r="S573" s="59">
        <v>321470064</v>
      </c>
      <c r="T573" s="41"/>
      <c r="U573" s="41"/>
      <c r="V573" s="41"/>
      <c r="W573" s="41"/>
      <c r="X573" s="41"/>
      <c r="Y573" s="41"/>
      <c r="Z573" s="41"/>
      <c r="AA573" s="41"/>
      <c r="AB573" s="41"/>
      <c r="AC573" s="41"/>
      <c r="AD573" s="41"/>
      <c r="AE573" s="59">
        <v>12973.660925666349</v>
      </c>
      <c r="AF573" s="59">
        <v>0</v>
      </c>
      <c r="AG573" s="59" t="s">
        <v>1264</v>
      </c>
      <c r="AH573" s="59" t="s">
        <v>1284</v>
      </c>
    </row>
    <row r="574" spans="1:34" x14ac:dyDescent="0.35">
      <c r="A574" s="58">
        <v>2024</v>
      </c>
      <c r="B574" s="58">
        <v>10</v>
      </c>
      <c r="C574">
        <v>10</v>
      </c>
      <c r="D574" s="58" t="s">
        <v>1491</v>
      </c>
      <c r="E574" t="s">
        <v>1264</v>
      </c>
      <c r="F574" s="58" t="s">
        <v>1496</v>
      </c>
      <c r="G574" t="s">
        <v>1497</v>
      </c>
      <c r="H574" s="58" t="s">
        <v>1012</v>
      </c>
      <c r="I574" t="s">
        <v>1012</v>
      </c>
      <c r="J574" s="58" t="s">
        <v>1012</v>
      </c>
      <c r="K574" t="s">
        <v>1429</v>
      </c>
      <c r="L574" t="s">
        <v>20</v>
      </c>
      <c r="M574" t="s">
        <v>1430</v>
      </c>
      <c r="N574" s="59">
        <v>0</v>
      </c>
      <c r="O574" s="59">
        <v>0</v>
      </c>
      <c r="P574" s="59">
        <v>0</v>
      </c>
      <c r="Q574" s="59">
        <v>0</v>
      </c>
      <c r="R574" s="59">
        <v>0</v>
      </c>
      <c r="S574" s="59">
        <v>0</v>
      </c>
      <c r="T574" s="41"/>
      <c r="U574" s="41"/>
      <c r="V574" s="41"/>
      <c r="W574" s="41"/>
      <c r="X574" s="41"/>
      <c r="Y574" s="41"/>
      <c r="Z574" s="41"/>
      <c r="AA574" s="41"/>
      <c r="AB574" s="41"/>
      <c r="AC574" s="41"/>
      <c r="AD574" s="41"/>
      <c r="AE574" s="59">
        <v>0</v>
      </c>
      <c r="AF574" s="59">
        <v>0</v>
      </c>
      <c r="AG574" s="59" t="s">
        <v>1264</v>
      </c>
      <c r="AH574" s="59" t="s">
        <v>1329</v>
      </c>
    </row>
    <row r="575" spans="1:34" x14ac:dyDescent="0.35">
      <c r="A575" s="58">
        <v>2024</v>
      </c>
      <c r="B575" s="58">
        <v>11</v>
      </c>
      <c r="C575">
        <v>11</v>
      </c>
      <c r="D575" s="58" t="s">
        <v>625</v>
      </c>
      <c r="E575" t="s">
        <v>271</v>
      </c>
      <c r="F575" s="58" t="s">
        <v>194</v>
      </c>
      <c r="G575" t="s">
        <v>743</v>
      </c>
      <c r="H575" s="58" t="s">
        <v>1428</v>
      </c>
      <c r="I575" t="s">
        <v>76</v>
      </c>
      <c r="J575" s="58" t="s">
        <v>76</v>
      </c>
      <c r="K575" t="s">
        <v>1429</v>
      </c>
      <c r="L575" t="s">
        <v>20</v>
      </c>
      <c r="M575" t="s">
        <v>1430</v>
      </c>
      <c r="N575" s="59">
        <v>12375</v>
      </c>
      <c r="O575" s="59">
        <v>275367103</v>
      </c>
      <c r="P575" s="59">
        <v>0</v>
      </c>
      <c r="Q575" s="59">
        <v>0</v>
      </c>
      <c r="R575" s="59">
        <v>0</v>
      </c>
      <c r="S575" s="59">
        <v>275367103</v>
      </c>
      <c r="T575" s="41"/>
      <c r="U575" s="41"/>
      <c r="V575" s="41"/>
      <c r="W575" s="41"/>
      <c r="X575" s="41"/>
      <c r="Y575" s="41"/>
      <c r="Z575" s="41"/>
      <c r="AA575" s="41"/>
      <c r="AB575" s="41"/>
      <c r="AC575" s="41"/>
      <c r="AD575" s="41"/>
      <c r="AE575" s="59">
        <v>10932.354422114455</v>
      </c>
      <c r="AF575" s="59">
        <v>10932.354422114455</v>
      </c>
      <c r="AG575" s="59" t="s">
        <v>47</v>
      </c>
      <c r="AH575" s="59" t="s">
        <v>1246</v>
      </c>
    </row>
    <row r="576" spans="1:34" x14ac:dyDescent="0.35">
      <c r="A576" s="58">
        <v>2024</v>
      </c>
      <c r="B576" s="58">
        <v>11</v>
      </c>
      <c r="C576">
        <v>11</v>
      </c>
      <c r="D576" s="58" t="s">
        <v>625</v>
      </c>
      <c r="E576" t="s">
        <v>271</v>
      </c>
      <c r="F576" s="58" t="s">
        <v>195</v>
      </c>
      <c r="G576" t="s">
        <v>746</v>
      </c>
      <c r="H576" s="58" t="s">
        <v>1428</v>
      </c>
      <c r="I576" t="s">
        <v>76</v>
      </c>
      <c r="J576" s="58" t="s">
        <v>76</v>
      </c>
      <c r="K576" t="s">
        <v>1429</v>
      </c>
      <c r="L576" t="s">
        <v>20</v>
      </c>
      <c r="M576" t="s">
        <v>1430</v>
      </c>
      <c r="N576" s="59">
        <v>11000</v>
      </c>
      <c r="O576" s="59">
        <v>244770758</v>
      </c>
      <c r="P576" s="59">
        <v>0</v>
      </c>
      <c r="Q576" s="59">
        <v>0</v>
      </c>
      <c r="R576" s="59">
        <v>0</v>
      </c>
      <c r="S576" s="59">
        <v>244770758</v>
      </c>
      <c r="T576" s="41"/>
      <c r="U576" s="41"/>
      <c r="V576" s="41"/>
      <c r="W576" s="41"/>
      <c r="X576" s="41"/>
      <c r="Y576" s="41"/>
      <c r="Z576" s="41"/>
      <c r="AA576" s="41"/>
      <c r="AB576" s="41"/>
      <c r="AC576" s="41"/>
      <c r="AD576" s="41"/>
      <c r="AE576" s="59">
        <v>9717.6483663904</v>
      </c>
      <c r="AF576" s="59">
        <v>9717.6483663904</v>
      </c>
      <c r="AG576" s="59" t="s">
        <v>47</v>
      </c>
      <c r="AH576" s="59" t="s">
        <v>1247</v>
      </c>
    </row>
    <row r="577" spans="1:34" x14ac:dyDescent="0.35">
      <c r="A577" s="58">
        <v>2024</v>
      </c>
      <c r="B577" s="58">
        <v>11</v>
      </c>
      <c r="C577">
        <v>11</v>
      </c>
      <c r="D577" s="58" t="s">
        <v>625</v>
      </c>
      <c r="E577" t="s">
        <v>271</v>
      </c>
      <c r="F577" s="58" t="s">
        <v>196</v>
      </c>
      <c r="G577" t="s">
        <v>749</v>
      </c>
      <c r="H577" s="58" t="s">
        <v>1428</v>
      </c>
      <c r="I577" t="s">
        <v>76</v>
      </c>
      <c r="J577" s="58" t="s">
        <v>76</v>
      </c>
      <c r="K577" t="s">
        <v>1429</v>
      </c>
      <c r="L577" t="s">
        <v>20</v>
      </c>
      <c r="M577" t="s">
        <v>1430</v>
      </c>
      <c r="N577" s="59">
        <v>1375</v>
      </c>
      <c r="O577" s="59">
        <v>30596345</v>
      </c>
      <c r="P577" s="59">
        <v>0</v>
      </c>
      <c r="Q577" s="59">
        <v>0</v>
      </c>
      <c r="R577" s="59">
        <v>0</v>
      </c>
      <c r="S577" s="59">
        <v>30596345</v>
      </c>
      <c r="T577" s="41"/>
      <c r="U577" s="41"/>
      <c r="V577" s="41"/>
      <c r="W577" s="41"/>
      <c r="X577" s="41"/>
      <c r="Y577" s="41"/>
      <c r="Z577" s="41"/>
      <c r="AA577" s="41"/>
      <c r="AB577" s="41"/>
      <c r="AC577" s="41"/>
      <c r="AD577" s="41"/>
      <c r="AE577" s="59">
        <v>1214.7060557240545</v>
      </c>
      <c r="AF577" s="59">
        <v>1214.7060557240545</v>
      </c>
      <c r="AG577" s="59" t="s">
        <v>47</v>
      </c>
      <c r="AH577" s="59" t="s">
        <v>1248</v>
      </c>
    </row>
    <row r="578" spans="1:34" x14ac:dyDescent="0.35">
      <c r="A578" s="58">
        <v>2024</v>
      </c>
      <c r="B578" s="58">
        <v>11</v>
      </c>
      <c r="C578">
        <v>11</v>
      </c>
      <c r="D578" s="58" t="s">
        <v>625</v>
      </c>
      <c r="E578" t="s">
        <v>271</v>
      </c>
      <c r="F578" s="58" t="s">
        <v>197</v>
      </c>
      <c r="G578" t="s">
        <v>752</v>
      </c>
      <c r="H578" s="58" t="s">
        <v>1428</v>
      </c>
      <c r="I578" t="s">
        <v>76</v>
      </c>
      <c r="J578" s="58" t="s">
        <v>76</v>
      </c>
      <c r="K578" t="s">
        <v>1429</v>
      </c>
      <c r="L578" t="s">
        <v>20</v>
      </c>
      <c r="M578" t="s">
        <v>1430</v>
      </c>
      <c r="N578" s="59">
        <v>4125</v>
      </c>
      <c r="O578" s="59">
        <v>91789034</v>
      </c>
      <c r="P578" s="59">
        <v>0</v>
      </c>
      <c r="Q578" s="59">
        <v>0</v>
      </c>
      <c r="R578" s="59">
        <v>0</v>
      </c>
      <c r="S578" s="59">
        <v>91789034</v>
      </c>
      <c r="T578" s="41"/>
      <c r="U578" s="41"/>
      <c r="V578" s="41"/>
      <c r="W578" s="41"/>
      <c r="X578" s="41"/>
      <c r="Y578" s="41"/>
      <c r="Z578" s="41"/>
      <c r="AA578" s="41"/>
      <c r="AB578" s="41"/>
      <c r="AC578" s="41"/>
      <c r="AD578" s="41"/>
      <c r="AE578" s="59">
        <v>3644.1181274711453</v>
      </c>
      <c r="AF578" s="59">
        <v>3644.1181274711453</v>
      </c>
      <c r="AG578" s="59" t="s">
        <v>47</v>
      </c>
      <c r="AH578" s="59" t="s">
        <v>1249</v>
      </c>
    </row>
    <row r="579" spans="1:34" x14ac:dyDescent="0.35">
      <c r="A579" s="58">
        <v>2024</v>
      </c>
      <c r="B579" s="58">
        <v>11</v>
      </c>
      <c r="C579">
        <v>11</v>
      </c>
      <c r="D579" s="58" t="s">
        <v>625</v>
      </c>
      <c r="E579" t="s">
        <v>271</v>
      </c>
      <c r="F579" s="58" t="s">
        <v>187</v>
      </c>
      <c r="G579" t="s">
        <v>869</v>
      </c>
      <c r="H579" s="58" t="s">
        <v>1428</v>
      </c>
      <c r="I579" t="s">
        <v>75</v>
      </c>
      <c r="J579" s="58" t="s">
        <v>75</v>
      </c>
      <c r="K579" t="s">
        <v>1429</v>
      </c>
      <c r="L579" t="s">
        <v>20</v>
      </c>
      <c r="M579" t="s">
        <v>1430</v>
      </c>
      <c r="N579" s="59">
        <v>5500</v>
      </c>
      <c r="O579" s="59">
        <v>183768750</v>
      </c>
      <c r="P579" s="59">
        <v>0</v>
      </c>
      <c r="Q579" s="59">
        <v>0</v>
      </c>
      <c r="R579" s="59">
        <v>0</v>
      </c>
      <c r="S579" s="59">
        <v>183768750</v>
      </c>
      <c r="T579" s="41"/>
      <c r="U579" s="41"/>
      <c r="V579" s="41"/>
      <c r="W579" s="41"/>
      <c r="X579" s="41"/>
      <c r="Y579" s="41"/>
      <c r="Z579" s="41"/>
      <c r="AA579" s="41"/>
      <c r="AB579" s="41"/>
      <c r="AC579" s="41"/>
      <c r="AD579" s="41"/>
      <c r="AE579" s="59">
        <v>7295.806524532255</v>
      </c>
      <c r="AF579" s="59">
        <v>7295.806524532255</v>
      </c>
      <c r="AG579" s="59" t="s">
        <v>47</v>
      </c>
      <c r="AH579" s="59" t="s">
        <v>1203</v>
      </c>
    </row>
    <row r="580" spans="1:34" x14ac:dyDescent="0.35">
      <c r="A580" s="58">
        <v>2024</v>
      </c>
      <c r="B580" s="58">
        <v>11</v>
      </c>
      <c r="C580">
        <v>11</v>
      </c>
      <c r="D580" s="58" t="s">
        <v>625</v>
      </c>
      <c r="E580" t="s">
        <v>271</v>
      </c>
      <c r="F580" s="58" t="s">
        <v>218</v>
      </c>
      <c r="G580" t="s">
        <v>944</v>
      </c>
      <c r="H580" s="58" t="s">
        <v>21</v>
      </c>
      <c r="I580" t="s">
        <v>21</v>
      </c>
      <c r="J580" s="58" t="s">
        <v>21</v>
      </c>
      <c r="K580" t="s">
        <v>1429</v>
      </c>
      <c r="L580" t="s">
        <v>20</v>
      </c>
      <c r="M580" t="s">
        <v>1430</v>
      </c>
      <c r="N580" s="59">
        <v>22000</v>
      </c>
      <c r="O580" s="59">
        <v>486129600</v>
      </c>
      <c r="P580" s="59">
        <v>0</v>
      </c>
      <c r="Q580" s="59">
        <v>0</v>
      </c>
      <c r="R580" s="59">
        <v>0</v>
      </c>
      <c r="S580" s="59">
        <v>486129600</v>
      </c>
      <c r="T580" s="41"/>
      <c r="U580" s="41"/>
      <c r="V580" s="41"/>
      <c r="W580" s="41"/>
      <c r="X580" s="41"/>
      <c r="Y580" s="41"/>
      <c r="Z580" s="41"/>
      <c r="AA580" s="41"/>
      <c r="AB580" s="41"/>
      <c r="AC580" s="41"/>
      <c r="AD580" s="41"/>
      <c r="AE580" s="59">
        <v>19299.840192895994</v>
      </c>
      <c r="AF580" s="59">
        <v>19299.840192895994</v>
      </c>
      <c r="AG580" s="59" t="s">
        <v>47</v>
      </c>
      <c r="AH580" s="59" t="s">
        <v>1360</v>
      </c>
    </row>
    <row r="581" spans="1:34" x14ac:dyDescent="0.35">
      <c r="A581" s="58">
        <v>2024</v>
      </c>
      <c r="B581" s="58">
        <v>11</v>
      </c>
      <c r="C581">
        <v>11</v>
      </c>
      <c r="D581" s="58" t="s">
        <v>1433</v>
      </c>
      <c r="E581" t="s">
        <v>1276</v>
      </c>
      <c r="F581" s="58" t="s">
        <v>1434</v>
      </c>
      <c r="G581" t="s">
        <v>1435</v>
      </c>
      <c r="H581" s="58" t="s">
        <v>1012</v>
      </c>
      <c r="I581" t="s">
        <v>1012</v>
      </c>
      <c r="J581" s="58" t="s">
        <v>1012</v>
      </c>
      <c r="K581" t="s">
        <v>1429</v>
      </c>
      <c r="L581" t="s">
        <v>20</v>
      </c>
      <c r="M581" t="s">
        <v>1430</v>
      </c>
      <c r="N581" s="59">
        <v>0</v>
      </c>
      <c r="O581" s="59">
        <v>0</v>
      </c>
      <c r="P581" s="59">
        <v>0</v>
      </c>
      <c r="Q581" s="59">
        <v>0</v>
      </c>
      <c r="R581" s="59">
        <v>0</v>
      </c>
      <c r="S581" s="59">
        <v>0</v>
      </c>
      <c r="T581" s="41"/>
      <c r="U581" s="41"/>
      <c r="V581" s="41"/>
      <c r="W581" s="41"/>
      <c r="X581" s="41"/>
      <c r="Y581" s="41"/>
      <c r="Z581" s="41"/>
      <c r="AA581" s="41"/>
      <c r="AB581" s="41"/>
      <c r="AC581" s="41"/>
      <c r="AD581" s="41"/>
      <c r="AE581" s="59">
        <v>0</v>
      </c>
      <c r="AF581" s="59">
        <v>0</v>
      </c>
      <c r="AG581" s="59" t="s">
        <v>1276</v>
      </c>
      <c r="AH581" s="59" t="s">
        <v>1319</v>
      </c>
    </row>
    <row r="582" spans="1:34" x14ac:dyDescent="0.35">
      <c r="A582" s="58">
        <v>2024</v>
      </c>
      <c r="B582" s="58">
        <v>11</v>
      </c>
      <c r="C582">
        <v>11</v>
      </c>
      <c r="D582" s="58" t="s">
        <v>640</v>
      </c>
      <c r="E582" t="s">
        <v>552</v>
      </c>
      <c r="F582" s="58" t="s">
        <v>168</v>
      </c>
      <c r="G582" t="s">
        <v>700</v>
      </c>
      <c r="H582" s="58" t="s">
        <v>4</v>
      </c>
      <c r="I582" t="s">
        <v>4</v>
      </c>
      <c r="J582" s="58" t="s">
        <v>4</v>
      </c>
      <c r="K582" t="s">
        <v>1429</v>
      </c>
      <c r="L582" t="s">
        <v>20</v>
      </c>
      <c r="M582" t="s">
        <v>1430</v>
      </c>
      <c r="N582" s="59">
        <v>110000</v>
      </c>
      <c r="O582" s="59">
        <v>3693360000</v>
      </c>
      <c r="P582" s="59">
        <v>16273927.853231106</v>
      </c>
      <c r="Q582" s="59">
        <v>0</v>
      </c>
      <c r="R582" s="59">
        <v>15400000</v>
      </c>
      <c r="S582" s="59">
        <v>3661686072.146769</v>
      </c>
      <c r="T582" s="41"/>
      <c r="U582" s="41"/>
      <c r="V582" s="41"/>
      <c r="W582" s="41"/>
      <c r="X582" s="41"/>
      <c r="Y582" s="41"/>
      <c r="Z582" s="41"/>
      <c r="AA582" s="41"/>
      <c r="AB582" s="41"/>
      <c r="AC582" s="41"/>
      <c r="AD582" s="41"/>
      <c r="AE582" s="59">
        <v>145372.66611410963</v>
      </c>
      <c r="AF582" s="59">
        <v>146630.15330651402</v>
      </c>
      <c r="AG582" s="59" t="s">
        <v>99</v>
      </c>
      <c r="AH582" s="59" t="s">
        <v>1160</v>
      </c>
    </row>
    <row r="583" spans="1:34" x14ac:dyDescent="0.35">
      <c r="A583" s="58">
        <v>2024</v>
      </c>
      <c r="B583" s="58">
        <v>11</v>
      </c>
      <c r="C583">
        <v>11</v>
      </c>
      <c r="D583" s="58" t="s">
        <v>640</v>
      </c>
      <c r="E583" t="s">
        <v>552</v>
      </c>
      <c r="F583" s="58" t="s">
        <v>1466</v>
      </c>
      <c r="G583" t="s">
        <v>1467</v>
      </c>
      <c r="H583" s="58" t="s">
        <v>1012</v>
      </c>
      <c r="I583" t="s">
        <v>1012</v>
      </c>
      <c r="J583" s="58" t="s">
        <v>1012</v>
      </c>
      <c r="K583" t="s">
        <v>1429</v>
      </c>
      <c r="L583" t="s">
        <v>20</v>
      </c>
      <c r="M583" t="s">
        <v>1430</v>
      </c>
      <c r="N583" s="59">
        <v>0</v>
      </c>
      <c r="O583" s="59">
        <v>5722224619</v>
      </c>
      <c r="P583" s="59">
        <v>0</v>
      </c>
      <c r="Q583" s="59">
        <v>0</v>
      </c>
      <c r="R583" s="59">
        <v>0</v>
      </c>
      <c r="S583" s="59">
        <v>5722224619</v>
      </c>
      <c r="T583" s="41"/>
      <c r="U583" s="41"/>
      <c r="V583" s="41"/>
      <c r="W583" s="41"/>
      <c r="X583" s="41"/>
      <c r="Y583" s="41"/>
      <c r="Z583" s="41"/>
      <c r="AA583" s="41"/>
      <c r="AB583" s="41"/>
      <c r="AC583" s="41"/>
      <c r="AD583" s="41"/>
      <c r="AE583" s="59">
        <v>227178.14487032912</v>
      </c>
      <c r="AF583" s="59">
        <v>227178.14487032912</v>
      </c>
      <c r="AG583" s="59" t="s">
        <v>99</v>
      </c>
      <c r="AH583" s="59" t="s">
        <v>1306</v>
      </c>
    </row>
    <row r="584" spans="1:34" x14ac:dyDescent="0.35">
      <c r="A584" s="58">
        <v>2024</v>
      </c>
      <c r="B584" s="58">
        <v>11</v>
      </c>
      <c r="C584">
        <v>11</v>
      </c>
      <c r="D584" s="58" t="s">
        <v>589</v>
      </c>
      <c r="E584" t="s">
        <v>322</v>
      </c>
      <c r="F584" s="58" t="s">
        <v>171</v>
      </c>
      <c r="G584" t="s">
        <v>731</v>
      </c>
      <c r="H584" s="58" t="s">
        <v>4</v>
      </c>
      <c r="I584" t="s">
        <v>4</v>
      </c>
      <c r="J584" s="58" t="s">
        <v>4</v>
      </c>
      <c r="K584" t="s">
        <v>1429</v>
      </c>
      <c r="L584" t="s">
        <v>20</v>
      </c>
      <c r="M584" t="s">
        <v>1430</v>
      </c>
      <c r="N584" s="59">
        <v>242000</v>
      </c>
      <c r="O584" s="59">
        <v>7863306000</v>
      </c>
      <c r="P584" s="59">
        <v>39780712.530120492</v>
      </c>
      <c r="Q584" s="59">
        <v>0</v>
      </c>
      <c r="R584" s="59">
        <v>33880000</v>
      </c>
      <c r="S584" s="59">
        <v>7789645287.4698801</v>
      </c>
      <c r="T584" s="41"/>
      <c r="U584" s="41"/>
      <c r="V584" s="41"/>
      <c r="W584" s="41"/>
      <c r="X584" s="41"/>
      <c r="Y584" s="41"/>
      <c r="Z584" s="41"/>
      <c r="AA584" s="41"/>
      <c r="AB584" s="41"/>
      <c r="AC584" s="41"/>
      <c r="AD584" s="41"/>
      <c r="AE584" s="59">
        <v>309256.85086346121</v>
      </c>
      <c r="AF584" s="59">
        <v>312181.25616675103</v>
      </c>
      <c r="AG584" s="59" t="s">
        <v>5</v>
      </c>
      <c r="AH584" s="59" t="s">
        <v>1166</v>
      </c>
    </row>
    <row r="585" spans="1:34" x14ac:dyDescent="0.35">
      <c r="A585" s="58">
        <v>2024</v>
      </c>
      <c r="B585" s="58">
        <v>11</v>
      </c>
      <c r="C585">
        <v>11</v>
      </c>
      <c r="D585" s="58" t="s">
        <v>621</v>
      </c>
      <c r="E585" t="s">
        <v>257</v>
      </c>
      <c r="F585" s="58" t="s">
        <v>167</v>
      </c>
      <c r="G585" t="s">
        <v>693</v>
      </c>
      <c r="H585" s="58" t="s">
        <v>4</v>
      </c>
      <c r="I585" t="s">
        <v>4</v>
      </c>
      <c r="J585" s="58" t="s">
        <v>4</v>
      </c>
      <c r="K585" t="s">
        <v>1429</v>
      </c>
      <c r="L585" t="s">
        <v>20</v>
      </c>
      <c r="M585" t="s">
        <v>1430</v>
      </c>
      <c r="N585" s="59">
        <v>79200</v>
      </c>
      <c r="O585" s="59">
        <v>2652255144</v>
      </c>
      <c r="P585" s="59">
        <v>13019142.282584883</v>
      </c>
      <c r="Q585" s="59">
        <v>0</v>
      </c>
      <c r="R585" s="59">
        <v>11926074.074074071</v>
      </c>
      <c r="S585" s="59">
        <v>2627309927.6433415</v>
      </c>
      <c r="T585" s="41"/>
      <c r="U585" s="41"/>
      <c r="V585" s="41"/>
      <c r="W585" s="41"/>
      <c r="X585" s="41"/>
      <c r="Y585" s="41"/>
      <c r="Z585" s="41"/>
      <c r="AA585" s="41"/>
      <c r="AB585" s="41"/>
      <c r="AC585" s="41"/>
      <c r="AD585" s="41"/>
      <c r="AE585" s="59">
        <v>104306.87977182548</v>
      </c>
      <c r="AF585" s="59">
        <v>105297.23026531679</v>
      </c>
      <c r="AG585" s="59" t="s">
        <v>16</v>
      </c>
      <c r="AH585" s="59" t="s">
        <v>1156</v>
      </c>
    </row>
    <row r="586" spans="1:34" x14ac:dyDescent="0.35">
      <c r="A586" s="58">
        <v>2024</v>
      </c>
      <c r="B586" s="58">
        <v>11</v>
      </c>
      <c r="C586">
        <v>11</v>
      </c>
      <c r="D586" s="58" t="s">
        <v>665</v>
      </c>
      <c r="E586" t="s">
        <v>498</v>
      </c>
      <c r="F586" s="58" t="s">
        <v>172</v>
      </c>
      <c r="G586" t="s">
        <v>734</v>
      </c>
      <c r="H586" s="58" t="s">
        <v>4</v>
      </c>
      <c r="I586" t="s">
        <v>4</v>
      </c>
      <c r="J586" s="58" t="s">
        <v>4</v>
      </c>
      <c r="K586" t="s">
        <v>1429</v>
      </c>
      <c r="L586" t="s">
        <v>20</v>
      </c>
      <c r="M586" t="s">
        <v>1430</v>
      </c>
      <c r="N586" s="59">
        <v>2200</v>
      </c>
      <c r="O586" s="59">
        <v>79043800</v>
      </c>
      <c r="P586" s="59">
        <v>361642.84118291346</v>
      </c>
      <c r="Q586" s="59">
        <v>0</v>
      </c>
      <c r="R586" s="59">
        <v>0</v>
      </c>
      <c r="S586" s="59">
        <v>78682157.158817083</v>
      </c>
      <c r="T586" s="41"/>
      <c r="U586" s="41"/>
      <c r="V586" s="41"/>
      <c r="W586" s="41"/>
      <c r="X586" s="41"/>
      <c r="Y586" s="41"/>
      <c r="Z586" s="41"/>
      <c r="AA586" s="41"/>
      <c r="AB586" s="41"/>
      <c r="AC586" s="41"/>
      <c r="AD586" s="41"/>
      <c r="AE586" s="59">
        <v>3123.7617688729447</v>
      </c>
      <c r="AF586" s="59">
        <v>3138.1193579638684</v>
      </c>
      <c r="AG586" s="59" t="s">
        <v>8</v>
      </c>
      <c r="AH586" s="59" t="s">
        <v>1175</v>
      </c>
    </row>
    <row r="587" spans="1:34" x14ac:dyDescent="0.35">
      <c r="A587" s="58">
        <v>2024</v>
      </c>
      <c r="B587" s="58">
        <v>11</v>
      </c>
      <c r="C587">
        <v>11</v>
      </c>
      <c r="D587" s="58" t="s">
        <v>590</v>
      </c>
      <c r="E587" t="s">
        <v>500</v>
      </c>
      <c r="F587" s="58" t="s">
        <v>168</v>
      </c>
      <c r="G587" t="s">
        <v>700</v>
      </c>
      <c r="H587" s="58" t="s">
        <v>4</v>
      </c>
      <c r="I587" t="s">
        <v>4</v>
      </c>
      <c r="J587" s="58" t="s">
        <v>4</v>
      </c>
      <c r="K587" t="s">
        <v>1429</v>
      </c>
      <c r="L587" t="s">
        <v>20</v>
      </c>
      <c r="M587" t="s">
        <v>1430</v>
      </c>
      <c r="N587" s="59">
        <v>418000</v>
      </c>
      <c r="O587" s="59">
        <v>15401628000</v>
      </c>
      <c r="P587" s="59">
        <v>36164284.118291341</v>
      </c>
      <c r="Q587" s="59">
        <v>0</v>
      </c>
      <c r="R587" s="59">
        <v>219907407.40740728</v>
      </c>
      <c r="S587" s="59">
        <v>15040400048.474302</v>
      </c>
      <c r="T587" s="41"/>
      <c r="U587" s="41"/>
      <c r="V587" s="41"/>
      <c r="W587" s="41"/>
      <c r="X587" s="41"/>
      <c r="Y587" s="41"/>
      <c r="Z587" s="41"/>
      <c r="AA587" s="41"/>
      <c r="AB587" s="41"/>
      <c r="AC587" s="41"/>
      <c r="AD587" s="41"/>
      <c r="AE587" s="59">
        <v>597119.19902178179</v>
      </c>
      <c r="AF587" s="59">
        <v>611460.31657079177</v>
      </c>
      <c r="AG587" s="59" t="s">
        <v>8</v>
      </c>
      <c r="AH587" s="59" t="s">
        <v>1160</v>
      </c>
    </row>
    <row r="588" spans="1:34" x14ac:dyDescent="0.35">
      <c r="A588" s="58">
        <v>2024</v>
      </c>
      <c r="B588" s="58">
        <v>11</v>
      </c>
      <c r="C588">
        <v>11</v>
      </c>
      <c r="D588" s="58" t="s">
        <v>590</v>
      </c>
      <c r="E588" t="s">
        <v>500</v>
      </c>
      <c r="F588" s="58" t="s">
        <v>1535</v>
      </c>
      <c r="G588" t="s">
        <v>1536</v>
      </c>
      <c r="H588" s="58" t="s">
        <v>1012</v>
      </c>
      <c r="I588" t="s">
        <v>1012</v>
      </c>
      <c r="J588" s="58" t="s">
        <v>1012</v>
      </c>
      <c r="K588" t="s">
        <v>1429</v>
      </c>
      <c r="L588" t="s">
        <v>20</v>
      </c>
      <c r="M588" t="s">
        <v>1430</v>
      </c>
      <c r="N588" s="59">
        <v>0</v>
      </c>
      <c r="O588" s="59">
        <v>0</v>
      </c>
      <c r="P588" s="59">
        <v>0</v>
      </c>
      <c r="Q588" s="59">
        <v>0</v>
      </c>
      <c r="R588" s="59">
        <v>0</v>
      </c>
      <c r="S588" s="59">
        <v>105156260</v>
      </c>
      <c r="T588" s="41"/>
      <c r="U588" s="41"/>
      <c r="V588" s="41"/>
      <c r="W588" s="41"/>
      <c r="X588" s="41"/>
      <c r="Y588" s="41"/>
      <c r="Z588" s="41"/>
      <c r="AA588" s="41"/>
      <c r="AB588" s="41"/>
      <c r="AC588" s="41"/>
      <c r="AD588" s="41"/>
      <c r="AE588" s="59">
        <v>4174.8106128131694</v>
      </c>
      <c r="AF588" s="59">
        <v>0</v>
      </c>
      <c r="AG588" s="59" t="s">
        <v>8</v>
      </c>
      <c r="AH588" s="59" t="s">
        <v>1270</v>
      </c>
    </row>
    <row r="589" spans="1:34" x14ac:dyDescent="0.35">
      <c r="A589" s="58">
        <v>2024</v>
      </c>
      <c r="B589" s="58">
        <v>11</v>
      </c>
      <c r="C589">
        <v>11</v>
      </c>
      <c r="D589" s="58" t="s">
        <v>601</v>
      </c>
      <c r="E589" t="s">
        <v>501</v>
      </c>
      <c r="F589" s="58" t="s">
        <v>168</v>
      </c>
      <c r="G589" t="s">
        <v>700</v>
      </c>
      <c r="H589" s="58" t="s">
        <v>4</v>
      </c>
      <c r="I589" t="s">
        <v>4</v>
      </c>
      <c r="J589" s="58" t="s">
        <v>4</v>
      </c>
      <c r="K589" t="s">
        <v>1429</v>
      </c>
      <c r="L589" t="s">
        <v>20</v>
      </c>
      <c r="M589" t="s">
        <v>1431</v>
      </c>
      <c r="N589" s="59">
        <v>-13200</v>
      </c>
      <c r="O589" s="59">
        <v>0</v>
      </c>
      <c r="P589" s="59">
        <v>0</v>
      </c>
      <c r="Q589" s="59">
        <v>0</v>
      </c>
      <c r="R589" s="59">
        <v>0</v>
      </c>
      <c r="S589" s="59">
        <v>0</v>
      </c>
      <c r="T589" s="41"/>
      <c r="U589" s="41"/>
      <c r="V589" s="41"/>
      <c r="W589" s="41"/>
      <c r="X589" s="41"/>
      <c r="Y589" s="41"/>
      <c r="Z589" s="41"/>
      <c r="AA589" s="41"/>
      <c r="AB589" s="41"/>
      <c r="AC589" s="41"/>
      <c r="AD589" s="41"/>
      <c r="AE589" s="59">
        <v>0</v>
      </c>
      <c r="AF589" s="59">
        <v>0</v>
      </c>
      <c r="AG589" s="59" t="s">
        <v>109</v>
      </c>
      <c r="AH589" s="59" t="s">
        <v>1160</v>
      </c>
    </row>
    <row r="590" spans="1:34" x14ac:dyDescent="0.35">
      <c r="A590" s="58">
        <v>2024</v>
      </c>
      <c r="B590" s="58">
        <v>11</v>
      </c>
      <c r="C590">
        <v>11</v>
      </c>
      <c r="D590" s="58" t="s">
        <v>601</v>
      </c>
      <c r="E590" t="s">
        <v>501</v>
      </c>
      <c r="F590" s="58" t="s">
        <v>168</v>
      </c>
      <c r="G590" t="s">
        <v>700</v>
      </c>
      <c r="H590" s="58" t="s">
        <v>4</v>
      </c>
      <c r="I590" t="s">
        <v>4</v>
      </c>
      <c r="J590" s="58" t="s">
        <v>4</v>
      </c>
      <c r="K590" t="s">
        <v>1429</v>
      </c>
      <c r="L590" t="s">
        <v>20</v>
      </c>
      <c r="M590" t="s">
        <v>1432</v>
      </c>
      <c r="N590" s="59">
        <v>13200</v>
      </c>
      <c r="O590" s="59">
        <v>0</v>
      </c>
      <c r="P590" s="59">
        <v>0</v>
      </c>
      <c r="Q590" s="59">
        <v>0</v>
      </c>
      <c r="R590" s="59">
        <v>0</v>
      </c>
      <c r="S590" s="59">
        <v>0</v>
      </c>
      <c r="T590" s="41"/>
      <c r="U590" s="41"/>
      <c r="V590" s="41"/>
      <c r="W590" s="41"/>
      <c r="X590" s="41"/>
      <c r="Y590" s="41"/>
      <c r="Z590" s="41"/>
      <c r="AA590" s="41"/>
      <c r="AB590" s="41"/>
      <c r="AC590" s="41"/>
      <c r="AD590" s="41"/>
      <c r="AE590" s="59">
        <v>0</v>
      </c>
      <c r="AF590" s="59">
        <v>0</v>
      </c>
      <c r="AG590" s="59" t="s">
        <v>109</v>
      </c>
      <c r="AH590" s="59" t="s">
        <v>1160</v>
      </c>
    </row>
    <row r="591" spans="1:34" x14ac:dyDescent="0.35">
      <c r="A591" s="58">
        <v>2024</v>
      </c>
      <c r="B591" s="58">
        <v>11</v>
      </c>
      <c r="C591">
        <v>11</v>
      </c>
      <c r="D591" s="58" t="s">
        <v>601</v>
      </c>
      <c r="E591" t="s">
        <v>501</v>
      </c>
      <c r="F591" s="58" t="s">
        <v>171</v>
      </c>
      <c r="G591" t="s">
        <v>731</v>
      </c>
      <c r="H591" s="58" t="s">
        <v>4</v>
      </c>
      <c r="I591" t="s">
        <v>4</v>
      </c>
      <c r="J591" s="58" t="s">
        <v>4</v>
      </c>
      <c r="K591" t="s">
        <v>1429</v>
      </c>
      <c r="L591" t="s">
        <v>20</v>
      </c>
      <c r="M591" t="s">
        <v>1430</v>
      </c>
      <c r="N591" s="59">
        <v>71500</v>
      </c>
      <c r="O591" s="59">
        <v>2275028800</v>
      </c>
      <c r="P591" s="59">
        <v>11753392.338444687</v>
      </c>
      <c r="Q591" s="59">
        <v>0</v>
      </c>
      <c r="R591" s="59">
        <v>9086000</v>
      </c>
      <c r="S591" s="59">
        <v>2254189407.6615553</v>
      </c>
      <c r="T591" s="41"/>
      <c r="U591" s="41"/>
      <c r="V591" s="41"/>
      <c r="W591" s="41"/>
      <c r="X591" s="41"/>
      <c r="Y591" s="41"/>
      <c r="Z591" s="41"/>
      <c r="AA591" s="41"/>
      <c r="AB591" s="41"/>
      <c r="AC591" s="41"/>
      <c r="AD591" s="41"/>
      <c r="AE591" s="59">
        <v>89493.615143753646</v>
      </c>
      <c r="AF591" s="59">
        <v>90320.960242363231</v>
      </c>
      <c r="AG591" s="59" t="s">
        <v>109</v>
      </c>
      <c r="AH591" s="59" t="s">
        <v>1166</v>
      </c>
    </row>
    <row r="592" spans="1:34" x14ac:dyDescent="0.35">
      <c r="A592" s="58">
        <v>2024</v>
      </c>
      <c r="B592" s="58">
        <v>11</v>
      </c>
      <c r="C592">
        <v>11</v>
      </c>
      <c r="D592" s="58" t="s">
        <v>601</v>
      </c>
      <c r="E592" t="s">
        <v>501</v>
      </c>
      <c r="F592" s="58" t="s">
        <v>172</v>
      </c>
      <c r="G592" t="s">
        <v>734</v>
      </c>
      <c r="H592" s="58" t="s">
        <v>4</v>
      </c>
      <c r="I592" t="s">
        <v>4</v>
      </c>
      <c r="J592" s="58" t="s">
        <v>4</v>
      </c>
      <c r="K592" t="s">
        <v>1429</v>
      </c>
      <c r="L592" t="s">
        <v>20</v>
      </c>
      <c r="M592" t="s">
        <v>1430</v>
      </c>
      <c r="N592" s="59">
        <v>2200</v>
      </c>
      <c r="O592" s="59">
        <v>79041600</v>
      </c>
      <c r="P592" s="59">
        <v>361642.84118291346</v>
      </c>
      <c r="Q592" s="59">
        <v>0</v>
      </c>
      <c r="R592" s="59">
        <v>0</v>
      </c>
      <c r="S592" s="59">
        <v>78679957.158817083</v>
      </c>
      <c r="T592" s="41"/>
      <c r="U592" s="41"/>
      <c r="V592" s="41"/>
      <c r="W592" s="41"/>
      <c r="X592" s="41"/>
      <c r="Y592" s="41"/>
      <c r="Z592" s="41"/>
      <c r="AA592" s="41"/>
      <c r="AB592" s="41"/>
      <c r="AC592" s="41"/>
      <c r="AD592" s="41"/>
      <c r="AE592" s="59">
        <v>3123.6744266324713</v>
      </c>
      <c r="AF592" s="59">
        <v>3138.0320157233955</v>
      </c>
      <c r="AG592" s="59" t="s">
        <v>109</v>
      </c>
      <c r="AH592" s="59" t="s">
        <v>1175</v>
      </c>
    </row>
    <row r="593" spans="1:34" x14ac:dyDescent="0.35">
      <c r="A593" s="58">
        <v>2024</v>
      </c>
      <c r="B593" s="58">
        <v>11</v>
      </c>
      <c r="C593">
        <v>11</v>
      </c>
      <c r="D593" s="58" t="s">
        <v>620</v>
      </c>
      <c r="E593" t="s">
        <v>324</v>
      </c>
      <c r="F593" s="58" t="s">
        <v>168</v>
      </c>
      <c r="G593" t="s">
        <v>700</v>
      </c>
      <c r="H593" s="58" t="s">
        <v>4</v>
      </c>
      <c r="I593" t="s">
        <v>4</v>
      </c>
      <c r="J593" s="58" t="s">
        <v>4</v>
      </c>
      <c r="K593" t="s">
        <v>1429</v>
      </c>
      <c r="L593" t="s">
        <v>20</v>
      </c>
      <c r="M593" t="s">
        <v>1431</v>
      </c>
      <c r="N593" s="59">
        <v>-22000</v>
      </c>
      <c r="O593" s="59">
        <v>0</v>
      </c>
      <c r="P593" s="59">
        <v>0</v>
      </c>
      <c r="Q593" s="59">
        <v>0</v>
      </c>
      <c r="R593" s="59">
        <v>2464000</v>
      </c>
      <c r="S593" s="59">
        <v>-2464000</v>
      </c>
      <c r="T593" s="41"/>
      <c r="U593" s="41"/>
      <c r="V593" s="41"/>
      <c r="W593" s="41"/>
      <c r="X593" s="41"/>
      <c r="Y593" s="41"/>
      <c r="Z593" s="41"/>
      <c r="AA593" s="41"/>
      <c r="AB593" s="41"/>
      <c r="AC593" s="41"/>
      <c r="AD593" s="41"/>
      <c r="AE593" s="59">
        <v>-97.823309330054627</v>
      </c>
      <c r="AF593" s="59">
        <v>0</v>
      </c>
      <c r="AG593" s="59" t="s">
        <v>8</v>
      </c>
      <c r="AH593" s="59" t="s">
        <v>1160</v>
      </c>
    </row>
    <row r="594" spans="1:34" x14ac:dyDescent="0.35">
      <c r="A594" s="58">
        <v>2024</v>
      </c>
      <c r="B594" s="58">
        <v>11</v>
      </c>
      <c r="C594">
        <v>11</v>
      </c>
      <c r="D594" s="58" t="s">
        <v>620</v>
      </c>
      <c r="E594" t="s">
        <v>324</v>
      </c>
      <c r="F594" s="58" t="s">
        <v>168</v>
      </c>
      <c r="G594" t="s">
        <v>700</v>
      </c>
      <c r="H594" s="58" t="s">
        <v>4</v>
      </c>
      <c r="I594" t="s">
        <v>4</v>
      </c>
      <c r="J594" s="58" t="s">
        <v>4</v>
      </c>
      <c r="K594" t="s">
        <v>1429</v>
      </c>
      <c r="L594" t="s">
        <v>20</v>
      </c>
      <c r="M594" t="s">
        <v>1430</v>
      </c>
      <c r="N594" s="59">
        <v>88000</v>
      </c>
      <c r="O594" s="59">
        <v>3205950000</v>
      </c>
      <c r="P594" s="59">
        <v>14465713.647316538</v>
      </c>
      <c r="Q594" s="59">
        <v>0</v>
      </c>
      <c r="R594" s="59">
        <v>13728000</v>
      </c>
      <c r="S594" s="59">
        <v>3155618126.3526835</v>
      </c>
      <c r="T594" s="41"/>
      <c r="U594" s="41"/>
      <c r="V594" s="41"/>
      <c r="W594" s="41"/>
      <c r="X594" s="41"/>
      <c r="Y594" s="41"/>
      <c r="Z594" s="41"/>
      <c r="AA594" s="41"/>
      <c r="AB594" s="41"/>
      <c r="AC594" s="41"/>
      <c r="AD594" s="41"/>
      <c r="AE594" s="59">
        <v>125281.25328803815</v>
      </c>
      <c r="AF594" s="59">
        <v>127279.4799296626</v>
      </c>
      <c r="AG594" s="59" t="s">
        <v>8</v>
      </c>
      <c r="AH594" s="59" t="s">
        <v>1160</v>
      </c>
    </row>
    <row r="595" spans="1:34" x14ac:dyDescent="0.35">
      <c r="A595" s="58">
        <v>2024</v>
      </c>
      <c r="B595" s="58">
        <v>11</v>
      </c>
      <c r="C595">
        <v>11</v>
      </c>
      <c r="D595" s="58" t="s">
        <v>620</v>
      </c>
      <c r="E595" t="s">
        <v>324</v>
      </c>
      <c r="F595" s="58" t="s">
        <v>168</v>
      </c>
      <c r="G595" t="s">
        <v>700</v>
      </c>
      <c r="H595" s="58" t="s">
        <v>4</v>
      </c>
      <c r="I595" t="s">
        <v>4</v>
      </c>
      <c r="J595" s="58" t="s">
        <v>4</v>
      </c>
      <c r="K595" t="s">
        <v>1429</v>
      </c>
      <c r="L595" t="s">
        <v>20</v>
      </c>
      <c r="M595" t="s">
        <v>1432</v>
      </c>
      <c r="N595" s="59">
        <v>22000</v>
      </c>
      <c r="O595" s="59">
        <v>0</v>
      </c>
      <c r="P595" s="59">
        <v>0</v>
      </c>
      <c r="Q595" s="59">
        <v>0</v>
      </c>
      <c r="R595" s="59">
        <v>3520000</v>
      </c>
      <c r="S595" s="59">
        <v>-3520000</v>
      </c>
      <c r="T595" s="41"/>
      <c r="U595" s="41"/>
      <c r="V595" s="41"/>
      <c r="W595" s="41"/>
      <c r="X595" s="41"/>
      <c r="Y595" s="41"/>
      <c r="Z595" s="41"/>
      <c r="AA595" s="41"/>
      <c r="AB595" s="41"/>
      <c r="AC595" s="41"/>
      <c r="AD595" s="41"/>
      <c r="AE595" s="59">
        <v>-139.74758475722089</v>
      </c>
      <c r="AF595" s="59">
        <v>0</v>
      </c>
      <c r="AG595" s="59" t="s">
        <v>8</v>
      </c>
      <c r="AH595" s="59" t="s">
        <v>1160</v>
      </c>
    </row>
    <row r="596" spans="1:34" x14ac:dyDescent="0.35">
      <c r="A596" s="58">
        <v>2024</v>
      </c>
      <c r="B596" s="58">
        <v>11</v>
      </c>
      <c r="C596">
        <v>11</v>
      </c>
      <c r="D596" s="58" t="s">
        <v>620</v>
      </c>
      <c r="E596" t="s">
        <v>324</v>
      </c>
      <c r="F596" s="58" t="s">
        <v>1535</v>
      </c>
      <c r="G596" t="s">
        <v>1536</v>
      </c>
      <c r="H596" s="58" t="s">
        <v>1012</v>
      </c>
      <c r="I596" t="s">
        <v>1012</v>
      </c>
      <c r="J596" s="58" t="s">
        <v>1012</v>
      </c>
      <c r="K596" t="s">
        <v>1429</v>
      </c>
      <c r="L596" t="s">
        <v>20</v>
      </c>
      <c r="M596" t="s">
        <v>1430</v>
      </c>
      <c r="N596" s="59">
        <v>0</v>
      </c>
      <c r="O596" s="59">
        <v>0</v>
      </c>
      <c r="P596" s="59">
        <v>0</v>
      </c>
      <c r="Q596" s="59">
        <v>0</v>
      </c>
      <c r="R596" s="59">
        <v>0</v>
      </c>
      <c r="S596" s="59">
        <v>22138160</v>
      </c>
      <c r="T596" s="41"/>
      <c r="U596" s="41"/>
      <c r="V596" s="41"/>
      <c r="W596" s="41"/>
      <c r="X596" s="41"/>
      <c r="Y596" s="41"/>
      <c r="Z596" s="41"/>
      <c r="AA596" s="41"/>
      <c r="AB596" s="41"/>
      <c r="AC596" s="41"/>
      <c r="AD596" s="41"/>
      <c r="AE596" s="59">
        <v>878.90749743435151</v>
      </c>
      <c r="AF596" s="59">
        <v>0</v>
      </c>
      <c r="AG596" s="59" t="s">
        <v>8</v>
      </c>
      <c r="AH596" s="59" t="s">
        <v>1270</v>
      </c>
    </row>
    <row r="597" spans="1:34" x14ac:dyDescent="0.35">
      <c r="A597" s="58">
        <v>2024</v>
      </c>
      <c r="B597" s="58">
        <v>11</v>
      </c>
      <c r="C597">
        <v>11</v>
      </c>
      <c r="D597" s="58" t="s">
        <v>682</v>
      </c>
      <c r="E597" t="s">
        <v>156</v>
      </c>
      <c r="F597" s="58" t="s">
        <v>1468</v>
      </c>
      <c r="G597" t="s">
        <v>1012</v>
      </c>
      <c r="H597" s="58" t="s">
        <v>1012</v>
      </c>
      <c r="I597" t="s">
        <v>1012</v>
      </c>
      <c r="J597" s="58" t="s">
        <v>1012</v>
      </c>
      <c r="K597" t="s">
        <v>1429</v>
      </c>
      <c r="L597" t="s">
        <v>20</v>
      </c>
      <c r="M597" t="s">
        <v>1430</v>
      </c>
      <c r="N597" s="59">
        <v>0</v>
      </c>
      <c r="O597" s="59">
        <v>50866903</v>
      </c>
      <c r="P597" s="59">
        <v>0</v>
      </c>
      <c r="Q597" s="59">
        <v>0</v>
      </c>
      <c r="R597" s="59">
        <v>0</v>
      </c>
      <c r="S597" s="59">
        <v>50866903</v>
      </c>
      <c r="T597" s="41"/>
      <c r="U597" s="41"/>
      <c r="V597" s="41"/>
      <c r="W597" s="41"/>
      <c r="X597" s="41"/>
      <c r="Y597" s="41"/>
      <c r="Z597" s="41"/>
      <c r="AA597" s="41"/>
      <c r="AB597" s="41"/>
      <c r="AC597" s="41"/>
      <c r="AD597" s="41"/>
      <c r="AE597" s="59">
        <v>2019.4678517982484</v>
      </c>
      <c r="AF597" s="59">
        <v>2019.4678517982484</v>
      </c>
      <c r="AG597" s="59" t="s">
        <v>156</v>
      </c>
      <c r="AH597" s="59" t="s">
        <v>1284</v>
      </c>
    </row>
    <row r="598" spans="1:34" x14ac:dyDescent="0.35">
      <c r="A598" s="58">
        <v>2024</v>
      </c>
      <c r="B598" s="58">
        <v>11</v>
      </c>
      <c r="C598">
        <v>11</v>
      </c>
      <c r="D598" s="58" t="s">
        <v>1578</v>
      </c>
      <c r="E598" t="s">
        <v>1157</v>
      </c>
      <c r="F598" s="58" t="s">
        <v>1468</v>
      </c>
      <c r="G598" t="s">
        <v>1012</v>
      </c>
      <c r="H598" s="58" t="s">
        <v>1012</v>
      </c>
      <c r="I598" t="s">
        <v>1012</v>
      </c>
      <c r="J598" s="58" t="s">
        <v>1012</v>
      </c>
      <c r="K598" t="s">
        <v>1429</v>
      </c>
      <c r="L598" t="s">
        <v>20</v>
      </c>
      <c r="M598" t="s">
        <v>1430</v>
      </c>
      <c r="N598" s="59">
        <v>0</v>
      </c>
      <c r="O598" s="59">
        <v>18360000</v>
      </c>
      <c r="P598" s="59">
        <v>0</v>
      </c>
      <c r="Q598" s="59">
        <v>0</v>
      </c>
      <c r="R598" s="59">
        <v>0</v>
      </c>
      <c r="S598" s="59">
        <v>18360000</v>
      </c>
      <c r="T598" s="41"/>
      <c r="U598" s="41"/>
      <c r="V598" s="41"/>
      <c r="W598" s="41"/>
      <c r="X598" s="41"/>
      <c r="Y598" s="41"/>
      <c r="Z598" s="41"/>
      <c r="AA598" s="41"/>
      <c r="AB598" s="41"/>
      <c r="AC598" s="41"/>
      <c r="AD598" s="41"/>
      <c r="AE598" s="59">
        <v>728.91069776777715</v>
      </c>
      <c r="AF598" s="59">
        <v>728.91069776777715</v>
      </c>
      <c r="AG598" s="59" t="s">
        <v>1157</v>
      </c>
      <c r="AH598" s="59" t="s">
        <v>1284</v>
      </c>
    </row>
    <row r="599" spans="1:34" x14ac:dyDescent="0.35">
      <c r="A599" s="58">
        <v>2024</v>
      </c>
      <c r="B599" s="58">
        <v>11</v>
      </c>
      <c r="C599">
        <v>11</v>
      </c>
      <c r="D599" s="58" t="s">
        <v>615</v>
      </c>
      <c r="E599" t="s">
        <v>320</v>
      </c>
      <c r="F599" s="58" t="s">
        <v>168</v>
      </c>
      <c r="G599" t="s">
        <v>700</v>
      </c>
      <c r="H599" s="58" t="s">
        <v>4</v>
      </c>
      <c r="I599" t="s">
        <v>4</v>
      </c>
      <c r="J599" s="58" t="s">
        <v>4</v>
      </c>
      <c r="K599" t="s">
        <v>1429</v>
      </c>
      <c r="L599" t="s">
        <v>20</v>
      </c>
      <c r="M599" t="s">
        <v>1430</v>
      </c>
      <c r="N599" s="59">
        <v>44000</v>
      </c>
      <c r="O599" s="59">
        <v>1505196000</v>
      </c>
      <c r="P599" s="59">
        <v>3616428.4118291344</v>
      </c>
      <c r="Q599" s="59">
        <v>0</v>
      </c>
      <c r="R599" s="59">
        <v>23148148.148148142</v>
      </c>
      <c r="S599" s="59">
        <v>1478431423.4400227</v>
      </c>
      <c r="T599" s="41"/>
      <c r="U599" s="41"/>
      <c r="V599" s="41"/>
      <c r="W599" s="41"/>
      <c r="X599" s="41"/>
      <c r="Y599" s="41"/>
      <c r="Z599" s="41"/>
      <c r="AA599" s="41"/>
      <c r="AB599" s="41"/>
      <c r="AC599" s="41"/>
      <c r="AD599" s="41"/>
      <c r="AE599" s="59">
        <v>58695.233140603217</v>
      </c>
      <c r="AF599" s="59">
        <v>59757.814086997125</v>
      </c>
      <c r="AG599" s="59" t="s">
        <v>99</v>
      </c>
      <c r="AH599" s="59" t="s">
        <v>1160</v>
      </c>
    </row>
    <row r="600" spans="1:34" x14ac:dyDescent="0.35">
      <c r="A600" s="58">
        <v>2024</v>
      </c>
      <c r="B600" s="58">
        <v>11</v>
      </c>
      <c r="C600">
        <v>11</v>
      </c>
      <c r="D600" s="58" t="s">
        <v>1502</v>
      </c>
      <c r="E600" t="s">
        <v>1236</v>
      </c>
      <c r="F600" s="58" t="s">
        <v>879</v>
      </c>
      <c r="G600" t="s">
        <v>880</v>
      </c>
      <c r="H600" s="58" t="s">
        <v>1234</v>
      </c>
      <c r="I600" t="s">
        <v>1234</v>
      </c>
      <c r="J600" s="58" t="s">
        <v>1234</v>
      </c>
      <c r="K600" t="s">
        <v>1429</v>
      </c>
      <c r="L600" t="s">
        <v>20</v>
      </c>
      <c r="M600" t="s">
        <v>1430</v>
      </c>
      <c r="N600" s="59">
        <v>115000</v>
      </c>
      <c r="O600" s="59">
        <v>2168000000</v>
      </c>
      <c r="P600" s="59">
        <v>0</v>
      </c>
      <c r="Q600" s="59">
        <v>159300000.00000003</v>
      </c>
      <c r="R600" s="59">
        <v>0</v>
      </c>
      <c r="S600" s="59">
        <v>2008700000</v>
      </c>
      <c r="T600" s="41"/>
      <c r="U600" s="41"/>
      <c r="V600" s="41"/>
      <c r="W600" s="41"/>
      <c r="X600" s="41"/>
      <c r="Y600" s="41"/>
      <c r="Z600" s="41"/>
      <c r="AA600" s="41"/>
      <c r="AB600" s="41"/>
      <c r="AC600" s="41"/>
      <c r="AD600" s="41"/>
      <c r="AE600" s="59">
        <v>79747.435653928871</v>
      </c>
      <c r="AF600" s="59">
        <v>86071.807884561058</v>
      </c>
      <c r="AG600" s="59" t="s">
        <v>1236</v>
      </c>
      <c r="AH600" s="59" t="s">
        <v>1235</v>
      </c>
    </row>
    <row r="601" spans="1:34" x14ac:dyDescent="0.35">
      <c r="A601" s="58">
        <v>2024</v>
      </c>
      <c r="B601" s="58">
        <v>11</v>
      </c>
      <c r="C601">
        <v>11</v>
      </c>
      <c r="D601" s="58" t="s">
        <v>1469</v>
      </c>
      <c r="E601" t="s">
        <v>1211</v>
      </c>
      <c r="F601" s="58" t="s">
        <v>1472</v>
      </c>
      <c r="G601" t="s">
        <v>1473</v>
      </c>
      <c r="H601" s="58" t="s">
        <v>1012</v>
      </c>
      <c r="I601" t="s">
        <v>86</v>
      </c>
      <c r="J601" s="58" t="s">
        <v>86</v>
      </c>
      <c r="K601" t="s">
        <v>1429</v>
      </c>
      <c r="L601" t="s">
        <v>20</v>
      </c>
      <c r="M601" t="s">
        <v>1430</v>
      </c>
      <c r="N601" s="59">
        <v>12114</v>
      </c>
      <c r="O601" s="59">
        <v>256816800</v>
      </c>
      <c r="P601" s="59">
        <v>0</v>
      </c>
      <c r="Q601" s="59">
        <v>0</v>
      </c>
      <c r="R601" s="59">
        <v>0</v>
      </c>
      <c r="S601" s="59">
        <v>256816800</v>
      </c>
      <c r="T601" s="41"/>
      <c r="U601" s="41"/>
      <c r="V601" s="41"/>
      <c r="W601" s="41"/>
      <c r="X601" s="41"/>
      <c r="Y601" s="41"/>
      <c r="Z601" s="41"/>
      <c r="AA601" s="41"/>
      <c r="AB601" s="41"/>
      <c r="AC601" s="41"/>
      <c r="AD601" s="41"/>
      <c r="AE601" s="59">
        <v>10195.888501442685</v>
      </c>
      <c r="AF601" s="59">
        <v>10195.888501442685</v>
      </c>
      <c r="AG601" s="59" t="s">
        <v>1211</v>
      </c>
      <c r="AH601" s="59" t="s">
        <v>1215</v>
      </c>
    </row>
    <row r="602" spans="1:34" x14ac:dyDescent="0.35">
      <c r="A602" s="58">
        <v>2024</v>
      </c>
      <c r="B602" s="58">
        <v>11</v>
      </c>
      <c r="C602">
        <v>11</v>
      </c>
      <c r="D602" s="58" t="s">
        <v>1469</v>
      </c>
      <c r="E602" t="s">
        <v>1211</v>
      </c>
      <c r="F602" s="58" t="s">
        <v>1550</v>
      </c>
      <c r="G602" t="s">
        <v>1551</v>
      </c>
      <c r="H602" s="58" t="s">
        <v>1012</v>
      </c>
      <c r="I602" t="s">
        <v>86</v>
      </c>
      <c r="J602" s="58" t="s">
        <v>86</v>
      </c>
      <c r="K602" t="s">
        <v>1429</v>
      </c>
      <c r="L602" t="s">
        <v>20</v>
      </c>
      <c r="M602" t="s">
        <v>1430</v>
      </c>
      <c r="N602" s="59">
        <v>5198</v>
      </c>
      <c r="O602" s="59">
        <v>98762000</v>
      </c>
      <c r="P602" s="59">
        <v>0</v>
      </c>
      <c r="Q602" s="59">
        <v>0</v>
      </c>
      <c r="R602" s="59">
        <v>0</v>
      </c>
      <c r="S602" s="59">
        <v>98762000</v>
      </c>
      <c r="T602" s="41"/>
      <c r="U602" s="41"/>
      <c r="V602" s="41"/>
      <c r="W602" s="41"/>
      <c r="X602" s="41"/>
      <c r="Y602" s="41"/>
      <c r="Z602" s="41"/>
      <c r="AA602" s="41"/>
      <c r="AB602" s="41"/>
      <c r="AC602" s="41"/>
      <c r="AD602" s="41"/>
      <c r="AE602" s="59">
        <v>3920.9519789183664</v>
      </c>
      <c r="AF602" s="59">
        <v>3920.9519789183664</v>
      </c>
      <c r="AG602" s="59" t="s">
        <v>1211</v>
      </c>
      <c r="AH602" s="59" t="s">
        <v>1227</v>
      </c>
    </row>
    <row r="603" spans="1:34" x14ac:dyDescent="0.35">
      <c r="A603" s="58">
        <v>2024</v>
      </c>
      <c r="B603" s="58">
        <v>11</v>
      </c>
      <c r="C603">
        <v>11</v>
      </c>
      <c r="D603" s="58" t="s">
        <v>635</v>
      </c>
      <c r="E603" t="s">
        <v>62</v>
      </c>
      <c r="F603" s="58" t="s">
        <v>200</v>
      </c>
      <c r="G603" t="s">
        <v>470</v>
      </c>
      <c r="H603" s="58" t="s">
        <v>1428</v>
      </c>
      <c r="I603" t="s">
        <v>76</v>
      </c>
      <c r="J603" s="58" t="s">
        <v>76</v>
      </c>
      <c r="K603" t="s">
        <v>1429</v>
      </c>
      <c r="L603" t="s">
        <v>20</v>
      </c>
      <c r="M603" t="s">
        <v>1430</v>
      </c>
      <c r="N603" s="59">
        <v>4500</v>
      </c>
      <c r="O603" s="59">
        <v>93375000</v>
      </c>
      <c r="P603" s="59">
        <v>1084928.5235487404</v>
      </c>
      <c r="Q603" s="59">
        <v>0</v>
      </c>
      <c r="R603" s="59">
        <v>0</v>
      </c>
      <c r="S603" s="59">
        <v>92290071.476451263</v>
      </c>
      <c r="T603" s="41"/>
      <c r="U603" s="41"/>
      <c r="V603" s="41"/>
      <c r="W603" s="41"/>
      <c r="X603" s="41"/>
      <c r="Y603" s="41"/>
      <c r="Z603" s="41"/>
      <c r="AA603" s="41"/>
      <c r="AB603" s="41"/>
      <c r="AC603" s="41"/>
      <c r="AD603" s="41"/>
      <c r="AE603" s="59">
        <v>3664.0098255412918</v>
      </c>
      <c r="AF603" s="59">
        <v>3707.082592814063</v>
      </c>
      <c r="AG603" s="59" t="s">
        <v>62</v>
      </c>
      <c r="AH603" s="59" t="s">
        <v>79</v>
      </c>
    </row>
    <row r="604" spans="1:34" x14ac:dyDescent="0.35">
      <c r="A604" s="58">
        <v>2024</v>
      </c>
      <c r="B604" s="58">
        <v>11</v>
      </c>
      <c r="C604">
        <v>11</v>
      </c>
      <c r="D604" s="58" t="s">
        <v>635</v>
      </c>
      <c r="E604" t="s">
        <v>62</v>
      </c>
      <c r="F604" s="58" t="s">
        <v>202</v>
      </c>
      <c r="G604" t="s">
        <v>473</v>
      </c>
      <c r="H604" s="58" t="s">
        <v>1428</v>
      </c>
      <c r="I604" t="s">
        <v>76</v>
      </c>
      <c r="J604" s="58" t="s">
        <v>76</v>
      </c>
      <c r="K604" t="s">
        <v>1429</v>
      </c>
      <c r="L604" t="s">
        <v>20</v>
      </c>
      <c r="M604" t="s">
        <v>1430</v>
      </c>
      <c r="N604" s="59">
        <v>5250</v>
      </c>
      <c r="O604" s="59">
        <v>108937500</v>
      </c>
      <c r="P604" s="59">
        <v>1265749.944140197</v>
      </c>
      <c r="Q604" s="59">
        <v>0</v>
      </c>
      <c r="R604" s="59">
        <v>0</v>
      </c>
      <c r="S604" s="59">
        <v>107671750.0558598</v>
      </c>
      <c r="T604" s="41"/>
      <c r="U604" s="41"/>
      <c r="V604" s="41"/>
      <c r="W604" s="41"/>
      <c r="X604" s="41"/>
      <c r="Y604" s="41"/>
      <c r="Z604" s="41"/>
      <c r="AA604" s="41"/>
      <c r="AB604" s="41"/>
      <c r="AC604" s="41"/>
      <c r="AD604" s="41"/>
      <c r="AE604" s="59">
        <v>4274.6781297981743</v>
      </c>
      <c r="AF604" s="59">
        <v>4324.9296916164067</v>
      </c>
      <c r="AG604" s="59" t="s">
        <v>62</v>
      </c>
      <c r="AH604" s="59" t="s">
        <v>80</v>
      </c>
    </row>
    <row r="605" spans="1:34" x14ac:dyDescent="0.35">
      <c r="A605" s="58">
        <v>2024</v>
      </c>
      <c r="B605" s="58">
        <v>11</v>
      </c>
      <c r="C605">
        <v>11</v>
      </c>
      <c r="D605" s="58" t="s">
        <v>1505</v>
      </c>
      <c r="E605" t="s">
        <v>1216</v>
      </c>
      <c r="F605" s="58" t="s">
        <v>1472</v>
      </c>
      <c r="G605" t="s">
        <v>1473</v>
      </c>
      <c r="H605" s="58" t="s">
        <v>1012</v>
      </c>
      <c r="I605" t="s">
        <v>86</v>
      </c>
      <c r="J605" s="58" t="s">
        <v>86</v>
      </c>
      <c r="K605" t="s">
        <v>1429</v>
      </c>
      <c r="L605" t="s">
        <v>20</v>
      </c>
      <c r="M605" t="s">
        <v>1430</v>
      </c>
      <c r="N605" s="59">
        <v>18156</v>
      </c>
      <c r="O605" s="59">
        <v>384907200</v>
      </c>
      <c r="P605" s="59">
        <v>0</v>
      </c>
      <c r="Q605" s="59">
        <v>0</v>
      </c>
      <c r="R605" s="59">
        <v>0</v>
      </c>
      <c r="S605" s="59">
        <v>384907200</v>
      </c>
      <c r="T605" s="41"/>
      <c r="U605" s="41"/>
      <c r="V605" s="41"/>
      <c r="W605" s="41"/>
      <c r="X605" s="41"/>
      <c r="Y605" s="41"/>
      <c r="Z605" s="41"/>
      <c r="AA605" s="41"/>
      <c r="AB605" s="41"/>
      <c r="AC605" s="41"/>
      <c r="AD605" s="41"/>
      <c r="AE605" s="59">
        <v>15281.2078283138</v>
      </c>
      <c r="AF605" s="59">
        <v>15281.2078283138</v>
      </c>
      <c r="AG605" s="59" t="s">
        <v>1216</v>
      </c>
      <c r="AH605" s="59" t="s">
        <v>1215</v>
      </c>
    </row>
    <row r="606" spans="1:34" x14ac:dyDescent="0.35">
      <c r="A606" s="58">
        <v>2024</v>
      </c>
      <c r="B606" s="58">
        <v>11</v>
      </c>
      <c r="C606">
        <v>11</v>
      </c>
      <c r="D606" s="58" t="s">
        <v>595</v>
      </c>
      <c r="E606" t="s">
        <v>478</v>
      </c>
      <c r="F606" s="58" t="s">
        <v>184</v>
      </c>
      <c r="G606" t="s">
        <v>717</v>
      </c>
      <c r="H606" s="58" t="s">
        <v>1428</v>
      </c>
      <c r="I606" t="s">
        <v>75</v>
      </c>
      <c r="J606" s="58" t="s">
        <v>75</v>
      </c>
      <c r="K606" t="s">
        <v>1429</v>
      </c>
      <c r="L606" t="s">
        <v>20</v>
      </c>
      <c r="M606" t="s">
        <v>1430</v>
      </c>
      <c r="N606" s="59">
        <v>66000</v>
      </c>
      <c r="O606" s="59">
        <v>2316204000</v>
      </c>
      <c r="P606" s="59">
        <v>0</v>
      </c>
      <c r="Q606" s="59">
        <v>0</v>
      </c>
      <c r="R606" s="59">
        <v>0</v>
      </c>
      <c r="S606" s="59">
        <v>2316204000</v>
      </c>
      <c r="T606" s="41"/>
      <c r="U606" s="41"/>
      <c r="V606" s="41"/>
      <c r="W606" s="41"/>
      <c r="X606" s="41"/>
      <c r="Y606" s="41"/>
      <c r="Z606" s="41"/>
      <c r="AA606" s="41"/>
      <c r="AB606" s="41"/>
      <c r="AC606" s="41"/>
      <c r="AD606" s="41"/>
      <c r="AE606" s="59">
        <v>91955.657615060816</v>
      </c>
      <c r="AF606" s="59">
        <v>91955.657615060816</v>
      </c>
      <c r="AG606" s="59" t="s">
        <v>5</v>
      </c>
      <c r="AH606" s="59" t="s">
        <v>1198</v>
      </c>
    </row>
    <row r="607" spans="1:34" x14ac:dyDescent="0.35">
      <c r="A607" s="58">
        <v>2024</v>
      </c>
      <c r="B607" s="58">
        <v>11</v>
      </c>
      <c r="C607">
        <v>11</v>
      </c>
      <c r="D607" s="58" t="s">
        <v>595</v>
      </c>
      <c r="E607" t="s">
        <v>478</v>
      </c>
      <c r="F607" s="58" t="s">
        <v>188</v>
      </c>
      <c r="G607" t="s">
        <v>872</v>
      </c>
      <c r="H607" s="58" t="s">
        <v>1428</v>
      </c>
      <c r="I607" t="s">
        <v>75</v>
      </c>
      <c r="J607" s="58" t="s">
        <v>75</v>
      </c>
      <c r="K607" t="s">
        <v>1429</v>
      </c>
      <c r="L607" t="s">
        <v>20</v>
      </c>
      <c r="M607" t="s">
        <v>1430</v>
      </c>
      <c r="N607" s="59">
        <v>11000</v>
      </c>
      <c r="O607" s="59">
        <v>372306000</v>
      </c>
      <c r="P607" s="59">
        <v>0</v>
      </c>
      <c r="Q607" s="59">
        <v>0</v>
      </c>
      <c r="R607" s="59">
        <v>0</v>
      </c>
      <c r="S607" s="59">
        <v>372306000</v>
      </c>
      <c r="T607" s="41"/>
      <c r="U607" s="41"/>
      <c r="V607" s="41"/>
      <c r="W607" s="41"/>
      <c r="X607" s="41"/>
      <c r="Y607" s="41"/>
      <c r="Z607" s="41"/>
      <c r="AA607" s="41"/>
      <c r="AB607" s="41"/>
      <c r="AC607" s="41"/>
      <c r="AD607" s="41"/>
      <c r="AE607" s="59">
        <v>14780.927355290309</v>
      </c>
      <c r="AF607" s="59">
        <v>14780.927355290309</v>
      </c>
      <c r="AG607" s="59" t="s">
        <v>5</v>
      </c>
      <c r="AH607" s="59" t="s">
        <v>1204</v>
      </c>
    </row>
    <row r="608" spans="1:34" x14ac:dyDescent="0.35">
      <c r="A608" s="58">
        <v>2024</v>
      </c>
      <c r="B608" s="58">
        <v>11</v>
      </c>
      <c r="C608">
        <v>11</v>
      </c>
      <c r="D608" s="58" t="s">
        <v>595</v>
      </c>
      <c r="E608" t="s">
        <v>478</v>
      </c>
      <c r="F608" s="58" t="s">
        <v>191</v>
      </c>
      <c r="G608" t="s">
        <v>941</v>
      </c>
      <c r="H608" s="58" t="s">
        <v>1428</v>
      </c>
      <c r="I608" t="s">
        <v>75</v>
      </c>
      <c r="J608" s="58" t="s">
        <v>75</v>
      </c>
      <c r="K608" t="s">
        <v>1429</v>
      </c>
      <c r="L608" t="s">
        <v>20</v>
      </c>
      <c r="M608" t="s">
        <v>1430</v>
      </c>
      <c r="N608" s="59">
        <v>11000</v>
      </c>
      <c r="O608" s="59">
        <v>386034000</v>
      </c>
      <c r="P608" s="59">
        <v>0</v>
      </c>
      <c r="Q608" s="59">
        <v>0</v>
      </c>
      <c r="R608" s="59">
        <v>0</v>
      </c>
      <c r="S608" s="59">
        <v>386034000</v>
      </c>
      <c r="T608" s="41"/>
      <c r="U608" s="41"/>
      <c r="V608" s="41"/>
      <c r="W608" s="41"/>
      <c r="X608" s="41"/>
      <c r="Y608" s="41"/>
      <c r="Z608" s="41"/>
      <c r="AA608" s="41"/>
      <c r="AB608" s="41"/>
      <c r="AC608" s="41"/>
      <c r="AD608" s="41"/>
      <c r="AE608" s="59">
        <v>15325.942935843468</v>
      </c>
      <c r="AF608" s="59">
        <v>15325.942935843468</v>
      </c>
      <c r="AG608" s="59" t="s">
        <v>5</v>
      </c>
      <c r="AH608" s="59" t="s">
        <v>1208</v>
      </c>
    </row>
    <row r="609" spans="1:34" x14ac:dyDescent="0.35">
      <c r="A609" s="58">
        <v>2024</v>
      </c>
      <c r="B609" s="58">
        <v>11</v>
      </c>
      <c r="C609">
        <v>11</v>
      </c>
      <c r="D609" s="58" t="s">
        <v>1518</v>
      </c>
      <c r="E609" t="s">
        <v>1172</v>
      </c>
      <c r="F609" s="58" t="s">
        <v>765</v>
      </c>
      <c r="G609" t="s">
        <v>766</v>
      </c>
      <c r="H609" s="58" t="s">
        <v>21</v>
      </c>
      <c r="I609" t="s">
        <v>21</v>
      </c>
      <c r="J609" s="58" t="s">
        <v>21</v>
      </c>
      <c r="K609" t="s">
        <v>1429</v>
      </c>
      <c r="L609" t="s">
        <v>20</v>
      </c>
      <c r="M609" t="s">
        <v>1430</v>
      </c>
      <c r="N609" s="59">
        <v>25</v>
      </c>
      <c r="O609" s="59">
        <v>573750</v>
      </c>
      <c r="P609" s="59">
        <v>13909.34004549667</v>
      </c>
      <c r="Q609" s="59">
        <v>0</v>
      </c>
      <c r="R609" s="59">
        <v>0</v>
      </c>
      <c r="S609" s="59">
        <v>559840.6599545033</v>
      </c>
      <c r="T609" s="41"/>
      <c r="U609" s="41"/>
      <c r="V609" s="41"/>
      <c r="W609" s="41"/>
      <c r="X609" s="41"/>
      <c r="Y609" s="41"/>
      <c r="Z609" s="41"/>
      <c r="AA609" s="41"/>
      <c r="AB609" s="41"/>
      <c r="AC609" s="41"/>
      <c r="AD609" s="41"/>
      <c r="AE609" s="59">
        <v>22.226244340207508</v>
      </c>
      <c r="AF609" s="59">
        <v>22.778459305243036</v>
      </c>
      <c r="AG609" s="59" t="s">
        <v>1172</v>
      </c>
      <c r="AH609" s="59" t="s">
        <v>1352</v>
      </c>
    </row>
    <row r="610" spans="1:34" x14ac:dyDescent="0.35">
      <c r="A610" s="58">
        <v>2024</v>
      </c>
      <c r="B610" s="58">
        <v>11</v>
      </c>
      <c r="C610">
        <v>11</v>
      </c>
      <c r="D610" s="58" t="s">
        <v>1518</v>
      </c>
      <c r="E610" t="s">
        <v>1172</v>
      </c>
      <c r="F610" s="58" t="s">
        <v>784</v>
      </c>
      <c r="G610" t="s">
        <v>785</v>
      </c>
      <c r="H610" s="58" t="s">
        <v>4</v>
      </c>
      <c r="I610" t="s">
        <v>4</v>
      </c>
      <c r="J610" s="58" t="s">
        <v>4</v>
      </c>
      <c r="K610" t="s">
        <v>1429</v>
      </c>
      <c r="L610" t="s">
        <v>20</v>
      </c>
      <c r="M610" t="s">
        <v>1430</v>
      </c>
      <c r="N610" s="59">
        <v>300</v>
      </c>
      <c r="O610" s="59">
        <v>9562500</v>
      </c>
      <c r="P610" s="59">
        <v>166912.08054596005</v>
      </c>
      <c r="Q610" s="59">
        <v>0</v>
      </c>
      <c r="R610" s="59">
        <v>0</v>
      </c>
      <c r="S610" s="59">
        <v>9395587.91945404</v>
      </c>
      <c r="T610" s="41"/>
      <c r="U610" s="41"/>
      <c r="V610" s="41"/>
      <c r="W610" s="41"/>
      <c r="X610" s="41"/>
      <c r="Y610" s="41"/>
      <c r="Z610" s="41"/>
      <c r="AA610" s="41"/>
      <c r="AB610" s="41"/>
      <c r="AC610" s="41"/>
      <c r="AD610" s="41"/>
      <c r="AE610" s="59">
        <v>373.01440884029097</v>
      </c>
      <c r="AF610" s="59">
        <v>379.64098842071729</v>
      </c>
      <c r="AG610" s="59" t="s">
        <v>1172</v>
      </c>
      <c r="AH610" s="59" t="s">
        <v>1186</v>
      </c>
    </row>
    <row r="611" spans="1:34" x14ac:dyDescent="0.35">
      <c r="A611" s="58">
        <v>2024</v>
      </c>
      <c r="B611" s="58">
        <v>11</v>
      </c>
      <c r="C611">
        <v>11</v>
      </c>
      <c r="D611" s="58" t="s">
        <v>606</v>
      </c>
      <c r="E611" t="s">
        <v>325</v>
      </c>
      <c r="F611" s="58" t="s">
        <v>168</v>
      </c>
      <c r="G611" t="s">
        <v>700</v>
      </c>
      <c r="H611" s="58" t="s">
        <v>4</v>
      </c>
      <c r="I611" t="s">
        <v>4</v>
      </c>
      <c r="J611" s="58" t="s">
        <v>4</v>
      </c>
      <c r="K611" t="s">
        <v>1429</v>
      </c>
      <c r="L611" t="s">
        <v>20</v>
      </c>
      <c r="M611" t="s">
        <v>1431</v>
      </c>
      <c r="N611" s="59">
        <v>-2718</v>
      </c>
      <c r="O611" s="59">
        <v>0</v>
      </c>
      <c r="P611" s="59">
        <v>0</v>
      </c>
      <c r="Q611" s="59">
        <v>0</v>
      </c>
      <c r="R611" s="59">
        <v>0</v>
      </c>
      <c r="S611" s="59">
        <v>0</v>
      </c>
      <c r="T611" s="41"/>
      <c r="U611" s="41"/>
      <c r="V611" s="41"/>
      <c r="W611" s="41"/>
      <c r="X611" s="41"/>
      <c r="Y611" s="41"/>
      <c r="Z611" s="41"/>
      <c r="AA611" s="41"/>
      <c r="AB611" s="41"/>
      <c r="AC611" s="41"/>
      <c r="AD611" s="41"/>
      <c r="AE611" s="59">
        <v>0</v>
      </c>
      <c r="AF611" s="59">
        <v>0</v>
      </c>
      <c r="AG611" s="59" t="s">
        <v>8</v>
      </c>
      <c r="AH611" s="59" t="s">
        <v>1160</v>
      </c>
    </row>
    <row r="612" spans="1:34" x14ac:dyDescent="0.35">
      <c r="A612" s="58">
        <v>2024</v>
      </c>
      <c r="B612" s="58">
        <v>11</v>
      </c>
      <c r="C612">
        <v>11</v>
      </c>
      <c r="D612" s="58" t="s">
        <v>606</v>
      </c>
      <c r="E612" t="s">
        <v>325</v>
      </c>
      <c r="F612" s="58" t="s">
        <v>168</v>
      </c>
      <c r="G612" t="s">
        <v>700</v>
      </c>
      <c r="H612" s="58" t="s">
        <v>4</v>
      </c>
      <c r="I612" t="s">
        <v>4</v>
      </c>
      <c r="J612" s="58" t="s">
        <v>4</v>
      </c>
      <c r="K612" t="s">
        <v>1429</v>
      </c>
      <c r="L612" t="s">
        <v>20</v>
      </c>
      <c r="M612" t="s">
        <v>1430</v>
      </c>
      <c r="N612" s="59">
        <v>22000</v>
      </c>
      <c r="O612" s="59">
        <v>801460000</v>
      </c>
      <c r="P612" s="59">
        <v>1808214.2059145672</v>
      </c>
      <c r="Q612" s="59">
        <v>0</v>
      </c>
      <c r="R612" s="59">
        <v>3080000</v>
      </c>
      <c r="S612" s="59">
        <v>791037245.79408538</v>
      </c>
      <c r="T612" s="41"/>
      <c r="U612" s="41"/>
      <c r="V612" s="41"/>
      <c r="W612" s="41"/>
      <c r="X612" s="41"/>
      <c r="Y612" s="41"/>
      <c r="Z612" s="41"/>
      <c r="AA612" s="41"/>
      <c r="AB612" s="41"/>
      <c r="AC612" s="41"/>
      <c r="AD612" s="41"/>
      <c r="AE612" s="59">
        <v>31404.984247933957</v>
      </c>
      <c r="AF612" s="59">
        <v>31818.778204409733</v>
      </c>
      <c r="AG612" s="59" t="s">
        <v>8</v>
      </c>
      <c r="AH612" s="59" t="s">
        <v>1160</v>
      </c>
    </row>
    <row r="613" spans="1:34" x14ac:dyDescent="0.35">
      <c r="A613" s="58">
        <v>2024</v>
      </c>
      <c r="B613" s="58">
        <v>11</v>
      </c>
      <c r="C613">
        <v>11</v>
      </c>
      <c r="D613" s="58" t="s">
        <v>606</v>
      </c>
      <c r="E613" t="s">
        <v>325</v>
      </c>
      <c r="F613" s="58" t="s">
        <v>168</v>
      </c>
      <c r="G613" t="s">
        <v>700</v>
      </c>
      <c r="H613" s="58" t="s">
        <v>4</v>
      </c>
      <c r="I613" t="s">
        <v>4</v>
      </c>
      <c r="J613" s="58" t="s">
        <v>4</v>
      </c>
      <c r="K613" t="s">
        <v>1429</v>
      </c>
      <c r="L613" t="s">
        <v>20</v>
      </c>
      <c r="M613" t="s">
        <v>1432</v>
      </c>
      <c r="N613" s="59">
        <v>2718</v>
      </c>
      <c r="O613" s="59">
        <v>0</v>
      </c>
      <c r="P613" s="59">
        <v>0</v>
      </c>
      <c r="Q613" s="59">
        <v>0</v>
      </c>
      <c r="R613" s="59">
        <v>0</v>
      </c>
      <c r="S613" s="59">
        <v>0</v>
      </c>
      <c r="T613" s="41"/>
      <c r="U613" s="41"/>
      <c r="V613" s="41"/>
      <c r="W613" s="41"/>
      <c r="X613" s="41"/>
      <c r="Y613" s="41"/>
      <c r="Z613" s="41"/>
      <c r="AA613" s="41"/>
      <c r="AB613" s="41"/>
      <c r="AC613" s="41"/>
      <c r="AD613" s="41"/>
      <c r="AE613" s="59">
        <v>0</v>
      </c>
      <c r="AF613" s="59">
        <v>0</v>
      </c>
      <c r="AG613" s="59" t="s">
        <v>8</v>
      </c>
      <c r="AH613" s="59" t="s">
        <v>1160</v>
      </c>
    </row>
    <row r="614" spans="1:34" x14ac:dyDescent="0.35">
      <c r="A614" s="58">
        <v>2024</v>
      </c>
      <c r="B614" s="58">
        <v>11</v>
      </c>
      <c r="C614">
        <v>11</v>
      </c>
      <c r="D614" s="58" t="s">
        <v>606</v>
      </c>
      <c r="E614" t="s">
        <v>325</v>
      </c>
      <c r="F614" s="58" t="s">
        <v>1535</v>
      </c>
      <c r="G614" t="s">
        <v>1536</v>
      </c>
      <c r="H614" s="58" t="s">
        <v>1012</v>
      </c>
      <c r="I614" t="s">
        <v>1012</v>
      </c>
      <c r="J614" s="58" t="s">
        <v>1012</v>
      </c>
      <c r="K614" t="s">
        <v>1429</v>
      </c>
      <c r="L614" t="s">
        <v>20</v>
      </c>
      <c r="M614" t="s">
        <v>1430</v>
      </c>
      <c r="N614" s="59">
        <v>0</v>
      </c>
      <c r="O614" s="59">
        <v>0</v>
      </c>
      <c r="P614" s="59">
        <v>0</v>
      </c>
      <c r="Q614" s="59">
        <v>0</v>
      </c>
      <c r="R614" s="59">
        <v>0</v>
      </c>
      <c r="S614" s="59">
        <v>5534540</v>
      </c>
      <c r="T614" s="41"/>
      <c r="U614" s="41"/>
      <c r="V614" s="41"/>
      <c r="W614" s="41"/>
      <c r="X614" s="41"/>
      <c r="Y614" s="41"/>
      <c r="Z614" s="41"/>
      <c r="AA614" s="41"/>
      <c r="AB614" s="41"/>
      <c r="AC614" s="41"/>
      <c r="AD614" s="41"/>
      <c r="AE614" s="59">
        <v>219.72687435858788</v>
      </c>
      <c r="AF614" s="59">
        <v>0</v>
      </c>
      <c r="AG614" s="59" t="s">
        <v>8</v>
      </c>
      <c r="AH614" s="59" t="s">
        <v>1270</v>
      </c>
    </row>
    <row r="615" spans="1:34" x14ac:dyDescent="0.35">
      <c r="A615" s="58">
        <v>2024</v>
      </c>
      <c r="B615" s="58">
        <v>11</v>
      </c>
      <c r="C615">
        <v>11</v>
      </c>
      <c r="D615" s="58" t="s">
        <v>634</v>
      </c>
      <c r="E615" t="s">
        <v>148</v>
      </c>
      <c r="F615" s="58" t="s">
        <v>182</v>
      </c>
      <c r="G615" t="s">
        <v>905</v>
      </c>
      <c r="H615" s="58" t="s">
        <v>74</v>
      </c>
      <c r="I615" t="s">
        <v>74</v>
      </c>
      <c r="J615" s="58" t="s">
        <v>74</v>
      </c>
      <c r="K615" t="s">
        <v>1429</v>
      </c>
      <c r="L615" t="s">
        <v>20</v>
      </c>
      <c r="M615" t="s">
        <v>1430</v>
      </c>
      <c r="N615" s="59">
        <v>11000</v>
      </c>
      <c r="O615" s="59">
        <v>209000000</v>
      </c>
      <c r="P615" s="59">
        <v>1808214.2059145672</v>
      </c>
      <c r="Q615" s="59">
        <v>0</v>
      </c>
      <c r="R615" s="59">
        <v>0</v>
      </c>
      <c r="S615" s="59">
        <v>207191785.79408544</v>
      </c>
      <c r="T615" s="41"/>
      <c r="U615" s="41"/>
      <c r="V615" s="41"/>
      <c r="W615" s="41"/>
      <c r="X615" s="41"/>
      <c r="Y615" s="41"/>
      <c r="Z615" s="41"/>
      <c r="AA615" s="41"/>
      <c r="AB615" s="41"/>
      <c r="AC615" s="41"/>
      <c r="AD615" s="41"/>
      <c r="AE615" s="59">
        <v>8225.7248995053724</v>
      </c>
      <c r="AF615" s="59">
        <v>8297.5128449599906</v>
      </c>
      <c r="AG615" s="59" t="s">
        <v>148</v>
      </c>
      <c r="AH615" s="59" t="s">
        <v>1242</v>
      </c>
    </row>
    <row r="616" spans="1:34" x14ac:dyDescent="0.35">
      <c r="A616" s="58">
        <v>2024</v>
      </c>
      <c r="B616" s="58">
        <v>11</v>
      </c>
      <c r="C616">
        <v>11</v>
      </c>
      <c r="D616" s="58" t="s">
        <v>596</v>
      </c>
      <c r="E616" t="s">
        <v>266</v>
      </c>
      <c r="F616" s="58" t="s">
        <v>171</v>
      </c>
      <c r="G616" t="s">
        <v>731</v>
      </c>
      <c r="H616" s="58" t="s">
        <v>4</v>
      </c>
      <c r="I616" t="s">
        <v>4</v>
      </c>
      <c r="J616" s="58" t="s">
        <v>4</v>
      </c>
      <c r="K616" t="s">
        <v>1429</v>
      </c>
      <c r="L616" t="s">
        <v>20</v>
      </c>
      <c r="M616" t="s">
        <v>1430</v>
      </c>
      <c r="N616" s="59">
        <v>77000</v>
      </c>
      <c r="O616" s="59">
        <v>2445105300</v>
      </c>
      <c r="P616" s="59">
        <v>12657499.441401973</v>
      </c>
      <c r="Q616" s="59">
        <v>0</v>
      </c>
      <c r="R616" s="59">
        <v>0</v>
      </c>
      <c r="S616" s="59">
        <v>2432447800.558598</v>
      </c>
      <c r="T616" s="41"/>
      <c r="U616" s="41"/>
      <c r="V616" s="41"/>
      <c r="W616" s="41"/>
      <c r="X616" s="41"/>
      <c r="Y616" s="41"/>
      <c r="Z616" s="41"/>
      <c r="AA616" s="41"/>
      <c r="AB616" s="41"/>
      <c r="AC616" s="41"/>
      <c r="AD616" s="41"/>
      <c r="AE616" s="59">
        <v>96570.654879567679</v>
      </c>
      <c r="AF616" s="59">
        <v>97073.170497750005</v>
      </c>
      <c r="AG616" s="59" t="s">
        <v>100</v>
      </c>
      <c r="AH616" s="59" t="s">
        <v>1166</v>
      </c>
    </row>
    <row r="617" spans="1:34" x14ac:dyDescent="0.35">
      <c r="A617" s="58">
        <v>2024</v>
      </c>
      <c r="B617" s="58">
        <v>11</v>
      </c>
      <c r="C617">
        <v>11</v>
      </c>
      <c r="D617" s="58" t="s">
        <v>1549</v>
      </c>
      <c r="E617" t="s">
        <v>1162</v>
      </c>
      <c r="F617" s="58" t="s">
        <v>168</v>
      </c>
      <c r="G617" t="s">
        <v>700</v>
      </c>
      <c r="H617" s="58" t="s">
        <v>4</v>
      </c>
      <c r="I617" t="s">
        <v>4</v>
      </c>
      <c r="J617" s="58" t="s">
        <v>4</v>
      </c>
      <c r="K617" t="s">
        <v>1429</v>
      </c>
      <c r="L617" t="s">
        <v>20</v>
      </c>
      <c r="M617" t="s">
        <v>1508</v>
      </c>
      <c r="N617" s="59">
        <v>-400</v>
      </c>
      <c r="O617" s="59">
        <v>-13242400</v>
      </c>
      <c r="P617" s="59">
        <v>0</v>
      </c>
      <c r="Q617" s="59">
        <v>0</v>
      </c>
      <c r="R617" s="59">
        <v>0</v>
      </c>
      <c r="S617" s="59">
        <v>-13242400</v>
      </c>
      <c r="T617" s="41"/>
      <c r="U617" s="41"/>
      <c r="V617" s="41"/>
      <c r="W617" s="41"/>
      <c r="X617" s="41"/>
      <c r="Y617" s="41"/>
      <c r="Z617" s="41"/>
      <c r="AA617" s="41"/>
      <c r="AB617" s="41"/>
      <c r="AC617" s="41"/>
      <c r="AD617" s="41"/>
      <c r="AE617" s="59">
        <v>-525.73676601960858</v>
      </c>
      <c r="AF617" s="59">
        <v>-525.73676601960858</v>
      </c>
      <c r="AG617" s="59" t="s">
        <v>1162</v>
      </c>
      <c r="AH617" s="59" t="s">
        <v>1160</v>
      </c>
    </row>
    <row r="618" spans="1:34" x14ac:dyDescent="0.35">
      <c r="A618" s="58">
        <v>2024</v>
      </c>
      <c r="B618" s="58">
        <v>11</v>
      </c>
      <c r="C618">
        <v>11</v>
      </c>
      <c r="D618" s="58" t="s">
        <v>610</v>
      </c>
      <c r="E618" t="s">
        <v>44</v>
      </c>
      <c r="F618" s="58" t="s">
        <v>184</v>
      </c>
      <c r="G618" t="s">
        <v>717</v>
      </c>
      <c r="H618" s="58" t="s">
        <v>1428</v>
      </c>
      <c r="I618" t="s">
        <v>75</v>
      </c>
      <c r="J618" s="58" t="s">
        <v>75</v>
      </c>
      <c r="K618" t="s">
        <v>1429</v>
      </c>
      <c r="L618" t="s">
        <v>20</v>
      </c>
      <c r="M618" t="s">
        <v>1430</v>
      </c>
      <c r="N618" s="59">
        <v>22000</v>
      </c>
      <c r="O618" s="59">
        <v>755983800</v>
      </c>
      <c r="P618" s="59">
        <v>0</v>
      </c>
      <c r="Q618" s="59">
        <v>0</v>
      </c>
      <c r="R618" s="59">
        <v>0</v>
      </c>
      <c r="S618" s="59">
        <v>755983800</v>
      </c>
      <c r="T618" s="41"/>
      <c r="U618" s="41"/>
      <c r="V618" s="41"/>
      <c r="W618" s="41"/>
      <c r="X618" s="41"/>
      <c r="Y618" s="41"/>
      <c r="Z618" s="41"/>
      <c r="AA618" s="41"/>
      <c r="AB618" s="41"/>
      <c r="AC618" s="41"/>
      <c r="AD618" s="41"/>
      <c r="AE618" s="59">
        <v>30013.326751586912</v>
      </c>
      <c r="AF618" s="59">
        <v>30013.326751586912</v>
      </c>
      <c r="AG618" s="59" t="s">
        <v>44</v>
      </c>
      <c r="AH618" s="59" t="s">
        <v>1198</v>
      </c>
    </row>
    <row r="619" spans="1:34" x14ac:dyDescent="0.35">
      <c r="A619" s="58">
        <v>2024</v>
      </c>
      <c r="B619" s="58">
        <v>11</v>
      </c>
      <c r="C619">
        <v>11</v>
      </c>
      <c r="D619" s="58" t="s">
        <v>624</v>
      </c>
      <c r="E619" t="s">
        <v>272</v>
      </c>
      <c r="F619" s="58" t="s">
        <v>172</v>
      </c>
      <c r="G619" t="s">
        <v>734</v>
      </c>
      <c r="H619" s="58" t="s">
        <v>4</v>
      </c>
      <c r="I619" t="s">
        <v>4</v>
      </c>
      <c r="J619" s="58" t="s">
        <v>4</v>
      </c>
      <c r="K619" t="s">
        <v>1429</v>
      </c>
      <c r="L619" t="s">
        <v>20</v>
      </c>
      <c r="M619" t="s">
        <v>1430</v>
      </c>
      <c r="N619" s="59">
        <v>4400</v>
      </c>
      <c r="O619" s="59">
        <v>152086000</v>
      </c>
      <c r="P619" s="59">
        <v>723285.68236582691</v>
      </c>
      <c r="Q619" s="59">
        <v>0</v>
      </c>
      <c r="R619" s="59">
        <v>0</v>
      </c>
      <c r="S619" s="59">
        <v>151362714.31763417</v>
      </c>
      <c r="T619" s="41"/>
      <c r="U619" s="41"/>
      <c r="V619" s="41"/>
      <c r="W619" s="41"/>
      <c r="X619" s="41"/>
      <c r="Y619" s="41"/>
      <c r="Z619" s="41"/>
      <c r="AA619" s="41"/>
      <c r="AB619" s="41"/>
      <c r="AC619" s="41"/>
      <c r="AD619" s="41"/>
      <c r="AE619" s="59">
        <v>6009.2539057348276</v>
      </c>
      <c r="AF619" s="59">
        <v>6037.9690839166751</v>
      </c>
      <c r="AG619" s="59" t="s">
        <v>103</v>
      </c>
      <c r="AH619" s="59" t="s">
        <v>1175</v>
      </c>
    </row>
    <row r="620" spans="1:34" x14ac:dyDescent="0.35">
      <c r="A620" s="58">
        <v>2024</v>
      </c>
      <c r="B620" s="58">
        <v>11</v>
      </c>
      <c r="C620">
        <v>11</v>
      </c>
      <c r="D620" s="58" t="s">
        <v>1558</v>
      </c>
      <c r="E620" t="s">
        <v>1223</v>
      </c>
      <c r="F620" s="58" t="s">
        <v>841</v>
      </c>
      <c r="G620" t="s">
        <v>842</v>
      </c>
      <c r="H620" s="58" t="s">
        <v>1012</v>
      </c>
      <c r="I620" t="s">
        <v>86</v>
      </c>
      <c r="J620" s="58" t="s">
        <v>86</v>
      </c>
      <c r="K620" t="s">
        <v>1429</v>
      </c>
      <c r="L620" t="s">
        <v>20</v>
      </c>
      <c r="M620" t="s">
        <v>1430</v>
      </c>
      <c r="N620" s="59">
        <v>7388</v>
      </c>
      <c r="O620" s="59">
        <v>36940000</v>
      </c>
      <c r="P620" s="59">
        <v>0</v>
      </c>
      <c r="Q620" s="59">
        <v>0</v>
      </c>
      <c r="R620" s="59">
        <v>0</v>
      </c>
      <c r="S620" s="59">
        <v>36940000</v>
      </c>
      <c r="T620" s="41"/>
      <c r="U620" s="41"/>
      <c r="V620" s="41"/>
      <c r="W620" s="41"/>
      <c r="X620" s="41"/>
      <c r="Y620" s="41"/>
      <c r="Z620" s="41"/>
      <c r="AA620" s="41"/>
      <c r="AB620" s="41"/>
      <c r="AC620" s="41"/>
      <c r="AD620" s="41"/>
      <c r="AE620" s="59">
        <v>1466.5556195828806</v>
      </c>
      <c r="AF620" s="59">
        <v>1466.5556195828806</v>
      </c>
      <c r="AG620" s="59" t="s">
        <v>1223</v>
      </c>
      <c r="AH620" s="59" t="s">
        <v>1222</v>
      </c>
    </row>
    <row r="621" spans="1:34" x14ac:dyDescent="0.35">
      <c r="A621" s="58">
        <v>2024</v>
      </c>
      <c r="B621" s="58">
        <v>11</v>
      </c>
      <c r="C621">
        <v>11</v>
      </c>
      <c r="D621" s="58" t="s">
        <v>1558</v>
      </c>
      <c r="E621" t="s">
        <v>1223</v>
      </c>
      <c r="F621" s="58" t="s">
        <v>843</v>
      </c>
      <c r="G621" t="s">
        <v>844</v>
      </c>
      <c r="H621" s="58" t="s">
        <v>1012</v>
      </c>
      <c r="I621" t="s">
        <v>86</v>
      </c>
      <c r="J621" s="58" t="s">
        <v>86</v>
      </c>
      <c r="K621" t="s">
        <v>1429</v>
      </c>
      <c r="L621" t="s">
        <v>20</v>
      </c>
      <c r="M621" t="s">
        <v>1430</v>
      </c>
      <c r="N621" s="59">
        <v>95260</v>
      </c>
      <c r="O621" s="59">
        <v>476300000</v>
      </c>
      <c r="P621" s="59">
        <v>0</v>
      </c>
      <c r="Q621" s="59">
        <v>0</v>
      </c>
      <c r="R621" s="59">
        <v>0</v>
      </c>
      <c r="S621" s="59">
        <v>476300000</v>
      </c>
      <c r="T621" s="41"/>
      <c r="U621" s="41"/>
      <c r="V621" s="41"/>
      <c r="W621" s="41"/>
      <c r="X621" s="41"/>
      <c r="Y621" s="41"/>
      <c r="Z621" s="41"/>
      <c r="AA621" s="41"/>
      <c r="AB621" s="41"/>
      <c r="AC621" s="41"/>
      <c r="AD621" s="41"/>
      <c r="AE621" s="59">
        <v>18909.595062461452</v>
      </c>
      <c r="AF621" s="59">
        <v>18909.595062461452</v>
      </c>
      <c r="AG621" s="59" t="s">
        <v>1223</v>
      </c>
      <c r="AH621" s="59" t="s">
        <v>1224</v>
      </c>
    </row>
    <row r="622" spans="1:34" x14ac:dyDescent="0.35">
      <c r="A622" s="58">
        <v>2024</v>
      </c>
      <c r="B622" s="58">
        <v>11</v>
      </c>
      <c r="C622">
        <v>11</v>
      </c>
      <c r="D622" s="58" t="s">
        <v>1558</v>
      </c>
      <c r="E622" t="s">
        <v>1223</v>
      </c>
      <c r="F622" s="58" t="s">
        <v>845</v>
      </c>
      <c r="G622" t="s">
        <v>846</v>
      </c>
      <c r="H622" s="58" t="s">
        <v>1012</v>
      </c>
      <c r="I622" t="s">
        <v>86</v>
      </c>
      <c r="J622" s="58" t="s">
        <v>86</v>
      </c>
      <c r="K622" t="s">
        <v>1429</v>
      </c>
      <c r="L622" t="s">
        <v>20</v>
      </c>
      <c r="M622" t="s">
        <v>1430</v>
      </c>
      <c r="N622" s="59">
        <v>44886</v>
      </c>
      <c r="O622" s="59">
        <v>224430000</v>
      </c>
      <c r="P622" s="59">
        <v>0</v>
      </c>
      <c r="Q622" s="59">
        <v>0</v>
      </c>
      <c r="R622" s="59">
        <v>0</v>
      </c>
      <c r="S622" s="59">
        <v>224430000</v>
      </c>
      <c r="T622" s="41"/>
      <c r="U622" s="41"/>
      <c r="V622" s="41"/>
      <c r="W622" s="41"/>
      <c r="X622" s="41"/>
      <c r="Y622" s="41"/>
      <c r="Z622" s="41"/>
      <c r="AA622" s="41"/>
      <c r="AB622" s="41"/>
      <c r="AC622" s="41"/>
      <c r="AD622" s="41"/>
      <c r="AE622" s="59">
        <v>8910.0995588247406</v>
      </c>
      <c r="AF622" s="59">
        <v>8910.0995588247406</v>
      </c>
      <c r="AG622" s="59" t="s">
        <v>1223</v>
      </c>
      <c r="AH622" s="59" t="s">
        <v>1225</v>
      </c>
    </row>
    <row r="623" spans="1:34" x14ac:dyDescent="0.35">
      <c r="A623" s="58">
        <v>2024</v>
      </c>
      <c r="B623" s="58">
        <v>11</v>
      </c>
      <c r="C623">
        <v>11</v>
      </c>
      <c r="D623" s="58" t="s">
        <v>1558</v>
      </c>
      <c r="E623" t="s">
        <v>1223</v>
      </c>
      <c r="F623" s="58" t="s">
        <v>847</v>
      </c>
      <c r="G623" t="s">
        <v>848</v>
      </c>
      <c r="H623" s="58" t="s">
        <v>1012</v>
      </c>
      <c r="I623" t="s">
        <v>86</v>
      </c>
      <c r="J623" s="58" t="s">
        <v>86</v>
      </c>
      <c r="K623" t="s">
        <v>1429</v>
      </c>
      <c r="L623" t="s">
        <v>20</v>
      </c>
      <c r="M623" t="s">
        <v>1430</v>
      </c>
      <c r="N623" s="59">
        <v>37600</v>
      </c>
      <c r="O623" s="59">
        <v>188000000</v>
      </c>
      <c r="P623" s="59">
        <v>0</v>
      </c>
      <c r="Q623" s="59">
        <v>0</v>
      </c>
      <c r="R623" s="59">
        <v>0</v>
      </c>
      <c r="S623" s="59">
        <v>188000000</v>
      </c>
      <c r="T623" s="41"/>
      <c r="U623" s="41"/>
      <c r="V623" s="41"/>
      <c r="W623" s="41"/>
      <c r="X623" s="41"/>
      <c r="Y623" s="41"/>
      <c r="Z623" s="41"/>
      <c r="AA623" s="41"/>
      <c r="AB623" s="41"/>
      <c r="AC623" s="41"/>
      <c r="AD623" s="41"/>
      <c r="AE623" s="59">
        <v>7463.7914586242978</v>
      </c>
      <c r="AF623" s="59">
        <v>7463.7914586242978</v>
      </c>
      <c r="AG623" s="59" t="s">
        <v>1223</v>
      </c>
      <c r="AH623" s="59" t="s">
        <v>1226</v>
      </c>
    </row>
    <row r="624" spans="1:34" x14ac:dyDescent="0.35">
      <c r="A624" s="58">
        <v>2024</v>
      </c>
      <c r="B624" s="58">
        <v>11</v>
      </c>
      <c r="C624">
        <v>11</v>
      </c>
      <c r="D624" s="58" t="s">
        <v>1558</v>
      </c>
      <c r="E624" t="s">
        <v>1223</v>
      </c>
      <c r="F624" s="58" t="s">
        <v>948</v>
      </c>
      <c r="G624" t="s">
        <v>949</v>
      </c>
      <c r="H624" s="58" t="s">
        <v>1012</v>
      </c>
      <c r="I624" t="s">
        <v>86</v>
      </c>
      <c r="J624" s="58" t="s">
        <v>86</v>
      </c>
      <c r="K624" t="s">
        <v>1429</v>
      </c>
      <c r="L624" t="s">
        <v>20</v>
      </c>
      <c r="M624" t="s">
        <v>1430</v>
      </c>
      <c r="N624" s="59">
        <v>298726</v>
      </c>
      <c r="O624" s="59">
        <v>597452000</v>
      </c>
      <c r="P624" s="59">
        <v>0</v>
      </c>
      <c r="Q624" s="59">
        <v>0</v>
      </c>
      <c r="R624" s="59">
        <v>0</v>
      </c>
      <c r="S624" s="59">
        <v>597452000</v>
      </c>
      <c r="T624" s="41"/>
      <c r="U624" s="41"/>
      <c r="V624" s="41"/>
      <c r="W624" s="41"/>
      <c r="X624" s="41"/>
      <c r="Y624" s="41"/>
      <c r="Z624" s="41"/>
      <c r="AA624" s="41"/>
      <c r="AB624" s="41"/>
      <c r="AC624" s="41"/>
      <c r="AD624" s="41"/>
      <c r="AE624" s="59">
        <v>23719.452843287254</v>
      </c>
      <c r="AF624" s="59">
        <v>23719.452843287254</v>
      </c>
      <c r="AG624" s="59" t="s">
        <v>1223</v>
      </c>
      <c r="AH624" s="59" t="s">
        <v>1229</v>
      </c>
    </row>
    <row r="625" spans="1:34" x14ac:dyDescent="0.35">
      <c r="A625" s="58">
        <v>2024</v>
      </c>
      <c r="B625" s="58">
        <v>11</v>
      </c>
      <c r="C625">
        <v>11</v>
      </c>
      <c r="D625" s="58" t="s">
        <v>652</v>
      </c>
      <c r="E625" t="s">
        <v>71</v>
      </c>
      <c r="F625" s="58" t="s">
        <v>171</v>
      </c>
      <c r="G625" t="s">
        <v>731</v>
      </c>
      <c r="H625" s="58" t="s">
        <v>4</v>
      </c>
      <c r="I625" t="s">
        <v>4</v>
      </c>
      <c r="J625" s="58" t="s">
        <v>4</v>
      </c>
      <c r="K625" t="s">
        <v>1429</v>
      </c>
      <c r="L625" t="s">
        <v>20</v>
      </c>
      <c r="M625" t="s">
        <v>1430</v>
      </c>
      <c r="N625" s="59">
        <v>3300</v>
      </c>
      <c r="O625" s="59">
        <v>111341340.00000001</v>
      </c>
      <c r="P625" s="59">
        <v>542464.26177437021</v>
      </c>
      <c r="Q625" s="59">
        <v>0</v>
      </c>
      <c r="R625" s="59">
        <v>0</v>
      </c>
      <c r="S625" s="59">
        <v>110798875.73822564</v>
      </c>
      <c r="T625" s="41"/>
      <c r="U625" s="41"/>
      <c r="V625" s="41"/>
      <c r="W625" s="41"/>
      <c r="X625" s="41"/>
      <c r="Y625" s="41"/>
      <c r="Z625" s="41"/>
      <c r="AA625" s="41"/>
      <c r="AB625" s="41"/>
      <c r="AC625" s="41"/>
      <c r="AD625" s="41"/>
      <c r="AE625" s="59">
        <v>4398.828204043316</v>
      </c>
      <c r="AF625" s="59">
        <v>4420.3645876797018</v>
      </c>
      <c r="AG625" s="59" t="s">
        <v>71</v>
      </c>
      <c r="AH625" s="59" t="s">
        <v>1166</v>
      </c>
    </row>
    <row r="626" spans="1:34" x14ac:dyDescent="0.35">
      <c r="A626" s="58">
        <v>2024</v>
      </c>
      <c r="B626" s="58">
        <v>11</v>
      </c>
      <c r="C626">
        <v>11</v>
      </c>
      <c r="D626" s="58" t="s">
        <v>1567</v>
      </c>
      <c r="E626" t="s">
        <v>1261</v>
      </c>
      <c r="F626" s="58" t="s">
        <v>931</v>
      </c>
      <c r="G626" t="s">
        <v>932</v>
      </c>
      <c r="H626" s="58" t="s">
        <v>1428</v>
      </c>
      <c r="I626" t="s">
        <v>76</v>
      </c>
      <c r="J626" s="58" t="s">
        <v>76</v>
      </c>
      <c r="K626" t="s">
        <v>1429</v>
      </c>
      <c r="L626" t="s">
        <v>20</v>
      </c>
      <c r="M626" t="s">
        <v>1431</v>
      </c>
      <c r="N626" s="59">
        <v>-5250</v>
      </c>
      <c r="O626" s="59">
        <v>0</v>
      </c>
      <c r="P626" s="59">
        <v>0</v>
      </c>
      <c r="Q626" s="59">
        <v>0</v>
      </c>
      <c r="R626" s="59">
        <v>0</v>
      </c>
      <c r="S626" s="59">
        <v>0</v>
      </c>
      <c r="T626" s="41"/>
      <c r="U626" s="41"/>
      <c r="V626" s="41"/>
      <c r="W626" s="41"/>
      <c r="X626" s="41"/>
      <c r="Y626" s="41"/>
      <c r="Z626" s="41"/>
      <c r="AA626" s="41"/>
      <c r="AB626" s="41"/>
      <c r="AC626" s="41"/>
      <c r="AD626" s="41"/>
      <c r="AE626" s="59">
        <v>0</v>
      </c>
      <c r="AF626" s="59">
        <v>0</v>
      </c>
      <c r="AG626" s="59" t="s">
        <v>1261</v>
      </c>
      <c r="AH626" s="59" t="s">
        <v>1260</v>
      </c>
    </row>
    <row r="627" spans="1:34" x14ac:dyDescent="0.35">
      <c r="A627" s="58">
        <v>2024</v>
      </c>
      <c r="B627" s="58">
        <v>11</v>
      </c>
      <c r="C627">
        <v>11</v>
      </c>
      <c r="D627" s="58" t="s">
        <v>1567</v>
      </c>
      <c r="E627" t="s">
        <v>1261</v>
      </c>
      <c r="F627" s="58" t="s">
        <v>931</v>
      </c>
      <c r="G627" t="s">
        <v>932</v>
      </c>
      <c r="H627" s="58" t="s">
        <v>1428</v>
      </c>
      <c r="I627" t="s">
        <v>76</v>
      </c>
      <c r="J627" s="58" t="s">
        <v>76</v>
      </c>
      <c r="K627" t="s">
        <v>1429</v>
      </c>
      <c r="L627" t="s">
        <v>20</v>
      </c>
      <c r="M627" t="s">
        <v>1432</v>
      </c>
      <c r="N627" s="59">
        <v>5250</v>
      </c>
      <c r="O627" s="59">
        <v>0</v>
      </c>
      <c r="P627" s="59">
        <v>0</v>
      </c>
      <c r="Q627" s="59">
        <v>0</v>
      </c>
      <c r="R627" s="59">
        <v>0</v>
      </c>
      <c r="S627" s="59">
        <v>0</v>
      </c>
      <c r="T627" s="41"/>
      <c r="U627" s="41"/>
      <c r="V627" s="41"/>
      <c r="W627" s="41"/>
      <c r="X627" s="41"/>
      <c r="Y627" s="41"/>
      <c r="Z627" s="41"/>
      <c r="AA627" s="41"/>
      <c r="AB627" s="41"/>
      <c r="AC627" s="41"/>
      <c r="AD627" s="41"/>
      <c r="AE627" s="59">
        <v>0</v>
      </c>
      <c r="AF627" s="59">
        <v>0</v>
      </c>
      <c r="AG627" s="59" t="s">
        <v>1261</v>
      </c>
      <c r="AH627" s="59" t="s">
        <v>1260</v>
      </c>
    </row>
    <row r="628" spans="1:34" x14ac:dyDescent="0.35">
      <c r="A628" s="58">
        <v>2024</v>
      </c>
      <c r="B628" s="58">
        <v>11</v>
      </c>
      <c r="C628">
        <v>11</v>
      </c>
      <c r="D628" s="58" t="s">
        <v>1581</v>
      </c>
      <c r="E628" t="s">
        <v>1158</v>
      </c>
      <c r="F628" s="58" t="s">
        <v>167</v>
      </c>
      <c r="G628" t="s">
        <v>693</v>
      </c>
      <c r="H628" s="58" t="s">
        <v>4</v>
      </c>
      <c r="I628" t="s">
        <v>4</v>
      </c>
      <c r="J628" s="58" t="s">
        <v>4</v>
      </c>
      <c r="K628" t="s">
        <v>1429</v>
      </c>
      <c r="L628" t="s">
        <v>20</v>
      </c>
      <c r="M628" t="s">
        <v>1430</v>
      </c>
      <c r="N628" s="59">
        <v>13200</v>
      </c>
      <c r="O628" s="59">
        <v>428551860</v>
      </c>
      <c r="P628" s="59">
        <v>2169857.0470974809</v>
      </c>
      <c r="Q628" s="59">
        <v>0</v>
      </c>
      <c r="R628" s="59">
        <v>800000</v>
      </c>
      <c r="S628" s="59">
        <v>425582002.95290256</v>
      </c>
      <c r="T628" s="41"/>
      <c r="U628" s="41"/>
      <c r="V628" s="41"/>
      <c r="W628" s="41"/>
      <c r="X628" s="41"/>
      <c r="Y628" s="41"/>
      <c r="Z628" s="41"/>
      <c r="AA628" s="41"/>
      <c r="AB628" s="41"/>
      <c r="AC628" s="41"/>
      <c r="AD628" s="41"/>
      <c r="AE628" s="59">
        <v>16896.038928638802</v>
      </c>
      <c r="AF628" s="59">
        <v>17013.945277901894</v>
      </c>
      <c r="AG628" s="59" t="s">
        <v>1158</v>
      </c>
      <c r="AH628" s="59" t="s">
        <v>1156</v>
      </c>
    </row>
    <row r="629" spans="1:34" x14ac:dyDescent="0.35">
      <c r="A629" s="58">
        <v>2024</v>
      </c>
      <c r="B629" s="58">
        <v>11</v>
      </c>
      <c r="C629">
        <v>11</v>
      </c>
      <c r="D629" s="58" t="s">
        <v>1581</v>
      </c>
      <c r="E629" t="s">
        <v>1158</v>
      </c>
      <c r="F629" s="58" t="s">
        <v>172</v>
      </c>
      <c r="G629" t="s">
        <v>734</v>
      </c>
      <c r="H629" s="58" t="s">
        <v>4</v>
      </c>
      <c r="I629" t="s">
        <v>4</v>
      </c>
      <c r="J629" s="58" t="s">
        <v>4</v>
      </c>
      <c r="K629" t="s">
        <v>1429</v>
      </c>
      <c r="L629" t="s">
        <v>20</v>
      </c>
      <c r="M629" t="s">
        <v>1430</v>
      </c>
      <c r="N629" s="59">
        <v>11000</v>
      </c>
      <c r="O629" s="59">
        <v>361166300.00000006</v>
      </c>
      <c r="P629" s="59">
        <v>1808214.2059145672</v>
      </c>
      <c r="Q629" s="59">
        <v>0</v>
      </c>
      <c r="R629" s="59">
        <v>0</v>
      </c>
      <c r="S629" s="59">
        <v>359358085.7940855</v>
      </c>
      <c r="T629" s="41"/>
      <c r="U629" s="41"/>
      <c r="V629" s="41"/>
      <c r="W629" s="41"/>
      <c r="X629" s="41"/>
      <c r="Y629" s="41"/>
      <c r="Z629" s="41"/>
      <c r="AA629" s="41"/>
      <c r="AB629" s="41"/>
      <c r="AC629" s="41"/>
      <c r="AD629" s="41"/>
      <c r="AE629" s="59">
        <v>14266.881975199325</v>
      </c>
      <c r="AF629" s="59">
        <v>14338.669920653943</v>
      </c>
      <c r="AG629" s="59" t="s">
        <v>1158</v>
      </c>
      <c r="AH629" s="59" t="s">
        <v>1175</v>
      </c>
    </row>
    <row r="630" spans="1:34" x14ac:dyDescent="0.35">
      <c r="A630" s="58">
        <v>2024</v>
      </c>
      <c r="B630" s="58">
        <v>11</v>
      </c>
      <c r="C630">
        <v>11</v>
      </c>
      <c r="D630" s="58" t="s">
        <v>1581</v>
      </c>
      <c r="E630" t="s">
        <v>1158</v>
      </c>
      <c r="F630" s="58" t="s">
        <v>172</v>
      </c>
      <c r="G630" t="s">
        <v>734</v>
      </c>
      <c r="H630" s="58" t="s">
        <v>4</v>
      </c>
      <c r="I630" t="s">
        <v>4</v>
      </c>
      <c r="J630" s="58" t="s">
        <v>4</v>
      </c>
      <c r="K630" t="s">
        <v>1429</v>
      </c>
      <c r="L630" t="s">
        <v>20</v>
      </c>
      <c r="M630" t="s">
        <v>1508</v>
      </c>
      <c r="N630" s="59">
        <v>-1100</v>
      </c>
      <c r="O630" s="59">
        <v>-36116630</v>
      </c>
      <c r="P630" s="59">
        <v>-180821.42059145673</v>
      </c>
      <c r="Q630" s="59">
        <v>0</v>
      </c>
      <c r="R630" s="59">
        <v>0</v>
      </c>
      <c r="S630" s="59">
        <v>-35935808.579408541</v>
      </c>
      <c r="T630" s="41"/>
      <c r="U630" s="41"/>
      <c r="V630" s="41"/>
      <c r="W630" s="41"/>
      <c r="X630" s="41"/>
      <c r="Y630" s="41"/>
      <c r="Z630" s="41"/>
      <c r="AA630" s="41"/>
      <c r="AB630" s="41"/>
      <c r="AC630" s="41"/>
      <c r="AD630" s="41"/>
      <c r="AE630" s="59">
        <v>-1426.6881975199321</v>
      </c>
      <c r="AF630" s="59">
        <v>-1433.866992065394</v>
      </c>
      <c r="AG630" s="59" t="s">
        <v>1158</v>
      </c>
      <c r="AH630" s="59" t="s">
        <v>1175</v>
      </c>
    </row>
    <row r="631" spans="1:34" x14ac:dyDescent="0.35">
      <c r="A631" s="58">
        <v>2024</v>
      </c>
      <c r="B631" s="58">
        <v>11</v>
      </c>
      <c r="C631">
        <v>11</v>
      </c>
      <c r="D631" s="58" t="s">
        <v>1586</v>
      </c>
      <c r="E631" t="s">
        <v>1259</v>
      </c>
      <c r="F631" s="58" t="s">
        <v>203</v>
      </c>
      <c r="G631" t="s">
        <v>472</v>
      </c>
      <c r="H631" s="58" t="s">
        <v>1428</v>
      </c>
      <c r="I631" t="s">
        <v>76</v>
      </c>
      <c r="J631" s="58" t="s">
        <v>76</v>
      </c>
      <c r="K631" t="s">
        <v>1429</v>
      </c>
      <c r="L631" t="s">
        <v>20</v>
      </c>
      <c r="M631" t="s">
        <v>1430</v>
      </c>
      <c r="N631" s="59">
        <v>325</v>
      </c>
      <c r="O631" s="59">
        <v>6950125</v>
      </c>
      <c r="P631" s="59">
        <v>0</v>
      </c>
      <c r="Q631" s="59">
        <v>0</v>
      </c>
      <c r="R631" s="59">
        <v>0</v>
      </c>
      <c r="S631" s="59">
        <v>6950125</v>
      </c>
      <c r="T631" s="41"/>
      <c r="U631" s="41"/>
      <c r="V631" s="41"/>
      <c r="W631" s="41"/>
      <c r="X631" s="41"/>
      <c r="Y631" s="41"/>
      <c r="Z631" s="41"/>
      <c r="AA631" s="41"/>
      <c r="AB631" s="41"/>
      <c r="AC631" s="41"/>
      <c r="AD631" s="41"/>
      <c r="AE631" s="59">
        <v>275.92704048601701</v>
      </c>
      <c r="AF631" s="59">
        <v>275.92704048601701</v>
      </c>
      <c r="AG631" s="59" t="s">
        <v>1259</v>
      </c>
      <c r="AH631" s="59" t="s">
        <v>78</v>
      </c>
    </row>
    <row r="632" spans="1:34" x14ac:dyDescent="0.35">
      <c r="A632" s="58">
        <v>2024</v>
      </c>
      <c r="B632" s="58">
        <v>11</v>
      </c>
      <c r="C632">
        <v>11</v>
      </c>
      <c r="D632" s="58" t="s">
        <v>1587</v>
      </c>
      <c r="E632" t="s">
        <v>1252</v>
      </c>
      <c r="F632" s="58" t="s">
        <v>198</v>
      </c>
      <c r="G632" t="s">
        <v>755</v>
      </c>
      <c r="H632" s="58" t="s">
        <v>1428</v>
      </c>
      <c r="I632" t="s">
        <v>76</v>
      </c>
      <c r="J632" s="58" t="s">
        <v>76</v>
      </c>
      <c r="K632" t="s">
        <v>1429</v>
      </c>
      <c r="L632" t="s">
        <v>20</v>
      </c>
      <c r="M632" t="s">
        <v>1430</v>
      </c>
      <c r="N632" s="59">
        <v>3500</v>
      </c>
      <c r="O632" s="59">
        <v>93583000</v>
      </c>
      <c r="P632" s="59">
        <v>0</v>
      </c>
      <c r="Q632" s="59">
        <v>0</v>
      </c>
      <c r="R632" s="59">
        <v>0</v>
      </c>
      <c r="S632" s="59">
        <v>93583000</v>
      </c>
      <c r="T632" s="41"/>
      <c r="U632" s="41"/>
      <c r="V632" s="41"/>
      <c r="W632" s="41"/>
      <c r="X632" s="41"/>
      <c r="Y632" s="41"/>
      <c r="Z632" s="41"/>
      <c r="AA632" s="41"/>
      <c r="AB632" s="41"/>
      <c r="AC632" s="41"/>
      <c r="AD632" s="41"/>
      <c r="AE632" s="59">
        <v>3715.3404046406258</v>
      </c>
      <c r="AF632" s="59">
        <v>3715.3404046406258</v>
      </c>
      <c r="AG632" s="59" t="s">
        <v>1252</v>
      </c>
      <c r="AH632" s="59" t="s">
        <v>1250</v>
      </c>
    </row>
    <row r="633" spans="1:34" x14ac:dyDescent="0.35">
      <c r="A633" s="58">
        <v>2024</v>
      </c>
      <c r="B633" s="58">
        <v>11</v>
      </c>
      <c r="C633">
        <v>11</v>
      </c>
      <c r="D633" s="58" t="s">
        <v>1588</v>
      </c>
      <c r="E633" t="s">
        <v>1196</v>
      </c>
      <c r="F633" s="58" t="s">
        <v>713</v>
      </c>
      <c r="G633" t="s">
        <v>714</v>
      </c>
      <c r="H633" s="58" t="s">
        <v>1428</v>
      </c>
      <c r="I633" t="s">
        <v>75</v>
      </c>
      <c r="J633" s="58" t="s">
        <v>75</v>
      </c>
      <c r="K633" t="s">
        <v>1429</v>
      </c>
      <c r="L633" t="s">
        <v>20</v>
      </c>
      <c r="M633" t="s">
        <v>1430</v>
      </c>
      <c r="N633" s="59">
        <v>25</v>
      </c>
      <c r="O633" s="59">
        <v>860692.49999999988</v>
      </c>
      <c r="P633" s="59">
        <v>0</v>
      </c>
      <c r="Q633" s="59">
        <v>0</v>
      </c>
      <c r="R633" s="59">
        <v>0</v>
      </c>
      <c r="S633" s="59">
        <v>860692.49999999988</v>
      </c>
      <c r="T633" s="41"/>
      <c r="U633" s="41"/>
      <c r="V633" s="41"/>
      <c r="W633" s="41"/>
      <c r="X633" s="41"/>
      <c r="Y633" s="41"/>
      <c r="Z633" s="41"/>
      <c r="AA633" s="41"/>
      <c r="AB633" s="41"/>
      <c r="AC633" s="41"/>
      <c r="AD633" s="41"/>
      <c r="AE633" s="59">
        <v>34.170368776606345</v>
      </c>
      <c r="AF633" s="59">
        <v>34.170368776606345</v>
      </c>
      <c r="AG633" s="59" t="s">
        <v>1196</v>
      </c>
      <c r="AH633" s="59" t="s">
        <v>1195</v>
      </c>
    </row>
    <row r="634" spans="1:34" x14ac:dyDescent="0.35">
      <c r="A634" s="58">
        <v>2024</v>
      </c>
      <c r="B634" s="58">
        <v>11</v>
      </c>
      <c r="C634">
        <v>11</v>
      </c>
      <c r="D634" s="58" t="s">
        <v>1588</v>
      </c>
      <c r="E634" t="s">
        <v>1196</v>
      </c>
      <c r="F634" s="58" t="s">
        <v>191</v>
      </c>
      <c r="G634" t="s">
        <v>941</v>
      </c>
      <c r="H634" s="58" t="s">
        <v>1428</v>
      </c>
      <c r="I634" t="s">
        <v>75</v>
      </c>
      <c r="J634" s="58" t="s">
        <v>75</v>
      </c>
      <c r="K634" t="s">
        <v>1429</v>
      </c>
      <c r="L634" t="s">
        <v>20</v>
      </c>
      <c r="M634" t="s">
        <v>1430</v>
      </c>
      <c r="N634" s="59">
        <v>25</v>
      </c>
      <c r="O634" s="59">
        <v>860692.49999999988</v>
      </c>
      <c r="P634" s="59">
        <v>0</v>
      </c>
      <c r="Q634" s="59">
        <v>0</v>
      </c>
      <c r="R634" s="59">
        <v>0</v>
      </c>
      <c r="S634" s="59">
        <v>860692.49999999988</v>
      </c>
      <c r="T634" s="41"/>
      <c r="U634" s="41"/>
      <c r="V634" s="41"/>
      <c r="W634" s="41"/>
      <c r="X634" s="41"/>
      <c r="Y634" s="41"/>
      <c r="Z634" s="41"/>
      <c r="AA634" s="41"/>
      <c r="AB634" s="41"/>
      <c r="AC634" s="41"/>
      <c r="AD634" s="41"/>
      <c r="AE634" s="59">
        <v>34.170368776606345</v>
      </c>
      <c r="AF634" s="59">
        <v>34.170368776606345</v>
      </c>
      <c r="AG634" s="59" t="s">
        <v>1196</v>
      </c>
      <c r="AH634" s="59" t="s">
        <v>1208</v>
      </c>
    </row>
    <row r="635" spans="1:34" x14ac:dyDescent="0.35">
      <c r="A635" s="58">
        <v>2024</v>
      </c>
      <c r="B635" s="58">
        <v>11</v>
      </c>
      <c r="C635">
        <v>11</v>
      </c>
      <c r="D635" s="58" t="s">
        <v>1589</v>
      </c>
      <c r="E635" t="s">
        <v>1182</v>
      </c>
      <c r="F635" s="58" t="s">
        <v>172</v>
      </c>
      <c r="G635" t="s">
        <v>734</v>
      </c>
      <c r="H635" s="58" t="s">
        <v>4</v>
      </c>
      <c r="I635" t="s">
        <v>4</v>
      </c>
      <c r="J635" s="58" t="s">
        <v>4</v>
      </c>
      <c r="K635" t="s">
        <v>1429</v>
      </c>
      <c r="L635" t="s">
        <v>20</v>
      </c>
      <c r="M635" t="s">
        <v>1430</v>
      </c>
      <c r="N635" s="59">
        <v>100</v>
      </c>
      <c r="O635" s="59">
        <v>3455000</v>
      </c>
      <c r="P635" s="59">
        <v>0</v>
      </c>
      <c r="Q635" s="59">
        <v>0</v>
      </c>
      <c r="R635" s="59">
        <v>0</v>
      </c>
      <c r="S635" s="59">
        <v>3455000</v>
      </c>
      <c r="T635" s="41"/>
      <c r="U635" s="41"/>
      <c r="V635" s="41"/>
      <c r="W635" s="41"/>
      <c r="X635" s="41"/>
      <c r="Y635" s="41"/>
      <c r="Z635" s="41"/>
      <c r="AA635" s="41"/>
      <c r="AB635" s="41"/>
      <c r="AC635" s="41"/>
      <c r="AD635" s="41"/>
      <c r="AE635" s="59">
        <v>137.16701856141995</v>
      </c>
      <c r="AF635" s="59">
        <v>137.16701856141995</v>
      </c>
      <c r="AG635" s="59" t="s">
        <v>1182</v>
      </c>
      <c r="AH635" s="59" t="s">
        <v>1175</v>
      </c>
    </row>
    <row r="636" spans="1:34" x14ac:dyDescent="0.35">
      <c r="A636" s="58">
        <v>2024</v>
      </c>
      <c r="B636" s="58">
        <v>11</v>
      </c>
      <c r="C636">
        <v>11</v>
      </c>
      <c r="D636" s="58" t="s">
        <v>602</v>
      </c>
      <c r="E636" t="s">
        <v>122</v>
      </c>
      <c r="F636" s="58" t="s">
        <v>171</v>
      </c>
      <c r="G636" t="s">
        <v>731</v>
      </c>
      <c r="H636" s="58" t="s">
        <v>4</v>
      </c>
      <c r="I636" t="s">
        <v>4</v>
      </c>
      <c r="J636" s="58" t="s">
        <v>4</v>
      </c>
      <c r="K636" t="s">
        <v>1476</v>
      </c>
      <c r="L636" t="s">
        <v>1477</v>
      </c>
      <c r="M636" t="s">
        <v>1430</v>
      </c>
      <c r="N636" s="59">
        <v>22000</v>
      </c>
      <c r="O636" s="59">
        <v>711586920</v>
      </c>
      <c r="P636" s="59">
        <v>1808214.2059145672</v>
      </c>
      <c r="Q636" s="59">
        <v>0</v>
      </c>
      <c r="R636" s="59">
        <v>10417231</v>
      </c>
      <c r="S636" s="59">
        <v>699361474.79408538</v>
      </c>
      <c r="T636" s="41"/>
      <c r="U636" s="41"/>
      <c r="V636" s="41"/>
      <c r="W636" s="41"/>
      <c r="X636" s="41"/>
      <c r="Y636" s="41"/>
      <c r="Z636" s="41"/>
      <c r="AA636" s="41"/>
      <c r="AB636" s="41"/>
      <c r="AC636" s="41"/>
      <c r="AD636" s="41"/>
      <c r="AE636" s="59">
        <v>27719.440142452848</v>
      </c>
      <c r="AF636" s="59">
        <v>28204</v>
      </c>
      <c r="AG636" s="59" t="s">
        <v>122</v>
      </c>
      <c r="AH636" s="59" t="s">
        <v>1166</v>
      </c>
    </row>
    <row r="637" spans="1:34" x14ac:dyDescent="0.35">
      <c r="A637" s="58">
        <v>2024</v>
      </c>
      <c r="B637" s="58">
        <v>11</v>
      </c>
      <c r="C637">
        <v>11</v>
      </c>
      <c r="D637" s="58" t="s">
        <v>587</v>
      </c>
      <c r="E637" t="s">
        <v>6</v>
      </c>
      <c r="F637" s="58" t="s">
        <v>171</v>
      </c>
      <c r="G637" t="s">
        <v>731</v>
      </c>
      <c r="H637" s="58" t="s">
        <v>4</v>
      </c>
      <c r="I637" t="s">
        <v>4</v>
      </c>
      <c r="J637" s="58" t="s">
        <v>4</v>
      </c>
      <c r="K637" t="s">
        <v>1476</v>
      </c>
      <c r="L637" t="s">
        <v>1509</v>
      </c>
      <c r="M637" t="s">
        <v>1430</v>
      </c>
      <c r="N637" s="59">
        <v>110000</v>
      </c>
      <c r="O637" s="59">
        <v>3490912260</v>
      </c>
      <c r="P637" s="59">
        <v>8254746.875</v>
      </c>
      <c r="Q637" s="59">
        <v>52363683.899999999</v>
      </c>
      <c r="R637" s="59">
        <v>44330308.999999993</v>
      </c>
      <c r="S637" s="59">
        <v>3385963520.2250004</v>
      </c>
      <c r="T637" s="41"/>
      <c r="U637" s="41"/>
      <c r="V637" s="41"/>
      <c r="W637" s="41"/>
      <c r="X637" s="41"/>
      <c r="Y637" s="41"/>
      <c r="Z637" s="41"/>
      <c r="AA637" s="41"/>
      <c r="AB637" s="41"/>
      <c r="AC637" s="41"/>
      <c r="AD637" s="41"/>
      <c r="AE637" s="59">
        <v>134577.24643183628</v>
      </c>
      <c r="AF637" s="59">
        <v>138748.5</v>
      </c>
      <c r="AG637" s="59" t="s">
        <v>6</v>
      </c>
      <c r="AH637" s="59" t="s">
        <v>1166</v>
      </c>
    </row>
    <row r="638" spans="1:34" x14ac:dyDescent="0.35">
      <c r="A638" s="58">
        <v>2024</v>
      </c>
      <c r="B638" s="58">
        <v>11</v>
      </c>
      <c r="C638">
        <v>11</v>
      </c>
      <c r="D638" s="58" t="s">
        <v>587</v>
      </c>
      <c r="E638" t="s">
        <v>6</v>
      </c>
      <c r="F638" s="58" t="s">
        <v>171</v>
      </c>
      <c r="G638" t="s">
        <v>731</v>
      </c>
      <c r="H638" s="58" t="s">
        <v>4</v>
      </c>
      <c r="I638" t="s">
        <v>4</v>
      </c>
      <c r="J638" s="58" t="s">
        <v>4</v>
      </c>
      <c r="K638" t="s">
        <v>1476</v>
      </c>
      <c r="L638" t="s">
        <v>1477</v>
      </c>
      <c r="M638" t="s">
        <v>1430</v>
      </c>
      <c r="N638" s="59">
        <v>264000</v>
      </c>
      <c r="O638" s="59">
        <v>8459394768</v>
      </c>
      <c r="P638" s="59">
        <v>19811392.5</v>
      </c>
      <c r="Q638" s="59">
        <v>126890921.52000001</v>
      </c>
      <c r="R638" s="59">
        <v>107074016.00000001</v>
      </c>
      <c r="S638" s="59">
        <v>8205618437.9800005</v>
      </c>
      <c r="T638" s="41"/>
      <c r="U638" s="41"/>
      <c r="V638" s="41"/>
      <c r="W638" s="41"/>
      <c r="X638" s="41"/>
      <c r="Y638" s="41"/>
      <c r="Z638" s="41"/>
      <c r="AA638" s="41"/>
      <c r="AB638" s="41"/>
      <c r="AC638" s="41"/>
      <c r="AD638" s="41"/>
      <c r="AE638" s="59">
        <v>325618.59356317448</v>
      </c>
      <c r="AF638" s="59">
        <v>335689.2</v>
      </c>
      <c r="AG638" s="59" t="s">
        <v>6</v>
      </c>
      <c r="AH638" s="59" t="s">
        <v>1166</v>
      </c>
    </row>
    <row r="639" spans="1:34" x14ac:dyDescent="0.35">
      <c r="A639" s="58">
        <v>2024</v>
      </c>
      <c r="B639" s="58">
        <v>11</v>
      </c>
      <c r="C639">
        <v>11</v>
      </c>
      <c r="D639" s="58" t="s">
        <v>1583</v>
      </c>
      <c r="E639" t="s">
        <v>1169</v>
      </c>
      <c r="F639" s="58" t="s">
        <v>171</v>
      </c>
      <c r="G639" t="s">
        <v>731</v>
      </c>
      <c r="H639" s="58" t="s">
        <v>4</v>
      </c>
      <c r="I639" t="s">
        <v>4</v>
      </c>
      <c r="J639" s="58" t="s">
        <v>4</v>
      </c>
      <c r="K639" t="s">
        <v>1476</v>
      </c>
      <c r="L639" t="s">
        <v>1520</v>
      </c>
      <c r="M639" t="s">
        <v>1430</v>
      </c>
      <c r="N639" s="59">
        <v>44000</v>
      </c>
      <c r="O639" s="59">
        <v>1580224799.9999998</v>
      </c>
      <c r="P639" s="59">
        <v>3616428.4118291344</v>
      </c>
      <c r="Q639" s="59">
        <v>0</v>
      </c>
      <c r="R639" s="59">
        <v>98405808</v>
      </c>
      <c r="S639" s="59">
        <v>1478202563.5881705</v>
      </c>
      <c r="T639" s="41"/>
      <c r="U639" s="41"/>
      <c r="V639" s="41"/>
      <c r="W639" s="41"/>
      <c r="X639" s="41"/>
      <c r="Y639" s="41"/>
      <c r="Z639" s="41"/>
      <c r="AA639" s="41"/>
      <c r="AB639" s="41"/>
      <c r="AC639" s="41"/>
      <c r="AD639" s="41"/>
      <c r="AE639" s="59">
        <v>58775.449844460061</v>
      </c>
      <c r="AF639" s="59">
        <v>62831.999999999993</v>
      </c>
      <c r="AG639" s="59" t="s">
        <v>1169</v>
      </c>
      <c r="AH639" s="59" t="s">
        <v>1166</v>
      </c>
    </row>
    <row r="640" spans="1:34" x14ac:dyDescent="0.35">
      <c r="A640" s="58">
        <v>2024</v>
      </c>
      <c r="B640" s="58">
        <v>11</v>
      </c>
      <c r="C640">
        <v>11</v>
      </c>
      <c r="D640" s="58" t="s">
        <v>591</v>
      </c>
      <c r="E640" t="s">
        <v>121</v>
      </c>
      <c r="F640" s="58" t="s">
        <v>172</v>
      </c>
      <c r="G640" t="s">
        <v>734</v>
      </c>
      <c r="H640" s="58" t="s">
        <v>4</v>
      </c>
      <c r="I640" t="s">
        <v>4</v>
      </c>
      <c r="J640" s="58" t="s">
        <v>4</v>
      </c>
      <c r="K640" t="s">
        <v>1476</v>
      </c>
      <c r="L640" t="s">
        <v>292</v>
      </c>
      <c r="M640" t="s">
        <v>1430</v>
      </c>
      <c r="N640" s="59">
        <v>66000</v>
      </c>
      <c r="O640" s="59">
        <v>2137211999.9999995</v>
      </c>
      <c r="P640" s="59">
        <v>4952848.125</v>
      </c>
      <c r="Q640" s="59">
        <v>0</v>
      </c>
      <c r="R640" s="59">
        <v>27209931.000000007</v>
      </c>
      <c r="S640" s="59">
        <v>2105049220.8749995</v>
      </c>
      <c r="T640" s="41"/>
      <c r="U640" s="41"/>
      <c r="V640" s="41"/>
      <c r="W640" s="41"/>
      <c r="X640" s="41"/>
      <c r="Y640" s="41"/>
      <c r="Z640" s="41"/>
      <c r="AA640" s="41"/>
      <c r="AB640" s="41"/>
      <c r="AC640" s="41"/>
      <c r="AD640" s="41"/>
      <c r="AE640" s="59">
        <v>83533.699241071416</v>
      </c>
      <c r="AF640" s="59">
        <v>84809.999999999985</v>
      </c>
      <c r="AG640" s="59" t="s">
        <v>121</v>
      </c>
      <c r="AH640" s="59" t="s">
        <v>1175</v>
      </c>
    </row>
    <row r="641" spans="1:34" x14ac:dyDescent="0.35">
      <c r="A641" s="58">
        <v>2024</v>
      </c>
      <c r="B641" s="58">
        <v>11</v>
      </c>
      <c r="C641">
        <v>11</v>
      </c>
      <c r="D641" s="58" t="s">
        <v>613</v>
      </c>
      <c r="E641" t="s">
        <v>132</v>
      </c>
      <c r="F641" s="58" t="s">
        <v>172</v>
      </c>
      <c r="G641" t="s">
        <v>734</v>
      </c>
      <c r="H641" s="58" t="s">
        <v>4</v>
      </c>
      <c r="I641" t="s">
        <v>4</v>
      </c>
      <c r="J641" s="58" t="s">
        <v>4</v>
      </c>
      <c r="K641" t="s">
        <v>1476</v>
      </c>
      <c r="L641" t="s">
        <v>1501</v>
      </c>
      <c r="M641" t="s">
        <v>1430</v>
      </c>
      <c r="N641" s="59">
        <v>44000</v>
      </c>
      <c r="O641" s="59">
        <v>1429216800</v>
      </c>
      <c r="P641" s="59">
        <v>3301898.75</v>
      </c>
      <c r="Q641" s="59">
        <v>0</v>
      </c>
      <c r="R641" s="59">
        <v>18353749</v>
      </c>
      <c r="S641" s="59">
        <v>1407561152.25</v>
      </c>
      <c r="T641" s="41"/>
      <c r="U641" s="41"/>
      <c r="V641" s="41"/>
      <c r="W641" s="41"/>
      <c r="X641" s="41"/>
      <c r="Y641" s="41"/>
      <c r="Z641" s="41"/>
      <c r="AA641" s="41"/>
      <c r="AB641" s="41"/>
      <c r="AC641" s="41"/>
      <c r="AD641" s="41"/>
      <c r="AE641" s="59">
        <v>55899.966332406671</v>
      </c>
      <c r="AF641" s="59">
        <v>56760</v>
      </c>
      <c r="AG641" s="59" t="s">
        <v>132</v>
      </c>
      <c r="AH641" s="59" t="s">
        <v>1175</v>
      </c>
    </row>
    <row r="642" spans="1:34" x14ac:dyDescent="0.35">
      <c r="A642" s="58">
        <v>2024</v>
      </c>
      <c r="B642" s="58">
        <v>11</v>
      </c>
      <c r="C642">
        <v>11</v>
      </c>
      <c r="D642" s="58" t="s">
        <v>613</v>
      </c>
      <c r="E642" t="s">
        <v>132</v>
      </c>
      <c r="F642" s="58" t="s">
        <v>172</v>
      </c>
      <c r="G642" t="s">
        <v>734</v>
      </c>
      <c r="H642" s="58" t="s">
        <v>4</v>
      </c>
      <c r="I642" t="s">
        <v>4</v>
      </c>
      <c r="J642" s="58" t="s">
        <v>4</v>
      </c>
      <c r="K642" t="s">
        <v>1476</v>
      </c>
      <c r="L642" t="s">
        <v>1479</v>
      </c>
      <c r="M642" t="s">
        <v>1430</v>
      </c>
      <c r="N642" s="59">
        <v>44000</v>
      </c>
      <c r="O642" s="59">
        <v>1419264000</v>
      </c>
      <c r="P642" s="59">
        <v>3301898.75</v>
      </c>
      <c r="Q642" s="59">
        <v>0</v>
      </c>
      <c r="R642" s="59">
        <v>19415612</v>
      </c>
      <c r="S642" s="59">
        <v>1396546489.25</v>
      </c>
      <c r="T642" s="41"/>
      <c r="U642" s="41"/>
      <c r="V642" s="41"/>
      <c r="W642" s="41"/>
      <c r="X642" s="41"/>
      <c r="Y642" s="41"/>
      <c r="Z642" s="41"/>
      <c r="AA642" s="41"/>
      <c r="AB642" s="41"/>
      <c r="AC642" s="41"/>
      <c r="AD642" s="41"/>
      <c r="AE642" s="59">
        <v>55418.511478174602</v>
      </c>
      <c r="AF642" s="59">
        <v>56320</v>
      </c>
      <c r="AG642" s="59" t="s">
        <v>132</v>
      </c>
      <c r="AH642" s="59" t="s">
        <v>1175</v>
      </c>
    </row>
    <row r="643" spans="1:34" x14ac:dyDescent="0.35">
      <c r="A643" s="58">
        <v>2024</v>
      </c>
      <c r="B643" s="58">
        <v>11</v>
      </c>
      <c r="C643">
        <v>11</v>
      </c>
      <c r="D643" s="58" t="s">
        <v>1555</v>
      </c>
      <c r="E643" t="s">
        <v>1289</v>
      </c>
      <c r="F643" s="58" t="s">
        <v>1468</v>
      </c>
      <c r="G643" t="s">
        <v>1012</v>
      </c>
      <c r="H643" s="58" t="s">
        <v>1012</v>
      </c>
      <c r="I643" t="s">
        <v>1012</v>
      </c>
      <c r="J643" s="58" t="s">
        <v>1012</v>
      </c>
      <c r="K643" t="s">
        <v>1429</v>
      </c>
      <c r="L643" t="s">
        <v>20</v>
      </c>
      <c r="M643" t="s">
        <v>1430</v>
      </c>
      <c r="N643" s="59">
        <v>0</v>
      </c>
      <c r="O643" s="59">
        <v>0</v>
      </c>
      <c r="P643" s="59">
        <v>0</v>
      </c>
      <c r="Q643" s="59">
        <v>0</v>
      </c>
      <c r="R643" s="59">
        <v>0</v>
      </c>
      <c r="S643" s="59">
        <v>0</v>
      </c>
      <c r="T643" s="41"/>
      <c r="U643" s="41"/>
      <c r="V643" s="41"/>
      <c r="W643" s="41"/>
      <c r="X643" s="41"/>
      <c r="Y643" s="41"/>
      <c r="Z643" s="41"/>
      <c r="AA643" s="41"/>
      <c r="AB643" s="41"/>
      <c r="AC643" s="41"/>
      <c r="AD643" s="41"/>
      <c r="AE643" s="59">
        <v>0</v>
      </c>
      <c r="AF643" s="59">
        <v>0</v>
      </c>
      <c r="AG643" s="59" t="s">
        <v>1289</v>
      </c>
      <c r="AH643" s="59" t="s">
        <v>1284</v>
      </c>
    </row>
    <row r="644" spans="1:34" x14ac:dyDescent="0.35">
      <c r="A644" s="58">
        <v>2024</v>
      </c>
      <c r="B644" s="58">
        <v>11</v>
      </c>
      <c r="C644">
        <v>11</v>
      </c>
      <c r="D644" s="58" t="s">
        <v>1485</v>
      </c>
      <c r="E644" t="s">
        <v>1318</v>
      </c>
      <c r="F644" s="58" t="s">
        <v>1486</v>
      </c>
      <c r="G644" t="s">
        <v>1487</v>
      </c>
      <c r="H644" s="58" t="s">
        <v>1012</v>
      </c>
      <c r="I644" t="s">
        <v>1012</v>
      </c>
      <c r="J644" s="58" t="s">
        <v>1012</v>
      </c>
      <c r="K644" t="s">
        <v>1429</v>
      </c>
      <c r="L644" t="s">
        <v>20</v>
      </c>
      <c r="M644" t="s">
        <v>1430</v>
      </c>
      <c r="N644" s="59">
        <v>0</v>
      </c>
      <c r="O644" s="59">
        <v>0</v>
      </c>
      <c r="P644" s="59">
        <v>0</v>
      </c>
      <c r="Q644" s="59">
        <v>0</v>
      </c>
      <c r="R644" s="59">
        <v>0</v>
      </c>
      <c r="S644" s="59">
        <v>0</v>
      </c>
      <c r="T644" s="41"/>
      <c r="U644" s="41"/>
      <c r="V644" s="41"/>
      <c r="W644" s="41"/>
      <c r="X644" s="41"/>
      <c r="Y644" s="41"/>
      <c r="Z644" s="41"/>
      <c r="AA644" s="41"/>
      <c r="AB644" s="41"/>
      <c r="AC644" s="41"/>
      <c r="AD644" s="41"/>
      <c r="AE644" s="59">
        <v>0</v>
      </c>
      <c r="AF644" s="59">
        <v>0</v>
      </c>
      <c r="AG644" s="59" t="s">
        <v>1318</v>
      </c>
      <c r="AH644" s="59" t="s">
        <v>1317</v>
      </c>
    </row>
    <row r="645" spans="1:34" x14ac:dyDescent="0.35">
      <c r="A645" s="58">
        <v>2024</v>
      </c>
      <c r="B645" s="58">
        <v>11</v>
      </c>
      <c r="C645">
        <v>11</v>
      </c>
      <c r="D645" s="58" t="s">
        <v>1491</v>
      </c>
      <c r="E645" t="s">
        <v>1264</v>
      </c>
      <c r="F645" s="58" t="s">
        <v>1492</v>
      </c>
      <c r="G645" t="s">
        <v>1493</v>
      </c>
      <c r="H645" s="58" t="s">
        <v>1012</v>
      </c>
      <c r="I645" t="s">
        <v>1012</v>
      </c>
      <c r="J645" s="58" t="s">
        <v>1012</v>
      </c>
      <c r="K645" t="s">
        <v>1429</v>
      </c>
      <c r="L645" t="s">
        <v>20</v>
      </c>
      <c r="M645" t="s">
        <v>1430</v>
      </c>
      <c r="N645" s="59">
        <v>0</v>
      </c>
      <c r="O645" s="59">
        <v>0</v>
      </c>
      <c r="P645" s="59">
        <v>0</v>
      </c>
      <c r="Q645" s="59">
        <v>0</v>
      </c>
      <c r="R645" s="59">
        <v>0.37037044763565063</v>
      </c>
      <c r="S645" s="59">
        <v>-0.37037044763565063</v>
      </c>
      <c r="T645" s="41"/>
      <c r="U645" s="41"/>
      <c r="V645" s="41"/>
      <c r="W645" s="41"/>
      <c r="X645" s="41"/>
      <c r="Y645" s="41"/>
      <c r="Z645" s="41"/>
      <c r="AA645" s="41"/>
      <c r="AB645" s="41"/>
      <c r="AC645" s="41"/>
      <c r="AD645" s="41"/>
      <c r="AE645" s="59">
        <v>-1.4704083955265037E-5</v>
      </c>
      <c r="AF645" s="59">
        <v>0</v>
      </c>
      <c r="AG645" s="59" t="s">
        <v>1264</v>
      </c>
      <c r="AH645" s="59" t="s">
        <v>1269</v>
      </c>
    </row>
    <row r="646" spans="1:34" x14ac:dyDescent="0.35">
      <c r="A646" s="58">
        <v>2024</v>
      </c>
      <c r="B646" s="58">
        <v>11</v>
      </c>
      <c r="C646">
        <v>11</v>
      </c>
      <c r="D646" s="58" t="s">
        <v>1491</v>
      </c>
      <c r="E646" t="s">
        <v>1264</v>
      </c>
      <c r="F646" s="58" t="s">
        <v>1152</v>
      </c>
      <c r="G646" t="s">
        <v>1153</v>
      </c>
      <c r="H646" s="58" t="s">
        <v>1012</v>
      </c>
      <c r="I646" t="s">
        <v>1012</v>
      </c>
      <c r="J646" s="58" t="s">
        <v>1399</v>
      </c>
      <c r="K646" t="s">
        <v>1429</v>
      </c>
      <c r="L646" t="s">
        <v>20</v>
      </c>
      <c r="M646" t="s">
        <v>1430</v>
      </c>
      <c r="N646" s="59">
        <v>0</v>
      </c>
      <c r="O646" s="59">
        <v>0</v>
      </c>
      <c r="P646" s="59">
        <v>0</v>
      </c>
      <c r="Q646" s="59">
        <v>-14225.419999957085</v>
      </c>
      <c r="R646" s="59">
        <v>120393130.00000024</v>
      </c>
      <c r="S646" s="59">
        <v>-120378904.58000028</v>
      </c>
      <c r="T646" s="41"/>
      <c r="U646" s="41"/>
      <c r="V646" s="41"/>
      <c r="W646" s="41"/>
      <c r="X646" s="41"/>
      <c r="Y646" s="41"/>
      <c r="Z646" s="41"/>
      <c r="AA646" s="41"/>
      <c r="AB646" s="41"/>
      <c r="AC646" s="41"/>
      <c r="AD646" s="41"/>
      <c r="AE646" s="59">
        <v>-4779.1651053338028</v>
      </c>
      <c r="AF646" s="59">
        <v>0</v>
      </c>
      <c r="AG646" s="59" t="s">
        <v>1264</v>
      </c>
      <c r="AH646" s="59" t="s">
        <v>1400</v>
      </c>
    </row>
    <row r="647" spans="1:34" x14ac:dyDescent="0.35">
      <c r="A647" s="58">
        <v>2024</v>
      </c>
      <c r="B647" s="58">
        <v>11</v>
      </c>
      <c r="C647">
        <v>11</v>
      </c>
      <c r="D647" s="58" t="s">
        <v>1491</v>
      </c>
      <c r="E647" t="s">
        <v>1264</v>
      </c>
      <c r="F647" s="58" t="s">
        <v>1494</v>
      </c>
      <c r="G647" t="s">
        <v>1495</v>
      </c>
      <c r="H647" s="58" t="s">
        <v>1012</v>
      </c>
      <c r="I647" t="s">
        <v>1012</v>
      </c>
      <c r="J647" s="58" t="s">
        <v>1397</v>
      </c>
      <c r="K647" t="s">
        <v>1429</v>
      </c>
      <c r="L647" t="s">
        <v>20</v>
      </c>
      <c r="M647" t="s">
        <v>1430</v>
      </c>
      <c r="N647" s="59">
        <v>0</v>
      </c>
      <c r="O647" s="59">
        <v>0</v>
      </c>
      <c r="P647" s="59">
        <v>0</v>
      </c>
      <c r="Q647" s="59">
        <v>0</v>
      </c>
      <c r="R647" s="59">
        <v>13812493.000000002</v>
      </c>
      <c r="S647" s="59">
        <v>-13812493.000000002</v>
      </c>
      <c r="T647" s="41"/>
      <c r="U647" s="41"/>
      <c r="V647" s="41"/>
      <c r="W647" s="41"/>
      <c r="X647" s="41"/>
      <c r="Y647" s="41"/>
      <c r="Z647" s="41"/>
      <c r="AA647" s="41"/>
      <c r="AB647" s="41"/>
      <c r="AC647" s="41"/>
      <c r="AD647" s="41"/>
      <c r="AE647" s="59">
        <v>-548.37003870057401</v>
      </c>
      <c r="AF647" s="59">
        <v>0</v>
      </c>
      <c r="AG647" s="59" t="s">
        <v>1264</v>
      </c>
      <c r="AH647" s="59" t="s">
        <v>1398</v>
      </c>
    </row>
    <row r="648" spans="1:34" x14ac:dyDescent="0.35">
      <c r="A648" s="58">
        <v>2024</v>
      </c>
      <c r="B648" s="58">
        <v>11</v>
      </c>
      <c r="C648">
        <v>11</v>
      </c>
      <c r="D648" s="58" t="s">
        <v>1491</v>
      </c>
      <c r="E648" t="s">
        <v>1264</v>
      </c>
      <c r="F648" s="58" t="s">
        <v>1489</v>
      </c>
      <c r="G648" t="s">
        <v>1490</v>
      </c>
      <c r="H648" s="58" t="s">
        <v>1012</v>
      </c>
      <c r="I648" t="s">
        <v>1012</v>
      </c>
      <c r="J648" s="58" t="s">
        <v>1012</v>
      </c>
      <c r="K648" t="s">
        <v>1429</v>
      </c>
      <c r="L648" t="s">
        <v>20</v>
      </c>
      <c r="M648" t="s">
        <v>1430</v>
      </c>
      <c r="N648" s="59">
        <v>0</v>
      </c>
      <c r="O648" s="59">
        <v>0</v>
      </c>
      <c r="P648" s="59">
        <v>0</v>
      </c>
      <c r="Q648" s="59">
        <v>0</v>
      </c>
      <c r="R648" s="59">
        <v>0</v>
      </c>
      <c r="S648" s="59">
        <v>0</v>
      </c>
      <c r="T648" s="41"/>
      <c r="U648" s="41"/>
      <c r="V648" s="41"/>
      <c r="W648" s="41"/>
      <c r="X648" s="41"/>
      <c r="Y648" s="41"/>
      <c r="Z648" s="41"/>
      <c r="AA648" s="41"/>
      <c r="AB648" s="41"/>
      <c r="AC648" s="41"/>
      <c r="AD648" s="41"/>
      <c r="AE648" s="59">
        <v>0</v>
      </c>
      <c r="AF648" s="59">
        <v>0</v>
      </c>
      <c r="AG648" s="59" t="s">
        <v>1264</v>
      </c>
      <c r="AH648" s="59" t="s">
        <v>1274</v>
      </c>
    </row>
    <row r="649" spans="1:34" x14ac:dyDescent="0.35">
      <c r="A649" s="58">
        <v>2024</v>
      </c>
      <c r="B649" s="58">
        <v>11</v>
      </c>
      <c r="C649">
        <v>11</v>
      </c>
      <c r="D649" s="58" t="s">
        <v>1491</v>
      </c>
      <c r="E649" t="s">
        <v>1264</v>
      </c>
      <c r="F649" s="58" t="s">
        <v>1496</v>
      </c>
      <c r="G649" t="s">
        <v>1497</v>
      </c>
      <c r="H649" s="58" t="s">
        <v>1012</v>
      </c>
      <c r="I649" t="s">
        <v>1012</v>
      </c>
      <c r="J649" s="58" t="s">
        <v>1012</v>
      </c>
      <c r="K649" t="s">
        <v>1429</v>
      </c>
      <c r="L649" t="s">
        <v>20</v>
      </c>
      <c r="M649" t="s">
        <v>1430</v>
      </c>
      <c r="N649" s="59">
        <v>0</v>
      </c>
      <c r="O649" s="59">
        <v>0</v>
      </c>
      <c r="P649" s="59">
        <v>0</v>
      </c>
      <c r="Q649" s="59">
        <v>0</v>
      </c>
      <c r="R649" s="59">
        <v>0</v>
      </c>
      <c r="S649" s="59">
        <v>0</v>
      </c>
      <c r="T649" s="41"/>
      <c r="U649" s="41"/>
      <c r="V649" s="41"/>
      <c r="W649" s="41"/>
      <c r="X649" s="41"/>
      <c r="Y649" s="41"/>
      <c r="Z649" s="41"/>
      <c r="AA649" s="41"/>
      <c r="AB649" s="41"/>
      <c r="AC649" s="41"/>
      <c r="AD649" s="41"/>
      <c r="AE649" s="59">
        <v>0</v>
      </c>
      <c r="AF649" s="59">
        <v>0</v>
      </c>
      <c r="AG649" s="59" t="s">
        <v>1264</v>
      </c>
      <c r="AH649" s="59" t="s">
        <v>1329</v>
      </c>
    </row>
    <row r="650" spans="1:34" x14ac:dyDescent="0.35">
      <c r="A650" s="58">
        <v>2024</v>
      </c>
      <c r="B650" s="58">
        <v>12</v>
      </c>
      <c r="C650">
        <v>12</v>
      </c>
      <c r="D650" s="58" t="s">
        <v>625</v>
      </c>
      <c r="E650" t="s">
        <v>271</v>
      </c>
      <c r="F650" s="58" t="s">
        <v>194</v>
      </c>
      <c r="G650" t="s">
        <v>743</v>
      </c>
      <c r="H650" s="58" t="s">
        <v>1428</v>
      </c>
      <c r="I650" t="s">
        <v>76</v>
      </c>
      <c r="J650" s="58" t="s">
        <v>76</v>
      </c>
      <c r="K650" t="s">
        <v>1429</v>
      </c>
      <c r="L650" t="s">
        <v>20</v>
      </c>
      <c r="M650" t="s">
        <v>1430</v>
      </c>
      <c r="N650" s="59">
        <v>4125</v>
      </c>
      <c r="O650" s="59">
        <v>91857550</v>
      </c>
      <c r="P650" s="59">
        <v>0</v>
      </c>
      <c r="Q650" s="59">
        <v>0</v>
      </c>
      <c r="R650" s="59">
        <v>0</v>
      </c>
      <c r="S650" s="59">
        <v>91857550</v>
      </c>
      <c r="T650" s="41"/>
      <c r="U650" s="41"/>
      <c r="V650" s="41"/>
      <c r="W650" s="41"/>
      <c r="X650" s="41"/>
      <c r="Y650" s="41"/>
      <c r="Z650" s="41"/>
      <c r="AA650" s="41"/>
      <c r="AB650" s="41"/>
      <c r="AC650" s="41"/>
      <c r="AD650" s="41"/>
      <c r="AE650" s="59">
        <v>3641.4822130305747</v>
      </c>
      <c r="AF650" s="59">
        <v>3641.4822130305747</v>
      </c>
      <c r="AG650" s="59" t="s">
        <v>47</v>
      </c>
      <c r="AH650" s="59" t="s">
        <v>1246</v>
      </c>
    </row>
    <row r="651" spans="1:34" x14ac:dyDescent="0.35">
      <c r="A651" s="58">
        <v>2024</v>
      </c>
      <c r="B651" s="58">
        <v>12</v>
      </c>
      <c r="C651">
        <v>12</v>
      </c>
      <c r="D651" s="58" t="s">
        <v>625</v>
      </c>
      <c r="E651" t="s">
        <v>271</v>
      </c>
      <c r="F651" s="58" t="s">
        <v>195</v>
      </c>
      <c r="G651" t="s">
        <v>746</v>
      </c>
      <c r="H651" s="58" t="s">
        <v>1428</v>
      </c>
      <c r="I651" t="s">
        <v>76</v>
      </c>
      <c r="J651" s="58" t="s">
        <v>76</v>
      </c>
      <c r="K651" t="s">
        <v>1429</v>
      </c>
      <c r="L651" t="s">
        <v>20</v>
      </c>
      <c r="M651" t="s">
        <v>1430</v>
      </c>
      <c r="N651" s="59">
        <v>1375</v>
      </c>
      <c r="O651" s="59">
        <v>30619183</v>
      </c>
      <c r="P651" s="59">
        <v>0</v>
      </c>
      <c r="Q651" s="59">
        <v>0</v>
      </c>
      <c r="R651" s="59">
        <v>0</v>
      </c>
      <c r="S651" s="59">
        <v>30619183</v>
      </c>
      <c r="T651" s="41"/>
      <c r="U651" s="41"/>
      <c r="V651" s="41"/>
      <c r="W651" s="41"/>
      <c r="X651" s="41"/>
      <c r="Y651" s="41"/>
      <c r="Z651" s="41"/>
      <c r="AA651" s="41"/>
      <c r="AB651" s="41"/>
      <c r="AC651" s="41"/>
      <c r="AD651" s="41"/>
      <c r="AE651" s="59">
        <v>1213.8273911292881</v>
      </c>
      <c r="AF651" s="59">
        <v>1213.8273911292881</v>
      </c>
      <c r="AG651" s="59" t="s">
        <v>47</v>
      </c>
      <c r="AH651" s="59" t="s">
        <v>1247</v>
      </c>
    </row>
    <row r="652" spans="1:34" x14ac:dyDescent="0.35">
      <c r="A652" s="58">
        <v>2024</v>
      </c>
      <c r="B652" s="58">
        <v>12</v>
      </c>
      <c r="C652">
        <v>12</v>
      </c>
      <c r="D652" s="58" t="s">
        <v>625</v>
      </c>
      <c r="E652" t="s">
        <v>271</v>
      </c>
      <c r="F652" s="58" t="s">
        <v>197</v>
      </c>
      <c r="G652" t="s">
        <v>752</v>
      </c>
      <c r="H652" s="58" t="s">
        <v>1428</v>
      </c>
      <c r="I652" t="s">
        <v>76</v>
      </c>
      <c r="J652" s="58" t="s">
        <v>76</v>
      </c>
      <c r="K652" t="s">
        <v>1429</v>
      </c>
      <c r="L652" t="s">
        <v>20</v>
      </c>
      <c r="M652" t="s">
        <v>1430</v>
      </c>
      <c r="N652" s="59">
        <v>2750</v>
      </c>
      <c r="O652" s="59">
        <v>61238367</v>
      </c>
      <c r="P652" s="59">
        <v>0</v>
      </c>
      <c r="Q652" s="59">
        <v>0</v>
      </c>
      <c r="R652" s="59">
        <v>0</v>
      </c>
      <c r="S652" s="59">
        <v>61238367</v>
      </c>
      <c r="T652" s="41"/>
      <c r="U652" s="41"/>
      <c r="V652" s="41"/>
      <c r="W652" s="41"/>
      <c r="X652" s="41"/>
      <c r="Y652" s="41"/>
      <c r="Z652" s="41"/>
      <c r="AA652" s="41"/>
      <c r="AB652" s="41"/>
      <c r="AC652" s="41"/>
      <c r="AD652" s="41"/>
      <c r="AE652" s="59">
        <v>2427.6548219012861</v>
      </c>
      <c r="AF652" s="59">
        <v>2427.6548219012861</v>
      </c>
      <c r="AG652" s="59" t="s">
        <v>47</v>
      </c>
      <c r="AH652" s="59" t="s">
        <v>1249</v>
      </c>
    </row>
    <row r="653" spans="1:34" x14ac:dyDescent="0.35">
      <c r="A653" s="58">
        <v>2024</v>
      </c>
      <c r="B653" s="58">
        <v>12</v>
      </c>
      <c r="C653">
        <v>12</v>
      </c>
      <c r="D653" s="58" t="s">
        <v>625</v>
      </c>
      <c r="E653" t="s">
        <v>271</v>
      </c>
      <c r="F653" s="58" t="s">
        <v>187</v>
      </c>
      <c r="G653" t="s">
        <v>869</v>
      </c>
      <c r="H653" s="58" t="s">
        <v>1428</v>
      </c>
      <c r="I653" t="s">
        <v>75</v>
      </c>
      <c r="J653" s="58" t="s">
        <v>75</v>
      </c>
      <c r="K653" t="s">
        <v>1429</v>
      </c>
      <c r="L653" t="s">
        <v>20</v>
      </c>
      <c r="M653" t="s">
        <v>1431</v>
      </c>
      <c r="N653" s="59">
        <v>-250</v>
      </c>
      <c r="O653" s="59">
        <v>0</v>
      </c>
      <c r="P653" s="59">
        <v>0</v>
      </c>
      <c r="Q653" s="59">
        <v>0</v>
      </c>
      <c r="R653" s="59">
        <v>0</v>
      </c>
      <c r="S653" s="59">
        <v>0</v>
      </c>
      <c r="T653" s="41"/>
      <c r="U653" s="41"/>
      <c r="V653" s="41"/>
      <c r="W653" s="41"/>
      <c r="X653" s="41"/>
      <c r="Y653" s="41"/>
      <c r="Z653" s="41"/>
      <c r="AA653" s="41"/>
      <c r="AB653" s="41"/>
      <c r="AC653" s="41"/>
      <c r="AD653" s="41"/>
      <c r="AE653" s="59">
        <v>0</v>
      </c>
      <c r="AF653" s="59">
        <v>0</v>
      </c>
      <c r="AG653" s="59" t="s">
        <v>47</v>
      </c>
      <c r="AH653" s="59" t="s">
        <v>1203</v>
      </c>
    </row>
    <row r="654" spans="1:34" x14ac:dyDescent="0.35">
      <c r="A654" s="58">
        <v>2024</v>
      </c>
      <c r="B654" s="58">
        <v>12</v>
      </c>
      <c r="C654">
        <v>12</v>
      </c>
      <c r="D654" s="58" t="s">
        <v>625</v>
      </c>
      <c r="E654" t="s">
        <v>271</v>
      </c>
      <c r="F654" s="58" t="s">
        <v>187</v>
      </c>
      <c r="G654" t="s">
        <v>869</v>
      </c>
      <c r="H654" s="58" t="s">
        <v>1428</v>
      </c>
      <c r="I654" t="s">
        <v>75</v>
      </c>
      <c r="J654" s="58" t="s">
        <v>75</v>
      </c>
      <c r="K654" t="s">
        <v>1429</v>
      </c>
      <c r="L654" t="s">
        <v>20</v>
      </c>
      <c r="M654" t="s">
        <v>1430</v>
      </c>
      <c r="N654" s="59">
        <v>300</v>
      </c>
      <c r="O654" s="59">
        <v>10316565</v>
      </c>
      <c r="P654" s="59">
        <v>0</v>
      </c>
      <c r="Q654" s="59">
        <v>0</v>
      </c>
      <c r="R654" s="59">
        <v>0</v>
      </c>
      <c r="S654" s="59">
        <v>10316565</v>
      </c>
      <c r="T654" s="41"/>
      <c r="U654" s="41"/>
      <c r="V654" s="41"/>
      <c r="W654" s="41"/>
      <c r="X654" s="41"/>
      <c r="Y654" s="41"/>
      <c r="Z654" s="41"/>
      <c r="AA654" s="41"/>
      <c r="AB654" s="41"/>
      <c r="AC654" s="41"/>
      <c r="AD654" s="41"/>
      <c r="AE654" s="59">
        <v>408.9765941620887</v>
      </c>
      <c r="AF654" s="59">
        <v>408.9765941620887</v>
      </c>
      <c r="AG654" s="59" t="s">
        <v>47</v>
      </c>
      <c r="AH654" s="59" t="s">
        <v>1203</v>
      </c>
    </row>
    <row r="655" spans="1:34" x14ac:dyDescent="0.35">
      <c r="A655" s="58">
        <v>2024</v>
      </c>
      <c r="B655" s="58">
        <v>12</v>
      </c>
      <c r="C655">
        <v>12</v>
      </c>
      <c r="D655" s="58" t="s">
        <v>625</v>
      </c>
      <c r="E655" t="s">
        <v>271</v>
      </c>
      <c r="F655" s="58" t="s">
        <v>187</v>
      </c>
      <c r="G655" t="s">
        <v>869</v>
      </c>
      <c r="H655" s="58" t="s">
        <v>1428</v>
      </c>
      <c r="I655" t="s">
        <v>75</v>
      </c>
      <c r="J655" s="58" t="s">
        <v>75</v>
      </c>
      <c r="K655" t="s">
        <v>1429</v>
      </c>
      <c r="L655" t="s">
        <v>20</v>
      </c>
      <c r="M655" t="s">
        <v>1432</v>
      </c>
      <c r="N655" s="59">
        <v>250</v>
      </c>
      <c r="O655" s="59">
        <v>0</v>
      </c>
      <c r="P655" s="59">
        <v>0</v>
      </c>
      <c r="Q655" s="59">
        <v>0</v>
      </c>
      <c r="R655" s="59">
        <v>0</v>
      </c>
      <c r="S655" s="59">
        <v>0</v>
      </c>
      <c r="T655" s="41"/>
      <c r="U655" s="41"/>
      <c r="V655" s="41"/>
      <c r="W655" s="41"/>
      <c r="X655" s="41"/>
      <c r="Y655" s="41"/>
      <c r="Z655" s="41"/>
      <c r="AA655" s="41"/>
      <c r="AB655" s="41"/>
      <c r="AC655" s="41"/>
      <c r="AD655" s="41"/>
      <c r="AE655" s="59">
        <v>0</v>
      </c>
      <c r="AF655" s="59">
        <v>0</v>
      </c>
      <c r="AG655" s="59" t="s">
        <v>47</v>
      </c>
      <c r="AH655" s="59" t="s">
        <v>1203</v>
      </c>
    </row>
    <row r="656" spans="1:34" x14ac:dyDescent="0.35">
      <c r="A656" s="58">
        <v>2024</v>
      </c>
      <c r="B656" s="58">
        <v>12</v>
      </c>
      <c r="C656">
        <v>12</v>
      </c>
      <c r="D656" s="58" t="s">
        <v>651</v>
      </c>
      <c r="E656" t="s">
        <v>464</v>
      </c>
      <c r="F656" s="58" t="s">
        <v>191</v>
      </c>
      <c r="G656" t="s">
        <v>941</v>
      </c>
      <c r="H656" s="58" t="s">
        <v>1428</v>
      </c>
      <c r="I656" t="s">
        <v>75</v>
      </c>
      <c r="J656" s="58" t="s">
        <v>75</v>
      </c>
      <c r="K656" t="s">
        <v>1429</v>
      </c>
      <c r="L656" t="s">
        <v>20</v>
      </c>
      <c r="M656" t="s">
        <v>1430</v>
      </c>
      <c r="N656" s="59">
        <v>2000</v>
      </c>
      <c r="O656" s="59">
        <v>70604000</v>
      </c>
      <c r="P656" s="59">
        <v>0</v>
      </c>
      <c r="Q656" s="59">
        <v>0</v>
      </c>
      <c r="R656" s="59">
        <v>0</v>
      </c>
      <c r="S656" s="59">
        <v>70604000</v>
      </c>
      <c r="T656" s="41"/>
      <c r="U656" s="41"/>
      <c r="V656" s="41"/>
      <c r="W656" s="41"/>
      <c r="X656" s="41"/>
      <c r="Y656" s="41"/>
      <c r="Z656" s="41"/>
      <c r="AA656" s="41"/>
      <c r="AB656" s="41"/>
      <c r="AC656" s="41"/>
      <c r="AD656" s="41"/>
      <c r="AE656" s="59">
        <v>2798.9338945879863</v>
      </c>
      <c r="AF656" s="59">
        <v>2798.9338945879863</v>
      </c>
      <c r="AG656" s="59" t="s">
        <v>5</v>
      </c>
      <c r="AH656" s="59" t="s">
        <v>1208</v>
      </c>
    </row>
    <row r="657" spans="1:34" x14ac:dyDescent="0.35">
      <c r="A657" s="58">
        <v>2024</v>
      </c>
      <c r="B657" s="58">
        <v>12</v>
      </c>
      <c r="C657">
        <v>12</v>
      </c>
      <c r="D657" s="58" t="s">
        <v>640</v>
      </c>
      <c r="E657" t="s">
        <v>552</v>
      </c>
      <c r="F657" s="58" t="s">
        <v>1466</v>
      </c>
      <c r="G657" t="s">
        <v>1467</v>
      </c>
      <c r="H657" s="58" t="s">
        <v>1012</v>
      </c>
      <c r="I657" t="s">
        <v>1012</v>
      </c>
      <c r="J657" s="58" t="s">
        <v>1012</v>
      </c>
      <c r="K657" t="s">
        <v>1429</v>
      </c>
      <c r="L657" t="s">
        <v>20</v>
      </c>
      <c r="M657" t="s">
        <v>1430</v>
      </c>
      <c r="N657" s="59">
        <v>0</v>
      </c>
      <c r="O657" s="59">
        <v>4139914414</v>
      </c>
      <c r="P657" s="59">
        <v>0</v>
      </c>
      <c r="Q657" s="59">
        <v>0</v>
      </c>
      <c r="R657" s="59">
        <v>0</v>
      </c>
      <c r="S657" s="59">
        <v>4139914414</v>
      </c>
      <c r="T657" s="41"/>
      <c r="U657" s="41"/>
      <c r="V657" s="41"/>
      <c r="W657" s="41"/>
      <c r="X657" s="41"/>
      <c r="Y657" s="41"/>
      <c r="Z657" s="41"/>
      <c r="AA657" s="41"/>
      <c r="AB657" s="41"/>
      <c r="AC657" s="41"/>
      <c r="AD657" s="41"/>
      <c r="AE657" s="59">
        <v>164117.42640697357</v>
      </c>
      <c r="AF657" s="59">
        <v>164117.42640697357</v>
      </c>
      <c r="AG657" s="59" t="s">
        <v>99</v>
      </c>
      <c r="AH657" s="59" t="s">
        <v>1306</v>
      </c>
    </row>
    <row r="658" spans="1:34" x14ac:dyDescent="0.35">
      <c r="A658" s="58">
        <v>2024</v>
      </c>
      <c r="B658" s="58">
        <v>12</v>
      </c>
      <c r="C658">
        <v>12</v>
      </c>
      <c r="D658" s="58" t="s">
        <v>589</v>
      </c>
      <c r="E658" t="s">
        <v>322</v>
      </c>
      <c r="F658" s="58" t="s">
        <v>171</v>
      </c>
      <c r="G658" t="s">
        <v>731</v>
      </c>
      <c r="H658" s="58" t="s">
        <v>4</v>
      </c>
      <c r="I658" t="s">
        <v>4</v>
      </c>
      <c r="J658" s="58" t="s">
        <v>4</v>
      </c>
      <c r="K658" t="s">
        <v>1429</v>
      </c>
      <c r="L658" t="s">
        <v>20</v>
      </c>
      <c r="M658" t="s">
        <v>1430</v>
      </c>
      <c r="N658" s="59">
        <v>286000</v>
      </c>
      <c r="O658" s="59">
        <v>9292998000</v>
      </c>
      <c r="P658" s="59">
        <v>46730329.811320752</v>
      </c>
      <c r="Q658" s="59">
        <v>0</v>
      </c>
      <c r="R658" s="59">
        <v>44660000</v>
      </c>
      <c r="S658" s="59">
        <v>9201607670.1886787</v>
      </c>
      <c r="T658" s="41"/>
      <c r="U658" s="41"/>
      <c r="V658" s="41"/>
      <c r="W658" s="41"/>
      <c r="X658" s="41"/>
      <c r="Y658" s="41"/>
      <c r="Z658" s="41"/>
      <c r="AA658" s="41"/>
      <c r="AB658" s="41"/>
      <c r="AC658" s="41"/>
      <c r="AD658" s="41"/>
      <c r="AE658" s="59">
        <v>364776.66410956735</v>
      </c>
      <c r="AF658" s="59">
        <v>368399.62444816687</v>
      </c>
      <c r="AG658" s="59" t="s">
        <v>5</v>
      </c>
      <c r="AH658" s="59" t="s">
        <v>1166</v>
      </c>
    </row>
    <row r="659" spans="1:34" x14ac:dyDescent="0.35">
      <c r="A659" s="58">
        <v>2024</v>
      </c>
      <c r="B659" s="58">
        <v>12</v>
      </c>
      <c r="C659">
        <v>12</v>
      </c>
      <c r="D659" s="58" t="s">
        <v>621</v>
      </c>
      <c r="E659" t="s">
        <v>257</v>
      </c>
      <c r="F659" s="58" t="s">
        <v>167</v>
      </c>
      <c r="G659" t="s">
        <v>693</v>
      </c>
      <c r="H659" s="58" t="s">
        <v>4</v>
      </c>
      <c r="I659" t="s">
        <v>4</v>
      </c>
      <c r="J659" s="58" t="s">
        <v>4</v>
      </c>
      <c r="K659" t="s">
        <v>1429</v>
      </c>
      <c r="L659" t="s">
        <v>20</v>
      </c>
      <c r="M659" t="s">
        <v>1431</v>
      </c>
      <c r="N659" s="59">
        <v>-1100</v>
      </c>
      <c r="O659" s="59">
        <v>0</v>
      </c>
      <c r="P659" s="59">
        <v>-179732.03773584907</v>
      </c>
      <c r="Q659" s="59">
        <v>0</v>
      </c>
      <c r="R659" s="59">
        <v>0</v>
      </c>
      <c r="S659" s="59">
        <v>179732.03773584907</v>
      </c>
      <c r="T659" s="41"/>
      <c r="U659" s="41"/>
      <c r="V659" s="41"/>
      <c r="W659" s="41"/>
      <c r="X659" s="41"/>
      <c r="Y659" s="41"/>
      <c r="Z659" s="41"/>
      <c r="AA659" s="41"/>
      <c r="AB659" s="41"/>
      <c r="AC659" s="41"/>
      <c r="AD659" s="41"/>
      <c r="AE659" s="59">
        <v>7.1250650439385153</v>
      </c>
      <c r="AF659" s="59">
        <v>0</v>
      </c>
      <c r="AG659" s="59" t="s">
        <v>16</v>
      </c>
      <c r="AH659" s="59" t="s">
        <v>1156</v>
      </c>
    </row>
    <row r="660" spans="1:34" x14ac:dyDescent="0.35">
      <c r="A660" s="58">
        <v>2024</v>
      </c>
      <c r="B660" s="58">
        <v>12</v>
      </c>
      <c r="C660">
        <v>12</v>
      </c>
      <c r="D660" s="58" t="s">
        <v>621</v>
      </c>
      <c r="E660" t="s">
        <v>257</v>
      </c>
      <c r="F660" s="58" t="s">
        <v>167</v>
      </c>
      <c r="G660" t="s">
        <v>693</v>
      </c>
      <c r="H660" s="58" t="s">
        <v>4</v>
      </c>
      <c r="I660" t="s">
        <v>4</v>
      </c>
      <c r="J660" s="58" t="s">
        <v>4</v>
      </c>
      <c r="K660" t="s">
        <v>1429</v>
      </c>
      <c r="L660" t="s">
        <v>20</v>
      </c>
      <c r="M660" t="s">
        <v>1430</v>
      </c>
      <c r="N660" s="59">
        <v>239800</v>
      </c>
      <c r="O660" s="59">
        <v>8030439186</v>
      </c>
      <c r="P660" s="59">
        <v>35586943.471698105</v>
      </c>
      <c r="Q660" s="59">
        <v>0</v>
      </c>
      <c r="R660" s="59">
        <v>0</v>
      </c>
      <c r="S660" s="59">
        <v>7994852242.5283022</v>
      </c>
      <c r="T660" s="41"/>
      <c r="U660" s="41"/>
      <c r="V660" s="41"/>
      <c r="W660" s="41"/>
      <c r="X660" s="41"/>
      <c r="Y660" s="41"/>
      <c r="Z660" s="41"/>
      <c r="AA660" s="41"/>
      <c r="AB660" s="41"/>
      <c r="AC660" s="41"/>
      <c r="AD660" s="41"/>
      <c r="AE660" s="59">
        <v>316937.60868839209</v>
      </c>
      <c r="AF660" s="59">
        <v>318348.37156709202</v>
      </c>
      <c r="AG660" s="59" t="s">
        <v>16</v>
      </c>
      <c r="AH660" s="59" t="s">
        <v>1156</v>
      </c>
    </row>
    <row r="661" spans="1:34" x14ac:dyDescent="0.35">
      <c r="A661" s="58">
        <v>2024</v>
      </c>
      <c r="B661" s="58">
        <v>12</v>
      </c>
      <c r="C661">
        <v>12</v>
      </c>
      <c r="D661" s="58" t="s">
        <v>621</v>
      </c>
      <c r="E661" t="s">
        <v>257</v>
      </c>
      <c r="F661" s="58" t="s">
        <v>167</v>
      </c>
      <c r="G661" t="s">
        <v>693</v>
      </c>
      <c r="H661" s="58" t="s">
        <v>4</v>
      </c>
      <c r="I661" t="s">
        <v>4</v>
      </c>
      <c r="J661" s="58" t="s">
        <v>4</v>
      </c>
      <c r="K661" t="s">
        <v>1429</v>
      </c>
      <c r="L661" t="s">
        <v>20</v>
      </c>
      <c r="M661" t="s">
        <v>1432</v>
      </c>
      <c r="N661" s="59">
        <v>1100</v>
      </c>
      <c r="O661" s="59">
        <v>0</v>
      </c>
      <c r="P661" s="59">
        <v>179732.03773584907</v>
      </c>
      <c r="Q661" s="59">
        <v>0</v>
      </c>
      <c r="R661" s="59">
        <v>0</v>
      </c>
      <c r="S661" s="59">
        <v>-179732.03773584907</v>
      </c>
      <c r="T661" s="41"/>
      <c r="U661" s="41"/>
      <c r="V661" s="41"/>
      <c r="W661" s="41"/>
      <c r="X661" s="41"/>
      <c r="Y661" s="41"/>
      <c r="Z661" s="41"/>
      <c r="AA661" s="41"/>
      <c r="AB661" s="41"/>
      <c r="AC661" s="41"/>
      <c r="AD661" s="41"/>
      <c r="AE661" s="59">
        <v>-7.1250650439385153</v>
      </c>
      <c r="AF661" s="59">
        <v>0</v>
      </c>
      <c r="AG661" s="59" t="s">
        <v>16</v>
      </c>
      <c r="AH661" s="59" t="s">
        <v>1156</v>
      </c>
    </row>
    <row r="662" spans="1:34" x14ac:dyDescent="0.35">
      <c r="A662" s="58">
        <v>2024</v>
      </c>
      <c r="B662" s="58">
        <v>12</v>
      </c>
      <c r="C662">
        <v>12</v>
      </c>
      <c r="D662" s="58" t="s">
        <v>590</v>
      </c>
      <c r="E662" t="s">
        <v>500</v>
      </c>
      <c r="F662" s="58" t="s">
        <v>168</v>
      </c>
      <c r="G662" t="s">
        <v>700</v>
      </c>
      <c r="H662" s="58" t="s">
        <v>4</v>
      </c>
      <c r="I662" t="s">
        <v>4</v>
      </c>
      <c r="J662" s="58" t="s">
        <v>4</v>
      </c>
      <c r="K662" t="s">
        <v>1429</v>
      </c>
      <c r="L662" t="s">
        <v>20</v>
      </c>
      <c r="M662" t="s">
        <v>1430</v>
      </c>
      <c r="N662" s="59">
        <v>572000</v>
      </c>
      <c r="O662" s="59">
        <v>21400236000</v>
      </c>
      <c r="P662" s="59">
        <v>46730329.811320759</v>
      </c>
      <c r="Q662" s="59">
        <v>0</v>
      </c>
      <c r="R662" s="59">
        <v>389833333</v>
      </c>
      <c r="S662" s="59">
        <v>20819774297.188694</v>
      </c>
      <c r="T662" s="41"/>
      <c r="U662" s="41"/>
      <c r="V662" s="41"/>
      <c r="W662" s="41"/>
      <c r="X662" s="41"/>
      <c r="Y662" s="41"/>
      <c r="Z662" s="41"/>
      <c r="AA662" s="41"/>
      <c r="AB662" s="41"/>
      <c r="AC662" s="41"/>
      <c r="AD662" s="41"/>
      <c r="AE662" s="59">
        <v>825352.27406482841</v>
      </c>
      <c r="AF662" s="59">
        <v>848363.34899696987</v>
      </c>
      <c r="AG662" s="59" t="s">
        <v>8</v>
      </c>
      <c r="AH662" s="59" t="s">
        <v>1160</v>
      </c>
    </row>
    <row r="663" spans="1:34" x14ac:dyDescent="0.35">
      <c r="A663" s="58">
        <v>2024</v>
      </c>
      <c r="B663" s="58">
        <v>12</v>
      </c>
      <c r="C663">
        <v>12</v>
      </c>
      <c r="D663" s="58" t="s">
        <v>590</v>
      </c>
      <c r="E663" t="s">
        <v>500</v>
      </c>
      <c r="F663" s="58" t="s">
        <v>1535</v>
      </c>
      <c r="G663" t="s">
        <v>1536</v>
      </c>
      <c r="H663" s="58" t="s">
        <v>1012</v>
      </c>
      <c r="I663" t="s">
        <v>1012</v>
      </c>
      <c r="J663" s="58" t="s">
        <v>1012</v>
      </c>
      <c r="K663" t="s">
        <v>1429</v>
      </c>
      <c r="L663" t="s">
        <v>20</v>
      </c>
      <c r="M663" t="s">
        <v>1430</v>
      </c>
      <c r="N663" s="59">
        <v>0</v>
      </c>
      <c r="O663" s="59">
        <v>0</v>
      </c>
      <c r="P663" s="59">
        <v>0</v>
      </c>
      <c r="Q663" s="59">
        <v>0</v>
      </c>
      <c r="R663" s="59">
        <v>0</v>
      </c>
      <c r="S663" s="59">
        <v>143898040</v>
      </c>
      <c r="T663" s="41"/>
      <c r="U663" s="41"/>
      <c r="V663" s="41"/>
      <c r="W663" s="41"/>
      <c r="X663" s="41"/>
      <c r="Y663" s="41"/>
      <c r="Z663" s="41"/>
      <c r="AA663" s="41"/>
      <c r="AB663" s="41"/>
      <c r="AC663" s="41"/>
      <c r="AD663" s="41"/>
      <c r="AE663" s="59">
        <v>5704.5082646985702</v>
      </c>
      <c r="AF663" s="59">
        <v>0</v>
      </c>
      <c r="AG663" s="59" t="s">
        <v>8</v>
      </c>
      <c r="AH663" s="59" t="s">
        <v>1270</v>
      </c>
    </row>
    <row r="664" spans="1:34" x14ac:dyDescent="0.35">
      <c r="A664" s="58">
        <v>2024</v>
      </c>
      <c r="B664" s="58">
        <v>12</v>
      </c>
      <c r="C664">
        <v>12</v>
      </c>
      <c r="D664" s="58" t="s">
        <v>590</v>
      </c>
      <c r="E664" t="s">
        <v>500</v>
      </c>
      <c r="F664" s="58" t="s">
        <v>1590</v>
      </c>
      <c r="G664" t="s">
        <v>1590</v>
      </c>
      <c r="H664" s="58" t="s">
        <v>1012</v>
      </c>
      <c r="I664" t="s">
        <v>1012</v>
      </c>
      <c r="J664" s="58" t="s">
        <v>1012</v>
      </c>
      <c r="K664" t="s">
        <v>1429</v>
      </c>
      <c r="L664" t="s">
        <v>20</v>
      </c>
      <c r="M664" t="s">
        <v>1591</v>
      </c>
      <c r="N664" s="59">
        <v>0</v>
      </c>
      <c r="O664" s="59">
        <v>-541054260</v>
      </c>
      <c r="P664" s="59">
        <v>0</v>
      </c>
      <c r="Q664" s="59">
        <v>0</v>
      </c>
      <c r="R664" s="59">
        <v>0</v>
      </c>
      <c r="S664" s="59">
        <v>-541054260</v>
      </c>
      <c r="T664" s="41"/>
      <c r="U664" s="41"/>
      <c r="V664" s="41"/>
      <c r="W664" s="41"/>
      <c r="X664" s="41"/>
      <c r="Y664" s="41"/>
      <c r="Z664" s="41"/>
      <c r="AA664" s="41"/>
      <c r="AB664" s="41"/>
      <c r="AC664" s="41"/>
      <c r="AD664" s="41"/>
      <c r="AE664" s="59">
        <v>-21448.857106186915</v>
      </c>
      <c r="AF664" s="59">
        <v>-21448.857106186915</v>
      </c>
      <c r="AG664" s="59" t="s">
        <v>8</v>
      </c>
      <c r="AH664" s="59" t="s">
        <v>1592</v>
      </c>
    </row>
    <row r="665" spans="1:34" x14ac:dyDescent="0.35">
      <c r="A665" s="58">
        <v>2024</v>
      </c>
      <c r="B665" s="58">
        <v>12</v>
      </c>
      <c r="C665">
        <v>12</v>
      </c>
      <c r="D665" s="58" t="s">
        <v>601</v>
      </c>
      <c r="E665" t="s">
        <v>501</v>
      </c>
      <c r="F665" s="58" t="s">
        <v>171</v>
      </c>
      <c r="G665" t="s">
        <v>731</v>
      </c>
      <c r="H665" s="58" t="s">
        <v>4</v>
      </c>
      <c r="I665" t="s">
        <v>4</v>
      </c>
      <c r="J665" s="58" t="s">
        <v>4</v>
      </c>
      <c r="K665" t="s">
        <v>1429</v>
      </c>
      <c r="L665" t="s">
        <v>20</v>
      </c>
      <c r="M665" t="s">
        <v>1431</v>
      </c>
      <c r="N665" s="59">
        <v>-6600</v>
      </c>
      <c r="O665" s="59">
        <v>0</v>
      </c>
      <c r="P665" s="59">
        <v>0</v>
      </c>
      <c r="Q665" s="59">
        <v>0</v>
      </c>
      <c r="R665" s="59">
        <v>0</v>
      </c>
      <c r="S665" s="59">
        <v>0</v>
      </c>
      <c r="T665" s="41"/>
      <c r="U665" s="41"/>
      <c r="V665" s="41"/>
      <c r="W665" s="41"/>
      <c r="X665" s="41"/>
      <c r="Y665" s="41"/>
      <c r="Z665" s="41"/>
      <c r="AA665" s="41"/>
      <c r="AB665" s="41"/>
      <c r="AC665" s="41"/>
      <c r="AD665" s="41"/>
      <c r="AE665" s="59">
        <v>0</v>
      </c>
      <c r="AF665" s="59">
        <v>0</v>
      </c>
      <c r="AG665" s="59" t="s">
        <v>109</v>
      </c>
      <c r="AH665" s="59" t="s">
        <v>1166</v>
      </c>
    </row>
    <row r="666" spans="1:34" x14ac:dyDescent="0.35">
      <c r="A666" s="58">
        <v>2024</v>
      </c>
      <c r="B666" s="58">
        <v>12</v>
      </c>
      <c r="C666">
        <v>12</v>
      </c>
      <c r="D666" s="58" t="s">
        <v>601</v>
      </c>
      <c r="E666" t="s">
        <v>501</v>
      </c>
      <c r="F666" s="58" t="s">
        <v>171</v>
      </c>
      <c r="G666" t="s">
        <v>731</v>
      </c>
      <c r="H666" s="58" t="s">
        <v>4</v>
      </c>
      <c r="I666" t="s">
        <v>4</v>
      </c>
      <c r="J666" s="58" t="s">
        <v>4</v>
      </c>
      <c r="K666" t="s">
        <v>1429</v>
      </c>
      <c r="L666" t="s">
        <v>20</v>
      </c>
      <c r="M666" t="s">
        <v>1432</v>
      </c>
      <c r="N666" s="59">
        <v>6600</v>
      </c>
      <c r="O666" s="59">
        <v>0</v>
      </c>
      <c r="P666" s="59">
        <v>0</v>
      </c>
      <c r="Q666" s="59">
        <v>0</v>
      </c>
      <c r="R666" s="59">
        <v>0</v>
      </c>
      <c r="S666" s="59">
        <v>0</v>
      </c>
      <c r="T666" s="41"/>
      <c r="U666" s="41"/>
      <c r="V666" s="41"/>
      <c r="W666" s="41"/>
      <c r="X666" s="41"/>
      <c r="Y666" s="41"/>
      <c r="Z666" s="41"/>
      <c r="AA666" s="41"/>
      <c r="AB666" s="41"/>
      <c r="AC666" s="41"/>
      <c r="AD666" s="41"/>
      <c r="AE666" s="59">
        <v>0</v>
      </c>
      <c r="AF666" s="59">
        <v>0</v>
      </c>
      <c r="AG666" s="59" t="s">
        <v>109</v>
      </c>
      <c r="AH666" s="59" t="s">
        <v>1166</v>
      </c>
    </row>
    <row r="667" spans="1:34" x14ac:dyDescent="0.35">
      <c r="A667" s="58">
        <v>2024</v>
      </c>
      <c r="B667" s="58">
        <v>12</v>
      </c>
      <c r="C667">
        <v>12</v>
      </c>
      <c r="D667" s="58" t="s">
        <v>601</v>
      </c>
      <c r="E667" t="s">
        <v>501</v>
      </c>
      <c r="F667" s="58" t="s">
        <v>172</v>
      </c>
      <c r="G667" t="s">
        <v>734</v>
      </c>
      <c r="H667" s="58" t="s">
        <v>4</v>
      </c>
      <c r="I667" t="s">
        <v>4</v>
      </c>
      <c r="J667" s="58" t="s">
        <v>4</v>
      </c>
      <c r="K667" t="s">
        <v>1429</v>
      </c>
      <c r="L667" t="s">
        <v>20</v>
      </c>
      <c r="M667" t="s">
        <v>1430</v>
      </c>
      <c r="N667" s="59">
        <v>1100</v>
      </c>
      <c r="O667" s="59">
        <v>39520800</v>
      </c>
      <c r="P667" s="59">
        <v>179732.03773584907</v>
      </c>
      <c r="Q667" s="59">
        <v>0</v>
      </c>
      <c r="R667" s="59">
        <v>0</v>
      </c>
      <c r="S667" s="59">
        <v>39341067.96226415</v>
      </c>
      <c r="T667" s="41"/>
      <c r="U667" s="41"/>
      <c r="V667" s="41"/>
      <c r="W667" s="41"/>
      <c r="X667" s="41"/>
      <c r="Y667" s="41"/>
      <c r="Z667" s="41"/>
      <c r="AA667" s="41"/>
      <c r="AB667" s="41"/>
      <c r="AC667" s="41"/>
      <c r="AD667" s="41"/>
      <c r="AE667" s="59">
        <v>1559.5865470634901</v>
      </c>
      <c r="AF667" s="59">
        <v>1566.7116121074287</v>
      </c>
      <c r="AG667" s="59" t="s">
        <v>109</v>
      </c>
      <c r="AH667" s="59" t="s">
        <v>1175</v>
      </c>
    </row>
    <row r="668" spans="1:34" x14ac:dyDescent="0.35">
      <c r="A668" s="58">
        <v>2024</v>
      </c>
      <c r="B668" s="58">
        <v>12</v>
      </c>
      <c r="C668">
        <v>12</v>
      </c>
      <c r="D668" s="58" t="s">
        <v>620</v>
      </c>
      <c r="E668" t="s">
        <v>324</v>
      </c>
      <c r="F668" s="58" t="s">
        <v>168</v>
      </c>
      <c r="G668" t="s">
        <v>700</v>
      </c>
      <c r="H668" s="58" t="s">
        <v>4</v>
      </c>
      <c r="I668" t="s">
        <v>4</v>
      </c>
      <c r="J668" s="58" t="s">
        <v>4</v>
      </c>
      <c r="K668" t="s">
        <v>1429</v>
      </c>
      <c r="L668" t="s">
        <v>20</v>
      </c>
      <c r="M668" t="s">
        <v>1431</v>
      </c>
      <c r="N668" s="59">
        <v>-208</v>
      </c>
      <c r="O668" s="59">
        <v>0</v>
      </c>
      <c r="P668" s="59">
        <v>0</v>
      </c>
      <c r="Q668" s="59">
        <v>0</v>
      </c>
      <c r="R668" s="59">
        <v>0</v>
      </c>
      <c r="S668" s="59">
        <v>0</v>
      </c>
      <c r="T668" s="41"/>
      <c r="U668" s="41"/>
      <c r="V668" s="41"/>
      <c r="W668" s="41"/>
      <c r="X668" s="41"/>
      <c r="Y668" s="41"/>
      <c r="Z668" s="41"/>
      <c r="AA668" s="41"/>
      <c r="AB668" s="41"/>
      <c r="AC668" s="41"/>
      <c r="AD668" s="41"/>
      <c r="AE668" s="59">
        <v>0</v>
      </c>
      <c r="AF668" s="59">
        <v>0</v>
      </c>
      <c r="AG668" s="59" t="s">
        <v>8</v>
      </c>
      <c r="AH668" s="59" t="s">
        <v>1160</v>
      </c>
    </row>
    <row r="669" spans="1:34" x14ac:dyDescent="0.35">
      <c r="A669" s="58">
        <v>2024</v>
      </c>
      <c r="B669" s="58">
        <v>12</v>
      </c>
      <c r="C669">
        <v>12</v>
      </c>
      <c r="D669" s="58" t="s">
        <v>620</v>
      </c>
      <c r="E669" t="s">
        <v>324</v>
      </c>
      <c r="F669" s="58" t="s">
        <v>168</v>
      </c>
      <c r="G669" t="s">
        <v>700</v>
      </c>
      <c r="H669" s="58" t="s">
        <v>4</v>
      </c>
      <c r="I669" t="s">
        <v>4</v>
      </c>
      <c r="J669" s="58" t="s">
        <v>4</v>
      </c>
      <c r="K669" t="s">
        <v>1429</v>
      </c>
      <c r="L669" t="s">
        <v>20</v>
      </c>
      <c r="M669" t="s">
        <v>1430</v>
      </c>
      <c r="N669" s="59">
        <v>22000</v>
      </c>
      <c r="O669" s="59">
        <v>813832800</v>
      </c>
      <c r="P669" s="59">
        <v>3594640.7547169812</v>
      </c>
      <c r="Q669" s="59">
        <v>0</v>
      </c>
      <c r="R669" s="59">
        <v>4520000</v>
      </c>
      <c r="S669" s="59">
        <v>800183619.24528301</v>
      </c>
      <c r="T669" s="41"/>
      <c r="U669" s="41"/>
      <c r="V669" s="41"/>
      <c r="W669" s="41"/>
      <c r="X669" s="41"/>
      <c r="Y669" s="41"/>
      <c r="Z669" s="41"/>
      <c r="AA669" s="41"/>
      <c r="AB669" s="41"/>
      <c r="AC669" s="41"/>
      <c r="AD669" s="41"/>
      <c r="AE669" s="59">
        <v>31721.447138968193</v>
      </c>
      <c r="AF669" s="59">
        <v>32262.537652929659</v>
      </c>
      <c r="AG669" s="59" t="s">
        <v>8</v>
      </c>
      <c r="AH669" s="59" t="s">
        <v>1160</v>
      </c>
    </row>
    <row r="670" spans="1:34" x14ac:dyDescent="0.35">
      <c r="A670" s="58">
        <v>2024</v>
      </c>
      <c r="B670" s="58">
        <v>12</v>
      </c>
      <c r="C670">
        <v>12</v>
      </c>
      <c r="D670" s="58" t="s">
        <v>620</v>
      </c>
      <c r="E670" t="s">
        <v>324</v>
      </c>
      <c r="F670" s="58" t="s">
        <v>168</v>
      </c>
      <c r="G670" t="s">
        <v>700</v>
      </c>
      <c r="H670" s="58" t="s">
        <v>4</v>
      </c>
      <c r="I670" t="s">
        <v>4</v>
      </c>
      <c r="J670" s="58" t="s">
        <v>4</v>
      </c>
      <c r="K670" t="s">
        <v>1429</v>
      </c>
      <c r="L670" t="s">
        <v>20</v>
      </c>
      <c r="M670" t="s">
        <v>1432</v>
      </c>
      <c r="N670" s="59">
        <v>208</v>
      </c>
      <c r="O670" s="59">
        <v>0</v>
      </c>
      <c r="P670" s="59">
        <v>0</v>
      </c>
      <c r="Q670" s="59">
        <v>0</v>
      </c>
      <c r="R670" s="59">
        <v>0</v>
      </c>
      <c r="S670" s="59">
        <v>0</v>
      </c>
      <c r="T670" s="41"/>
      <c r="U670" s="41"/>
      <c r="V670" s="41"/>
      <c r="W670" s="41"/>
      <c r="X670" s="41"/>
      <c r="Y670" s="41"/>
      <c r="Z670" s="41"/>
      <c r="AA670" s="41"/>
      <c r="AB670" s="41"/>
      <c r="AC670" s="41"/>
      <c r="AD670" s="41"/>
      <c r="AE670" s="59">
        <v>0</v>
      </c>
      <c r="AF670" s="59">
        <v>0</v>
      </c>
      <c r="AG670" s="59" t="s">
        <v>8</v>
      </c>
      <c r="AH670" s="59" t="s">
        <v>1160</v>
      </c>
    </row>
    <row r="671" spans="1:34" x14ac:dyDescent="0.35">
      <c r="A671" s="58">
        <v>2024</v>
      </c>
      <c r="B671" s="58">
        <v>12</v>
      </c>
      <c r="C671">
        <v>12</v>
      </c>
      <c r="D671" s="58" t="s">
        <v>620</v>
      </c>
      <c r="E671" t="s">
        <v>324</v>
      </c>
      <c r="F671" s="58" t="s">
        <v>1535</v>
      </c>
      <c r="G671" t="s">
        <v>1536</v>
      </c>
      <c r="H671" s="58" t="s">
        <v>1012</v>
      </c>
      <c r="I671" t="s">
        <v>1012</v>
      </c>
      <c r="J671" s="58" t="s">
        <v>1012</v>
      </c>
      <c r="K671" t="s">
        <v>1429</v>
      </c>
      <c r="L671" t="s">
        <v>20</v>
      </c>
      <c r="M671" t="s">
        <v>1430</v>
      </c>
      <c r="N671" s="59">
        <v>0</v>
      </c>
      <c r="O671" s="59">
        <v>0</v>
      </c>
      <c r="P671" s="59">
        <v>0</v>
      </c>
      <c r="Q671" s="59">
        <v>0</v>
      </c>
      <c r="R671" s="59">
        <v>0</v>
      </c>
      <c r="S671" s="59">
        <v>5534540</v>
      </c>
      <c r="T671" s="41"/>
      <c r="U671" s="41"/>
      <c r="V671" s="41"/>
      <c r="W671" s="41"/>
      <c r="X671" s="41"/>
      <c r="Y671" s="41"/>
      <c r="Z671" s="41"/>
      <c r="AA671" s="41"/>
      <c r="AB671" s="41"/>
      <c r="AC671" s="41"/>
      <c r="AD671" s="41"/>
      <c r="AE671" s="59">
        <v>219.40416402686807</v>
      </c>
      <c r="AF671" s="59">
        <v>0</v>
      </c>
      <c r="AG671" s="59" t="s">
        <v>8</v>
      </c>
      <c r="AH671" s="59" t="s">
        <v>1270</v>
      </c>
    </row>
    <row r="672" spans="1:34" x14ac:dyDescent="0.35">
      <c r="A672" s="58">
        <v>2024</v>
      </c>
      <c r="B672" s="58">
        <v>12</v>
      </c>
      <c r="C672">
        <v>12</v>
      </c>
      <c r="D672" s="58" t="s">
        <v>682</v>
      </c>
      <c r="E672" t="s">
        <v>156</v>
      </c>
      <c r="F672" s="58" t="s">
        <v>168</v>
      </c>
      <c r="G672" t="s">
        <v>700</v>
      </c>
      <c r="H672" s="58" t="s">
        <v>4</v>
      </c>
      <c r="I672" t="s">
        <v>4</v>
      </c>
      <c r="J672" s="58" t="s">
        <v>4</v>
      </c>
      <c r="K672" t="s">
        <v>1429</v>
      </c>
      <c r="L672" t="s">
        <v>20</v>
      </c>
      <c r="M672" t="s">
        <v>1430</v>
      </c>
      <c r="N672" s="59">
        <v>1100</v>
      </c>
      <c r="O672" s="59">
        <v>36190000</v>
      </c>
      <c r="P672" s="59">
        <v>179732.03773584907</v>
      </c>
      <c r="Q672" s="59">
        <v>0</v>
      </c>
      <c r="R672" s="59">
        <v>0</v>
      </c>
      <c r="S672" s="59">
        <v>36010267.96226415</v>
      </c>
      <c r="T672" s="41"/>
      <c r="U672" s="41"/>
      <c r="V672" s="41"/>
      <c r="W672" s="41"/>
      <c r="X672" s="41"/>
      <c r="Y672" s="41"/>
      <c r="Z672" s="41"/>
      <c r="AA672" s="41"/>
      <c r="AB672" s="41"/>
      <c r="AC672" s="41"/>
      <c r="AD672" s="41"/>
      <c r="AE672" s="59">
        <v>1427.5446087017306</v>
      </c>
      <c r="AF672" s="59">
        <v>1434.6696737456691</v>
      </c>
      <c r="AG672" s="59" t="s">
        <v>156</v>
      </c>
      <c r="AH672" s="59" t="s">
        <v>1160</v>
      </c>
    </row>
    <row r="673" spans="1:34" x14ac:dyDescent="0.35">
      <c r="A673" s="58">
        <v>2024</v>
      </c>
      <c r="B673" s="58">
        <v>12</v>
      </c>
      <c r="C673">
        <v>12</v>
      </c>
      <c r="D673" s="58" t="s">
        <v>682</v>
      </c>
      <c r="E673" t="s">
        <v>156</v>
      </c>
      <c r="F673" s="58" t="s">
        <v>171</v>
      </c>
      <c r="G673" t="s">
        <v>731</v>
      </c>
      <c r="H673" s="58" t="s">
        <v>4</v>
      </c>
      <c r="I673" t="s">
        <v>4</v>
      </c>
      <c r="J673" s="58" t="s">
        <v>4</v>
      </c>
      <c r="K673" t="s">
        <v>1429</v>
      </c>
      <c r="L673" t="s">
        <v>20</v>
      </c>
      <c r="M673" t="s">
        <v>1430</v>
      </c>
      <c r="N673" s="59">
        <v>1100</v>
      </c>
      <c r="O673" s="59">
        <v>33880000</v>
      </c>
      <c r="P673" s="59">
        <v>179732.03773584907</v>
      </c>
      <c r="Q673" s="59">
        <v>0</v>
      </c>
      <c r="R673" s="59">
        <v>0</v>
      </c>
      <c r="S673" s="59">
        <v>33700267.96226415</v>
      </c>
      <c r="T673" s="41"/>
      <c r="U673" s="41"/>
      <c r="V673" s="41"/>
      <c r="W673" s="41"/>
      <c r="X673" s="41"/>
      <c r="Y673" s="41"/>
      <c r="Z673" s="41"/>
      <c r="AA673" s="41"/>
      <c r="AB673" s="41"/>
      <c r="AC673" s="41"/>
      <c r="AD673" s="41"/>
      <c r="AE673" s="59">
        <v>1335.9699486754114</v>
      </c>
      <c r="AF673" s="59">
        <v>1343.0950137193499</v>
      </c>
      <c r="AG673" s="59" t="s">
        <v>156</v>
      </c>
      <c r="AH673" s="59" t="s">
        <v>1166</v>
      </c>
    </row>
    <row r="674" spans="1:34" x14ac:dyDescent="0.35">
      <c r="A674" s="58">
        <v>2024</v>
      </c>
      <c r="B674" s="58">
        <v>12</v>
      </c>
      <c r="C674">
        <v>12</v>
      </c>
      <c r="D674" s="58" t="s">
        <v>682</v>
      </c>
      <c r="E674" t="s">
        <v>156</v>
      </c>
      <c r="F674" s="58" t="s">
        <v>172</v>
      </c>
      <c r="G674" t="s">
        <v>734</v>
      </c>
      <c r="H674" s="58" t="s">
        <v>4</v>
      </c>
      <c r="I674" t="s">
        <v>4</v>
      </c>
      <c r="J674" s="58" t="s">
        <v>4</v>
      </c>
      <c r="K674" t="s">
        <v>1429</v>
      </c>
      <c r="L674" t="s">
        <v>20</v>
      </c>
      <c r="M674" t="s">
        <v>1430</v>
      </c>
      <c r="N674" s="59">
        <v>1100</v>
      </c>
      <c r="O674" s="59">
        <v>34650000</v>
      </c>
      <c r="P674" s="59">
        <v>179732.03773584907</v>
      </c>
      <c r="Q674" s="59">
        <v>0</v>
      </c>
      <c r="R674" s="59">
        <v>0</v>
      </c>
      <c r="S674" s="59">
        <v>34470267.96226415</v>
      </c>
      <c r="T674" s="41"/>
      <c r="U674" s="41"/>
      <c r="V674" s="41"/>
      <c r="W674" s="41"/>
      <c r="X674" s="41"/>
      <c r="Y674" s="41"/>
      <c r="Z674" s="41"/>
      <c r="AA674" s="41"/>
      <c r="AB674" s="41"/>
      <c r="AC674" s="41"/>
      <c r="AD674" s="41"/>
      <c r="AE674" s="59">
        <v>1366.494835350851</v>
      </c>
      <c r="AF674" s="59">
        <v>1373.6199003947895</v>
      </c>
      <c r="AG674" s="59" t="s">
        <v>156</v>
      </c>
      <c r="AH674" s="59" t="s">
        <v>1175</v>
      </c>
    </row>
    <row r="675" spans="1:34" x14ac:dyDescent="0.35">
      <c r="A675" s="58">
        <v>2024</v>
      </c>
      <c r="B675" s="58">
        <v>12</v>
      </c>
      <c r="C675">
        <v>12</v>
      </c>
      <c r="D675" s="58" t="s">
        <v>682</v>
      </c>
      <c r="E675" t="s">
        <v>156</v>
      </c>
      <c r="F675" s="58" t="s">
        <v>174</v>
      </c>
      <c r="G675" t="s">
        <v>740</v>
      </c>
      <c r="H675" s="58" t="s">
        <v>4</v>
      </c>
      <c r="I675" t="s">
        <v>4</v>
      </c>
      <c r="J675" s="58" t="s">
        <v>4</v>
      </c>
      <c r="K675" t="s">
        <v>1429</v>
      </c>
      <c r="L675" t="s">
        <v>20</v>
      </c>
      <c r="M675" t="s">
        <v>1430</v>
      </c>
      <c r="N675" s="59">
        <v>1100</v>
      </c>
      <c r="O675" s="59">
        <v>28746667</v>
      </c>
      <c r="P675" s="59">
        <v>179732.03773584907</v>
      </c>
      <c r="Q675" s="59">
        <v>0</v>
      </c>
      <c r="R675" s="59">
        <v>0</v>
      </c>
      <c r="S675" s="59">
        <v>28566934.96226415</v>
      </c>
      <c r="T675" s="41"/>
      <c r="U675" s="41"/>
      <c r="V675" s="41"/>
      <c r="W675" s="41"/>
      <c r="X675" s="41"/>
      <c r="Y675" s="41"/>
      <c r="Z675" s="41"/>
      <c r="AA675" s="41"/>
      <c r="AB675" s="41"/>
      <c r="AC675" s="41"/>
      <c r="AD675" s="41"/>
      <c r="AE675" s="59">
        <v>1132.4707173867162</v>
      </c>
      <c r="AF675" s="59">
        <v>1139.5957824306547</v>
      </c>
      <c r="AG675" s="59" t="s">
        <v>156</v>
      </c>
      <c r="AH675" s="59" t="s">
        <v>1185</v>
      </c>
    </row>
    <row r="676" spans="1:34" x14ac:dyDescent="0.35">
      <c r="A676" s="58">
        <v>2024</v>
      </c>
      <c r="B676" s="58">
        <v>12</v>
      </c>
      <c r="C676">
        <v>12</v>
      </c>
      <c r="D676" s="58" t="s">
        <v>682</v>
      </c>
      <c r="E676" t="s">
        <v>156</v>
      </c>
      <c r="F676" s="58" t="s">
        <v>1468</v>
      </c>
      <c r="G676" t="s">
        <v>1012</v>
      </c>
      <c r="H676" s="58" t="s">
        <v>1012</v>
      </c>
      <c r="I676" t="s">
        <v>1012</v>
      </c>
      <c r="J676" s="58" t="s">
        <v>1012</v>
      </c>
      <c r="K676" t="s">
        <v>1429</v>
      </c>
      <c r="L676" t="s">
        <v>20</v>
      </c>
      <c r="M676" t="s">
        <v>1430</v>
      </c>
      <c r="N676" s="59">
        <v>0</v>
      </c>
      <c r="O676" s="59">
        <v>869362560</v>
      </c>
      <c r="P676" s="59">
        <v>0</v>
      </c>
      <c r="Q676" s="59">
        <v>0</v>
      </c>
      <c r="R676" s="59">
        <v>0</v>
      </c>
      <c r="S676" s="59">
        <v>869362560</v>
      </c>
      <c r="T676" s="41"/>
      <c r="U676" s="41"/>
      <c r="V676" s="41"/>
      <c r="W676" s="41"/>
      <c r="X676" s="41"/>
      <c r="Y676" s="41"/>
      <c r="Z676" s="41"/>
      <c r="AA676" s="41"/>
      <c r="AB676" s="41"/>
      <c r="AC676" s="41"/>
      <c r="AD676" s="41"/>
      <c r="AE676" s="59">
        <v>34463.887823208061</v>
      </c>
      <c r="AF676" s="59">
        <v>34463.887823208061</v>
      </c>
      <c r="AG676" s="59" t="s">
        <v>156</v>
      </c>
      <c r="AH676" s="59" t="s">
        <v>1284</v>
      </c>
    </row>
    <row r="677" spans="1:34" x14ac:dyDescent="0.35">
      <c r="A677" s="58">
        <v>2024</v>
      </c>
      <c r="B677" s="58">
        <v>12</v>
      </c>
      <c r="C677">
        <v>12</v>
      </c>
      <c r="D677" s="58" t="s">
        <v>1578</v>
      </c>
      <c r="E677" t="s">
        <v>1157</v>
      </c>
      <c r="F677" s="58" t="s">
        <v>167</v>
      </c>
      <c r="G677" t="s">
        <v>693</v>
      </c>
      <c r="H677" s="58" t="s">
        <v>4</v>
      </c>
      <c r="I677" t="s">
        <v>4</v>
      </c>
      <c r="J677" s="58" t="s">
        <v>4</v>
      </c>
      <c r="K677" t="s">
        <v>1429</v>
      </c>
      <c r="L677" t="s">
        <v>20</v>
      </c>
      <c r="M677" t="s">
        <v>1431</v>
      </c>
      <c r="N677" s="59">
        <v>-44000</v>
      </c>
      <c r="O677" s="59">
        <v>0</v>
      </c>
      <c r="P677" s="59">
        <v>0</v>
      </c>
      <c r="Q677" s="59">
        <v>0</v>
      </c>
      <c r="R677" s="59">
        <v>0</v>
      </c>
      <c r="S677" s="59">
        <v>0</v>
      </c>
      <c r="T677" s="41"/>
      <c r="U677" s="41"/>
      <c r="V677" s="41"/>
      <c r="W677" s="41"/>
      <c r="X677" s="41"/>
      <c r="Y677" s="41"/>
      <c r="Z677" s="41"/>
      <c r="AA677" s="41"/>
      <c r="AB677" s="41"/>
      <c r="AC677" s="41"/>
      <c r="AD677" s="41"/>
      <c r="AE677" s="59">
        <v>0</v>
      </c>
      <c r="AF677" s="59">
        <v>0</v>
      </c>
      <c r="AG677" s="59" t="s">
        <v>1157</v>
      </c>
      <c r="AH677" s="59" t="s">
        <v>1156</v>
      </c>
    </row>
    <row r="678" spans="1:34" x14ac:dyDescent="0.35">
      <c r="A678" s="58">
        <v>2024</v>
      </c>
      <c r="B678" s="58">
        <v>12</v>
      </c>
      <c r="C678">
        <v>12</v>
      </c>
      <c r="D678" s="58" t="s">
        <v>1578</v>
      </c>
      <c r="E678" t="s">
        <v>1157</v>
      </c>
      <c r="F678" s="58" t="s">
        <v>167</v>
      </c>
      <c r="G678" t="s">
        <v>693</v>
      </c>
      <c r="H678" s="58" t="s">
        <v>4</v>
      </c>
      <c r="I678" t="s">
        <v>4</v>
      </c>
      <c r="J678" s="58" t="s">
        <v>4</v>
      </c>
      <c r="K678" t="s">
        <v>1429</v>
      </c>
      <c r="L678" t="s">
        <v>20</v>
      </c>
      <c r="M678" t="s">
        <v>1430</v>
      </c>
      <c r="N678" s="59">
        <v>44000</v>
      </c>
      <c r="O678" s="59">
        <v>1466592336</v>
      </c>
      <c r="P678" s="59">
        <v>7189281.5094339624</v>
      </c>
      <c r="Q678" s="59">
        <v>0</v>
      </c>
      <c r="R678" s="59">
        <v>0</v>
      </c>
      <c r="S678" s="59">
        <v>1459403054.490566</v>
      </c>
      <c r="T678" s="41"/>
      <c r="U678" s="41"/>
      <c r="V678" s="41"/>
      <c r="W678" s="41"/>
      <c r="X678" s="41"/>
      <c r="Y678" s="41"/>
      <c r="Z678" s="41"/>
      <c r="AA678" s="41"/>
      <c r="AB678" s="41"/>
      <c r="AC678" s="41"/>
      <c r="AD678" s="41"/>
      <c r="AE678" s="59">
        <v>57854.692015733999</v>
      </c>
      <c r="AF678" s="59">
        <v>58139.694617491536</v>
      </c>
      <c r="AG678" s="59" t="s">
        <v>1157</v>
      </c>
      <c r="AH678" s="59" t="s">
        <v>1156</v>
      </c>
    </row>
    <row r="679" spans="1:34" x14ac:dyDescent="0.35">
      <c r="A679" s="58">
        <v>2024</v>
      </c>
      <c r="B679" s="58">
        <v>12</v>
      </c>
      <c r="C679">
        <v>12</v>
      </c>
      <c r="D679" s="58" t="s">
        <v>1578</v>
      </c>
      <c r="E679" t="s">
        <v>1157</v>
      </c>
      <c r="F679" s="58" t="s">
        <v>167</v>
      </c>
      <c r="G679" t="s">
        <v>693</v>
      </c>
      <c r="H679" s="58" t="s">
        <v>4</v>
      </c>
      <c r="I679" t="s">
        <v>4</v>
      </c>
      <c r="J679" s="58" t="s">
        <v>4</v>
      </c>
      <c r="K679" t="s">
        <v>1429</v>
      </c>
      <c r="L679" t="s">
        <v>20</v>
      </c>
      <c r="M679" t="s">
        <v>1432</v>
      </c>
      <c r="N679" s="59">
        <v>44000</v>
      </c>
      <c r="O679" s="59">
        <v>0</v>
      </c>
      <c r="P679" s="59">
        <v>0</v>
      </c>
      <c r="Q679" s="59">
        <v>0</v>
      </c>
      <c r="R679" s="59">
        <v>0</v>
      </c>
      <c r="S679" s="59">
        <v>0</v>
      </c>
      <c r="T679" s="41"/>
      <c r="U679" s="41"/>
      <c r="V679" s="41"/>
      <c r="W679" s="41"/>
      <c r="X679" s="41"/>
      <c r="Y679" s="41"/>
      <c r="Z679" s="41"/>
      <c r="AA679" s="41"/>
      <c r="AB679" s="41"/>
      <c r="AC679" s="41"/>
      <c r="AD679" s="41"/>
      <c r="AE679" s="59">
        <v>0</v>
      </c>
      <c r="AF679" s="59">
        <v>0</v>
      </c>
      <c r="AG679" s="59" t="s">
        <v>1157</v>
      </c>
      <c r="AH679" s="59" t="s">
        <v>1156</v>
      </c>
    </row>
    <row r="680" spans="1:34" x14ac:dyDescent="0.35">
      <c r="A680" s="58">
        <v>2024</v>
      </c>
      <c r="B680" s="58">
        <v>12</v>
      </c>
      <c r="C680">
        <v>12</v>
      </c>
      <c r="D680" s="58" t="s">
        <v>615</v>
      </c>
      <c r="E680" t="s">
        <v>320</v>
      </c>
      <c r="F680" s="58" t="s">
        <v>168</v>
      </c>
      <c r="G680" t="s">
        <v>700</v>
      </c>
      <c r="H680" s="58" t="s">
        <v>4</v>
      </c>
      <c r="I680" t="s">
        <v>4</v>
      </c>
      <c r="J680" s="58" t="s">
        <v>4</v>
      </c>
      <c r="K680" t="s">
        <v>1429</v>
      </c>
      <c r="L680" t="s">
        <v>20</v>
      </c>
      <c r="M680" t="s">
        <v>1431</v>
      </c>
      <c r="N680" s="59">
        <v>-3300</v>
      </c>
      <c r="O680" s="59">
        <v>0</v>
      </c>
      <c r="P680" s="59">
        <v>-539196.11320754723</v>
      </c>
      <c r="Q680" s="59">
        <v>0</v>
      </c>
      <c r="R680" s="59">
        <v>0</v>
      </c>
      <c r="S680" s="59">
        <v>539196.11320754723</v>
      </c>
      <c r="T680" s="41"/>
      <c r="U680" s="41"/>
      <c r="V680" s="41"/>
      <c r="W680" s="41"/>
      <c r="X680" s="41"/>
      <c r="Y680" s="41"/>
      <c r="Z680" s="41"/>
      <c r="AA680" s="41"/>
      <c r="AB680" s="41"/>
      <c r="AC680" s="41"/>
      <c r="AD680" s="41"/>
      <c r="AE680" s="59">
        <v>21.375195131815545</v>
      </c>
      <c r="AF680" s="59">
        <v>0</v>
      </c>
      <c r="AG680" s="59" t="s">
        <v>99</v>
      </c>
      <c r="AH680" s="59" t="s">
        <v>1160</v>
      </c>
    </row>
    <row r="681" spans="1:34" x14ac:dyDescent="0.35">
      <c r="A681" s="58">
        <v>2024</v>
      </c>
      <c r="B681" s="58">
        <v>12</v>
      </c>
      <c r="C681">
        <v>12</v>
      </c>
      <c r="D681" s="58" t="s">
        <v>615</v>
      </c>
      <c r="E681" t="s">
        <v>320</v>
      </c>
      <c r="F681" s="58" t="s">
        <v>168</v>
      </c>
      <c r="G681" t="s">
        <v>700</v>
      </c>
      <c r="H681" s="58" t="s">
        <v>4</v>
      </c>
      <c r="I681" t="s">
        <v>4</v>
      </c>
      <c r="J681" s="58" t="s">
        <v>4</v>
      </c>
      <c r="K681" t="s">
        <v>1429</v>
      </c>
      <c r="L681" t="s">
        <v>20</v>
      </c>
      <c r="M681" t="s">
        <v>1432</v>
      </c>
      <c r="N681" s="59">
        <v>3300</v>
      </c>
      <c r="O681" s="59">
        <v>0</v>
      </c>
      <c r="P681" s="59">
        <v>539196.11320754723</v>
      </c>
      <c r="Q681" s="59">
        <v>0</v>
      </c>
      <c r="R681" s="59">
        <v>0</v>
      </c>
      <c r="S681" s="59">
        <v>-539196.11320754723</v>
      </c>
      <c r="T681" s="41"/>
      <c r="U681" s="41"/>
      <c r="V681" s="41"/>
      <c r="W681" s="41"/>
      <c r="X681" s="41"/>
      <c r="Y681" s="41"/>
      <c r="Z681" s="41"/>
      <c r="AA681" s="41"/>
      <c r="AB681" s="41"/>
      <c r="AC681" s="41"/>
      <c r="AD681" s="41"/>
      <c r="AE681" s="59">
        <v>-21.375195131815545</v>
      </c>
      <c r="AF681" s="59">
        <v>0</v>
      </c>
      <c r="AG681" s="59" t="s">
        <v>99</v>
      </c>
      <c r="AH681" s="59" t="s">
        <v>1160</v>
      </c>
    </row>
    <row r="682" spans="1:34" x14ac:dyDescent="0.35">
      <c r="A682" s="58">
        <v>2024</v>
      </c>
      <c r="B682" s="58">
        <v>12</v>
      </c>
      <c r="C682">
        <v>12</v>
      </c>
      <c r="D682" s="58" t="s">
        <v>605</v>
      </c>
      <c r="E682" t="s">
        <v>479</v>
      </c>
      <c r="F682" s="58" t="s">
        <v>184</v>
      </c>
      <c r="G682" t="s">
        <v>717</v>
      </c>
      <c r="H682" s="58" t="s">
        <v>1428</v>
      </c>
      <c r="I682" t="s">
        <v>75</v>
      </c>
      <c r="J682" s="58" t="s">
        <v>75</v>
      </c>
      <c r="K682" t="s">
        <v>1429</v>
      </c>
      <c r="L682" t="s">
        <v>20</v>
      </c>
      <c r="M682" t="s">
        <v>1430</v>
      </c>
      <c r="N682" s="59">
        <v>24750</v>
      </c>
      <c r="O682" s="59">
        <v>888574500</v>
      </c>
      <c r="P682" s="59">
        <v>0</v>
      </c>
      <c r="Q682" s="59">
        <v>0</v>
      </c>
      <c r="R682" s="59">
        <v>28000000.000000004</v>
      </c>
      <c r="S682" s="59">
        <v>860574500</v>
      </c>
      <c r="T682" s="41"/>
      <c r="U682" s="41"/>
      <c r="V682" s="41"/>
      <c r="W682" s="41"/>
      <c r="X682" s="41"/>
      <c r="Y682" s="41"/>
      <c r="Z682" s="41"/>
      <c r="AA682" s="41"/>
      <c r="AB682" s="41"/>
      <c r="AC682" s="41"/>
      <c r="AD682" s="41"/>
      <c r="AE682" s="59">
        <v>34115.505309445769</v>
      </c>
      <c r="AF682" s="59">
        <v>35225.501188552669</v>
      </c>
      <c r="AG682" s="59" t="s">
        <v>5</v>
      </c>
      <c r="AH682" s="59" t="s">
        <v>1198</v>
      </c>
    </row>
    <row r="683" spans="1:34" x14ac:dyDescent="0.35">
      <c r="A683" s="58">
        <v>2024</v>
      </c>
      <c r="B683" s="58">
        <v>12</v>
      </c>
      <c r="C683">
        <v>12</v>
      </c>
      <c r="D683" s="58" t="s">
        <v>1502</v>
      </c>
      <c r="E683" t="s">
        <v>1236</v>
      </c>
      <c r="F683" s="58" t="s">
        <v>879</v>
      </c>
      <c r="G683" t="s">
        <v>880</v>
      </c>
      <c r="H683" s="58" t="s">
        <v>1234</v>
      </c>
      <c r="I683" t="s">
        <v>1234</v>
      </c>
      <c r="J683" s="58" t="s">
        <v>1234</v>
      </c>
      <c r="K683" t="s">
        <v>1429</v>
      </c>
      <c r="L683" t="s">
        <v>20</v>
      </c>
      <c r="M683" t="s">
        <v>1430</v>
      </c>
      <c r="N683" s="59">
        <v>65000</v>
      </c>
      <c r="O683" s="59">
        <v>1282500000</v>
      </c>
      <c r="P683" s="59">
        <v>0</v>
      </c>
      <c r="Q683" s="59">
        <v>95750000</v>
      </c>
      <c r="R683" s="59">
        <v>0</v>
      </c>
      <c r="S683" s="59">
        <v>1186750000</v>
      </c>
      <c r="T683" s="41"/>
      <c r="U683" s="41"/>
      <c r="V683" s="41"/>
      <c r="W683" s="41"/>
      <c r="X683" s="41"/>
      <c r="Y683" s="41"/>
      <c r="Z683" s="41"/>
      <c r="AA683" s="41"/>
      <c r="AB683" s="41"/>
      <c r="AC683" s="41"/>
      <c r="AD683" s="41"/>
      <c r="AE683" s="59">
        <v>47045.986054646943</v>
      </c>
      <c r="AF683" s="59">
        <v>50841.775534092863</v>
      </c>
      <c r="AG683" s="59" t="s">
        <v>1236</v>
      </c>
      <c r="AH683" s="59" t="s">
        <v>1235</v>
      </c>
    </row>
    <row r="684" spans="1:34" x14ac:dyDescent="0.35">
      <c r="A684" s="58">
        <v>2024</v>
      </c>
      <c r="B684" s="58">
        <v>12</v>
      </c>
      <c r="C684">
        <v>12</v>
      </c>
      <c r="D684" s="58" t="s">
        <v>1541</v>
      </c>
      <c r="E684" t="s">
        <v>5</v>
      </c>
      <c r="F684" s="58" t="s">
        <v>1466</v>
      </c>
      <c r="G684" t="s">
        <v>1467</v>
      </c>
      <c r="H684" s="58" t="s">
        <v>1012</v>
      </c>
      <c r="I684" t="s">
        <v>1012</v>
      </c>
      <c r="J684" s="58" t="s">
        <v>1012</v>
      </c>
      <c r="K684" t="s">
        <v>1429</v>
      </c>
      <c r="L684" t="s">
        <v>20</v>
      </c>
      <c r="M684" t="s">
        <v>1430</v>
      </c>
      <c r="N684" s="59">
        <v>0</v>
      </c>
      <c r="O684" s="59">
        <v>9696050000</v>
      </c>
      <c r="P684" s="59">
        <v>0</v>
      </c>
      <c r="Q684" s="59">
        <v>0</v>
      </c>
      <c r="R684" s="59">
        <v>0</v>
      </c>
      <c r="S684" s="59">
        <v>9696050000</v>
      </c>
      <c r="T684" s="41"/>
      <c r="U684" s="41"/>
      <c r="V684" s="41"/>
      <c r="W684" s="41"/>
      <c r="X684" s="41"/>
      <c r="Y684" s="41"/>
      <c r="Z684" s="41"/>
      <c r="AA684" s="41"/>
      <c r="AB684" s="41"/>
      <c r="AC684" s="41"/>
      <c r="AD684" s="41"/>
      <c r="AE684" s="59">
        <v>384377.69798623089</v>
      </c>
      <c r="AF684" s="59">
        <v>384377.69798623089</v>
      </c>
      <c r="AG684" s="59" t="s">
        <v>5</v>
      </c>
      <c r="AH684" s="59" t="s">
        <v>1306</v>
      </c>
    </row>
    <row r="685" spans="1:34" x14ac:dyDescent="0.35">
      <c r="A685" s="58">
        <v>2024</v>
      </c>
      <c r="B685" s="58">
        <v>12</v>
      </c>
      <c r="C685">
        <v>12</v>
      </c>
      <c r="D685" s="58" t="s">
        <v>1469</v>
      </c>
      <c r="E685" t="s">
        <v>1211</v>
      </c>
      <c r="F685" s="58" t="s">
        <v>1472</v>
      </c>
      <c r="G685" t="s">
        <v>1473</v>
      </c>
      <c r="H685" s="58" t="s">
        <v>1012</v>
      </c>
      <c r="I685" t="s">
        <v>86</v>
      </c>
      <c r="J685" s="58" t="s">
        <v>86</v>
      </c>
      <c r="K685" t="s">
        <v>1429</v>
      </c>
      <c r="L685" t="s">
        <v>20</v>
      </c>
      <c r="M685" t="s">
        <v>1430</v>
      </c>
      <c r="N685" s="59">
        <v>4330</v>
      </c>
      <c r="O685" s="59">
        <v>91796000</v>
      </c>
      <c r="P685" s="59">
        <v>0</v>
      </c>
      <c r="Q685" s="59">
        <v>0</v>
      </c>
      <c r="R685" s="59">
        <v>0</v>
      </c>
      <c r="S685" s="59">
        <v>91796000</v>
      </c>
      <c r="T685" s="41"/>
      <c r="U685" s="41"/>
      <c r="V685" s="41"/>
      <c r="W685" s="41"/>
      <c r="X685" s="41"/>
      <c r="Y685" s="41"/>
      <c r="Z685" s="41"/>
      <c r="AA685" s="41"/>
      <c r="AB685" s="41"/>
      <c r="AC685" s="41"/>
      <c r="AD685" s="41"/>
      <c r="AE685" s="59">
        <v>3639.0422042320379</v>
      </c>
      <c r="AF685" s="59">
        <v>3639.0422042320379</v>
      </c>
      <c r="AG685" s="59" t="s">
        <v>1211</v>
      </c>
      <c r="AH685" s="59" t="s">
        <v>1215</v>
      </c>
    </row>
    <row r="686" spans="1:34" x14ac:dyDescent="0.35">
      <c r="A686" s="58">
        <v>2024</v>
      </c>
      <c r="B686" s="58">
        <v>12</v>
      </c>
      <c r="C686">
        <v>12</v>
      </c>
      <c r="D686" s="58" t="s">
        <v>635</v>
      </c>
      <c r="E686" t="s">
        <v>62</v>
      </c>
      <c r="F686" s="58" t="s">
        <v>200</v>
      </c>
      <c r="G686" t="s">
        <v>470</v>
      </c>
      <c r="H686" s="58" t="s">
        <v>1428</v>
      </c>
      <c r="I686" t="s">
        <v>76</v>
      </c>
      <c r="J686" s="58" t="s">
        <v>76</v>
      </c>
      <c r="K686" t="s">
        <v>1429</v>
      </c>
      <c r="L686" t="s">
        <v>20</v>
      </c>
      <c r="M686" t="s">
        <v>1430</v>
      </c>
      <c r="N686" s="59">
        <v>5250</v>
      </c>
      <c r="O686" s="59">
        <v>108937500</v>
      </c>
      <c r="P686" s="59">
        <v>1258124.2641509436</v>
      </c>
      <c r="Q686" s="59">
        <v>0</v>
      </c>
      <c r="R686" s="59">
        <v>0</v>
      </c>
      <c r="S686" s="59">
        <v>107679375.73584905</v>
      </c>
      <c r="T686" s="41"/>
      <c r="U686" s="41"/>
      <c r="V686" s="41"/>
      <c r="W686" s="41"/>
      <c r="X686" s="41"/>
      <c r="Y686" s="41"/>
      <c r="Z686" s="41"/>
      <c r="AA686" s="41"/>
      <c r="AB686" s="41"/>
      <c r="AC686" s="41"/>
      <c r="AD686" s="41"/>
      <c r="AE686" s="59">
        <v>4268.7022618427154</v>
      </c>
      <c r="AF686" s="59">
        <v>4318.5777171502859</v>
      </c>
      <c r="AG686" s="59" t="s">
        <v>62</v>
      </c>
      <c r="AH686" s="59" t="s">
        <v>79</v>
      </c>
    </row>
    <row r="687" spans="1:34" x14ac:dyDescent="0.35">
      <c r="A687" s="58">
        <v>2024</v>
      </c>
      <c r="B687" s="58">
        <v>12</v>
      </c>
      <c r="C687">
        <v>12</v>
      </c>
      <c r="D687" s="58" t="s">
        <v>635</v>
      </c>
      <c r="E687" t="s">
        <v>62</v>
      </c>
      <c r="F687" s="58" t="s">
        <v>202</v>
      </c>
      <c r="G687" t="s">
        <v>473</v>
      </c>
      <c r="H687" s="58" t="s">
        <v>1428</v>
      </c>
      <c r="I687" t="s">
        <v>76</v>
      </c>
      <c r="J687" s="58" t="s">
        <v>76</v>
      </c>
      <c r="K687" t="s">
        <v>1429</v>
      </c>
      <c r="L687" t="s">
        <v>20</v>
      </c>
      <c r="M687" t="s">
        <v>1430</v>
      </c>
      <c r="N687" s="59">
        <v>4500</v>
      </c>
      <c r="O687" s="59">
        <v>93375000</v>
      </c>
      <c r="P687" s="59">
        <v>1078392.2264150945</v>
      </c>
      <c r="Q687" s="59">
        <v>0</v>
      </c>
      <c r="R687" s="59">
        <v>0</v>
      </c>
      <c r="S687" s="59">
        <v>92296607.773584902</v>
      </c>
      <c r="T687" s="41"/>
      <c r="U687" s="41"/>
      <c r="V687" s="41"/>
      <c r="W687" s="41"/>
      <c r="X687" s="41"/>
      <c r="Y687" s="41"/>
      <c r="Z687" s="41"/>
      <c r="AA687" s="41"/>
      <c r="AB687" s="41"/>
      <c r="AC687" s="41"/>
      <c r="AD687" s="41"/>
      <c r="AE687" s="59">
        <v>3658.887653008042</v>
      </c>
      <c r="AF687" s="59">
        <v>3701.6380432716733</v>
      </c>
      <c r="AG687" s="59" t="s">
        <v>62</v>
      </c>
      <c r="AH687" s="59" t="s">
        <v>80</v>
      </c>
    </row>
    <row r="688" spans="1:34" x14ac:dyDescent="0.35">
      <c r="A688" s="58">
        <v>2024</v>
      </c>
      <c r="B688" s="58">
        <v>12</v>
      </c>
      <c r="C688">
        <v>12</v>
      </c>
      <c r="D688" s="58" t="s">
        <v>1505</v>
      </c>
      <c r="E688" t="s">
        <v>1216</v>
      </c>
      <c r="F688" s="58" t="s">
        <v>1472</v>
      </c>
      <c r="G688" t="s">
        <v>1473</v>
      </c>
      <c r="H688" s="58" t="s">
        <v>1012</v>
      </c>
      <c r="I688" t="s">
        <v>86</v>
      </c>
      <c r="J688" s="58" t="s">
        <v>86</v>
      </c>
      <c r="K688" t="s">
        <v>1429</v>
      </c>
      <c r="L688" t="s">
        <v>20</v>
      </c>
      <c r="M688" t="s">
        <v>1430</v>
      </c>
      <c r="N688" s="59">
        <v>11592</v>
      </c>
      <c r="O688" s="59">
        <v>239954400</v>
      </c>
      <c r="P688" s="59">
        <v>0</v>
      </c>
      <c r="Q688" s="59">
        <v>0</v>
      </c>
      <c r="R688" s="59">
        <v>0</v>
      </c>
      <c r="S688" s="59">
        <v>239954400</v>
      </c>
      <c r="T688" s="41"/>
      <c r="U688" s="41"/>
      <c r="V688" s="41"/>
      <c r="W688" s="41"/>
      <c r="X688" s="41"/>
      <c r="Y688" s="41"/>
      <c r="Z688" s="41"/>
      <c r="AA688" s="41"/>
      <c r="AB688" s="41"/>
      <c r="AC688" s="41"/>
      <c r="AD688" s="41"/>
      <c r="AE688" s="59">
        <v>9512.442684770318</v>
      </c>
      <c r="AF688" s="59">
        <v>9512.442684770318</v>
      </c>
      <c r="AG688" s="59" t="s">
        <v>1216</v>
      </c>
      <c r="AH688" s="59" t="s">
        <v>1215</v>
      </c>
    </row>
    <row r="689" spans="1:34" x14ac:dyDescent="0.35">
      <c r="A689" s="58">
        <v>2024</v>
      </c>
      <c r="B689" s="58">
        <v>12</v>
      </c>
      <c r="C689">
        <v>12</v>
      </c>
      <c r="D689" s="58" t="s">
        <v>595</v>
      </c>
      <c r="E689" t="s">
        <v>478</v>
      </c>
      <c r="F689" s="58" t="s">
        <v>184</v>
      </c>
      <c r="G689" t="s">
        <v>717</v>
      </c>
      <c r="H689" s="58" t="s">
        <v>1428</v>
      </c>
      <c r="I689" t="s">
        <v>75</v>
      </c>
      <c r="J689" s="58" t="s">
        <v>75</v>
      </c>
      <c r="K689" t="s">
        <v>1429</v>
      </c>
      <c r="L689" t="s">
        <v>20</v>
      </c>
      <c r="M689" t="s">
        <v>1430</v>
      </c>
      <c r="N689" s="59">
        <v>77150</v>
      </c>
      <c r="O689" s="59">
        <v>2707502100</v>
      </c>
      <c r="P689" s="59">
        <v>0</v>
      </c>
      <c r="Q689" s="59">
        <v>0</v>
      </c>
      <c r="R689" s="59">
        <v>0</v>
      </c>
      <c r="S689" s="59">
        <v>2707502100</v>
      </c>
      <c r="T689" s="41"/>
      <c r="U689" s="41"/>
      <c r="V689" s="41"/>
      <c r="W689" s="41"/>
      <c r="X689" s="41"/>
      <c r="Y689" s="41"/>
      <c r="Z689" s="41"/>
      <c r="AA689" s="41"/>
      <c r="AB689" s="41"/>
      <c r="AC689" s="41"/>
      <c r="AD689" s="41"/>
      <c r="AE689" s="59">
        <v>107332.72048833143</v>
      </c>
      <c r="AF689" s="59">
        <v>107332.72048833143</v>
      </c>
      <c r="AG689" s="59" t="s">
        <v>5</v>
      </c>
      <c r="AH689" s="59" t="s">
        <v>1198</v>
      </c>
    </row>
    <row r="690" spans="1:34" x14ac:dyDescent="0.35">
      <c r="A690" s="58">
        <v>2024</v>
      </c>
      <c r="B690" s="58">
        <v>12</v>
      </c>
      <c r="C690">
        <v>12</v>
      </c>
      <c r="D690" s="58" t="s">
        <v>595</v>
      </c>
      <c r="E690" t="s">
        <v>478</v>
      </c>
      <c r="F690" s="58" t="s">
        <v>188</v>
      </c>
      <c r="G690" t="s">
        <v>872</v>
      </c>
      <c r="H690" s="58" t="s">
        <v>1428</v>
      </c>
      <c r="I690" t="s">
        <v>75</v>
      </c>
      <c r="J690" s="58" t="s">
        <v>75</v>
      </c>
      <c r="K690" t="s">
        <v>1429</v>
      </c>
      <c r="L690" t="s">
        <v>20</v>
      </c>
      <c r="M690" t="s">
        <v>1430</v>
      </c>
      <c r="N690" s="59">
        <v>27500</v>
      </c>
      <c r="O690" s="59">
        <v>930765000</v>
      </c>
      <c r="P690" s="59">
        <v>0</v>
      </c>
      <c r="Q690" s="59">
        <v>0</v>
      </c>
      <c r="R690" s="59">
        <v>0</v>
      </c>
      <c r="S690" s="59">
        <v>930765000</v>
      </c>
      <c r="T690" s="41"/>
      <c r="U690" s="41"/>
      <c r="V690" s="41"/>
      <c r="W690" s="41"/>
      <c r="X690" s="41"/>
      <c r="Y690" s="41"/>
      <c r="Z690" s="41"/>
      <c r="AA690" s="41"/>
      <c r="AB690" s="41"/>
      <c r="AC690" s="41"/>
      <c r="AD690" s="41"/>
      <c r="AE690" s="59">
        <v>36898.046943461944</v>
      </c>
      <c r="AF690" s="59">
        <v>36898.046943461944</v>
      </c>
      <c r="AG690" s="59" t="s">
        <v>5</v>
      </c>
      <c r="AH690" s="59" t="s">
        <v>1204</v>
      </c>
    </row>
    <row r="691" spans="1:34" x14ac:dyDescent="0.35">
      <c r="A691" s="58">
        <v>2024</v>
      </c>
      <c r="B691" s="58">
        <v>12</v>
      </c>
      <c r="C691">
        <v>12</v>
      </c>
      <c r="D691" s="58" t="s">
        <v>595</v>
      </c>
      <c r="E691" t="s">
        <v>478</v>
      </c>
      <c r="F691" s="58" t="s">
        <v>191</v>
      </c>
      <c r="G691" t="s">
        <v>941</v>
      </c>
      <c r="H691" s="58" t="s">
        <v>1428</v>
      </c>
      <c r="I691" t="s">
        <v>75</v>
      </c>
      <c r="J691" s="58" t="s">
        <v>75</v>
      </c>
      <c r="K691" t="s">
        <v>1429</v>
      </c>
      <c r="L691" t="s">
        <v>20</v>
      </c>
      <c r="M691" t="s">
        <v>1430</v>
      </c>
      <c r="N691" s="59">
        <v>22000</v>
      </c>
      <c r="O691" s="59">
        <v>772068000</v>
      </c>
      <c r="P691" s="59">
        <v>0</v>
      </c>
      <c r="Q691" s="59">
        <v>0</v>
      </c>
      <c r="R691" s="59">
        <v>0</v>
      </c>
      <c r="S691" s="59">
        <v>772068000</v>
      </c>
      <c r="T691" s="41"/>
      <c r="U691" s="41"/>
      <c r="V691" s="41"/>
      <c r="W691" s="41"/>
      <c r="X691" s="41"/>
      <c r="Y691" s="41"/>
      <c r="Z691" s="41"/>
      <c r="AA691" s="41"/>
      <c r="AB691" s="41"/>
      <c r="AC691" s="41"/>
      <c r="AD691" s="41"/>
      <c r="AE691" s="59">
        <v>30606.867799653806</v>
      </c>
      <c r="AF691" s="59">
        <v>30606.867799653806</v>
      </c>
      <c r="AG691" s="59" t="s">
        <v>5</v>
      </c>
      <c r="AH691" s="59" t="s">
        <v>1208</v>
      </c>
    </row>
    <row r="692" spans="1:34" x14ac:dyDescent="0.35">
      <c r="A692" s="58">
        <v>2024</v>
      </c>
      <c r="B692" s="58">
        <v>12</v>
      </c>
      <c r="C692">
        <v>12</v>
      </c>
      <c r="D692" s="58" t="s">
        <v>1518</v>
      </c>
      <c r="E692" t="s">
        <v>1172</v>
      </c>
      <c r="F692" s="58" t="s">
        <v>765</v>
      </c>
      <c r="G692" t="s">
        <v>766</v>
      </c>
      <c r="H692" s="58" t="s">
        <v>21</v>
      </c>
      <c r="I692" t="s">
        <v>21</v>
      </c>
      <c r="J692" s="58" t="s">
        <v>21</v>
      </c>
      <c r="K692" t="s">
        <v>1429</v>
      </c>
      <c r="L692" t="s">
        <v>20</v>
      </c>
      <c r="M692" t="s">
        <v>1430</v>
      </c>
      <c r="N692" s="59">
        <v>25</v>
      </c>
      <c r="O692" s="59">
        <v>573750</v>
      </c>
      <c r="P692" s="59">
        <v>13825.541364296083</v>
      </c>
      <c r="Q692" s="59">
        <v>0</v>
      </c>
      <c r="R692" s="59">
        <v>0</v>
      </c>
      <c r="S692" s="59">
        <v>559924.45863570389</v>
      </c>
      <c r="T692" s="41"/>
      <c r="U692" s="41"/>
      <c r="V692" s="41"/>
      <c r="W692" s="41"/>
      <c r="X692" s="41"/>
      <c r="Y692" s="41"/>
      <c r="Z692" s="41"/>
      <c r="AA692" s="41"/>
      <c r="AB692" s="41"/>
      <c r="AC692" s="41"/>
      <c r="AD692" s="41"/>
      <c r="AE692" s="59">
        <v>22.196922917742629</v>
      </c>
      <c r="AF692" s="59">
        <v>22.745004844199439</v>
      </c>
      <c r="AG692" s="59" t="s">
        <v>1172</v>
      </c>
      <c r="AH692" s="59" t="s">
        <v>1352</v>
      </c>
    </row>
    <row r="693" spans="1:34" x14ac:dyDescent="0.35">
      <c r="A693" s="58">
        <v>2024</v>
      </c>
      <c r="B693" s="58">
        <v>12</v>
      </c>
      <c r="C693">
        <v>12</v>
      </c>
      <c r="D693" s="58" t="s">
        <v>1518</v>
      </c>
      <c r="E693" t="s">
        <v>1172</v>
      </c>
      <c r="F693" s="58" t="s">
        <v>784</v>
      </c>
      <c r="G693" t="s">
        <v>785</v>
      </c>
      <c r="H693" s="58" t="s">
        <v>4</v>
      </c>
      <c r="I693" t="s">
        <v>4</v>
      </c>
      <c r="J693" s="58" t="s">
        <v>4</v>
      </c>
      <c r="K693" t="s">
        <v>1429</v>
      </c>
      <c r="L693" t="s">
        <v>20</v>
      </c>
      <c r="M693" t="s">
        <v>1430</v>
      </c>
      <c r="N693" s="59">
        <v>300</v>
      </c>
      <c r="O693" s="59">
        <v>9562500</v>
      </c>
      <c r="P693" s="59">
        <v>165906.49637155299</v>
      </c>
      <c r="Q693" s="59">
        <v>0</v>
      </c>
      <c r="R693" s="59">
        <v>0</v>
      </c>
      <c r="S693" s="59">
        <v>9396593.5036284477</v>
      </c>
      <c r="T693" s="41"/>
      <c r="U693" s="41"/>
      <c r="V693" s="41"/>
      <c r="W693" s="41"/>
      <c r="X693" s="41"/>
      <c r="Y693" s="41"/>
      <c r="Z693" s="41"/>
      <c r="AA693" s="41"/>
      <c r="AB693" s="41"/>
      <c r="AC693" s="41"/>
      <c r="AD693" s="41"/>
      <c r="AE693" s="59">
        <v>372.50643095250894</v>
      </c>
      <c r="AF693" s="59">
        <v>379.08341406999062</v>
      </c>
      <c r="AG693" s="59" t="s">
        <v>1172</v>
      </c>
      <c r="AH693" s="59" t="s">
        <v>1186</v>
      </c>
    </row>
    <row r="694" spans="1:34" x14ac:dyDescent="0.35">
      <c r="A694" s="58">
        <v>2024</v>
      </c>
      <c r="B694" s="58">
        <v>12</v>
      </c>
      <c r="C694">
        <v>12</v>
      </c>
      <c r="D694" s="58" t="s">
        <v>1526</v>
      </c>
      <c r="E694" t="s">
        <v>1180</v>
      </c>
      <c r="F694" s="58" t="s">
        <v>1590</v>
      </c>
      <c r="G694" t="s">
        <v>1590</v>
      </c>
      <c r="H694" s="58" t="s">
        <v>1012</v>
      </c>
      <c r="I694" t="s">
        <v>1012</v>
      </c>
      <c r="J694" s="58" t="s">
        <v>1012</v>
      </c>
      <c r="K694" t="s">
        <v>1429</v>
      </c>
      <c r="L694" t="s">
        <v>20</v>
      </c>
      <c r="M694" t="s">
        <v>1591</v>
      </c>
      <c r="N694" s="59">
        <v>0</v>
      </c>
      <c r="O694" s="59">
        <v>-1112760.0000000002</v>
      </c>
      <c r="P694" s="59">
        <v>0</v>
      </c>
      <c r="Q694" s="59">
        <v>0</v>
      </c>
      <c r="R694" s="59">
        <v>0</v>
      </c>
      <c r="S694" s="59">
        <v>-1112760.0000000002</v>
      </c>
      <c r="T694" s="41"/>
      <c r="U694" s="41"/>
      <c r="V694" s="41"/>
      <c r="W694" s="41"/>
      <c r="X694" s="41"/>
      <c r="Y694" s="41"/>
      <c r="Z694" s="41"/>
      <c r="AA694" s="41"/>
      <c r="AB694" s="41"/>
      <c r="AC694" s="41"/>
      <c r="AD694" s="41"/>
      <c r="AE694" s="59">
        <v>-44.112821944106969</v>
      </c>
      <c r="AF694" s="59">
        <v>-44.112821944106969</v>
      </c>
      <c r="AG694" s="59" t="s">
        <v>1180</v>
      </c>
      <c r="AH694" s="59" t="s">
        <v>1592</v>
      </c>
    </row>
    <row r="695" spans="1:34" x14ac:dyDescent="0.35">
      <c r="A695" s="58">
        <v>2024</v>
      </c>
      <c r="B695" s="58">
        <v>12</v>
      </c>
      <c r="C695">
        <v>12</v>
      </c>
      <c r="D695" s="58" t="s">
        <v>606</v>
      </c>
      <c r="E695" t="s">
        <v>325</v>
      </c>
      <c r="F695" s="58" t="s">
        <v>168</v>
      </c>
      <c r="G695" t="s">
        <v>700</v>
      </c>
      <c r="H695" s="58" t="s">
        <v>4</v>
      </c>
      <c r="I695" t="s">
        <v>4</v>
      </c>
      <c r="J695" s="58" t="s">
        <v>4</v>
      </c>
      <c r="K695" t="s">
        <v>1429</v>
      </c>
      <c r="L695" t="s">
        <v>20</v>
      </c>
      <c r="M695" t="s">
        <v>1431</v>
      </c>
      <c r="N695" s="59">
        <v>-4400</v>
      </c>
      <c r="O695" s="59">
        <v>0</v>
      </c>
      <c r="P695" s="59">
        <v>0</v>
      </c>
      <c r="Q695" s="59">
        <v>0</v>
      </c>
      <c r="R695" s="59">
        <v>0</v>
      </c>
      <c r="S695" s="59">
        <v>0</v>
      </c>
      <c r="T695" s="41"/>
      <c r="U695" s="41"/>
      <c r="V695" s="41"/>
      <c r="W695" s="41"/>
      <c r="X695" s="41"/>
      <c r="Y695" s="41"/>
      <c r="Z695" s="41"/>
      <c r="AA695" s="41"/>
      <c r="AB695" s="41"/>
      <c r="AC695" s="41"/>
      <c r="AD695" s="41"/>
      <c r="AE695" s="59">
        <v>0</v>
      </c>
      <c r="AF695" s="59">
        <v>0</v>
      </c>
      <c r="AG695" s="59" t="s">
        <v>8</v>
      </c>
      <c r="AH695" s="59" t="s">
        <v>1160</v>
      </c>
    </row>
    <row r="696" spans="1:34" x14ac:dyDescent="0.35">
      <c r="A696" s="58">
        <v>2024</v>
      </c>
      <c r="B696" s="58">
        <v>12</v>
      </c>
      <c r="C696">
        <v>12</v>
      </c>
      <c r="D696" s="58" t="s">
        <v>606</v>
      </c>
      <c r="E696" t="s">
        <v>325</v>
      </c>
      <c r="F696" s="58" t="s">
        <v>168</v>
      </c>
      <c r="G696" t="s">
        <v>700</v>
      </c>
      <c r="H696" s="58" t="s">
        <v>4</v>
      </c>
      <c r="I696" t="s">
        <v>4</v>
      </c>
      <c r="J696" s="58" t="s">
        <v>4</v>
      </c>
      <c r="K696" t="s">
        <v>1429</v>
      </c>
      <c r="L696" t="s">
        <v>20</v>
      </c>
      <c r="M696" t="s">
        <v>1430</v>
      </c>
      <c r="N696" s="59">
        <v>22000</v>
      </c>
      <c r="O696" s="59">
        <v>813824000</v>
      </c>
      <c r="P696" s="59">
        <v>3594640.7547169812</v>
      </c>
      <c r="Q696" s="59">
        <v>0</v>
      </c>
      <c r="R696" s="59">
        <v>3080000</v>
      </c>
      <c r="S696" s="59">
        <v>801614819.24528301</v>
      </c>
      <c r="T696" s="41"/>
      <c r="U696" s="41"/>
      <c r="V696" s="41"/>
      <c r="W696" s="41"/>
      <c r="X696" s="41"/>
      <c r="Y696" s="41"/>
      <c r="Z696" s="41"/>
      <c r="AA696" s="41"/>
      <c r="AB696" s="41"/>
      <c r="AC696" s="41"/>
      <c r="AD696" s="41"/>
      <c r="AE696" s="59">
        <v>31778.183785474543</v>
      </c>
      <c r="AF696" s="59">
        <v>32262.188797081941</v>
      </c>
      <c r="AG696" s="59" t="s">
        <v>8</v>
      </c>
      <c r="AH696" s="59" t="s">
        <v>1160</v>
      </c>
    </row>
    <row r="697" spans="1:34" x14ac:dyDescent="0.35">
      <c r="A697" s="58">
        <v>2024</v>
      </c>
      <c r="B697" s="58">
        <v>12</v>
      </c>
      <c r="C697">
        <v>12</v>
      </c>
      <c r="D697" s="58" t="s">
        <v>606</v>
      </c>
      <c r="E697" t="s">
        <v>325</v>
      </c>
      <c r="F697" s="58" t="s">
        <v>168</v>
      </c>
      <c r="G697" t="s">
        <v>700</v>
      </c>
      <c r="H697" s="58" t="s">
        <v>4</v>
      </c>
      <c r="I697" t="s">
        <v>4</v>
      </c>
      <c r="J697" s="58" t="s">
        <v>4</v>
      </c>
      <c r="K697" t="s">
        <v>1429</v>
      </c>
      <c r="L697" t="s">
        <v>20</v>
      </c>
      <c r="M697" t="s">
        <v>1432</v>
      </c>
      <c r="N697" s="59">
        <v>4400</v>
      </c>
      <c r="O697" s="59">
        <v>0</v>
      </c>
      <c r="P697" s="59">
        <v>0</v>
      </c>
      <c r="Q697" s="59">
        <v>0</v>
      </c>
      <c r="R697" s="59">
        <v>0</v>
      </c>
      <c r="S697" s="59">
        <v>0</v>
      </c>
      <c r="T697" s="41"/>
      <c r="U697" s="41"/>
      <c r="V697" s="41"/>
      <c r="W697" s="41"/>
      <c r="X697" s="41"/>
      <c r="Y697" s="41"/>
      <c r="Z697" s="41"/>
      <c r="AA697" s="41"/>
      <c r="AB697" s="41"/>
      <c r="AC697" s="41"/>
      <c r="AD697" s="41"/>
      <c r="AE697" s="59">
        <v>0</v>
      </c>
      <c r="AF697" s="59">
        <v>0</v>
      </c>
      <c r="AG697" s="59" t="s">
        <v>8</v>
      </c>
      <c r="AH697" s="59" t="s">
        <v>1160</v>
      </c>
    </row>
    <row r="698" spans="1:34" x14ac:dyDescent="0.35">
      <c r="A698" s="58">
        <v>2024</v>
      </c>
      <c r="B698" s="58">
        <v>12</v>
      </c>
      <c r="C698">
        <v>12</v>
      </c>
      <c r="D698" s="58" t="s">
        <v>606</v>
      </c>
      <c r="E698" t="s">
        <v>325</v>
      </c>
      <c r="F698" s="58" t="s">
        <v>1535</v>
      </c>
      <c r="G698" t="s">
        <v>1536</v>
      </c>
      <c r="H698" s="58" t="s">
        <v>1012</v>
      </c>
      <c r="I698" t="s">
        <v>1012</v>
      </c>
      <c r="J698" s="58" t="s">
        <v>1012</v>
      </c>
      <c r="K698" t="s">
        <v>1429</v>
      </c>
      <c r="L698" t="s">
        <v>20</v>
      </c>
      <c r="M698" t="s">
        <v>1430</v>
      </c>
      <c r="N698" s="59">
        <v>0</v>
      </c>
      <c r="O698" s="59">
        <v>0</v>
      </c>
      <c r="P698" s="59">
        <v>0</v>
      </c>
      <c r="Q698" s="59">
        <v>0</v>
      </c>
      <c r="R698" s="59">
        <v>0</v>
      </c>
      <c r="S698" s="59">
        <v>5534540</v>
      </c>
      <c r="T698" s="41"/>
      <c r="U698" s="41"/>
      <c r="V698" s="41"/>
      <c r="W698" s="41"/>
      <c r="X698" s="41"/>
      <c r="Y698" s="41"/>
      <c r="Z698" s="41"/>
      <c r="AA698" s="41"/>
      <c r="AB698" s="41"/>
      <c r="AC698" s="41"/>
      <c r="AD698" s="41"/>
      <c r="AE698" s="59">
        <v>219.40416402686807</v>
      </c>
      <c r="AF698" s="59">
        <v>0</v>
      </c>
      <c r="AG698" s="59" t="s">
        <v>8</v>
      </c>
      <c r="AH698" s="59" t="s">
        <v>1270</v>
      </c>
    </row>
    <row r="699" spans="1:34" x14ac:dyDescent="0.35">
      <c r="A699" s="58">
        <v>2024</v>
      </c>
      <c r="B699" s="58">
        <v>12</v>
      </c>
      <c r="C699">
        <v>12</v>
      </c>
      <c r="D699" s="58" t="s">
        <v>606</v>
      </c>
      <c r="E699" t="s">
        <v>325</v>
      </c>
      <c r="F699" s="58" t="s">
        <v>1590</v>
      </c>
      <c r="G699" t="s">
        <v>1590</v>
      </c>
      <c r="H699" s="58" t="s">
        <v>1012</v>
      </c>
      <c r="I699" t="s">
        <v>1012</v>
      </c>
      <c r="J699" s="58" t="s">
        <v>1012</v>
      </c>
      <c r="K699" t="s">
        <v>1429</v>
      </c>
      <c r="L699" t="s">
        <v>20</v>
      </c>
      <c r="M699" t="s">
        <v>1591</v>
      </c>
      <c r="N699" s="59">
        <v>0</v>
      </c>
      <c r="O699" s="59">
        <v>-45066780</v>
      </c>
      <c r="P699" s="59">
        <v>0</v>
      </c>
      <c r="Q699" s="59">
        <v>0</v>
      </c>
      <c r="R699" s="59">
        <v>0</v>
      </c>
      <c r="S699" s="59">
        <v>-45066780</v>
      </c>
      <c r="T699" s="41"/>
      <c r="U699" s="41"/>
      <c r="V699" s="41"/>
      <c r="W699" s="41"/>
      <c r="X699" s="41"/>
      <c r="Y699" s="41"/>
      <c r="Z699" s="41"/>
      <c r="AA699" s="41"/>
      <c r="AB699" s="41"/>
      <c r="AC699" s="41"/>
      <c r="AD699" s="41"/>
      <c r="AE699" s="59">
        <v>-1786.5692887363318</v>
      </c>
      <c r="AF699" s="59">
        <v>-1786.5692887363318</v>
      </c>
      <c r="AG699" s="59" t="s">
        <v>8</v>
      </c>
      <c r="AH699" s="59" t="s">
        <v>1592</v>
      </c>
    </row>
    <row r="700" spans="1:34" x14ac:dyDescent="0.35">
      <c r="A700" s="58">
        <v>2024</v>
      </c>
      <c r="B700" s="58">
        <v>12</v>
      </c>
      <c r="C700">
        <v>12</v>
      </c>
      <c r="D700" s="58" t="s">
        <v>634</v>
      </c>
      <c r="E700" t="s">
        <v>148</v>
      </c>
      <c r="F700" s="58" t="s">
        <v>182</v>
      </c>
      <c r="G700" t="s">
        <v>905</v>
      </c>
      <c r="H700" s="58" t="s">
        <v>74</v>
      </c>
      <c r="I700" t="s">
        <v>74</v>
      </c>
      <c r="J700" s="58" t="s">
        <v>74</v>
      </c>
      <c r="K700" t="s">
        <v>1429</v>
      </c>
      <c r="L700" t="s">
        <v>20</v>
      </c>
      <c r="M700" t="s">
        <v>1430</v>
      </c>
      <c r="N700" s="59">
        <v>22000</v>
      </c>
      <c r="O700" s="59">
        <v>418000000</v>
      </c>
      <c r="P700" s="59">
        <v>3594640.7547169812</v>
      </c>
      <c r="Q700" s="59">
        <v>0</v>
      </c>
      <c r="R700" s="59">
        <v>0</v>
      </c>
      <c r="S700" s="59">
        <v>414405359.24528301</v>
      </c>
      <c r="T700" s="41"/>
      <c r="U700" s="41"/>
      <c r="V700" s="41"/>
      <c r="W700" s="41"/>
      <c r="X700" s="41"/>
      <c r="Y700" s="41"/>
      <c r="Z700" s="41"/>
      <c r="AA700" s="41"/>
      <c r="AB700" s="41"/>
      <c r="AC700" s="41"/>
      <c r="AD700" s="41"/>
      <c r="AE700" s="59">
        <v>16428.151465788531</v>
      </c>
      <c r="AF700" s="59">
        <v>16570.652766667303</v>
      </c>
      <c r="AG700" s="59" t="s">
        <v>148</v>
      </c>
      <c r="AH700" s="59" t="s">
        <v>1242</v>
      </c>
    </row>
    <row r="701" spans="1:34" x14ac:dyDescent="0.35">
      <c r="A701" s="58">
        <v>2024</v>
      </c>
      <c r="B701" s="58">
        <v>12</v>
      </c>
      <c r="C701">
        <v>12</v>
      </c>
      <c r="D701" s="58" t="s">
        <v>596</v>
      </c>
      <c r="E701" t="s">
        <v>266</v>
      </c>
      <c r="F701" s="58" t="s">
        <v>171</v>
      </c>
      <c r="G701" t="s">
        <v>731</v>
      </c>
      <c r="H701" s="58" t="s">
        <v>4</v>
      </c>
      <c r="I701" t="s">
        <v>4</v>
      </c>
      <c r="J701" s="58" t="s">
        <v>4</v>
      </c>
      <c r="K701" t="s">
        <v>1429</v>
      </c>
      <c r="L701" t="s">
        <v>20</v>
      </c>
      <c r="M701" t="s">
        <v>1430</v>
      </c>
      <c r="N701" s="59">
        <v>22000</v>
      </c>
      <c r="O701" s="59">
        <v>718440492</v>
      </c>
      <c r="P701" s="59">
        <v>3594640.7547169812</v>
      </c>
      <c r="Q701" s="59">
        <v>0</v>
      </c>
      <c r="R701" s="59">
        <v>0</v>
      </c>
      <c r="S701" s="59">
        <v>714845851.24528301</v>
      </c>
      <c r="T701" s="41"/>
      <c r="U701" s="41"/>
      <c r="V701" s="41"/>
      <c r="W701" s="41"/>
      <c r="X701" s="41"/>
      <c r="Y701" s="41"/>
      <c r="Z701" s="41"/>
      <c r="AA701" s="41"/>
      <c r="AB701" s="41"/>
      <c r="AC701" s="41"/>
      <c r="AD701" s="41"/>
      <c r="AE701" s="59">
        <v>28338.426752818883</v>
      </c>
      <c r="AF701" s="59">
        <v>28480.928053697651</v>
      </c>
      <c r="AG701" s="59" t="s">
        <v>100</v>
      </c>
      <c r="AH701" s="59" t="s">
        <v>1166</v>
      </c>
    </row>
    <row r="702" spans="1:34" x14ac:dyDescent="0.35">
      <c r="A702" s="58">
        <v>2024</v>
      </c>
      <c r="B702" s="58">
        <v>12</v>
      </c>
      <c r="C702">
        <v>12</v>
      </c>
      <c r="D702" s="58" t="s">
        <v>610</v>
      </c>
      <c r="E702" t="s">
        <v>44</v>
      </c>
      <c r="F702" s="58" t="s">
        <v>186</v>
      </c>
      <c r="G702" t="s">
        <v>781</v>
      </c>
      <c r="H702" s="58" t="s">
        <v>1428</v>
      </c>
      <c r="I702" t="s">
        <v>75</v>
      </c>
      <c r="J702" s="58" t="s">
        <v>75</v>
      </c>
      <c r="K702" t="s">
        <v>1429</v>
      </c>
      <c r="L702" t="s">
        <v>20</v>
      </c>
      <c r="M702" t="s">
        <v>1430</v>
      </c>
      <c r="N702" s="59">
        <v>49500</v>
      </c>
      <c r="O702" s="59">
        <v>1702233225.0000002</v>
      </c>
      <c r="P702" s="59">
        <v>0</v>
      </c>
      <c r="Q702" s="59">
        <v>0</v>
      </c>
      <c r="R702" s="59">
        <v>0</v>
      </c>
      <c r="S702" s="59">
        <v>1702233225.0000002</v>
      </c>
      <c r="T702" s="41"/>
      <c r="U702" s="41"/>
      <c r="V702" s="41"/>
      <c r="W702" s="41"/>
      <c r="X702" s="41"/>
      <c r="Y702" s="41"/>
      <c r="Z702" s="41"/>
      <c r="AA702" s="41"/>
      <c r="AB702" s="41"/>
      <c r="AC702" s="41"/>
      <c r="AD702" s="41"/>
      <c r="AE702" s="59">
        <v>67481.138036744655</v>
      </c>
      <c r="AF702" s="59">
        <v>67481.138036744655</v>
      </c>
      <c r="AG702" s="59" t="s">
        <v>44</v>
      </c>
      <c r="AH702" s="59" t="s">
        <v>1202</v>
      </c>
    </row>
    <row r="703" spans="1:34" x14ac:dyDescent="0.35">
      <c r="A703" s="58">
        <v>2024</v>
      </c>
      <c r="B703" s="58">
        <v>12</v>
      </c>
      <c r="C703">
        <v>12</v>
      </c>
      <c r="D703" s="58" t="s">
        <v>624</v>
      </c>
      <c r="E703" t="s">
        <v>272</v>
      </c>
      <c r="F703" s="58" t="s">
        <v>172</v>
      </c>
      <c r="G703" t="s">
        <v>734</v>
      </c>
      <c r="H703" s="58" t="s">
        <v>4</v>
      </c>
      <c r="I703" t="s">
        <v>4</v>
      </c>
      <c r="J703" s="58" t="s">
        <v>4</v>
      </c>
      <c r="K703" t="s">
        <v>1429</v>
      </c>
      <c r="L703" t="s">
        <v>20</v>
      </c>
      <c r="M703" t="s">
        <v>1430</v>
      </c>
      <c r="N703" s="59">
        <v>5500</v>
      </c>
      <c r="O703" s="59">
        <v>190817000</v>
      </c>
      <c r="P703" s="59">
        <v>898660.1886792453</v>
      </c>
      <c r="Q703" s="59">
        <v>0</v>
      </c>
      <c r="R703" s="59">
        <v>0</v>
      </c>
      <c r="S703" s="59">
        <v>189918339.81132075</v>
      </c>
      <c r="T703" s="41"/>
      <c r="U703" s="41"/>
      <c r="V703" s="41"/>
      <c r="W703" s="41"/>
      <c r="X703" s="41"/>
      <c r="Y703" s="41"/>
      <c r="Z703" s="41"/>
      <c r="AA703" s="41"/>
      <c r="AB703" s="41"/>
      <c r="AC703" s="41"/>
      <c r="AD703" s="41"/>
      <c r="AE703" s="59">
        <v>7528.8776627639309</v>
      </c>
      <c r="AF703" s="59">
        <v>7564.5029879836238</v>
      </c>
      <c r="AG703" s="59" t="s">
        <v>103</v>
      </c>
      <c r="AH703" s="59" t="s">
        <v>1175</v>
      </c>
    </row>
    <row r="704" spans="1:34" x14ac:dyDescent="0.35">
      <c r="A704" s="58">
        <v>2024</v>
      </c>
      <c r="B704" s="58">
        <v>12</v>
      </c>
      <c r="C704">
        <v>12</v>
      </c>
      <c r="D704" s="58" t="s">
        <v>1558</v>
      </c>
      <c r="E704" t="s">
        <v>1223</v>
      </c>
      <c r="F704" s="58" t="s">
        <v>841</v>
      </c>
      <c r="G704" t="s">
        <v>842</v>
      </c>
      <c r="H704" s="58" t="s">
        <v>1012</v>
      </c>
      <c r="I704" t="s">
        <v>86</v>
      </c>
      <c r="J704" s="58" t="s">
        <v>86</v>
      </c>
      <c r="K704" t="s">
        <v>1429</v>
      </c>
      <c r="L704" t="s">
        <v>20</v>
      </c>
      <c r="M704" t="s">
        <v>1430</v>
      </c>
      <c r="N704" s="59">
        <v>5230</v>
      </c>
      <c r="O704" s="59">
        <v>26150000</v>
      </c>
      <c r="P704" s="59">
        <v>0</v>
      </c>
      <c r="Q704" s="59">
        <v>0</v>
      </c>
      <c r="R704" s="59">
        <v>0</v>
      </c>
      <c r="S704" s="59">
        <v>26150000</v>
      </c>
      <c r="T704" s="41"/>
      <c r="U704" s="41"/>
      <c r="V704" s="41"/>
      <c r="W704" s="41"/>
      <c r="X704" s="41"/>
      <c r="Y704" s="41"/>
      <c r="Z704" s="41"/>
      <c r="AA704" s="41"/>
      <c r="AB704" s="41"/>
      <c r="AC704" s="41"/>
      <c r="AD704" s="41"/>
      <c r="AE704" s="59">
        <v>1036.656865665909</v>
      </c>
      <c r="AF704" s="59">
        <v>1036.656865665909</v>
      </c>
      <c r="AG704" s="59" t="s">
        <v>1223</v>
      </c>
      <c r="AH704" s="59" t="s">
        <v>1222</v>
      </c>
    </row>
    <row r="705" spans="1:34" x14ac:dyDescent="0.35">
      <c r="A705" s="58">
        <v>2024</v>
      </c>
      <c r="B705" s="58">
        <v>12</v>
      </c>
      <c r="C705">
        <v>12</v>
      </c>
      <c r="D705" s="58" t="s">
        <v>1558</v>
      </c>
      <c r="E705" t="s">
        <v>1223</v>
      </c>
      <c r="F705" s="58" t="s">
        <v>843</v>
      </c>
      <c r="G705" t="s">
        <v>844</v>
      </c>
      <c r="H705" s="58" t="s">
        <v>1012</v>
      </c>
      <c r="I705" t="s">
        <v>86</v>
      </c>
      <c r="J705" s="58" t="s">
        <v>86</v>
      </c>
      <c r="K705" t="s">
        <v>1429</v>
      </c>
      <c r="L705" t="s">
        <v>20</v>
      </c>
      <c r="M705" t="s">
        <v>1430</v>
      </c>
      <c r="N705" s="59">
        <v>5030</v>
      </c>
      <c r="O705" s="59">
        <v>25150000</v>
      </c>
      <c r="P705" s="59">
        <v>0</v>
      </c>
      <c r="Q705" s="59">
        <v>0</v>
      </c>
      <c r="R705" s="59">
        <v>0</v>
      </c>
      <c r="S705" s="59">
        <v>25150000</v>
      </c>
      <c r="T705" s="41"/>
      <c r="U705" s="41"/>
      <c r="V705" s="41"/>
      <c r="W705" s="41"/>
      <c r="X705" s="41"/>
      <c r="Y705" s="41"/>
      <c r="Z705" s="41"/>
      <c r="AA705" s="41"/>
      <c r="AB705" s="41"/>
      <c r="AC705" s="41"/>
      <c r="AD705" s="41"/>
      <c r="AE705" s="59">
        <v>997.01415569780545</v>
      </c>
      <c r="AF705" s="59">
        <v>997.01415569780545</v>
      </c>
      <c r="AG705" s="59" t="s">
        <v>1223</v>
      </c>
      <c r="AH705" s="59" t="s">
        <v>1224</v>
      </c>
    </row>
    <row r="706" spans="1:34" x14ac:dyDescent="0.35">
      <c r="A706" s="58">
        <v>2024</v>
      </c>
      <c r="B706" s="58">
        <v>12</v>
      </c>
      <c r="C706">
        <v>12</v>
      </c>
      <c r="D706" s="58" t="s">
        <v>1558</v>
      </c>
      <c r="E706" t="s">
        <v>1223</v>
      </c>
      <c r="F706" s="58" t="s">
        <v>845</v>
      </c>
      <c r="G706" t="s">
        <v>846</v>
      </c>
      <c r="H706" s="58" t="s">
        <v>1012</v>
      </c>
      <c r="I706" t="s">
        <v>86</v>
      </c>
      <c r="J706" s="58" t="s">
        <v>86</v>
      </c>
      <c r="K706" t="s">
        <v>1429</v>
      </c>
      <c r="L706" t="s">
        <v>20</v>
      </c>
      <c r="M706" t="s">
        <v>1430</v>
      </c>
      <c r="N706" s="59">
        <v>3690</v>
      </c>
      <c r="O706" s="59">
        <v>18450000</v>
      </c>
      <c r="P706" s="59">
        <v>0</v>
      </c>
      <c r="Q706" s="59">
        <v>0</v>
      </c>
      <c r="R706" s="59">
        <v>0</v>
      </c>
      <c r="S706" s="59">
        <v>18450000</v>
      </c>
      <c r="T706" s="41"/>
      <c r="U706" s="41"/>
      <c r="V706" s="41"/>
      <c r="W706" s="41"/>
      <c r="X706" s="41"/>
      <c r="Y706" s="41"/>
      <c r="Z706" s="41"/>
      <c r="AA706" s="41"/>
      <c r="AB706" s="41"/>
      <c r="AC706" s="41"/>
      <c r="AD706" s="41"/>
      <c r="AE706" s="59">
        <v>731.40799891151141</v>
      </c>
      <c r="AF706" s="59">
        <v>731.40799891151141</v>
      </c>
      <c r="AG706" s="59" t="s">
        <v>1223</v>
      </c>
      <c r="AH706" s="59" t="s">
        <v>1225</v>
      </c>
    </row>
    <row r="707" spans="1:34" x14ac:dyDescent="0.35">
      <c r="A707" s="58">
        <v>2024</v>
      </c>
      <c r="B707" s="58">
        <v>12</v>
      </c>
      <c r="C707">
        <v>12</v>
      </c>
      <c r="D707" s="58" t="s">
        <v>1558</v>
      </c>
      <c r="E707" t="s">
        <v>1223</v>
      </c>
      <c r="F707" s="58" t="s">
        <v>847</v>
      </c>
      <c r="G707" t="s">
        <v>848</v>
      </c>
      <c r="H707" s="58" t="s">
        <v>1012</v>
      </c>
      <c r="I707" t="s">
        <v>86</v>
      </c>
      <c r="J707" s="58" t="s">
        <v>86</v>
      </c>
      <c r="K707" t="s">
        <v>1429</v>
      </c>
      <c r="L707" t="s">
        <v>20</v>
      </c>
      <c r="M707" t="s">
        <v>1430</v>
      </c>
      <c r="N707" s="59">
        <v>5650</v>
      </c>
      <c r="O707" s="59">
        <v>28250000</v>
      </c>
      <c r="P707" s="59">
        <v>0</v>
      </c>
      <c r="Q707" s="59">
        <v>0</v>
      </c>
      <c r="R707" s="59">
        <v>0</v>
      </c>
      <c r="S707" s="59">
        <v>28250000</v>
      </c>
      <c r="T707" s="41"/>
      <c r="U707" s="41"/>
      <c r="V707" s="41"/>
      <c r="W707" s="41"/>
      <c r="X707" s="41"/>
      <c r="Y707" s="41"/>
      <c r="Z707" s="41"/>
      <c r="AA707" s="41"/>
      <c r="AB707" s="41"/>
      <c r="AC707" s="41"/>
      <c r="AD707" s="41"/>
      <c r="AE707" s="59">
        <v>1119.9065565989267</v>
      </c>
      <c r="AF707" s="59">
        <v>1119.9065565989267</v>
      </c>
      <c r="AG707" s="59" t="s">
        <v>1223</v>
      </c>
      <c r="AH707" s="59" t="s">
        <v>1226</v>
      </c>
    </row>
    <row r="708" spans="1:34" x14ac:dyDescent="0.35">
      <c r="A708" s="58">
        <v>2024</v>
      </c>
      <c r="B708" s="58">
        <v>12</v>
      </c>
      <c r="C708">
        <v>12</v>
      </c>
      <c r="D708" s="58" t="s">
        <v>1558</v>
      </c>
      <c r="E708" t="s">
        <v>1223</v>
      </c>
      <c r="F708" s="58" t="s">
        <v>948</v>
      </c>
      <c r="G708" t="s">
        <v>949</v>
      </c>
      <c r="H708" s="58" t="s">
        <v>1012</v>
      </c>
      <c r="I708" t="s">
        <v>86</v>
      </c>
      <c r="J708" s="58" t="s">
        <v>86</v>
      </c>
      <c r="K708" t="s">
        <v>1429</v>
      </c>
      <c r="L708" t="s">
        <v>20</v>
      </c>
      <c r="M708" t="s">
        <v>1430</v>
      </c>
      <c r="N708" s="59">
        <v>435276</v>
      </c>
      <c r="O708" s="59">
        <v>870552000</v>
      </c>
      <c r="P708" s="59">
        <v>0</v>
      </c>
      <c r="Q708" s="59">
        <v>0</v>
      </c>
      <c r="R708" s="59">
        <v>0</v>
      </c>
      <c r="S708" s="59">
        <v>870552000</v>
      </c>
      <c r="T708" s="41"/>
      <c r="U708" s="41"/>
      <c r="V708" s="41"/>
      <c r="W708" s="41"/>
      <c r="X708" s="41"/>
      <c r="Y708" s="41"/>
      <c r="Z708" s="41"/>
      <c r="AA708" s="41"/>
      <c r="AB708" s="41"/>
      <c r="AC708" s="41"/>
      <c r="AD708" s="41"/>
      <c r="AE708" s="59">
        <v>34511.040448152518</v>
      </c>
      <c r="AF708" s="59">
        <v>34511.040448152518</v>
      </c>
      <c r="AG708" s="59" t="s">
        <v>1223</v>
      </c>
      <c r="AH708" s="59" t="s">
        <v>1229</v>
      </c>
    </row>
    <row r="709" spans="1:34" x14ac:dyDescent="0.35">
      <c r="A709" s="58">
        <v>2024</v>
      </c>
      <c r="B709" s="58">
        <v>12</v>
      </c>
      <c r="C709">
        <v>12</v>
      </c>
      <c r="D709" s="58" t="s">
        <v>1581</v>
      </c>
      <c r="E709" t="s">
        <v>1158</v>
      </c>
      <c r="F709" s="58" t="s">
        <v>167</v>
      </c>
      <c r="G709" t="s">
        <v>693</v>
      </c>
      <c r="H709" s="58" t="s">
        <v>4</v>
      </c>
      <c r="I709" t="s">
        <v>4</v>
      </c>
      <c r="J709" s="58" t="s">
        <v>4</v>
      </c>
      <c r="K709" t="s">
        <v>1429</v>
      </c>
      <c r="L709" t="s">
        <v>20</v>
      </c>
      <c r="M709" t="s">
        <v>1508</v>
      </c>
      <c r="N709" s="59">
        <v>-9900</v>
      </c>
      <c r="O709" s="59">
        <v>-320686740</v>
      </c>
      <c r="P709" s="59">
        <v>0</v>
      </c>
      <c r="Q709" s="59">
        <v>0</v>
      </c>
      <c r="R709" s="59">
        <v>0</v>
      </c>
      <c r="S709" s="59">
        <v>-320686740</v>
      </c>
      <c r="T709" s="41"/>
      <c r="U709" s="41"/>
      <c r="V709" s="41"/>
      <c r="W709" s="41"/>
      <c r="X709" s="41"/>
      <c r="Y709" s="41"/>
      <c r="Z709" s="41"/>
      <c r="AA709" s="41"/>
      <c r="AB709" s="41"/>
      <c r="AC709" s="41"/>
      <c r="AD709" s="41"/>
      <c r="AE709" s="59">
        <v>-12712.891424436646</v>
      </c>
      <c r="AF709" s="59">
        <v>-12712.891424436646</v>
      </c>
      <c r="AG709" s="59" t="s">
        <v>1158</v>
      </c>
      <c r="AH709" s="59" t="s">
        <v>1156</v>
      </c>
    </row>
    <row r="710" spans="1:34" x14ac:dyDescent="0.35">
      <c r="A710" s="58">
        <v>2024</v>
      </c>
      <c r="B710" s="58">
        <v>12</v>
      </c>
      <c r="C710">
        <v>12</v>
      </c>
      <c r="D710" s="58" t="s">
        <v>1581</v>
      </c>
      <c r="E710" t="s">
        <v>1158</v>
      </c>
      <c r="F710" s="58" t="s">
        <v>171</v>
      </c>
      <c r="G710" t="s">
        <v>731</v>
      </c>
      <c r="H710" s="58" t="s">
        <v>4</v>
      </c>
      <c r="I710" t="s">
        <v>4</v>
      </c>
      <c r="J710" s="58" t="s">
        <v>4</v>
      </c>
      <c r="K710" t="s">
        <v>1429</v>
      </c>
      <c r="L710" t="s">
        <v>20</v>
      </c>
      <c r="M710" t="s">
        <v>1430</v>
      </c>
      <c r="N710" s="59">
        <v>9900</v>
      </c>
      <c r="O710" s="59">
        <v>320686740</v>
      </c>
      <c r="P710" s="59">
        <v>1617588.3396226419</v>
      </c>
      <c r="Q710" s="59">
        <v>0</v>
      </c>
      <c r="R710" s="59">
        <v>0</v>
      </c>
      <c r="S710" s="59">
        <v>319069151.66037738</v>
      </c>
      <c r="T710" s="41"/>
      <c r="U710" s="41"/>
      <c r="V710" s="41"/>
      <c r="W710" s="41"/>
      <c r="X710" s="41"/>
      <c r="Y710" s="41"/>
      <c r="Z710" s="41"/>
      <c r="AA710" s="41"/>
      <c r="AB710" s="41"/>
      <c r="AC710" s="41"/>
      <c r="AD710" s="41"/>
      <c r="AE710" s="59">
        <v>12648.7658390412</v>
      </c>
      <c r="AF710" s="59">
        <v>12712.891424436646</v>
      </c>
      <c r="AG710" s="59" t="s">
        <v>1158</v>
      </c>
      <c r="AH710" s="59" t="s">
        <v>1166</v>
      </c>
    </row>
    <row r="711" spans="1:34" x14ac:dyDescent="0.35">
      <c r="A711" s="58">
        <v>2024</v>
      </c>
      <c r="B711" s="58">
        <v>12</v>
      </c>
      <c r="C711">
        <v>12</v>
      </c>
      <c r="D711" s="58" t="s">
        <v>1593</v>
      </c>
      <c r="E711" t="s">
        <v>1294</v>
      </c>
      <c r="F711" s="58" t="s">
        <v>1468</v>
      </c>
      <c r="G711" t="s">
        <v>1012</v>
      </c>
      <c r="H711" s="58" t="s">
        <v>1012</v>
      </c>
      <c r="I711" t="s">
        <v>1012</v>
      </c>
      <c r="J711" s="58" t="s">
        <v>1012</v>
      </c>
      <c r="K711" t="s">
        <v>1429</v>
      </c>
      <c r="L711" t="s">
        <v>20</v>
      </c>
      <c r="M711" t="s">
        <v>1430</v>
      </c>
      <c r="N711" s="59">
        <v>0</v>
      </c>
      <c r="O711" s="59">
        <v>-877599500</v>
      </c>
      <c r="P711" s="59">
        <v>0</v>
      </c>
      <c r="Q711" s="59">
        <v>0</v>
      </c>
      <c r="R711" s="59">
        <v>0</v>
      </c>
      <c r="S711" s="59">
        <v>-877599500</v>
      </c>
      <c r="T711" s="41"/>
      <c r="U711" s="41"/>
      <c r="V711" s="41"/>
      <c r="W711" s="41"/>
      <c r="X711" s="41"/>
      <c r="Y711" s="41"/>
      <c r="Z711" s="41"/>
      <c r="AA711" s="41"/>
      <c r="AB711" s="41"/>
      <c r="AC711" s="41"/>
      <c r="AD711" s="41"/>
      <c r="AE711" s="59">
        <v>-34790.422446652723</v>
      </c>
      <c r="AF711" s="59">
        <v>-34790.422446652723</v>
      </c>
      <c r="AG711" s="59" t="s">
        <v>1294</v>
      </c>
      <c r="AH711" s="59" t="s">
        <v>1284</v>
      </c>
    </row>
    <row r="712" spans="1:34" x14ac:dyDescent="0.35">
      <c r="A712" s="58">
        <v>2024</v>
      </c>
      <c r="B712" s="58">
        <v>12</v>
      </c>
      <c r="C712">
        <v>12</v>
      </c>
      <c r="D712" s="58" t="s">
        <v>636</v>
      </c>
      <c r="E712" t="s">
        <v>270</v>
      </c>
      <c r="F712" s="58" t="s">
        <v>171</v>
      </c>
      <c r="G712" t="s">
        <v>731</v>
      </c>
      <c r="H712" s="58" t="s">
        <v>4</v>
      </c>
      <c r="I712" t="s">
        <v>4</v>
      </c>
      <c r="J712" s="58" t="s">
        <v>4</v>
      </c>
      <c r="K712" t="s">
        <v>1429</v>
      </c>
      <c r="L712" t="s">
        <v>20</v>
      </c>
      <c r="M712" t="s">
        <v>1430</v>
      </c>
      <c r="N712" s="59">
        <v>11000</v>
      </c>
      <c r="O712" s="59">
        <v>356012800</v>
      </c>
      <c r="P712" s="59">
        <v>1797320.3773584906</v>
      </c>
      <c r="Q712" s="59">
        <v>0</v>
      </c>
      <c r="R712" s="59">
        <v>0</v>
      </c>
      <c r="S712" s="59">
        <v>354215479.6226415</v>
      </c>
      <c r="T712" s="41"/>
      <c r="U712" s="41"/>
      <c r="V712" s="41"/>
      <c r="W712" s="41"/>
      <c r="X712" s="41"/>
      <c r="Y712" s="41"/>
      <c r="Z712" s="41"/>
      <c r="AA712" s="41"/>
      <c r="AB712" s="41"/>
      <c r="AC712" s="41"/>
      <c r="AD712" s="41"/>
      <c r="AE712" s="59">
        <v>14042.061524893086</v>
      </c>
      <c r="AF712" s="59">
        <v>14113.312175332472</v>
      </c>
      <c r="AG712" s="59" t="s">
        <v>102</v>
      </c>
      <c r="AH712" s="59" t="s">
        <v>1166</v>
      </c>
    </row>
    <row r="713" spans="1:34" x14ac:dyDescent="0.35">
      <c r="A713" s="58">
        <v>2024</v>
      </c>
      <c r="B713" s="58">
        <v>12</v>
      </c>
      <c r="C713">
        <v>12</v>
      </c>
      <c r="D713" s="58" t="s">
        <v>1594</v>
      </c>
      <c r="E713" t="s">
        <v>1207</v>
      </c>
      <c r="F713" s="58" t="s">
        <v>190</v>
      </c>
      <c r="G713" t="s">
        <v>1066</v>
      </c>
      <c r="H713" s="58" t="s">
        <v>1428</v>
      </c>
      <c r="I713" t="s">
        <v>75</v>
      </c>
      <c r="J713" s="58" t="s">
        <v>75</v>
      </c>
      <c r="K713" t="s">
        <v>1429</v>
      </c>
      <c r="L713" t="s">
        <v>20</v>
      </c>
      <c r="M713" t="s">
        <v>1430</v>
      </c>
      <c r="N713" s="59">
        <v>25</v>
      </c>
      <c r="O713" s="59">
        <v>893900</v>
      </c>
      <c r="P713" s="59">
        <v>0</v>
      </c>
      <c r="Q713" s="59">
        <v>0</v>
      </c>
      <c r="R713" s="59">
        <v>0</v>
      </c>
      <c r="S713" s="59">
        <v>893900</v>
      </c>
      <c r="T713" s="41"/>
      <c r="U713" s="41"/>
      <c r="V713" s="41"/>
      <c r="W713" s="41"/>
      <c r="X713" s="41"/>
      <c r="Y713" s="41"/>
      <c r="Z713" s="41"/>
      <c r="AA713" s="41"/>
      <c r="AB713" s="41"/>
      <c r="AC713" s="41"/>
      <c r="AD713" s="41"/>
      <c r="AE713" s="59">
        <v>35.436618440487806</v>
      </c>
      <c r="AF713" s="59">
        <v>35.436618440487806</v>
      </c>
      <c r="AG713" s="59" t="s">
        <v>1207</v>
      </c>
      <c r="AH713" s="59" t="s">
        <v>1206</v>
      </c>
    </row>
    <row r="714" spans="1:34" x14ac:dyDescent="0.35">
      <c r="A714" s="58">
        <v>2024</v>
      </c>
      <c r="B714" s="58">
        <v>12</v>
      </c>
      <c r="C714">
        <v>12</v>
      </c>
      <c r="D714" s="58" t="s">
        <v>1595</v>
      </c>
      <c r="E714" t="s">
        <v>1315</v>
      </c>
      <c r="F714" s="58" t="s">
        <v>1466</v>
      </c>
      <c r="G714" t="s">
        <v>1467</v>
      </c>
      <c r="H714" s="58" t="s">
        <v>1012</v>
      </c>
      <c r="I714" t="s">
        <v>1012</v>
      </c>
      <c r="J714" s="58" t="s">
        <v>1012</v>
      </c>
      <c r="K714" t="s">
        <v>1429</v>
      </c>
      <c r="L714" t="s">
        <v>20</v>
      </c>
      <c r="M714" t="s">
        <v>1430</v>
      </c>
      <c r="N714" s="59">
        <v>0</v>
      </c>
      <c r="O714" s="59">
        <v>983340000</v>
      </c>
      <c r="P714" s="59">
        <v>0</v>
      </c>
      <c r="Q714" s="59">
        <v>0</v>
      </c>
      <c r="R714" s="59">
        <v>0</v>
      </c>
      <c r="S714" s="59">
        <v>983340000</v>
      </c>
      <c r="T714" s="41"/>
      <c r="U714" s="41"/>
      <c r="V714" s="41"/>
      <c r="W714" s="41"/>
      <c r="X714" s="41"/>
      <c r="Y714" s="41"/>
      <c r="Z714" s="41"/>
      <c r="AA714" s="41"/>
      <c r="AB714" s="41"/>
      <c r="AC714" s="41"/>
      <c r="AD714" s="41"/>
      <c r="AE714" s="59">
        <v>38982.262420034989</v>
      </c>
      <c r="AF714" s="59">
        <v>38982.262420034989</v>
      </c>
      <c r="AG714" s="59" t="s">
        <v>1315</v>
      </c>
      <c r="AH714" s="59" t="s">
        <v>1306</v>
      </c>
    </row>
    <row r="715" spans="1:34" x14ac:dyDescent="0.35">
      <c r="A715" s="58">
        <v>2024</v>
      </c>
      <c r="B715" s="58">
        <v>12</v>
      </c>
      <c r="C715">
        <v>12</v>
      </c>
      <c r="D715" s="58" t="s">
        <v>1596</v>
      </c>
      <c r="E715" t="s">
        <v>1297</v>
      </c>
      <c r="F715" s="58" t="s">
        <v>1597</v>
      </c>
      <c r="G715" t="s">
        <v>1598</v>
      </c>
      <c r="H715" s="58" t="s">
        <v>1012</v>
      </c>
      <c r="I715" t="s">
        <v>1012</v>
      </c>
      <c r="J715" s="58" t="s">
        <v>1012</v>
      </c>
      <c r="K715" t="s">
        <v>1429</v>
      </c>
      <c r="L715" t="s">
        <v>20</v>
      </c>
      <c r="M715" t="s">
        <v>1430</v>
      </c>
      <c r="N715" s="59">
        <v>0</v>
      </c>
      <c r="O715" s="59">
        <v>0</v>
      </c>
      <c r="P715" s="59">
        <v>0</v>
      </c>
      <c r="Q715" s="59">
        <v>0</v>
      </c>
      <c r="R715" s="59">
        <v>0</v>
      </c>
      <c r="S715" s="59">
        <v>0</v>
      </c>
      <c r="T715" s="41"/>
      <c r="U715" s="41"/>
      <c r="V715" s="41"/>
      <c r="W715" s="41"/>
      <c r="X715" s="41"/>
      <c r="Y715" s="41"/>
      <c r="Z715" s="41"/>
      <c r="AA715" s="41"/>
      <c r="AB715" s="41"/>
      <c r="AC715" s="41"/>
      <c r="AD715" s="41"/>
      <c r="AE715" s="59">
        <v>0</v>
      </c>
      <c r="AF715" s="59">
        <v>0</v>
      </c>
      <c r="AG715" s="59" t="s">
        <v>1297</v>
      </c>
      <c r="AH715" s="59" t="s">
        <v>1327</v>
      </c>
    </row>
    <row r="716" spans="1:34" x14ac:dyDescent="0.35">
      <c r="A716" s="58">
        <v>2024</v>
      </c>
      <c r="B716" s="58">
        <v>12</v>
      </c>
      <c r="C716">
        <v>12</v>
      </c>
      <c r="D716" s="58" t="s">
        <v>602</v>
      </c>
      <c r="E716" t="s">
        <v>122</v>
      </c>
      <c r="F716" s="58" t="s">
        <v>171</v>
      </c>
      <c r="G716" t="s">
        <v>731</v>
      </c>
      <c r="H716" s="58" t="s">
        <v>4</v>
      </c>
      <c r="I716" t="s">
        <v>4</v>
      </c>
      <c r="J716" s="58" t="s">
        <v>4</v>
      </c>
      <c r="K716" t="s">
        <v>1476</v>
      </c>
      <c r="L716" t="s">
        <v>1477</v>
      </c>
      <c r="M716" t="s">
        <v>1430</v>
      </c>
      <c r="N716" s="59">
        <v>110000</v>
      </c>
      <c r="O716" s="59">
        <v>3555960320</v>
      </c>
      <c r="P716" s="59">
        <v>11847602.523947749</v>
      </c>
      <c r="Q716" s="59">
        <v>0</v>
      </c>
      <c r="R716" s="59">
        <v>46857882</v>
      </c>
      <c r="S716" s="59">
        <v>3497254835.4760523</v>
      </c>
      <c r="T716" s="41"/>
      <c r="U716" s="41"/>
      <c r="V716" s="41"/>
      <c r="W716" s="41"/>
      <c r="X716" s="41"/>
      <c r="Y716" s="41"/>
      <c r="Z716" s="41"/>
      <c r="AA716" s="41"/>
      <c r="AB716" s="41"/>
      <c r="AC716" s="41"/>
      <c r="AD716" s="41"/>
      <c r="AE716" s="59">
        <v>138691.86973262348</v>
      </c>
      <c r="AF716" s="59">
        <v>141020</v>
      </c>
      <c r="AG716" s="59" t="s">
        <v>122</v>
      </c>
      <c r="AH716" s="59" t="s">
        <v>1166</v>
      </c>
    </row>
    <row r="717" spans="1:34" x14ac:dyDescent="0.35">
      <c r="A717" s="58">
        <v>2024</v>
      </c>
      <c r="B717" s="58">
        <v>12</v>
      </c>
      <c r="C717">
        <v>12</v>
      </c>
      <c r="D717" s="58" t="s">
        <v>587</v>
      </c>
      <c r="E717" t="s">
        <v>6</v>
      </c>
      <c r="F717" s="58" t="s">
        <v>171</v>
      </c>
      <c r="G717" t="s">
        <v>731</v>
      </c>
      <c r="H717" s="58" t="s">
        <v>4</v>
      </c>
      <c r="I717" t="s">
        <v>4</v>
      </c>
      <c r="J717" s="58" t="s">
        <v>4</v>
      </c>
      <c r="K717" t="s">
        <v>1476</v>
      </c>
      <c r="L717" t="s">
        <v>1509</v>
      </c>
      <c r="M717" t="s">
        <v>1430</v>
      </c>
      <c r="N717" s="59">
        <v>220000</v>
      </c>
      <c r="O717" s="59">
        <v>7138069125</v>
      </c>
      <c r="P717" s="59">
        <v>16505923.538461534</v>
      </c>
      <c r="Q717" s="59">
        <v>107071036.875</v>
      </c>
      <c r="R717" s="59">
        <v>88491942.999999985</v>
      </c>
      <c r="S717" s="59">
        <v>6926000221.5865393</v>
      </c>
      <c r="T717" s="41"/>
      <c r="U717" s="41"/>
      <c r="V717" s="41"/>
      <c r="W717" s="41"/>
      <c r="X717" s="41"/>
      <c r="Y717" s="41"/>
      <c r="Z717" s="41"/>
      <c r="AA717" s="41"/>
      <c r="AB717" s="41"/>
      <c r="AC717" s="41"/>
      <c r="AD717" s="41"/>
      <c r="AE717" s="59">
        <v>274567.92552639061</v>
      </c>
      <c r="AF717" s="59">
        <v>282975</v>
      </c>
      <c r="AG717" s="59" t="s">
        <v>6</v>
      </c>
      <c r="AH717" s="59" t="s">
        <v>1166</v>
      </c>
    </row>
    <row r="718" spans="1:34" x14ac:dyDescent="0.35">
      <c r="A718" s="58">
        <v>2024</v>
      </c>
      <c r="B718" s="58">
        <v>12</v>
      </c>
      <c r="C718">
        <v>12</v>
      </c>
      <c r="D718" s="58" t="s">
        <v>587</v>
      </c>
      <c r="E718" t="s">
        <v>6</v>
      </c>
      <c r="F718" s="58" t="s">
        <v>171</v>
      </c>
      <c r="G718" t="s">
        <v>731</v>
      </c>
      <c r="H718" s="58" t="s">
        <v>4</v>
      </c>
      <c r="I718" t="s">
        <v>4</v>
      </c>
      <c r="J718" s="58" t="s">
        <v>4</v>
      </c>
      <c r="K718" t="s">
        <v>1476</v>
      </c>
      <c r="L718" t="s">
        <v>1477</v>
      </c>
      <c r="M718" t="s">
        <v>1430</v>
      </c>
      <c r="N718" s="59">
        <v>880000</v>
      </c>
      <c r="O718" s="59">
        <v>28457926200</v>
      </c>
      <c r="P718" s="59">
        <v>66023694.153846182</v>
      </c>
      <c r="Q718" s="59">
        <v>426868892.99999994</v>
      </c>
      <c r="R718" s="59">
        <v>329774668</v>
      </c>
      <c r="S718" s="59">
        <v>27635258944.846161</v>
      </c>
      <c r="T718" s="41"/>
      <c r="U718" s="41"/>
      <c r="V718" s="41"/>
      <c r="W718" s="41"/>
      <c r="X718" s="41"/>
      <c r="Y718" s="41"/>
      <c r="Z718" s="41"/>
      <c r="AA718" s="41"/>
      <c r="AB718" s="41"/>
      <c r="AC718" s="41"/>
      <c r="AD718" s="41"/>
      <c r="AE718" s="59">
        <v>1095333.4029997394</v>
      </c>
      <c r="AF718" s="59">
        <v>1127940</v>
      </c>
      <c r="AG718" s="59" t="s">
        <v>6</v>
      </c>
      <c r="AH718" s="59" t="s">
        <v>1166</v>
      </c>
    </row>
    <row r="719" spans="1:34" x14ac:dyDescent="0.35">
      <c r="A719" s="58">
        <v>2024</v>
      </c>
      <c r="B719" s="58">
        <v>12</v>
      </c>
      <c r="C719">
        <v>12</v>
      </c>
      <c r="D719" s="58" t="s">
        <v>1529</v>
      </c>
      <c r="E719" t="s">
        <v>1243</v>
      </c>
      <c r="F719" s="58" t="s">
        <v>182</v>
      </c>
      <c r="G719" t="s">
        <v>905</v>
      </c>
      <c r="H719" s="58" t="s">
        <v>74</v>
      </c>
      <c r="I719" t="s">
        <v>74</v>
      </c>
      <c r="J719" s="58" t="s">
        <v>74</v>
      </c>
      <c r="K719" t="s">
        <v>1476</v>
      </c>
      <c r="L719" t="s">
        <v>1477</v>
      </c>
      <c r="M719" t="s">
        <v>1430</v>
      </c>
      <c r="N719" s="59">
        <v>220000</v>
      </c>
      <c r="O719" s="59">
        <v>5056128000.000001</v>
      </c>
      <c r="P719" s="59">
        <v>16505923.538461534</v>
      </c>
      <c r="Q719" s="59">
        <v>55440000</v>
      </c>
      <c r="R719" s="59">
        <v>877824110</v>
      </c>
      <c r="S719" s="59">
        <v>4106357966.4615393</v>
      </c>
      <c r="T719" s="41"/>
      <c r="U719" s="41"/>
      <c r="V719" s="41"/>
      <c r="W719" s="41"/>
      <c r="X719" s="41"/>
      <c r="Y719" s="41"/>
      <c r="Z719" s="41"/>
      <c r="AA719" s="41"/>
      <c r="AB719" s="41"/>
      <c r="AC719" s="41"/>
      <c r="AD719" s="41"/>
      <c r="AE719" s="59">
        <v>162950.71295482299</v>
      </c>
      <c r="AF719" s="59">
        <v>200640.00000000003</v>
      </c>
      <c r="AG719" s="59" t="s">
        <v>1243</v>
      </c>
      <c r="AH719" s="59" t="s">
        <v>1242</v>
      </c>
    </row>
    <row r="720" spans="1:34" x14ac:dyDescent="0.35">
      <c r="A720" s="58">
        <v>2024</v>
      </c>
      <c r="B720" s="58">
        <v>12</v>
      </c>
      <c r="C720">
        <v>12</v>
      </c>
      <c r="D720" s="58" t="s">
        <v>637</v>
      </c>
      <c r="E720" t="s">
        <v>64</v>
      </c>
      <c r="F720" s="58" t="s">
        <v>216</v>
      </c>
      <c r="G720" t="s">
        <v>935</v>
      </c>
      <c r="H720" s="58" t="s">
        <v>21</v>
      </c>
      <c r="I720" t="s">
        <v>21</v>
      </c>
      <c r="J720" s="58" t="s">
        <v>21</v>
      </c>
      <c r="K720" t="s">
        <v>1476</v>
      </c>
      <c r="L720" t="s">
        <v>301</v>
      </c>
      <c r="M720" t="s">
        <v>1430</v>
      </c>
      <c r="N720" s="59">
        <v>14000</v>
      </c>
      <c r="O720" s="59">
        <v>389158000.00000006</v>
      </c>
      <c r="P720" s="59">
        <v>0</v>
      </c>
      <c r="Q720" s="59">
        <v>0</v>
      </c>
      <c r="R720" s="59">
        <v>7725662.583333334</v>
      </c>
      <c r="S720" s="59">
        <v>381432337.41666675</v>
      </c>
      <c r="T720" s="41"/>
      <c r="U720" s="41"/>
      <c r="V720" s="41"/>
      <c r="W720" s="41"/>
      <c r="X720" s="41"/>
      <c r="Y720" s="41"/>
      <c r="Z720" s="41"/>
      <c r="AA720" s="41"/>
      <c r="AB720" s="41"/>
      <c r="AC720" s="41"/>
      <c r="AD720" s="41"/>
      <c r="AE720" s="59">
        <v>15094.275323176365</v>
      </c>
      <c r="AF720" s="59">
        <v>15400.000000000002</v>
      </c>
      <c r="AG720" s="59" t="s">
        <v>64</v>
      </c>
      <c r="AH720" s="59" t="s">
        <v>1358</v>
      </c>
    </row>
    <row r="721" spans="1:34" x14ac:dyDescent="0.35">
      <c r="A721" s="58">
        <v>2024</v>
      </c>
      <c r="B721" s="58">
        <v>12</v>
      </c>
      <c r="C721">
        <v>12</v>
      </c>
      <c r="D721" s="58" t="s">
        <v>637</v>
      </c>
      <c r="E721" t="s">
        <v>64</v>
      </c>
      <c r="F721" s="58" t="s">
        <v>217</v>
      </c>
      <c r="G721" t="s">
        <v>938</v>
      </c>
      <c r="H721" s="58" t="s">
        <v>21</v>
      </c>
      <c r="I721" t="s">
        <v>21</v>
      </c>
      <c r="J721" s="58" t="s">
        <v>21</v>
      </c>
      <c r="K721" t="s">
        <v>1476</v>
      </c>
      <c r="L721" t="s">
        <v>301</v>
      </c>
      <c r="M721" t="s">
        <v>1430</v>
      </c>
      <c r="N721" s="59">
        <v>10000</v>
      </c>
      <c r="O721" s="59">
        <v>277970000.00000006</v>
      </c>
      <c r="P721" s="59">
        <v>0</v>
      </c>
      <c r="Q721" s="59">
        <v>0</v>
      </c>
      <c r="R721" s="59">
        <v>5518330.416666666</v>
      </c>
      <c r="S721" s="59">
        <v>272451669.58333337</v>
      </c>
      <c r="T721" s="41"/>
      <c r="U721" s="41"/>
      <c r="V721" s="41"/>
      <c r="W721" s="41"/>
      <c r="X721" s="41"/>
      <c r="Y721" s="41"/>
      <c r="Z721" s="41"/>
      <c r="AA721" s="41"/>
      <c r="AB721" s="41"/>
      <c r="AC721" s="41"/>
      <c r="AD721" s="41"/>
      <c r="AE721" s="59">
        <v>10781.62523084026</v>
      </c>
      <c r="AF721" s="59">
        <v>11000.000000000002</v>
      </c>
      <c r="AG721" s="59" t="s">
        <v>64</v>
      </c>
      <c r="AH721" s="59" t="s">
        <v>1359</v>
      </c>
    </row>
    <row r="722" spans="1:34" x14ac:dyDescent="0.35">
      <c r="A722" s="58">
        <v>2024</v>
      </c>
      <c r="B722" s="58">
        <v>12</v>
      </c>
      <c r="C722">
        <v>12</v>
      </c>
      <c r="D722" s="58" t="s">
        <v>604</v>
      </c>
      <c r="E722" t="s">
        <v>145</v>
      </c>
      <c r="F722" s="58" t="s">
        <v>1599</v>
      </c>
      <c r="G722" t="s">
        <v>1600</v>
      </c>
      <c r="H722" s="58" t="s">
        <v>1012</v>
      </c>
      <c r="I722" t="s">
        <v>1012</v>
      </c>
      <c r="J722" s="58" t="s">
        <v>1393</v>
      </c>
      <c r="K722" t="s">
        <v>1476</v>
      </c>
      <c r="L722" t="s">
        <v>1477</v>
      </c>
      <c r="M722" t="s">
        <v>1601</v>
      </c>
      <c r="N722" s="59">
        <v>0</v>
      </c>
      <c r="O722" s="59">
        <v>-3772500000</v>
      </c>
      <c r="P722" s="59">
        <v>0</v>
      </c>
      <c r="Q722" s="59">
        <v>0</v>
      </c>
      <c r="R722" s="59">
        <v>0</v>
      </c>
      <c r="S722" s="59">
        <v>-3772500000</v>
      </c>
      <c r="T722" s="41"/>
      <c r="U722" s="41"/>
      <c r="V722" s="41"/>
      <c r="W722" s="41"/>
      <c r="X722" s="41"/>
      <c r="Y722" s="41"/>
      <c r="Z722" s="41"/>
      <c r="AA722" s="41"/>
      <c r="AB722" s="41"/>
      <c r="AC722" s="41"/>
      <c r="AD722" s="41"/>
      <c r="AE722" s="59">
        <v>-149552.12335467082</v>
      </c>
      <c r="AF722" s="59">
        <v>-149552.12335467082</v>
      </c>
      <c r="AG722" s="59" t="s">
        <v>145</v>
      </c>
      <c r="AH722" s="59" t="s">
        <v>1394</v>
      </c>
    </row>
    <row r="723" spans="1:34" x14ac:dyDescent="0.35">
      <c r="A723" s="58">
        <v>2024</v>
      </c>
      <c r="B723" s="58">
        <v>12</v>
      </c>
      <c r="C723">
        <v>12</v>
      </c>
      <c r="D723" s="58" t="s">
        <v>1602</v>
      </c>
      <c r="E723" t="s">
        <v>1323</v>
      </c>
      <c r="F723" s="58" t="s">
        <v>1603</v>
      </c>
      <c r="G723" t="s">
        <v>1604</v>
      </c>
      <c r="H723" s="58" t="s">
        <v>1012</v>
      </c>
      <c r="I723" t="s">
        <v>1012</v>
      </c>
      <c r="J723" s="58" t="s">
        <v>1012</v>
      </c>
      <c r="K723" t="s">
        <v>1429</v>
      </c>
      <c r="L723" t="s">
        <v>20</v>
      </c>
      <c r="M723" t="s">
        <v>1430</v>
      </c>
      <c r="N723" s="59">
        <v>0</v>
      </c>
      <c r="O723" s="59">
        <v>0</v>
      </c>
      <c r="P723" s="59">
        <v>0</v>
      </c>
      <c r="Q723" s="59">
        <v>0</v>
      </c>
      <c r="R723" s="59">
        <v>0</v>
      </c>
      <c r="S723" s="59">
        <v>0</v>
      </c>
      <c r="T723" s="41"/>
      <c r="U723" s="41"/>
      <c r="V723" s="41"/>
      <c r="W723" s="41"/>
      <c r="X723" s="41"/>
      <c r="Y723" s="41"/>
      <c r="Z723" s="41"/>
      <c r="AA723" s="41"/>
      <c r="AB723" s="41"/>
      <c r="AC723" s="41"/>
      <c r="AD723" s="41"/>
      <c r="AE723" s="59">
        <v>0</v>
      </c>
      <c r="AF723" s="59">
        <v>0</v>
      </c>
      <c r="AG723" s="59" t="s">
        <v>1323</v>
      </c>
      <c r="AH723" s="59" t="s">
        <v>1321</v>
      </c>
    </row>
    <row r="724" spans="1:34" x14ac:dyDescent="0.35">
      <c r="A724" s="58">
        <v>2024</v>
      </c>
      <c r="B724" s="58">
        <v>12</v>
      </c>
      <c r="C724">
        <v>12</v>
      </c>
      <c r="D724" s="58" t="s">
        <v>1485</v>
      </c>
      <c r="E724" t="s">
        <v>1318</v>
      </c>
      <c r="F724" s="58" t="s">
        <v>1486</v>
      </c>
      <c r="G724" t="s">
        <v>1487</v>
      </c>
      <c r="H724" s="58" t="s">
        <v>1012</v>
      </c>
      <c r="I724" t="s">
        <v>1012</v>
      </c>
      <c r="J724" s="58" t="s">
        <v>1012</v>
      </c>
      <c r="K724" t="s">
        <v>1429</v>
      </c>
      <c r="L724" t="s">
        <v>20</v>
      </c>
      <c r="M724" t="s">
        <v>1430</v>
      </c>
      <c r="N724" s="59">
        <v>0</v>
      </c>
      <c r="O724" s="59">
        <v>0</v>
      </c>
      <c r="P724" s="59">
        <v>0</v>
      </c>
      <c r="Q724" s="59">
        <v>0</v>
      </c>
      <c r="R724" s="59">
        <v>0</v>
      </c>
      <c r="S724" s="59">
        <v>0</v>
      </c>
      <c r="T724" s="41"/>
      <c r="U724" s="41"/>
      <c r="V724" s="41"/>
      <c r="W724" s="41"/>
      <c r="X724" s="41"/>
      <c r="Y724" s="41"/>
      <c r="Z724" s="41"/>
      <c r="AA724" s="41"/>
      <c r="AB724" s="41"/>
      <c r="AC724" s="41"/>
      <c r="AD724" s="41"/>
      <c r="AE724" s="59">
        <v>0</v>
      </c>
      <c r="AF724" s="59">
        <v>0</v>
      </c>
      <c r="AG724" s="59" t="s">
        <v>1318</v>
      </c>
      <c r="AH724" s="59" t="s">
        <v>1317</v>
      </c>
    </row>
    <row r="725" spans="1:34" x14ac:dyDescent="0.35">
      <c r="A725" s="58">
        <v>2024</v>
      </c>
      <c r="B725" s="58">
        <v>12</v>
      </c>
      <c r="C725">
        <v>12</v>
      </c>
      <c r="D725" s="58" t="s">
        <v>1485</v>
      </c>
      <c r="E725" t="s">
        <v>1318</v>
      </c>
      <c r="F725" s="58" t="s">
        <v>1434</v>
      </c>
      <c r="G725" t="s">
        <v>1435</v>
      </c>
      <c r="H725" s="58" t="s">
        <v>1012</v>
      </c>
      <c r="I725" t="s">
        <v>1012</v>
      </c>
      <c r="J725" s="58" t="s">
        <v>1012</v>
      </c>
      <c r="K725" t="s">
        <v>1429</v>
      </c>
      <c r="L725" t="s">
        <v>20</v>
      </c>
      <c r="M725" t="s">
        <v>1430</v>
      </c>
      <c r="N725" s="59">
        <v>0</v>
      </c>
      <c r="O725" s="59">
        <v>0</v>
      </c>
      <c r="P725" s="59">
        <v>0</v>
      </c>
      <c r="Q725" s="59">
        <v>0</v>
      </c>
      <c r="R725" s="59">
        <v>0</v>
      </c>
      <c r="S725" s="59">
        <v>0</v>
      </c>
      <c r="T725" s="41"/>
      <c r="U725" s="41"/>
      <c r="V725" s="41"/>
      <c r="W725" s="41"/>
      <c r="X725" s="41"/>
      <c r="Y725" s="41"/>
      <c r="Z725" s="41"/>
      <c r="AA725" s="41"/>
      <c r="AB725" s="41"/>
      <c r="AC725" s="41"/>
      <c r="AD725" s="41"/>
      <c r="AE725" s="59">
        <v>0</v>
      </c>
      <c r="AF725" s="59">
        <v>0</v>
      </c>
      <c r="AG725" s="59" t="s">
        <v>1318</v>
      </c>
      <c r="AH725" s="59" t="s">
        <v>1319</v>
      </c>
    </row>
    <row r="726" spans="1:34" x14ac:dyDescent="0.35">
      <c r="A726" s="58">
        <v>2024</v>
      </c>
      <c r="B726" s="58">
        <v>12</v>
      </c>
      <c r="C726">
        <v>12</v>
      </c>
      <c r="D726" s="58" t="s">
        <v>1605</v>
      </c>
      <c r="E726" t="s">
        <v>1322</v>
      </c>
      <c r="F726" s="58" t="s">
        <v>1603</v>
      </c>
      <c r="G726" t="s">
        <v>1604</v>
      </c>
      <c r="H726" s="58" t="s">
        <v>1012</v>
      </c>
      <c r="I726" t="s">
        <v>1012</v>
      </c>
      <c r="J726" s="58" t="s">
        <v>1012</v>
      </c>
      <c r="K726" t="s">
        <v>1429</v>
      </c>
      <c r="L726" t="s">
        <v>20</v>
      </c>
      <c r="M726" t="s">
        <v>1430</v>
      </c>
      <c r="N726" s="59">
        <v>0</v>
      </c>
      <c r="O726" s="59">
        <v>0</v>
      </c>
      <c r="P726" s="59">
        <v>0</v>
      </c>
      <c r="Q726" s="59">
        <v>0</v>
      </c>
      <c r="R726" s="59">
        <v>0</v>
      </c>
      <c r="S726" s="59">
        <v>0</v>
      </c>
      <c r="T726" s="41"/>
      <c r="U726" s="41"/>
      <c r="V726" s="41"/>
      <c r="W726" s="41"/>
      <c r="X726" s="41"/>
      <c r="Y726" s="41"/>
      <c r="Z726" s="41"/>
      <c r="AA726" s="41"/>
      <c r="AB726" s="41"/>
      <c r="AC726" s="41"/>
      <c r="AD726" s="41"/>
      <c r="AE726" s="59">
        <v>0</v>
      </c>
      <c r="AF726" s="59">
        <v>0</v>
      </c>
      <c r="AG726" s="59" t="s">
        <v>1322</v>
      </c>
      <c r="AH726" s="59" t="s">
        <v>1321</v>
      </c>
    </row>
    <row r="727" spans="1:34" x14ac:dyDescent="0.35">
      <c r="A727" s="58">
        <v>2024</v>
      </c>
      <c r="B727" s="58">
        <v>12</v>
      </c>
      <c r="C727">
        <v>12</v>
      </c>
      <c r="D727" s="58" t="s">
        <v>1606</v>
      </c>
      <c r="E727" t="s">
        <v>1266</v>
      </c>
      <c r="F727" s="58" t="s">
        <v>1607</v>
      </c>
      <c r="G727" t="s">
        <v>1608</v>
      </c>
      <c r="H727" s="58" t="s">
        <v>1012</v>
      </c>
      <c r="I727" t="s">
        <v>1012</v>
      </c>
      <c r="J727" s="58" t="s">
        <v>1012</v>
      </c>
      <c r="K727" t="s">
        <v>1429</v>
      </c>
      <c r="L727" t="s">
        <v>20</v>
      </c>
      <c r="M727" t="s">
        <v>1430</v>
      </c>
      <c r="N727" s="59">
        <v>0</v>
      </c>
      <c r="O727" s="59">
        <v>0</v>
      </c>
      <c r="P727" s="59">
        <v>0</v>
      </c>
      <c r="Q727" s="59">
        <v>0</v>
      </c>
      <c r="R727" s="59">
        <v>0</v>
      </c>
      <c r="S727" s="59">
        <v>0</v>
      </c>
      <c r="T727" s="41"/>
      <c r="U727" s="41"/>
      <c r="V727" s="41"/>
      <c r="W727" s="41"/>
      <c r="X727" s="41"/>
      <c r="Y727" s="41"/>
      <c r="Z727" s="41"/>
      <c r="AA727" s="41"/>
      <c r="AB727" s="41"/>
      <c r="AC727" s="41"/>
      <c r="AD727" s="41"/>
      <c r="AE727" s="59">
        <v>0</v>
      </c>
      <c r="AF727" s="59">
        <v>0</v>
      </c>
      <c r="AG727" s="59" t="s">
        <v>1266</v>
      </c>
      <c r="AH727" s="59" t="s">
        <v>1265</v>
      </c>
    </row>
    <row r="728" spans="1:34" x14ac:dyDescent="0.35">
      <c r="A728" s="58">
        <v>2024</v>
      </c>
      <c r="B728" s="58">
        <v>12</v>
      </c>
      <c r="C728">
        <v>12</v>
      </c>
      <c r="D728" s="58" t="s">
        <v>1491</v>
      </c>
      <c r="E728" t="s">
        <v>1264</v>
      </c>
      <c r="F728" s="58" t="s">
        <v>1152</v>
      </c>
      <c r="G728" t="s">
        <v>1153</v>
      </c>
      <c r="H728" s="58" t="s">
        <v>1012</v>
      </c>
      <c r="I728" t="s">
        <v>1012</v>
      </c>
      <c r="J728" s="58" t="s">
        <v>1399</v>
      </c>
      <c r="K728" t="s">
        <v>1429</v>
      </c>
      <c r="L728" t="s">
        <v>20</v>
      </c>
      <c r="M728" t="s">
        <v>1430</v>
      </c>
      <c r="N728" s="59">
        <v>0</v>
      </c>
      <c r="O728" s="59">
        <v>0</v>
      </c>
      <c r="P728" s="59">
        <v>0</v>
      </c>
      <c r="Q728" s="59">
        <v>32170.125</v>
      </c>
      <c r="R728" s="59">
        <v>4315850</v>
      </c>
      <c r="S728" s="59">
        <v>-4348020.125</v>
      </c>
      <c r="T728" s="41"/>
      <c r="U728" s="41"/>
      <c r="V728" s="41"/>
      <c r="W728" s="41"/>
      <c r="X728" s="41"/>
      <c r="Y728" s="41"/>
      <c r="Z728" s="41"/>
      <c r="AA728" s="41"/>
      <c r="AB728" s="41"/>
      <c r="AC728" s="41"/>
      <c r="AD728" s="41"/>
      <c r="AE728" s="59">
        <v>-172.36730075085259</v>
      </c>
      <c r="AF728" s="59">
        <v>0</v>
      </c>
      <c r="AG728" s="59" t="s">
        <v>1264</v>
      </c>
      <c r="AH728" s="59" t="s">
        <v>1400</v>
      </c>
    </row>
    <row r="729" spans="1:34" x14ac:dyDescent="0.35">
      <c r="A729" s="58">
        <v>2024</v>
      </c>
      <c r="B729" s="58">
        <v>12</v>
      </c>
      <c r="C729">
        <v>12</v>
      </c>
      <c r="D729" s="58" t="s">
        <v>1491</v>
      </c>
      <c r="E729" t="s">
        <v>1264</v>
      </c>
      <c r="F729" s="58" t="s">
        <v>1489</v>
      </c>
      <c r="G729" t="s">
        <v>1490</v>
      </c>
      <c r="H729" s="58" t="s">
        <v>1012</v>
      </c>
      <c r="I729" t="s">
        <v>1012</v>
      </c>
      <c r="J729" s="58" t="s">
        <v>1012</v>
      </c>
      <c r="K729" t="s">
        <v>1429</v>
      </c>
      <c r="L729" t="s">
        <v>20</v>
      </c>
      <c r="M729" t="s">
        <v>1430</v>
      </c>
      <c r="N729" s="59">
        <v>0</v>
      </c>
      <c r="O729" s="59">
        <v>0</v>
      </c>
      <c r="P729" s="59">
        <v>0</v>
      </c>
      <c r="Q729" s="59">
        <v>0</v>
      </c>
      <c r="R729" s="59">
        <v>0</v>
      </c>
      <c r="S729" s="59">
        <v>0</v>
      </c>
      <c r="T729" s="41"/>
      <c r="U729" s="41"/>
      <c r="V729" s="41"/>
      <c r="W729" s="41"/>
      <c r="X729" s="41"/>
      <c r="Y729" s="41"/>
      <c r="Z729" s="41"/>
      <c r="AA729" s="41"/>
      <c r="AB729" s="41"/>
      <c r="AC729" s="41"/>
      <c r="AD729" s="41"/>
      <c r="AE729" s="59">
        <v>0</v>
      </c>
      <c r="AF729" s="59">
        <v>0</v>
      </c>
      <c r="AG729" s="59" t="s">
        <v>1264</v>
      </c>
      <c r="AH729" s="59" t="s">
        <v>1274</v>
      </c>
    </row>
    <row r="730" spans="1:34" x14ac:dyDescent="0.35">
      <c r="A730" s="58">
        <v>2024</v>
      </c>
      <c r="B730" s="58">
        <v>12</v>
      </c>
      <c r="C730">
        <v>12</v>
      </c>
      <c r="D730" s="58" t="s">
        <v>1491</v>
      </c>
      <c r="E730" t="s">
        <v>1264</v>
      </c>
      <c r="F730" s="58" t="s">
        <v>1468</v>
      </c>
      <c r="G730" t="s">
        <v>1012</v>
      </c>
      <c r="H730" s="58" t="s">
        <v>1012</v>
      </c>
      <c r="I730" t="s">
        <v>1012</v>
      </c>
      <c r="J730" s="58" t="s">
        <v>1012</v>
      </c>
      <c r="K730" t="s">
        <v>1429</v>
      </c>
      <c r="L730" t="s">
        <v>20</v>
      </c>
      <c r="M730" t="s">
        <v>1430</v>
      </c>
      <c r="N730" s="59">
        <v>0</v>
      </c>
      <c r="O730" s="59">
        <v>0</v>
      </c>
      <c r="P730" s="59">
        <v>0</v>
      </c>
      <c r="Q730" s="59">
        <v>0</v>
      </c>
      <c r="R730" s="59">
        <v>0</v>
      </c>
      <c r="S730" s="59">
        <v>0</v>
      </c>
      <c r="T730" s="41"/>
      <c r="U730" s="41"/>
      <c r="V730" s="41"/>
      <c r="W730" s="41"/>
      <c r="X730" s="41"/>
      <c r="Y730" s="41"/>
      <c r="Z730" s="41"/>
      <c r="AA730" s="41"/>
      <c r="AB730" s="41"/>
      <c r="AC730" s="41"/>
      <c r="AD730" s="41"/>
      <c r="AE730" s="59">
        <v>0</v>
      </c>
      <c r="AF730" s="59">
        <v>0</v>
      </c>
      <c r="AG730" s="59" t="s">
        <v>1264</v>
      </c>
      <c r="AH730" s="59" t="s">
        <v>1284</v>
      </c>
    </row>
    <row r="731" spans="1:34" x14ac:dyDescent="0.35">
      <c r="A731" s="58">
        <v>2024</v>
      </c>
      <c r="B731" s="58">
        <v>12</v>
      </c>
      <c r="C731">
        <v>12</v>
      </c>
      <c r="D731" s="58" t="s">
        <v>1491</v>
      </c>
      <c r="E731" t="s">
        <v>1264</v>
      </c>
      <c r="F731" s="58" t="s">
        <v>1496</v>
      </c>
      <c r="G731" t="s">
        <v>1497</v>
      </c>
      <c r="H731" s="58" t="s">
        <v>1012</v>
      </c>
      <c r="I731" t="s">
        <v>1012</v>
      </c>
      <c r="J731" s="58" t="s">
        <v>1012</v>
      </c>
      <c r="K731" t="s">
        <v>1429</v>
      </c>
      <c r="L731" t="s">
        <v>20</v>
      </c>
      <c r="M731" t="s">
        <v>1430</v>
      </c>
      <c r="N731" s="59">
        <v>0</v>
      </c>
      <c r="O731" s="59">
        <v>0</v>
      </c>
      <c r="P731" s="59">
        <v>0</v>
      </c>
      <c r="Q731" s="59">
        <v>0</v>
      </c>
      <c r="R731" s="59">
        <v>0</v>
      </c>
      <c r="S731" s="59">
        <v>0</v>
      </c>
      <c r="T731" s="41"/>
      <c r="U731" s="41"/>
      <c r="V731" s="41"/>
      <c r="W731" s="41"/>
      <c r="X731" s="41"/>
      <c r="Y731" s="41"/>
      <c r="Z731" s="41"/>
      <c r="AA731" s="41"/>
      <c r="AB731" s="41"/>
      <c r="AC731" s="41"/>
      <c r="AD731" s="41"/>
      <c r="AE731" s="59">
        <v>0</v>
      </c>
      <c r="AF731" s="59">
        <v>0</v>
      </c>
      <c r="AG731" s="59" t="s">
        <v>1264</v>
      </c>
      <c r="AH731" s="59" t="s">
        <v>1329</v>
      </c>
    </row>
    <row r="732" spans="1:34" x14ac:dyDescent="0.35">
      <c r="A732" s="58">
        <v>2024</v>
      </c>
      <c r="B732" s="58">
        <v>12</v>
      </c>
      <c r="C732">
        <v>13</v>
      </c>
      <c r="D732" s="58" t="s">
        <v>587</v>
      </c>
      <c r="E732" t="s">
        <v>6</v>
      </c>
      <c r="F732" s="58" t="s">
        <v>171</v>
      </c>
      <c r="G732" t="s">
        <v>731</v>
      </c>
      <c r="H732" s="58" t="s">
        <v>4</v>
      </c>
      <c r="I732" t="s">
        <v>4</v>
      </c>
      <c r="J732" s="58" t="s">
        <v>4</v>
      </c>
      <c r="K732" t="s">
        <v>1476</v>
      </c>
      <c r="L732" t="s">
        <v>1477</v>
      </c>
      <c r="M732" t="s">
        <v>1430</v>
      </c>
      <c r="N732" s="59">
        <v>1188000</v>
      </c>
      <c r="O732" s="59">
        <v>38606672610</v>
      </c>
      <c r="P732" s="59">
        <v>89131987.107692257</v>
      </c>
      <c r="Q732" s="59">
        <v>579100089.1499995</v>
      </c>
      <c r="R732" s="59">
        <v>446925600</v>
      </c>
      <c r="S732" s="59">
        <v>37491514933.74234</v>
      </c>
      <c r="T732" s="41"/>
      <c r="U732" s="41"/>
      <c r="V732" s="41"/>
      <c r="W732" s="41"/>
      <c r="X732" s="41"/>
      <c r="Y732" s="41"/>
      <c r="Z732" s="41"/>
      <c r="AA732" s="41"/>
      <c r="AB732" s="41"/>
      <c r="AC732" s="41"/>
      <c r="AD732" s="41"/>
      <c r="AE732" s="59">
        <v>1488349.1438563829</v>
      </c>
      <c r="AF732" s="59">
        <v>1532619</v>
      </c>
      <c r="AG732" s="59" t="s">
        <v>6</v>
      </c>
      <c r="AH732" s="59" t="s">
        <v>1166</v>
      </c>
    </row>
    <row r="733" spans="1:34" x14ac:dyDescent="0.35">
      <c r="A733" s="58">
        <v>2024</v>
      </c>
      <c r="B733" s="58">
        <v>12</v>
      </c>
      <c r="C733">
        <v>14</v>
      </c>
      <c r="D733" s="58" t="s">
        <v>587</v>
      </c>
      <c r="E733" t="s">
        <v>6</v>
      </c>
      <c r="F733" s="58" t="s">
        <v>171</v>
      </c>
      <c r="G733" t="s">
        <v>731</v>
      </c>
      <c r="H733" s="58" t="s">
        <v>4</v>
      </c>
      <c r="I733" t="s">
        <v>4</v>
      </c>
      <c r="J733" s="58" t="s">
        <v>4</v>
      </c>
      <c r="K733" t="s">
        <v>1476</v>
      </c>
      <c r="L733" t="s">
        <v>1477</v>
      </c>
      <c r="M733" t="s">
        <v>1430</v>
      </c>
      <c r="N733" s="59">
        <v>-1188000</v>
      </c>
      <c r="O733" s="59">
        <v>-38606672610</v>
      </c>
      <c r="P733" s="59">
        <v>-89131987.107692257</v>
      </c>
      <c r="Q733" s="59">
        <v>-579100089.1499995</v>
      </c>
      <c r="R733" s="59">
        <v>-446925600</v>
      </c>
      <c r="S733" s="59">
        <v>-37491514933.74234</v>
      </c>
      <c r="T733" s="41"/>
      <c r="U733" s="41"/>
      <c r="V733" s="41"/>
      <c r="W733" s="41"/>
      <c r="X733" s="41"/>
      <c r="Y733" s="41"/>
      <c r="Z733" s="41"/>
      <c r="AA733" s="41"/>
      <c r="AB733" s="41"/>
      <c r="AC733" s="41"/>
      <c r="AD733" s="41"/>
      <c r="AE733" s="59">
        <v>-1488349.1438563829</v>
      </c>
      <c r="AF733" s="59">
        <v>-1532619</v>
      </c>
      <c r="AG733" s="59" t="s">
        <v>6</v>
      </c>
      <c r="AH733" s="59" t="s">
        <v>1166</v>
      </c>
    </row>
    <row r="734" spans="1:34" x14ac:dyDescent="0.35">
      <c r="A734" s="58">
        <v>2024</v>
      </c>
      <c r="B734" s="58">
        <v>12</v>
      </c>
      <c r="C734">
        <v>15</v>
      </c>
      <c r="D734" s="58" t="s">
        <v>587</v>
      </c>
      <c r="E734" t="s">
        <v>6</v>
      </c>
      <c r="F734" s="58" t="s">
        <v>1152</v>
      </c>
      <c r="G734" t="s">
        <v>1153</v>
      </c>
      <c r="H734" s="58" t="s">
        <v>1012</v>
      </c>
      <c r="I734" t="s">
        <v>1012</v>
      </c>
      <c r="J734" s="58" t="s">
        <v>1399</v>
      </c>
      <c r="K734" t="s">
        <v>1429</v>
      </c>
      <c r="L734" t="s">
        <v>20</v>
      </c>
      <c r="M734" t="s">
        <v>1430</v>
      </c>
      <c r="N734" s="59">
        <v>0</v>
      </c>
      <c r="O734" s="59">
        <v>0</v>
      </c>
      <c r="P734" s="59">
        <v>0</v>
      </c>
      <c r="Q734" s="59">
        <v>561103576</v>
      </c>
      <c r="R734" s="59">
        <v>0</v>
      </c>
      <c r="S734" s="59">
        <v>-561103576</v>
      </c>
      <c r="T734" s="41"/>
      <c r="U734" s="41"/>
      <c r="V734" s="41"/>
      <c r="W734" s="41"/>
      <c r="X734" s="41"/>
      <c r="Y734" s="41"/>
      <c r="Z734" s="41"/>
      <c r="AA734" s="41"/>
      <c r="AB734" s="41"/>
      <c r="AC734" s="41"/>
      <c r="AD734" s="41"/>
      <c r="AE734" s="59">
        <v>-22243.666325433773</v>
      </c>
      <c r="AF734" s="59">
        <v>0</v>
      </c>
      <c r="AG734" s="59" t="s">
        <v>6</v>
      </c>
      <c r="AH734" s="59" t="s">
        <v>1400</v>
      </c>
    </row>
    <row r="735" spans="1:34" x14ac:dyDescent="0.35">
      <c r="A735" s="58">
        <v>2024</v>
      </c>
      <c r="B735" s="58">
        <v>12</v>
      </c>
      <c r="C735">
        <v>16</v>
      </c>
      <c r="D735" s="58" t="s">
        <v>587</v>
      </c>
      <c r="E735" t="s">
        <v>6</v>
      </c>
      <c r="F735" s="58" t="s">
        <v>1498</v>
      </c>
      <c r="G735" t="s">
        <v>1499</v>
      </c>
      <c r="H735" s="58" t="s">
        <v>1012</v>
      </c>
      <c r="I735" t="s">
        <v>1012</v>
      </c>
      <c r="J735" s="58" t="s">
        <v>1012</v>
      </c>
      <c r="K735" t="s">
        <v>1476</v>
      </c>
      <c r="L735" t="s">
        <v>1477</v>
      </c>
      <c r="M735" t="s">
        <v>1430</v>
      </c>
      <c r="N735" s="59">
        <v>-88000</v>
      </c>
      <c r="O735" s="59">
        <v>-2852560259.9999995</v>
      </c>
      <c r="P735" s="59">
        <v>-6602369.4153846148</v>
      </c>
      <c r="Q735" s="59">
        <v>-42788403.899999991</v>
      </c>
      <c r="R735" s="59">
        <v>-34296120</v>
      </c>
      <c r="S735" s="59">
        <v>-2768873366.6846147</v>
      </c>
      <c r="T735" s="41"/>
      <c r="U735" s="41"/>
      <c r="V735" s="41"/>
      <c r="W735" s="41"/>
      <c r="X735" s="41"/>
      <c r="Y735" s="41"/>
      <c r="Z735" s="41"/>
      <c r="AA735" s="41"/>
      <c r="AB735" s="41"/>
      <c r="AC735" s="41"/>
      <c r="AD735" s="41"/>
      <c r="AE735" s="59">
        <v>-109484.90971469413</v>
      </c>
      <c r="AF735" s="59">
        <v>-112793.99999999999</v>
      </c>
      <c r="AG735" s="59" t="s">
        <v>6</v>
      </c>
      <c r="AH735" s="59" t="s">
        <v>1268</v>
      </c>
    </row>
    <row r="736" spans="1:34" x14ac:dyDescent="0.35">
      <c r="A736" s="58">
        <v>2024</v>
      </c>
      <c r="B736" s="58">
        <v>12</v>
      </c>
      <c r="C736">
        <v>16</v>
      </c>
      <c r="D736" s="58" t="s">
        <v>1491</v>
      </c>
      <c r="E736" t="s">
        <v>1264</v>
      </c>
      <c r="F736" s="58" t="s">
        <v>1498</v>
      </c>
      <c r="G736" t="s">
        <v>1499</v>
      </c>
      <c r="H736" s="58" t="s">
        <v>1012</v>
      </c>
      <c r="I736" t="s">
        <v>1012</v>
      </c>
      <c r="J736" s="58" t="s">
        <v>1012</v>
      </c>
      <c r="K736" t="s">
        <v>1429</v>
      </c>
      <c r="L736" t="s">
        <v>20</v>
      </c>
      <c r="M736" t="s">
        <v>1430</v>
      </c>
      <c r="N736" s="59">
        <v>0</v>
      </c>
      <c r="O736" s="59">
        <v>0</v>
      </c>
      <c r="P736" s="59">
        <v>0</v>
      </c>
      <c r="Q736" s="59">
        <v>0</v>
      </c>
      <c r="R736" s="59">
        <v>16000</v>
      </c>
      <c r="S736" s="59">
        <v>-16000</v>
      </c>
      <c r="T736" s="41"/>
      <c r="U736" s="41"/>
      <c r="V736" s="41"/>
      <c r="W736" s="41"/>
      <c r="X736" s="41"/>
      <c r="Y736" s="41"/>
      <c r="Z736" s="41"/>
      <c r="AA736" s="41"/>
      <c r="AB736" s="41"/>
      <c r="AC736" s="41"/>
      <c r="AD736" s="41"/>
      <c r="AE736" s="59">
        <v>-0.63428335948965753</v>
      </c>
      <c r="AF736" s="59">
        <v>0</v>
      </c>
      <c r="AG736" s="59" t="s">
        <v>1264</v>
      </c>
      <c r="AH736" s="59" t="s">
        <v>1268</v>
      </c>
    </row>
    <row r="737" spans="1:34" x14ac:dyDescent="0.35">
      <c r="A737" s="58">
        <v>2025</v>
      </c>
      <c r="B737" s="58">
        <v>1</v>
      </c>
      <c r="C737">
        <v>1</v>
      </c>
      <c r="D737" s="58" t="s">
        <v>625</v>
      </c>
      <c r="E737" t="s">
        <v>271</v>
      </c>
      <c r="F737" s="58" t="s">
        <v>171</v>
      </c>
      <c r="G737" t="s">
        <v>731</v>
      </c>
      <c r="H737" s="58" t="s">
        <v>4</v>
      </c>
      <c r="I737" t="s">
        <v>4</v>
      </c>
      <c r="J737" s="58" t="s">
        <v>4</v>
      </c>
      <c r="K737" t="s">
        <v>1429</v>
      </c>
      <c r="L737" t="s">
        <v>20</v>
      </c>
      <c r="M737" t="s">
        <v>1430</v>
      </c>
      <c r="N737" s="59">
        <v>11000</v>
      </c>
      <c r="O737" s="59">
        <v>371268975</v>
      </c>
      <c r="P737" s="59">
        <v>1811433.4056761267</v>
      </c>
      <c r="Q737" s="59">
        <v>0</v>
      </c>
      <c r="R737" s="59">
        <v>0</v>
      </c>
      <c r="S737" s="59">
        <v>369457541.59432387</v>
      </c>
      <c r="T737" s="41"/>
      <c r="U737" s="41"/>
      <c r="V737" s="41"/>
      <c r="W737" s="41"/>
      <c r="X737" s="41"/>
      <c r="Y737" s="41"/>
      <c r="Z737" s="41"/>
      <c r="AA737" s="41"/>
      <c r="AB737" s="41"/>
      <c r="AC737" s="41"/>
      <c r="AD737" s="41"/>
      <c r="AE737" s="59">
        <v>14658.823004746702</v>
      </c>
      <c r="AF737" s="59">
        <v>14730.694542580537</v>
      </c>
      <c r="AG737" s="59" t="s">
        <v>47</v>
      </c>
      <c r="AH737" s="59" t="s">
        <v>1166</v>
      </c>
    </row>
    <row r="738" spans="1:34" x14ac:dyDescent="0.35">
      <c r="A738" s="58">
        <v>2025</v>
      </c>
      <c r="B738" s="58">
        <v>1</v>
      </c>
      <c r="C738">
        <v>1</v>
      </c>
      <c r="D738" s="58" t="s">
        <v>1609</v>
      </c>
      <c r="E738" t="s">
        <v>1336</v>
      </c>
      <c r="F738" s="58" t="s">
        <v>1496</v>
      </c>
      <c r="G738" t="s">
        <v>1497</v>
      </c>
      <c r="H738" s="58" t="s">
        <v>1012</v>
      </c>
      <c r="I738" t="s">
        <v>1012</v>
      </c>
      <c r="J738" s="58" t="s">
        <v>1012</v>
      </c>
      <c r="K738" t="s">
        <v>1429</v>
      </c>
      <c r="L738" t="s">
        <v>20</v>
      </c>
      <c r="M738" t="s">
        <v>1430</v>
      </c>
      <c r="N738" s="59">
        <v>0</v>
      </c>
      <c r="O738" s="59">
        <v>0</v>
      </c>
      <c r="P738" s="59">
        <v>0</v>
      </c>
      <c r="Q738" s="59">
        <v>0</v>
      </c>
      <c r="R738" s="59">
        <v>0</v>
      </c>
      <c r="S738" s="59">
        <v>0</v>
      </c>
      <c r="T738" s="41"/>
      <c r="U738" s="41"/>
      <c r="V738" s="41"/>
      <c r="W738" s="41"/>
      <c r="X738" s="41"/>
      <c r="Y738" s="41"/>
      <c r="Z738" s="41"/>
      <c r="AA738" s="41"/>
      <c r="AB738" s="41"/>
      <c r="AC738" s="41"/>
      <c r="AD738" s="41"/>
      <c r="AE738" s="59">
        <v>0</v>
      </c>
      <c r="AF738" s="59">
        <v>0</v>
      </c>
      <c r="AG738" s="59" t="s">
        <v>1336</v>
      </c>
      <c r="AH738" s="59" t="s">
        <v>1329</v>
      </c>
    </row>
    <row r="739" spans="1:34" x14ac:dyDescent="0.35">
      <c r="A739" s="58">
        <v>2025</v>
      </c>
      <c r="B739" s="58">
        <v>1</v>
      </c>
      <c r="C739">
        <v>1</v>
      </c>
      <c r="D739" s="58" t="s">
        <v>1610</v>
      </c>
      <c r="E739" t="s">
        <v>1335</v>
      </c>
      <c r="F739" s="58" t="s">
        <v>1496</v>
      </c>
      <c r="G739" t="s">
        <v>1497</v>
      </c>
      <c r="H739" s="58" t="s">
        <v>1012</v>
      </c>
      <c r="I739" t="s">
        <v>1012</v>
      </c>
      <c r="J739" s="58" t="s">
        <v>1012</v>
      </c>
      <c r="K739" t="s">
        <v>1429</v>
      </c>
      <c r="L739" t="s">
        <v>20</v>
      </c>
      <c r="M739" t="s">
        <v>1430</v>
      </c>
      <c r="N739" s="59">
        <v>0</v>
      </c>
      <c r="O739" s="59">
        <v>0</v>
      </c>
      <c r="P739" s="59">
        <v>0</v>
      </c>
      <c r="Q739" s="59">
        <v>0</v>
      </c>
      <c r="R739" s="59">
        <v>0</v>
      </c>
      <c r="S739" s="59">
        <v>0</v>
      </c>
      <c r="T739" s="41"/>
      <c r="U739" s="41"/>
      <c r="V739" s="41"/>
      <c r="W739" s="41"/>
      <c r="X739" s="41"/>
      <c r="Y739" s="41"/>
      <c r="Z739" s="41"/>
      <c r="AA739" s="41"/>
      <c r="AB739" s="41"/>
      <c r="AC739" s="41"/>
      <c r="AD739" s="41"/>
      <c r="AE739" s="59">
        <v>0</v>
      </c>
      <c r="AF739" s="59">
        <v>0</v>
      </c>
      <c r="AG739" s="59" t="s">
        <v>1335</v>
      </c>
      <c r="AH739" s="59" t="s">
        <v>1329</v>
      </c>
    </row>
    <row r="740" spans="1:34" x14ac:dyDescent="0.35">
      <c r="A740" s="58">
        <v>2025</v>
      </c>
      <c r="B740" s="58">
        <v>1</v>
      </c>
      <c r="C740">
        <v>1</v>
      </c>
      <c r="D740" s="58" t="s">
        <v>1433</v>
      </c>
      <c r="E740" t="s">
        <v>1276</v>
      </c>
      <c r="F740" s="58" t="s">
        <v>1434</v>
      </c>
      <c r="G740" t="s">
        <v>1435</v>
      </c>
      <c r="H740" s="58" t="s">
        <v>1012</v>
      </c>
      <c r="I740" t="s">
        <v>1012</v>
      </c>
      <c r="J740" s="58" t="s">
        <v>1012</v>
      </c>
      <c r="K740" t="s">
        <v>1429</v>
      </c>
      <c r="L740" t="s">
        <v>20</v>
      </c>
      <c r="M740" t="s">
        <v>1430</v>
      </c>
      <c r="N740" s="59">
        <v>0</v>
      </c>
      <c r="O740" s="59">
        <v>0</v>
      </c>
      <c r="P740" s="59">
        <v>0</v>
      </c>
      <c r="Q740" s="59">
        <v>0</v>
      </c>
      <c r="R740" s="59">
        <v>0</v>
      </c>
      <c r="S740" s="59">
        <v>0</v>
      </c>
      <c r="T740" s="41"/>
      <c r="U740" s="41"/>
      <c r="V740" s="41"/>
      <c r="W740" s="41"/>
      <c r="X740" s="41"/>
      <c r="Y740" s="41"/>
      <c r="Z740" s="41"/>
      <c r="AA740" s="41"/>
      <c r="AB740" s="41"/>
      <c r="AC740" s="41"/>
      <c r="AD740" s="41"/>
      <c r="AE740" s="59">
        <v>0</v>
      </c>
      <c r="AF740" s="59">
        <v>0</v>
      </c>
      <c r="AG740" s="59" t="s">
        <v>1276</v>
      </c>
      <c r="AH740" s="59" t="s">
        <v>1319</v>
      </c>
    </row>
    <row r="741" spans="1:34" x14ac:dyDescent="0.35">
      <c r="A741" s="58">
        <v>2025</v>
      </c>
      <c r="B741" s="58">
        <v>1</v>
      </c>
      <c r="C741">
        <v>1</v>
      </c>
      <c r="D741" s="58" t="s">
        <v>1611</v>
      </c>
      <c r="E741" t="s">
        <v>1331</v>
      </c>
      <c r="F741" s="58" t="s">
        <v>1496</v>
      </c>
      <c r="G741" t="s">
        <v>1497</v>
      </c>
      <c r="H741" s="58" t="s">
        <v>1012</v>
      </c>
      <c r="I741" t="s">
        <v>1012</v>
      </c>
      <c r="J741" s="58" t="s">
        <v>1012</v>
      </c>
      <c r="K741" t="s">
        <v>1429</v>
      </c>
      <c r="L741" t="s">
        <v>20</v>
      </c>
      <c r="M741" t="s">
        <v>1430</v>
      </c>
      <c r="N741" s="59">
        <v>0</v>
      </c>
      <c r="O741" s="59">
        <v>0</v>
      </c>
      <c r="P741" s="59">
        <v>0</v>
      </c>
      <c r="Q741" s="59">
        <v>0</v>
      </c>
      <c r="R741" s="59">
        <v>0</v>
      </c>
      <c r="S741" s="59">
        <v>0</v>
      </c>
      <c r="T741" s="41"/>
      <c r="U741" s="41"/>
      <c r="V741" s="41"/>
      <c r="W741" s="41"/>
      <c r="X741" s="41"/>
      <c r="Y741" s="41"/>
      <c r="Z741" s="41"/>
      <c r="AA741" s="41"/>
      <c r="AB741" s="41"/>
      <c r="AC741" s="41"/>
      <c r="AD741" s="41"/>
      <c r="AE741" s="59">
        <v>0</v>
      </c>
      <c r="AF741" s="59">
        <v>0</v>
      </c>
      <c r="AG741" s="59" t="s">
        <v>1331</v>
      </c>
      <c r="AH741" s="59" t="s">
        <v>1329</v>
      </c>
    </row>
    <row r="742" spans="1:34" x14ac:dyDescent="0.35">
      <c r="A742" s="58">
        <v>2025</v>
      </c>
      <c r="B742" s="58">
        <v>1</v>
      </c>
      <c r="C742">
        <v>1</v>
      </c>
      <c r="D742" s="58" t="s">
        <v>640</v>
      </c>
      <c r="E742" t="s">
        <v>552</v>
      </c>
      <c r="F742" s="58" t="s">
        <v>168</v>
      </c>
      <c r="G742" t="s">
        <v>700</v>
      </c>
      <c r="H742" s="58" t="s">
        <v>4</v>
      </c>
      <c r="I742" t="s">
        <v>4</v>
      </c>
      <c r="J742" s="58" t="s">
        <v>4</v>
      </c>
      <c r="K742" t="s">
        <v>1429</v>
      </c>
      <c r="L742" t="s">
        <v>20</v>
      </c>
      <c r="M742" t="s">
        <v>1430</v>
      </c>
      <c r="N742" s="59">
        <v>72600</v>
      </c>
      <c r="O742" s="59">
        <v>2452863600</v>
      </c>
      <c r="P742" s="59">
        <v>11955460.477462439</v>
      </c>
      <c r="Q742" s="59">
        <v>0</v>
      </c>
      <c r="R742" s="59">
        <v>13200000</v>
      </c>
      <c r="S742" s="59">
        <v>2427708139.5225377</v>
      </c>
      <c r="T742" s="41"/>
      <c r="U742" s="41"/>
      <c r="V742" s="41"/>
      <c r="W742" s="41"/>
      <c r="X742" s="41"/>
      <c r="Y742" s="41"/>
      <c r="Z742" s="41"/>
      <c r="AA742" s="41"/>
      <c r="AB742" s="41"/>
      <c r="AC742" s="41"/>
      <c r="AD742" s="41"/>
      <c r="AE742" s="59">
        <v>96323.230460727267</v>
      </c>
      <c r="AF742" s="59">
        <v>97321.313870124606</v>
      </c>
      <c r="AG742" s="59" t="s">
        <v>99</v>
      </c>
      <c r="AH742" s="59" t="s">
        <v>1160</v>
      </c>
    </row>
    <row r="743" spans="1:34" x14ac:dyDescent="0.35">
      <c r="A743" s="58">
        <v>2025</v>
      </c>
      <c r="B743" s="58">
        <v>1</v>
      </c>
      <c r="C743">
        <v>1</v>
      </c>
      <c r="D743" s="58" t="s">
        <v>589</v>
      </c>
      <c r="E743" t="s">
        <v>322</v>
      </c>
      <c r="F743" s="58" t="s">
        <v>171</v>
      </c>
      <c r="G743" t="s">
        <v>731</v>
      </c>
      <c r="H743" s="58" t="s">
        <v>4</v>
      </c>
      <c r="I743" t="s">
        <v>4</v>
      </c>
      <c r="J743" s="58" t="s">
        <v>4</v>
      </c>
      <c r="K743" t="s">
        <v>1429</v>
      </c>
      <c r="L743" t="s">
        <v>20</v>
      </c>
      <c r="M743" t="s">
        <v>1430</v>
      </c>
      <c r="N743" s="59">
        <v>242000</v>
      </c>
      <c r="O743" s="59">
        <v>7886494000</v>
      </c>
      <c r="P743" s="59">
        <v>38040101.519198664</v>
      </c>
      <c r="Q743" s="59">
        <v>0</v>
      </c>
      <c r="R743" s="59">
        <v>33880000</v>
      </c>
      <c r="S743" s="59">
        <v>7814573898.4808025</v>
      </c>
      <c r="T743" s="41"/>
      <c r="U743" s="41"/>
      <c r="V743" s="41"/>
      <c r="W743" s="41"/>
      <c r="X743" s="41"/>
      <c r="Y743" s="41"/>
      <c r="Z743" s="41"/>
      <c r="AA743" s="41"/>
      <c r="AB743" s="41"/>
      <c r="AC743" s="41"/>
      <c r="AD743" s="41"/>
      <c r="AE743" s="59">
        <v>310055.80544117221</v>
      </c>
      <c r="AF743" s="59">
        <v>312909.35130223079</v>
      </c>
      <c r="AG743" s="59" t="s">
        <v>5</v>
      </c>
      <c r="AH743" s="59" t="s">
        <v>1166</v>
      </c>
    </row>
    <row r="744" spans="1:34" x14ac:dyDescent="0.35">
      <c r="A744" s="58">
        <v>2025</v>
      </c>
      <c r="B744" s="58">
        <v>1</v>
      </c>
      <c r="C744">
        <v>1</v>
      </c>
      <c r="D744" s="58" t="s">
        <v>621</v>
      </c>
      <c r="E744" t="s">
        <v>257</v>
      </c>
      <c r="F744" s="58" t="s">
        <v>176</v>
      </c>
      <c r="G744" t="s">
        <v>975</v>
      </c>
      <c r="H744" s="58" t="s">
        <v>4</v>
      </c>
      <c r="I744" t="s">
        <v>4</v>
      </c>
      <c r="J744" s="58" t="s">
        <v>4</v>
      </c>
      <c r="K744" t="s">
        <v>1429</v>
      </c>
      <c r="L744" t="s">
        <v>20</v>
      </c>
      <c r="M744" t="s">
        <v>1430</v>
      </c>
      <c r="N744" s="59">
        <v>2200</v>
      </c>
      <c r="O744" s="59">
        <v>77158400</v>
      </c>
      <c r="P744" s="59">
        <v>362286.6811352254</v>
      </c>
      <c r="Q744" s="59">
        <v>0</v>
      </c>
      <c r="R744" s="59">
        <v>0</v>
      </c>
      <c r="S744" s="59">
        <v>76796113.318864778</v>
      </c>
      <c r="T744" s="41"/>
      <c r="U744" s="41"/>
      <c r="V744" s="41"/>
      <c r="W744" s="41"/>
      <c r="X744" s="41"/>
      <c r="Y744" s="41"/>
      <c r="Z744" s="41"/>
      <c r="AA744" s="41"/>
      <c r="AB744" s="41"/>
      <c r="AC744" s="41"/>
      <c r="AD744" s="41"/>
      <c r="AE744" s="59">
        <v>3047.009482431431</v>
      </c>
      <c r="AF744" s="59">
        <v>3061.3837899981977</v>
      </c>
      <c r="AG744" s="59" t="s">
        <v>16</v>
      </c>
      <c r="AH744" s="59" t="s">
        <v>1191</v>
      </c>
    </row>
    <row r="745" spans="1:34" x14ac:dyDescent="0.35">
      <c r="A745" s="58">
        <v>2025</v>
      </c>
      <c r="B745" s="58">
        <v>1</v>
      </c>
      <c r="C745">
        <v>1</v>
      </c>
      <c r="D745" s="58" t="s">
        <v>621</v>
      </c>
      <c r="E745" t="s">
        <v>257</v>
      </c>
      <c r="F745" s="58" t="s">
        <v>1152</v>
      </c>
      <c r="G745" t="s">
        <v>1153</v>
      </c>
      <c r="H745" s="58" t="s">
        <v>1012</v>
      </c>
      <c r="I745" t="s">
        <v>1012</v>
      </c>
      <c r="J745" s="58" t="s">
        <v>1399</v>
      </c>
      <c r="K745" t="s">
        <v>1429</v>
      </c>
      <c r="L745" t="s">
        <v>20</v>
      </c>
      <c r="M745" t="s">
        <v>1430</v>
      </c>
      <c r="N745" s="59">
        <v>0</v>
      </c>
      <c r="O745" s="59">
        <v>-8985900</v>
      </c>
      <c r="P745" s="59">
        <v>0</v>
      </c>
      <c r="Q745" s="59">
        <v>0</v>
      </c>
      <c r="R745" s="59">
        <v>0</v>
      </c>
      <c r="S745" s="59">
        <v>-8985900</v>
      </c>
      <c r="T745" s="41"/>
      <c r="U745" s="41"/>
      <c r="V745" s="41"/>
      <c r="W745" s="41"/>
      <c r="X745" s="41"/>
      <c r="Y745" s="41"/>
      <c r="Z745" s="41"/>
      <c r="AA745" s="41"/>
      <c r="AB745" s="41"/>
      <c r="AC745" s="41"/>
      <c r="AD745" s="41"/>
      <c r="AE745" s="59">
        <v>-356.53005503671415</v>
      </c>
      <c r="AF745" s="59">
        <v>-356.53005503671415</v>
      </c>
      <c r="AG745" s="59" t="s">
        <v>16</v>
      </c>
      <c r="AH745" s="59" t="s">
        <v>1400</v>
      </c>
    </row>
    <row r="746" spans="1:34" x14ac:dyDescent="0.35">
      <c r="A746" s="58">
        <v>2025</v>
      </c>
      <c r="B746" s="58">
        <v>1</v>
      </c>
      <c r="C746">
        <v>1</v>
      </c>
      <c r="D746" s="58" t="s">
        <v>665</v>
      </c>
      <c r="E746" t="s">
        <v>498</v>
      </c>
      <c r="F746" s="58" t="s">
        <v>172</v>
      </c>
      <c r="G746" t="s">
        <v>734</v>
      </c>
      <c r="H746" s="58" t="s">
        <v>4</v>
      </c>
      <c r="I746" t="s">
        <v>4</v>
      </c>
      <c r="J746" s="58" t="s">
        <v>4</v>
      </c>
      <c r="K746" t="s">
        <v>1429</v>
      </c>
      <c r="L746" t="s">
        <v>20</v>
      </c>
      <c r="M746" t="s">
        <v>1430</v>
      </c>
      <c r="N746" s="59">
        <v>3300</v>
      </c>
      <c r="O746" s="59">
        <v>116044500</v>
      </c>
      <c r="P746" s="59">
        <v>543430.02170283813</v>
      </c>
      <c r="Q746" s="59">
        <v>0</v>
      </c>
      <c r="R746" s="59">
        <v>0</v>
      </c>
      <c r="S746" s="59">
        <v>115501069.97829716</v>
      </c>
      <c r="T746" s="41"/>
      <c r="U746" s="41"/>
      <c r="V746" s="41"/>
      <c r="W746" s="41"/>
      <c r="X746" s="41"/>
      <c r="Y746" s="41"/>
      <c r="Z746" s="41"/>
      <c r="AA746" s="41"/>
      <c r="AB746" s="41"/>
      <c r="AC746" s="41"/>
      <c r="AD746" s="41"/>
      <c r="AE746" s="59">
        <v>4582.6909754350327</v>
      </c>
      <c r="AF746" s="59">
        <v>4604.2524367851829</v>
      </c>
      <c r="AG746" s="59" t="s">
        <v>8</v>
      </c>
      <c r="AH746" s="59" t="s">
        <v>1175</v>
      </c>
    </row>
    <row r="747" spans="1:34" x14ac:dyDescent="0.35">
      <c r="A747" s="58">
        <v>2025</v>
      </c>
      <c r="B747" s="58">
        <v>1</v>
      </c>
      <c r="C747">
        <v>1</v>
      </c>
      <c r="D747" s="58" t="s">
        <v>590</v>
      </c>
      <c r="E747" t="s">
        <v>500</v>
      </c>
      <c r="F747" s="58" t="s">
        <v>168</v>
      </c>
      <c r="G747" t="s">
        <v>700</v>
      </c>
      <c r="H747" s="58" t="s">
        <v>4</v>
      </c>
      <c r="I747" t="s">
        <v>4</v>
      </c>
      <c r="J747" s="58" t="s">
        <v>4</v>
      </c>
      <c r="K747" t="s">
        <v>1429</v>
      </c>
      <c r="L747" t="s">
        <v>20</v>
      </c>
      <c r="M747" t="s">
        <v>1430</v>
      </c>
      <c r="N747" s="59">
        <v>154000</v>
      </c>
      <c r="O747" s="59">
        <v>5761602000</v>
      </c>
      <c r="P747" s="59">
        <v>12680033.839732889</v>
      </c>
      <c r="Q747" s="59">
        <v>0</v>
      </c>
      <c r="R747" s="59">
        <v>93981482</v>
      </c>
      <c r="S747" s="59">
        <v>5616198704.1602678</v>
      </c>
      <c r="T747" s="41"/>
      <c r="U747" s="41"/>
      <c r="V747" s="41"/>
      <c r="W747" s="41"/>
      <c r="X747" s="41"/>
      <c r="Y747" s="41"/>
      <c r="Z747" s="41"/>
      <c r="AA747" s="41"/>
      <c r="AB747" s="41"/>
      <c r="AC747" s="41"/>
      <c r="AD747" s="41"/>
      <c r="AE747" s="59">
        <v>222831.72894105018</v>
      </c>
      <c r="AF747" s="59">
        <v>228600.83888755078</v>
      </c>
      <c r="AG747" s="59" t="s">
        <v>8</v>
      </c>
      <c r="AH747" s="59" t="s">
        <v>1160</v>
      </c>
    </row>
    <row r="748" spans="1:34" x14ac:dyDescent="0.35">
      <c r="A748" s="58">
        <v>2025</v>
      </c>
      <c r="B748" s="58">
        <v>1</v>
      </c>
      <c r="C748">
        <v>1</v>
      </c>
      <c r="D748" s="58" t="s">
        <v>590</v>
      </c>
      <c r="E748" t="s">
        <v>500</v>
      </c>
      <c r="F748" s="58" t="s">
        <v>172</v>
      </c>
      <c r="G748" t="s">
        <v>734</v>
      </c>
      <c r="H748" s="58" t="s">
        <v>4</v>
      </c>
      <c r="I748" t="s">
        <v>4</v>
      </c>
      <c r="J748" s="58" t="s">
        <v>4</v>
      </c>
      <c r="K748" t="s">
        <v>1429</v>
      </c>
      <c r="L748" t="s">
        <v>20</v>
      </c>
      <c r="M748" t="s">
        <v>1430</v>
      </c>
      <c r="N748" s="59">
        <v>4400</v>
      </c>
      <c r="O748" s="59">
        <v>165513920</v>
      </c>
      <c r="P748" s="59">
        <v>724573.3622704508</v>
      </c>
      <c r="Q748" s="59">
        <v>0</v>
      </c>
      <c r="R748" s="59">
        <v>9000000</v>
      </c>
      <c r="S748" s="59">
        <v>153306637.83772954</v>
      </c>
      <c r="T748" s="41"/>
      <c r="U748" s="41"/>
      <c r="V748" s="41"/>
      <c r="W748" s="41"/>
      <c r="X748" s="41"/>
      <c r="Y748" s="41"/>
      <c r="Z748" s="41"/>
      <c r="AA748" s="41"/>
      <c r="AB748" s="41"/>
      <c r="AC748" s="41"/>
      <c r="AD748" s="41"/>
      <c r="AE748" s="59">
        <v>6082.6877692584294</v>
      </c>
      <c r="AF748" s="59">
        <v>6567.0313498861888</v>
      </c>
      <c r="AG748" s="59" t="s">
        <v>8</v>
      </c>
      <c r="AH748" s="59" t="s">
        <v>1175</v>
      </c>
    </row>
    <row r="749" spans="1:34" x14ac:dyDescent="0.35">
      <c r="A749" s="58">
        <v>2025</v>
      </c>
      <c r="B749" s="58">
        <v>1</v>
      </c>
      <c r="C749">
        <v>1</v>
      </c>
      <c r="D749" s="58" t="s">
        <v>590</v>
      </c>
      <c r="E749" t="s">
        <v>500</v>
      </c>
      <c r="F749" s="58" t="s">
        <v>1535</v>
      </c>
      <c r="G749" t="s">
        <v>1536</v>
      </c>
      <c r="H749" s="58" t="s">
        <v>1012</v>
      </c>
      <c r="I749" t="s">
        <v>1012</v>
      </c>
      <c r="J749" s="58" t="s">
        <v>1012</v>
      </c>
      <c r="K749" t="s">
        <v>1429</v>
      </c>
      <c r="L749" t="s">
        <v>20</v>
      </c>
      <c r="M749" t="s">
        <v>1430</v>
      </c>
      <c r="N749" s="59">
        <v>0</v>
      </c>
      <c r="O749" s="59">
        <v>0</v>
      </c>
      <c r="P749" s="59">
        <v>0</v>
      </c>
      <c r="Q749" s="59">
        <v>0</v>
      </c>
      <c r="R749" s="59">
        <v>0</v>
      </c>
      <c r="S749" s="59">
        <v>53499168.799999997</v>
      </c>
      <c r="T749" s="41"/>
      <c r="U749" s="41"/>
      <c r="V749" s="41"/>
      <c r="W749" s="41"/>
      <c r="X749" s="41"/>
      <c r="Y749" s="41"/>
      <c r="Z749" s="41"/>
      <c r="AA749" s="41"/>
      <c r="AB749" s="41"/>
      <c r="AC749" s="41"/>
      <c r="AD749" s="41"/>
      <c r="AE749" s="59">
        <v>2122.6656869854396</v>
      </c>
      <c r="AF749" s="59">
        <v>0</v>
      </c>
      <c r="AG749" s="59" t="s">
        <v>8</v>
      </c>
      <c r="AH749" s="59" t="s">
        <v>1270</v>
      </c>
    </row>
    <row r="750" spans="1:34" x14ac:dyDescent="0.35">
      <c r="A750" s="58">
        <v>2025</v>
      </c>
      <c r="B750" s="58">
        <v>1</v>
      </c>
      <c r="C750">
        <v>1</v>
      </c>
      <c r="D750" s="58" t="s">
        <v>590</v>
      </c>
      <c r="E750" t="s">
        <v>500</v>
      </c>
      <c r="F750" s="58" t="s">
        <v>1152</v>
      </c>
      <c r="G750" t="s">
        <v>1153</v>
      </c>
      <c r="H750" s="58" t="s">
        <v>1012</v>
      </c>
      <c r="I750" t="s">
        <v>1012</v>
      </c>
      <c r="J750" s="58" t="s">
        <v>1399</v>
      </c>
      <c r="K750" t="s">
        <v>1429</v>
      </c>
      <c r="L750" t="s">
        <v>20</v>
      </c>
      <c r="M750" t="s">
        <v>1430</v>
      </c>
      <c r="N750" s="59">
        <v>0</v>
      </c>
      <c r="O750" s="59">
        <v>0</v>
      </c>
      <c r="P750" s="59">
        <v>0</v>
      </c>
      <c r="Q750" s="59">
        <v>0</v>
      </c>
      <c r="R750" s="59">
        <v>-9000000</v>
      </c>
      <c r="S750" s="59">
        <v>9000000</v>
      </c>
      <c r="T750" s="41"/>
      <c r="U750" s="41"/>
      <c r="V750" s="41"/>
      <c r="W750" s="41"/>
      <c r="X750" s="41"/>
      <c r="Y750" s="41"/>
      <c r="Z750" s="41"/>
      <c r="AA750" s="41"/>
      <c r="AB750" s="41"/>
      <c r="AC750" s="41"/>
      <c r="AD750" s="41"/>
      <c r="AE750" s="59">
        <v>357.08949524593277</v>
      </c>
      <c r="AF750" s="59">
        <v>0</v>
      </c>
      <c r="AG750" s="59" t="s">
        <v>8</v>
      </c>
      <c r="AH750" s="59" t="s">
        <v>1400</v>
      </c>
    </row>
    <row r="751" spans="1:34" x14ac:dyDescent="0.35">
      <c r="A751" s="58">
        <v>2025</v>
      </c>
      <c r="B751" s="58">
        <v>1</v>
      </c>
      <c r="C751">
        <v>1</v>
      </c>
      <c r="D751" s="58" t="s">
        <v>601</v>
      </c>
      <c r="E751" t="s">
        <v>501</v>
      </c>
      <c r="F751" s="58" t="s">
        <v>171</v>
      </c>
      <c r="G751" t="s">
        <v>731</v>
      </c>
      <c r="H751" s="58" t="s">
        <v>4</v>
      </c>
      <c r="I751" t="s">
        <v>4</v>
      </c>
      <c r="J751" s="58" t="s">
        <v>4</v>
      </c>
      <c r="K751" t="s">
        <v>1429</v>
      </c>
      <c r="L751" t="s">
        <v>20</v>
      </c>
      <c r="M751" t="s">
        <v>1430</v>
      </c>
      <c r="N751" s="59">
        <v>24200</v>
      </c>
      <c r="O751" s="59">
        <v>768350000</v>
      </c>
      <c r="P751" s="59">
        <v>3985153.4924874799</v>
      </c>
      <c r="Q751" s="59">
        <v>0</v>
      </c>
      <c r="R751" s="59">
        <v>3080000</v>
      </c>
      <c r="S751" s="59">
        <v>761284846.50751257</v>
      </c>
      <c r="T751" s="41"/>
      <c r="U751" s="41"/>
      <c r="V751" s="41"/>
      <c r="W751" s="41"/>
      <c r="X751" s="41"/>
      <c r="Y751" s="41"/>
      <c r="Z751" s="41"/>
      <c r="AA751" s="41"/>
      <c r="AB751" s="41"/>
      <c r="AC751" s="41"/>
      <c r="AD751" s="41"/>
      <c r="AE751" s="59">
        <v>30205.202397527228</v>
      </c>
      <c r="AF751" s="59">
        <v>30485.523741356938</v>
      </c>
      <c r="AG751" s="59" t="s">
        <v>109</v>
      </c>
      <c r="AH751" s="59" t="s">
        <v>1166</v>
      </c>
    </row>
    <row r="752" spans="1:34" x14ac:dyDescent="0.35">
      <c r="A752" s="58">
        <v>2025</v>
      </c>
      <c r="B752" s="58">
        <v>1</v>
      </c>
      <c r="C752">
        <v>1</v>
      </c>
      <c r="D752" s="58" t="s">
        <v>620</v>
      </c>
      <c r="E752" t="s">
        <v>324</v>
      </c>
      <c r="F752" s="58" t="s">
        <v>168</v>
      </c>
      <c r="G752" t="s">
        <v>700</v>
      </c>
      <c r="H752" s="58" t="s">
        <v>4</v>
      </c>
      <c r="I752" t="s">
        <v>4</v>
      </c>
      <c r="J752" s="58" t="s">
        <v>4</v>
      </c>
      <c r="K752" t="s">
        <v>1429</v>
      </c>
      <c r="L752" t="s">
        <v>20</v>
      </c>
      <c r="M752" t="s">
        <v>1508</v>
      </c>
      <c r="N752" s="59">
        <v>-13750.7</v>
      </c>
      <c r="O752" s="59">
        <v>-508671395</v>
      </c>
      <c r="P752" s="59">
        <v>0</v>
      </c>
      <c r="Q752" s="59">
        <v>0</v>
      </c>
      <c r="R752" s="59">
        <v>0</v>
      </c>
      <c r="S752" s="59">
        <v>-505212131.40100002</v>
      </c>
      <c r="T752" s="41"/>
      <c r="U752" s="41"/>
      <c r="V752" s="41"/>
      <c r="W752" s="41"/>
      <c r="X752" s="41"/>
      <c r="Y752" s="41"/>
      <c r="Z752" s="41"/>
      <c r="AA752" s="41"/>
      <c r="AB752" s="41"/>
      <c r="AC752" s="41"/>
      <c r="AD752" s="41"/>
      <c r="AE752" s="59">
        <v>-20045.104999344996</v>
      </c>
      <c r="AF752" s="59">
        <v>-20182.356854066056</v>
      </c>
      <c r="AG752" s="59" t="s">
        <v>8</v>
      </c>
      <c r="AH752" s="59" t="s">
        <v>1160</v>
      </c>
    </row>
    <row r="753" spans="1:34" x14ac:dyDescent="0.35">
      <c r="A753" s="58">
        <v>2025</v>
      </c>
      <c r="B753" s="58">
        <v>1</v>
      </c>
      <c r="C753">
        <v>1</v>
      </c>
      <c r="D753" s="58" t="s">
        <v>620</v>
      </c>
      <c r="E753" t="s">
        <v>324</v>
      </c>
      <c r="F753" s="58" t="s">
        <v>1535</v>
      </c>
      <c r="G753" t="s">
        <v>1536</v>
      </c>
      <c r="H753" s="58" t="s">
        <v>1012</v>
      </c>
      <c r="I753" t="s">
        <v>1012</v>
      </c>
      <c r="J753" s="58" t="s">
        <v>1012</v>
      </c>
      <c r="K753" t="s">
        <v>1429</v>
      </c>
      <c r="L753" t="s">
        <v>20</v>
      </c>
      <c r="M753" t="s">
        <v>1430</v>
      </c>
      <c r="N753" s="59">
        <v>0</v>
      </c>
      <c r="O753" s="59">
        <v>0</v>
      </c>
      <c r="P753" s="59">
        <v>0</v>
      </c>
      <c r="Q753" s="59">
        <v>0</v>
      </c>
      <c r="R753" s="59">
        <v>0</v>
      </c>
      <c r="S753" s="59">
        <v>-3459263.5989999999</v>
      </c>
      <c r="T753" s="41"/>
      <c r="U753" s="41"/>
      <c r="V753" s="41"/>
      <c r="W753" s="41"/>
      <c r="X753" s="41"/>
      <c r="Y753" s="41"/>
      <c r="Z753" s="41"/>
      <c r="AA753" s="41"/>
      <c r="AB753" s="41"/>
      <c r="AC753" s="41"/>
      <c r="AD753" s="41"/>
      <c r="AE753" s="59">
        <v>-137.25185472105986</v>
      </c>
      <c r="AF753" s="59">
        <v>0</v>
      </c>
      <c r="AG753" s="59" t="s">
        <v>8</v>
      </c>
      <c r="AH753" s="59" t="s">
        <v>1270</v>
      </c>
    </row>
    <row r="754" spans="1:34" x14ac:dyDescent="0.35">
      <c r="A754" s="58">
        <v>2025</v>
      </c>
      <c r="B754" s="58">
        <v>1</v>
      </c>
      <c r="C754">
        <v>1</v>
      </c>
      <c r="D754" s="58" t="s">
        <v>682</v>
      </c>
      <c r="E754" t="s">
        <v>156</v>
      </c>
      <c r="F754" s="58" t="s">
        <v>1468</v>
      </c>
      <c r="G754" t="s">
        <v>1012</v>
      </c>
      <c r="H754" s="58" t="s">
        <v>1012</v>
      </c>
      <c r="I754" t="s">
        <v>1012</v>
      </c>
      <c r="J754" s="58" t="s">
        <v>1012</v>
      </c>
      <c r="K754" t="s">
        <v>1429</v>
      </c>
      <c r="L754" t="s">
        <v>20</v>
      </c>
      <c r="M754" t="s">
        <v>1430</v>
      </c>
      <c r="N754" s="59">
        <v>0</v>
      </c>
      <c r="O754" s="59">
        <v>101468695</v>
      </c>
      <c r="P754" s="59">
        <v>0</v>
      </c>
      <c r="Q754" s="59">
        <v>0</v>
      </c>
      <c r="R754" s="59">
        <v>0</v>
      </c>
      <c r="S754" s="59">
        <v>101468695</v>
      </c>
      <c r="T754" s="41"/>
      <c r="U754" s="41"/>
      <c r="V754" s="41"/>
      <c r="W754" s="41"/>
      <c r="X754" s="41"/>
      <c r="Y754" s="41"/>
      <c r="Z754" s="41"/>
      <c r="AA754" s="41"/>
      <c r="AB754" s="41"/>
      <c r="AC754" s="41"/>
      <c r="AD754" s="41"/>
      <c r="AE754" s="59">
        <v>4025.9338978681672</v>
      </c>
      <c r="AF754" s="59">
        <v>4025.9338978681672</v>
      </c>
      <c r="AG754" s="59" t="s">
        <v>156</v>
      </c>
      <c r="AH754" s="59" t="s">
        <v>1284</v>
      </c>
    </row>
    <row r="755" spans="1:34" x14ac:dyDescent="0.35">
      <c r="A755" s="58">
        <v>2025</v>
      </c>
      <c r="B755" s="58">
        <v>1</v>
      </c>
      <c r="C755">
        <v>1</v>
      </c>
      <c r="D755" s="58" t="s">
        <v>1578</v>
      </c>
      <c r="E755" t="s">
        <v>1157</v>
      </c>
      <c r="F755" s="58" t="s">
        <v>1468</v>
      </c>
      <c r="G755" t="s">
        <v>1012</v>
      </c>
      <c r="H755" s="58" t="s">
        <v>1012</v>
      </c>
      <c r="I755" t="s">
        <v>1012</v>
      </c>
      <c r="J755" s="58" t="s">
        <v>1012</v>
      </c>
      <c r="K755" t="s">
        <v>1429</v>
      </c>
      <c r="L755" t="s">
        <v>20</v>
      </c>
      <c r="M755" t="s">
        <v>1430</v>
      </c>
      <c r="N755" s="59">
        <v>0</v>
      </c>
      <c r="O755" s="59">
        <v>21860559</v>
      </c>
      <c r="P755" s="59">
        <v>0</v>
      </c>
      <c r="Q755" s="59">
        <v>0</v>
      </c>
      <c r="R755" s="59">
        <v>0</v>
      </c>
      <c r="S755" s="59">
        <v>21860559</v>
      </c>
      <c r="T755" s="41"/>
      <c r="U755" s="41"/>
      <c r="V755" s="41"/>
      <c r="W755" s="41"/>
      <c r="X755" s="41"/>
      <c r="Y755" s="41"/>
      <c r="Z755" s="41"/>
      <c r="AA755" s="41"/>
      <c r="AB755" s="41"/>
      <c r="AC755" s="41"/>
      <c r="AD755" s="41"/>
      <c r="AE755" s="59">
        <v>867.35288656710361</v>
      </c>
      <c r="AF755" s="59">
        <v>867.35288656710361</v>
      </c>
      <c r="AG755" s="59" t="s">
        <v>1157</v>
      </c>
      <c r="AH755" s="59" t="s">
        <v>1284</v>
      </c>
    </row>
    <row r="756" spans="1:34" x14ac:dyDescent="0.35">
      <c r="A756" s="58">
        <v>2025</v>
      </c>
      <c r="B756" s="58">
        <v>1</v>
      </c>
      <c r="C756">
        <v>1</v>
      </c>
      <c r="D756" s="58" t="s">
        <v>615</v>
      </c>
      <c r="E756" t="s">
        <v>320</v>
      </c>
      <c r="F756" s="58" t="s">
        <v>168</v>
      </c>
      <c r="G756" t="s">
        <v>700</v>
      </c>
      <c r="H756" s="58" t="s">
        <v>4</v>
      </c>
      <c r="I756" t="s">
        <v>4</v>
      </c>
      <c r="J756" s="58" t="s">
        <v>4</v>
      </c>
      <c r="K756" t="s">
        <v>1429</v>
      </c>
      <c r="L756" t="s">
        <v>20</v>
      </c>
      <c r="M756" t="s">
        <v>1430</v>
      </c>
      <c r="N756" s="59">
        <v>88000</v>
      </c>
      <c r="O756" s="59">
        <v>3029312000</v>
      </c>
      <c r="P756" s="59">
        <v>10868600.434056763</v>
      </c>
      <c r="Q756" s="59">
        <v>0</v>
      </c>
      <c r="R756" s="59">
        <v>53703704</v>
      </c>
      <c r="S756" s="59">
        <v>2964739695.5659432</v>
      </c>
      <c r="T756" s="41"/>
      <c r="U756" s="41"/>
      <c r="V756" s="41"/>
      <c r="W756" s="41"/>
      <c r="X756" s="41"/>
      <c r="Y756" s="41"/>
      <c r="Z756" s="41"/>
      <c r="AA756" s="41"/>
      <c r="AB756" s="41"/>
      <c r="AC756" s="41"/>
      <c r="AD756" s="41"/>
      <c r="AE756" s="59">
        <v>117630.82238058034</v>
      </c>
      <c r="AF756" s="59">
        <v>120192.83255804967</v>
      </c>
      <c r="AG756" s="59" t="s">
        <v>99</v>
      </c>
      <c r="AH756" s="59" t="s">
        <v>1160</v>
      </c>
    </row>
    <row r="757" spans="1:34" x14ac:dyDescent="0.35">
      <c r="A757" s="58">
        <v>2025</v>
      </c>
      <c r="B757" s="58">
        <v>1</v>
      </c>
      <c r="C757">
        <v>1</v>
      </c>
      <c r="D757" s="58" t="s">
        <v>605</v>
      </c>
      <c r="E757" t="s">
        <v>479</v>
      </c>
      <c r="F757" s="58" t="s">
        <v>184</v>
      </c>
      <c r="G757" t="s">
        <v>717</v>
      </c>
      <c r="H757" s="58" t="s">
        <v>1428</v>
      </c>
      <c r="I757" t="s">
        <v>75</v>
      </c>
      <c r="J757" s="58" t="s">
        <v>75</v>
      </c>
      <c r="K757" t="s">
        <v>1429</v>
      </c>
      <c r="L757" t="s">
        <v>20</v>
      </c>
      <c r="M757" t="s">
        <v>1430</v>
      </c>
      <c r="N757" s="59">
        <v>49500</v>
      </c>
      <c r="O757" s="59">
        <v>1777149000</v>
      </c>
      <c r="P757" s="59">
        <v>0</v>
      </c>
      <c r="Q757" s="59">
        <v>0</v>
      </c>
      <c r="R757" s="59">
        <v>37962962</v>
      </c>
      <c r="S757" s="59">
        <v>1739186038</v>
      </c>
      <c r="T757" s="41"/>
      <c r="U757" s="41"/>
      <c r="V757" s="41"/>
      <c r="W757" s="41"/>
      <c r="X757" s="41"/>
      <c r="Y757" s="41"/>
      <c r="Z757" s="41"/>
      <c r="AA757" s="41"/>
      <c r="AB757" s="41"/>
      <c r="AC757" s="41"/>
      <c r="AD757" s="41"/>
      <c r="AE757" s="59">
        <v>69005.007160910405</v>
      </c>
      <c r="AF757" s="59">
        <v>70511.24882075713</v>
      </c>
      <c r="AG757" s="59" t="s">
        <v>5</v>
      </c>
      <c r="AH757" s="59" t="s">
        <v>1198</v>
      </c>
    </row>
    <row r="758" spans="1:34" x14ac:dyDescent="0.35">
      <c r="A758" s="58">
        <v>2025</v>
      </c>
      <c r="B758" s="58">
        <v>1</v>
      </c>
      <c r="C758">
        <v>1</v>
      </c>
      <c r="D758" s="58" t="s">
        <v>1469</v>
      </c>
      <c r="E758" t="s">
        <v>1211</v>
      </c>
      <c r="F758" s="58" t="s">
        <v>1472</v>
      </c>
      <c r="G758" t="s">
        <v>1473</v>
      </c>
      <c r="H758" s="58" t="s">
        <v>1012</v>
      </c>
      <c r="I758" t="s">
        <v>86</v>
      </c>
      <c r="J758" s="58" t="s">
        <v>86</v>
      </c>
      <c r="K758" t="s">
        <v>1429</v>
      </c>
      <c r="L758" t="s">
        <v>20</v>
      </c>
      <c r="M758" t="s">
        <v>1430</v>
      </c>
      <c r="N758" s="59">
        <v>7238</v>
      </c>
      <c r="O758" s="59">
        <v>148840600</v>
      </c>
      <c r="P758" s="59">
        <v>0</v>
      </c>
      <c r="Q758" s="59">
        <v>0</v>
      </c>
      <c r="R758" s="59">
        <v>0</v>
      </c>
      <c r="S758" s="59">
        <v>148840600</v>
      </c>
      <c r="T758" s="41"/>
      <c r="U758" s="41"/>
      <c r="V758" s="41"/>
      <c r="W758" s="41"/>
      <c r="X758" s="41"/>
      <c r="Y758" s="41"/>
      <c r="Z758" s="41"/>
      <c r="AA758" s="41"/>
      <c r="AB758" s="41"/>
      <c r="AC758" s="41"/>
      <c r="AD758" s="41"/>
      <c r="AE758" s="59">
        <v>5905.49052512242</v>
      </c>
      <c r="AF758" s="59">
        <v>5905.49052512242</v>
      </c>
      <c r="AG758" s="59" t="s">
        <v>1211</v>
      </c>
      <c r="AH758" s="59" t="s">
        <v>1215</v>
      </c>
    </row>
    <row r="759" spans="1:34" x14ac:dyDescent="0.35">
      <c r="A759" s="58">
        <v>2025</v>
      </c>
      <c r="B759" s="58">
        <v>1</v>
      </c>
      <c r="C759">
        <v>1</v>
      </c>
      <c r="D759" s="58" t="s">
        <v>595</v>
      </c>
      <c r="E759" t="s">
        <v>478</v>
      </c>
      <c r="F759" s="58" t="s">
        <v>184</v>
      </c>
      <c r="G759" t="s">
        <v>717</v>
      </c>
      <c r="H759" s="58" t="s">
        <v>1428</v>
      </c>
      <c r="I759" t="s">
        <v>75</v>
      </c>
      <c r="J759" s="58" t="s">
        <v>75</v>
      </c>
      <c r="K759" t="s">
        <v>1429</v>
      </c>
      <c r="L759" t="s">
        <v>20</v>
      </c>
      <c r="M759" t="s">
        <v>1430</v>
      </c>
      <c r="N759" s="59">
        <v>55000</v>
      </c>
      <c r="O759" s="59">
        <v>1930170000</v>
      </c>
      <c r="P759" s="59">
        <v>0</v>
      </c>
      <c r="Q759" s="59">
        <v>0</v>
      </c>
      <c r="R759" s="59">
        <v>0</v>
      </c>
      <c r="S759" s="59">
        <v>1930170000</v>
      </c>
      <c r="T759" s="41"/>
      <c r="U759" s="41"/>
      <c r="V759" s="41"/>
      <c r="W759" s="41"/>
      <c r="X759" s="41"/>
      <c r="Y759" s="41"/>
      <c r="Z759" s="41"/>
      <c r="AA759" s="41"/>
      <c r="AB759" s="41"/>
      <c r="AC759" s="41"/>
      <c r="AD759" s="41"/>
      <c r="AE759" s="59">
        <v>76582.60344876023</v>
      </c>
      <c r="AF759" s="59">
        <v>76582.60344876023</v>
      </c>
      <c r="AG759" s="59" t="s">
        <v>5</v>
      </c>
      <c r="AH759" s="59" t="s">
        <v>1198</v>
      </c>
    </row>
    <row r="760" spans="1:34" x14ac:dyDescent="0.35">
      <c r="A760" s="58">
        <v>2025</v>
      </c>
      <c r="B760" s="58">
        <v>1</v>
      </c>
      <c r="C760">
        <v>1</v>
      </c>
      <c r="D760" s="58" t="s">
        <v>595</v>
      </c>
      <c r="E760" t="s">
        <v>478</v>
      </c>
      <c r="F760" s="58" t="s">
        <v>184</v>
      </c>
      <c r="G760" t="s">
        <v>717</v>
      </c>
      <c r="H760" s="58" t="s">
        <v>1428</v>
      </c>
      <c r="I760" t="s">
        <v>75</v>
      </c>
      <c r="J760" s="58" t="s">
        <v>75</v>
      </c>
      <c r="K760" t="s">
        <v>1429</v>
      </c>
      <c r="L760" t="s">
        <v>20</v>
      </c>
      <c r="M760" t="s">
        <v>1508</v>
      </c>
      <c r="N760" s="59">
        <v>-150</v>
      </c>
      <c r="O760" s="59">
        <v>-5264100</v>
      </c>
      <c r="P760" s="59">
        <v>0</v>
      </c>
      <c r="Q760" s="59">
        <v>0</v>
      </c>
      <c r="R760" s="59">
        <v>0</v>
      </c>
      <c r="S760" s="59">
        <v>-5264100</v>
      </c>
      <c r="T760" s="41"/>
      <c r="U760" s="41"/>
      <c r="V760" s="41"/>
      <c r="W760" s="41"/>
      <c r="X760" s="41"/>
      <c r="Y760" s="41"/>
      <c r="Z760" s="41"/>
      <c r="AA760" s="41"/>
      <c r="AB760" s="41"/>
      <c r="AC760" s="41"/>
      <c r="AD760" s="41"/>
      <c r="AE760" s="59">
        <v>-208.86164576934607</v>
      </c>
      <c r="AF760" s="59">
        <v>-208.86164576934607</v>
      </c>
      <c r="AG760" s="59" t="s">
        <v>5</v>
      </c>
      <c r="AH760" s="59" t="s">
        <v>1198</v>
      </c>
    </row>
    <row r="761" spans="1:34" x14ac:dyDescent="0.35">
      <c r="A761" s="58">
        <v>2025</v>
      </c>
      <c r="B761" s="58">
        <v>1</v>
      </c>
      <c r="C761">
        <v>1</v>
      </c>
      <c r="D761" s="58" t="s">
        <v>595</v>
      </c>
      <c r="E761" t="s">
        <v>478</v>
      </c>
      <c r="F761" s="58" t="s">
        <v>171</v>
      </c>
      <c r="G761" t="s">
        <v>731</v>
      </c>
      <c r="H761" s="58" t="s">
        <v>4</v>
      </c>
      <c r="I761" t="s">
        <v>4</v>
      </c>
      <c r="J761" s="58" t="s">
        <v>4</v>
      </c>
      <c r="K761" t="s">
        <v>1429</v>
      </c>
      <c r="L761" t="s">
        <v>20</v>
      </c>
      <c r="M761" t="s">
        <v>1430</v>
      </c>
      <c r="N761" s="59">
        <v>11000</v>
      </c>
      <c r="O761" s="59">
        <v>357423000</v>
      </c>
      <c r="P761" s="59">
        <v>724573.36227045069</v>
      </c>
      <c r="Q761" s="59">
        <v>0</v>
      </c>
      <c r="R761" s="59">
        <v>0</v>
      </c>
      <c r="S761" s="59">
        <v>356698426.63772953</v>
      </c>
      <c r="T761" s="41"/>
      <c r="U761" s="41"/>
      <c r="V761" s="41"/>
      <c r="W761" s="41"/>
      <c r="X761" s="41"/>
      <c r="Y761" s="41"/>
      <c r="Z761" s="41"/>
      <c r="AA761" s="41"/>
      <c r="AB761" s="41"/>
      <c r="AC761" s="41"/>
      <c r="AD761" s="41"/>
      <c r="AE761" s="59">
        <v>14152.584569231691</v>
      </c>
      <c r="AF761" s="59">
        <v>14181.333184365225</v>
      </c>
      <c r="AG761" s="59" t="s">
        <v>5</v>
      </c>
      <c r="AH761" s="59" t="s">
        <v>1166</v>
      </c>
    </row>
    <row r="762" spans="1:34" x14ac:dyDescent="0.35">
      <c r="A762" s="58">
        <v>2025</v>
      </c>
      <c r="B762" s="58">
        <v>1</v>
      </c>
      <c r="C762">
        <v>1</v>
      </c>
      <c r="D762" s="58" t="s">
        <v>595</v>
      </c>
      <c r="E762" t="s">
        <v>478</v>
      </c>
      <c r="F762" s="58" t="s">
        <v>194</v>
      </c>
      <c r="G762" t="s">
        <v>743</v>
      </c>
      <c r="H762" s="58" t="s">
        <v>1428</v>
      </c>
      <c r="I762" t="s">
        <v>76</v>
      </c>
      <c r="J762" s="58" t="s">
        <v>76</v>
      </c>
      <c r="K762" t="s">
        <v>1429</v>
      </c>
      <c r="L762" t="s">
        <v>20</v>
      </c>
      <c r="M762" t="s">
        <v>1430</v>
      </c>
      <c r="N762" s="59">
        <v>5500</v>
      </c>
      <c r="O762" s="59">
        <v>122476734</v>
      </c>
      <c r="P762" s="59">
        <v>0</v>
      </c>
      <c r="Q762" s="59">
        <v>0</v>
      </c>
      <c r="R762" s="59">
        <v>0</v>
      </c>
      <c r="S762" s="59">
        <v>122476734</v>
      </c>
      <c r="T762" s="41"/>
      <c r="U762" s="41"/>
      <c r="V762" s="41"/>
      <c r="W762" s="41"/>
      <c r="X762" s="41"/>
      <c r="Y762" s="41"/>
      <c r="Z762" s="41"/>
      <c r="AA762" s="41"/>
      <c r="AB762" s="41"/>
      <c r="AC762" s="41"/>
      <c r="AD762" s="41"/>
      <c r="AE762" s="59">
        <v>4859.4616803811523</v>
      </c>
      <c r="AF762" s="59">
        <v>4859.4616803811523</v>
      </c>
      <c r="AG762" s="59" t="s">
        <v>5</v>
      </c>
      <c r="AH762" s="59" t="s">
        <v>1246</v>
      </c>
    </row>
    <row r="763" spans="1:34" x14ac:dyDescent="0.35">
      <c r="A763" s="58">
        <v>2025</v>
      </c>
      <c r="B763" s="58">
        <v>1</v>
      </c>
      <c r="C763">
        <v>1</v>
      </c>
      <c r="D763" s="58" t="s">
        <v>595</v>
      </c>
      <c r="E763" t="s">
        <v>478</v>
      </c>
      <c r="F763" s="58" t="s">
        <v>187</v>
      </c>
      <c r="G763" t="s">
        <v>869</v>
      </c>
      <c r="H763" s="58" t="s">
        <v>1428</v>
      </c>
      <c r="I763" t="s">
        <v>75</v>
      </c>
      <c r="J763" s="58" t="s">
        <v>75</v>
      </c>
      <c r="K763" t="s">
        <v>1429</v>
      </c>
      <c r="L763" t="s">
        <v>20</v>
      </c>
      <c r="M763" t="s">
        <v>1430</v>
      </c>
      <c r="N763" s="59">
        <v>5500</v>
      </c>
      <c r="O763" s="59">
        <v>186153000</v>
      </c>
      <c r="P763" s="59">
        <v>362286.68113522534</v>
      </c>
      <c r="Q763" s="59">
        <v>0</v>
      </c>
      <c r="R763" s="59">
        <v>0</v>
      </c>
      <c r="S763" s="59">
        <v>185790713.31886476</v>
      </c>
      <c r="T763" s="41"/>
      <c r="U763" s="41"/>
      <c r="V763" s="41"/>
      <c r="W763" s="41"/>
      <c r="X763" s="41"/>
      <c r="Y763" s="41"/>
      <c r="Z763" s="41"/>
      <c r="AA763" s="41"/>
      <c r="AB763" s="41"/>
      <c r="AC763" s="41"/>
      <c r="AD763" s="41"/>
      <c r="AE763" s="59">
        <v>7371.5457822683575</v>
      </c>
      <c r="AF763" s="59">
        <v>7385.9200898351246</v>
      </c>
      <c r="AG763" s="59" t="s">
        <v>5</v>
      </c>
      <c r="AH763" s="59" t="s">
        <v>1203</v>
      </c>
    </row>
    <row r="764" spans="1:34" x14ac:dyDescent="0.35">
      <c r="A764" s="58">
        <v>2025</v>
      </c>
      <c r="B764" s="58">
        <v>1</v>
      </c>
      <c r="C764">
        <v>1</v>
      </c>
      <c r="D764" s="58" t="s">
        <v>595</v>
      </c>
      <c r="E764" t="s">
        <v>478</v>
      </c>
      <c r="F764" s="58" t="s">
        <v>188</v>
      </c>
      <c r="G764" t="s">
        <v>872</v>
      </c>
      <c r="H764" s="58" t="s">
        <v>1428</v>
      </c>
      <c r="I764" t="s">
        <v>75</v>
      </c>
      <c r="J764" s="58" t="s">
        <v>75</v>
      </c>
      <c r="K764" t="s">
        <v>1429</v>
      </c>
      <c r="L764" t="s">
        <v>20</v>
      </c>
      <c r="M764" t="s">
        <v>1430</v>
      </c>
      <c r="N764" s="59">
        <v>22000</v>
      </c>
      <c r="O764" s="59">
        <v>754380000</v>
      </c>
      <c r="P764" s="59">
        <v>0</v>
      </c>
      <c r="Q764" s="59">
        <v>0</v>
      </c>
      <c r="R764" s="59">
        <v>0</v>
      </c>
      <c r="S764" s="59">
        <v>754380000</v>
      </c>
      <c r="T764" s="41"/>
      <c r="U764" s="41"/>
      <c r="V764" s="41"/>
      <c r="W764" s="41"/>
      <c r="X764" s="41"/>
      <c r="Y764" s="41"/>
      <c r="Z764" s="41"/>
      <c r="AA764" s="41"/>
      <c r="AB764" s="41"/>
      <c r="AC764" s="41"/>
      <c r="AD764" s="41"/>
      <c r="AE764" s="59">
        <v>29931.241491514083</v>
      </c>
      <c r="AF764" s="59">
        <v>29931.241491514083</v>
      </c>
      <c r="AG764" s="59" t="s">
        <v>5</v>
      </c>
      <c r="AH764" s="59" t="s">
        <v>1204</v>
      </c>
    </row>
    <row r="765" spans="1:34" x14ac:dyDescent="0.35">
      <c r="A765" s="58">
        <v>2025</v>
      </c>
      <c r="B765" s="58">
        <v>1</v>
      </c>
      <c r="C765">
        <v>1</v>
      </c>
      <c r="D765" s="58" t="s">
        <v>595</v>
      </c>
      <c r="E765" t="s">
        <v>478</v>
      </c>
      <c r="F765" s="58" t="s">
        <v>191</v>
      </c>
      <c r="G765" t="s">
        <v>941</v>
      </c>
      <c r="H765" s="58" t="s">
        <v>1428</v>
      </c>
      <c r="I765" t="s">
        <v>75</v>
      </c>
      <c r="J765" s="58" t="s">
        <v>75</v>
      </c>
      <c r="K765" t="s">
        <v>1429</v>
      </c>
      <c r="L765" t="s">
        <v>20</v>
      </c>
      <c r="M765" t="s">
        <v>1430</v>
      </c>
      <c r="N765" s="59">
        <v>11000</v>
      </c>
      <c r="O765" s="59">
        <v>386034000</v>
      </c>
      <c r="P765" s="59">
        <v>724573.36227045069</v>
      </c>
      <c r="Q765" s="59">
        <v>0</v>
      </c>
      <c r="R765" s="59">
        <v>0</v>
      </c>
      <c r="S765" s="59">
        <v>385309426.63772953</v>
      </c>
      <c r="T765" s="41"/>
      <c r="U765" s="41"/>
      <c r="V765" s="41"/>
      <c r="W765" s="41"/>
      <c r="X765" s="41"/>
      <c r="Y765" s="41"/>
      <c r="Z765" s="41"/>
      <c r="AA765" s="41"/>
      <c r="AB765" s="41"/>
      <c r="AC765" s="41"/>
      <c r="AD765" s="41"/>
      <c r="AE765" s="59">
        <v>15287.772074618511</v>
      </c>
      <c r="AF765" s="59">
        <v>15316.520689752046</v>
      </c>
      <c r="AG765" s="59" t="s">
        <v>5</v>
      </c>
      <c r="AH765" s="59" t="s">
        <v>1208</v>
      </c>
    </row>
    <row r="766" spans="1:34" x14ac:dyDescent="0.35">
      <c r="A766" s="58">
        <v>2025</v>
      </c>
      <c r="B766" s="58">
        <v>1</v>
      </c>
      <c r="C766">
        <v>1</v>
      </c>
      <c r="D766" s="58" t="s">
        <v>654</v>
      </c>
      <c r="E766" t="s">
        <v>118</v>
      </c>
      <c r="F766" s="58" t="s">
        <v>171</v>
      </c>
      <c r="G766" t="s">
        <v>731</v>
      </c>
      <c r="H766" s="58" t="s">
        <v>4</v>
      </c>
      <c r="I766" t="s">
        <v>4</v>
      </c>
      <c r="J766" s="58" t="s">
        <v>4</v>
      </c>
      <c r="K766" t="s">
        <v>1429</v>
      </c>
      <c r="L766" t="s">
        <v>20</v>
      </c>
      <c r="M766" t="s">
        <v>1430</v>
      </c>
      <c r="N766" s="59">
        <v>5500</v>
      </c>
      <c r="O766" s="59">
        <v>185634488.00000003</v>
      </c>
      <c r="P766" s="59">
        <v>905716.70283806336</v>
      </c>
      <c r="Q766" s="59">
        <v>0</v>
      </c>
      <c r="R766" s="59">
        <v>0</v>
      </c>
      <c r="S766" s="59">
        <v>184728771.29716197</v>
      </c>
      <c r="T766" s="41"/>
      <c r="U766" s="41"/>
      <c r="V766" s="41"/>
      <c r="W766" s="41"/>
      <c r="X766" s="41"/>
      <c r="Y766" s="41"/>
      <c r="Z766" s="41"/>
      <c r="AA766" s="41"/>
      <c r="AB766" s="41"/>
      <c r="AC766" s="41"/>
      <c r="AD766" s="41"/>
      <c r="AE766" s="59">
        <v>7329.4115222116579</v>
      </c>
      <c r="AF766" s="59">
        <v>7365.3472911285753</v>
      </c>
      <c r="AG766" s="59" t="s">
        <v>118</v>
      </c>
      <c r="AH766" s="59" t="s">
        <v>1166</v>
      </c>
    </row>
    <row r="767" spans="1:34" x14ac:dyDescent="0.35">
      <c r="A767" s="58">
        <v>2025</v>
      </c>
      <c r="B767" s="58">
        <v>1</v>
      </c>
      <c r="C767">
        <v>1</v>
      </c>
      <c r="D767" s="58" t="s">
        <v>606</v>
      </c>
      <c r="E767" t="s">
        <v>325</v>
      </c>
      <c r="F767" s="58" t="s">
        <v>168</v>
      </c>
      <c r="G767" t="s">
        <v>700</v>
      </c>
      <c r="H767" s="58" t="s">
        <v>4</v>
      </c>
      <c r="I767" t="s">
        <v>4</v>
      </c>
      <c r="J767" s="58" t="s">
        <v>4</v>
      </c>
      <c r="K767" t="s">
        <v>1429</v>
      </c>
      <c r="L767" t="s">
        <v>20</v>
      </c>
      <c r="M767" t="s">
        <v>1430</v>
      </c>
      <c r="N767" s="59">
        <v>44000</v>
      </c>
      <c r="O767" s="59">
        <v>1636624000</v>
      </c>
      <c r="P767" s="59">
        <v>7245733.6227045069</v>
      </c>
      <c r="Q767" s="59">
        <v>0</v>
      </c>
      <c r="R767" s="59">
        <v>6160000</v>
      </c>
      <c r="S767" s="59">
        <v>1598668906.3772955</v>
      </c>
      <c r="T767" s="41"/>
      <c r="U767" s="41"/>
      <c r="V767" s="41"/>
      <c r="W767" s="41"/>
      <c r="X767" s="41"/>
      <c r="Y767" s="41"/>
      <c r="Z767" s="41"/>
      <c r="AA767" s="41"/>
      <c r="AB767" s="41"/>
      <c r="AC767" s="41"/>
      <c r="AD767" s="41"/>
      <c r="AE767" s="59">
        <v>63429.763649292865</v>
      </c>
      <c r="AF767" s="59">
        <v>64935.693118597723</v>
      </c>
      <c r="AG767" s="59" t="s">
        <v>8</v>
      </c>
      <c r="AH767" s="59" t="s">
        <v>1160</v>
      </c>
    </row>
    <row r="768" spans="1:34" x14ac:dyDescent="0.35">
      <c r="A768" s="58">
        <v>2025</v>
      </c>
      <c r="B768" s="58">
        <v>1</v>
      </c>
      <c r="C768">
        <v>1</v>
      </c>
      <c r="D768" s="58" t="s">
        <v>606</v>
      </c>
      <c r="E768" t="s">
        <v>325</v>
      </c>
      <c r="F768" s="58" t="s">
        <v>172</v>
      </c>
      <c r="G768" t="s">
        <v>734</v>
      </c>
      <c r="H768" s="58" t="s">
        <v>4</v>
      </c>
      <c r="I768" t="s">
        <v>4</v>
      </c>
      <c r="J768" s="58" t="s">
        <v>4</v>
      </c>
      <c r="K768" t="s">
        <v>1429</v>
      </c>
      <c r="L768" t="s">
        <v>20</v>
      </c>
      <c r="M768" t="s">
        <v>1430</v>
      </c>
      <c r="N768" s="59">
        <v>3300</v>
      </c>
      <c r="O768" s="59">
        <v>118965000</v>
      </c>
      <c r="P768" s="59">
        <v>543430.02170283813</v>
      </c>
      <c r="Q768" s="59">
        <v>0</v>
      </c>
      <c r="R768" s="59">
        <v>0</v>
      </c>
      <c r="S768" s="59">
        <v>116637094.97829716</v>
      </c>
      <c r="T768" s="41"/>
      <c r="U768" s="41"/>
      <c r="V768" s="41"/>
      <c r="W768" s="41"/>
      <c r="X768" s="41"/>
      <c r="Y768" s="41"/>
      <c r="Z768" s="41"/>
      <c r="AA768" s="41"/>
      <c r="AB768" s="41"/>
      <c r="AC768" s="41"/>
      <c r="AD768" s="41"/>
      <c r="AE768" s="59">
        <v>4627.7645969724499</v>
      </c>
      <c r="AF768" s="59">
        <v>4720.127977992488</v>
      </c>
      <c r="AG768" s="59" t="s">
        <v>8</v>
      </c>
      <c r="AH768" s="59" t="s">
        <v>1175</v>
      </c>
    </row>
    <row r="769" spans="1:34" x14ac:dyDescent="0.35">
      <c r="A769" s="58">
        <v>2025</v>
      </c>
      <c r="B769" s="58">
        <v>1</v>
      </c>
      <c r="C769">
        <v>1</v>
      </c>
      <c r="D769" s="58" t="s">
        <v>606</v>
      </c>
      <c r="E769" t="s">
        <v>325</v>
      </c>
      <c r="F769" s="58" t="s">
        <v>1535</v>
      </c>
      <c r="G769" t="s">
        <v>1536</v>
      </c>
      <c r="H769" s="58" t="s">
        <v>1012</v>
      </c>
      <c r="I769" t="s">
        <v>1012</v>
      </c>
      <c r="J769" s="58" t="s">
        <v>1012</v>
      </c>
      <c r="K769" t="s">
        <v>1429</v>
      </c>
      <c r="L769" t="s">
        <v>20</v>
      </c>
      <c r="M769" t="s">
        <v>1430</v>
      </c>
      <c r="N769" s="59">
        <v>0</v>
      </c>
      <c r="O769" s="59">
        <v>0</v>
      </c>
      <c r="P769" s="59">
        <v>0</v>
      </c>
      <c r="Q769" s="59">
        <v>0</v>
      </c>
      <c r="R769" s="59">
        <v>0</v>
      </c>
      <c r="S769" s="59">
        <v>14059155</v>
      </c>
      <c r="T769" s="41"/>
      <c r="U769" s="41"/>
      <c r="V769" s="41"/>
      <c r="W769" s="41"/>
      <c r="X769" s="41"/>
      <c r="Y769" s="41"/>
      <c r="Z769" s="41"/>
      <c r="AA769" s="41"/>
      <c r="AB769" s="41"/>
      <c r="AC769" s="41"/>
      <c r="AD769" s="41"/>
      <c r="AE769" s="59">
        <v>557.81961805937021</v>
      </c>
      <c r="AF769" s="59">
        <v>0</v>
      </c>
      <c r="AG769" s="59" t="s">
        <v>8</v>
      </c>
      <c r="AH769" s="59" t="s">
        <v>1270</v>
      </c>
    </row>
    <row r="770" spans="1:34" x14ac:dyDescent="0.35">
      <c r="A770" s="58">
        <v>2025</v>
      </c>
      <c r="B770" s="58">
        <v>1</v>
      </c>
      <c r="C770">
        <v>1</v>
      </c>
      <c r="D770" s="58" t="s">
        <v>634</v>
      </c>
      <c r="E770" t="s">
        <v>148</v>
      </c>
      <c r="F770" s="58" t="s">
        <v>183</v>
      </c>
      <c r="G770" t="s">
        <v>924</v>
      </c>
      <c r="H770" s="58" t="s">
        <v>74</v>
      </c>
      <c r="I770" t="s">
        <v>74</v>
      </c>
      <c r="J770" s="58" t="s">
        <v>74</v>
      </c>
      <c r="K770" t="s">
        <v>1429</v>
      </c>
      <c r="L770" t="s">
        <v>20</v>
      </c>
      <c r="M770" t="s">
        <v>1430</v>
      </c>
      <c r="N770" s="59">
        <v>11000</v>
      </c>
      <c r="O770" s="59">
        <v>209000000</v>
      </c>
      <c r="P770" s="59">
        <v>1811433.4056761267</v>
      </c>
      <c r="Q770" s="59">
        <v>0</v>
      </c>
      <c r="R770" s="59">
        <v>0</v>
      </c>
      <c r="S770" s="59">
        <v>207188566.59432387</v>
      </c>
      <c r="T770" s="41"/>
      <c r="U770" s="41"/>
      <c r="V770" s="41"/>
      <c r="W770" s="41"/>
      <c r="X770" s="41"/>
      <c r="Y770" s="41"/>
      <c r="Z770" s="41"/>
      <c r="AA770" s="41"/>
      <c r="AB770" s="41"/>
      <c r="AC770" s="41"/>
      <c r="AD770" s="41"/>
      <c r="AE770" s="59">
        <v>8220.5400739883826</v>
      </c>
      <c r="AF770" s="59">
        <v>8292.4116118222173</v>
      </c>
      <c r="AG770" s="59" t="s">
        <v>148</v>
      </c>
      <c r="AH770" s="59" t="s">
        <v>1245</v>
      </c>
    </row>
    <row r="771" spans="1:34" x14ac:dyDescent="0.35">
      <c r="A771" s="58">
        <v>2025</v>
      </c>
      <c r="B771" s="58">
        <v>1</v>
      </c>
      <c r="C771">
        <v>1</v>
      </c>
      <c r="D771" s="58" t="s">
        <v>596</v>
      </c>
      <c r="E771" t="s">
        <v>266</v>
      </c>
      <c r="F771" s="58" t="s">
        <v>167</v>
      </c>
      <c r="G771" t="s">
        <v>693</v>
      </c>
      <c r="H771" s="58" t="s">
        <v>4</v>
      </c>
      <c r="I771" t="s">
        <v>4</v>
      </c>
      <c r="J771" s="58" t="s">
        <v>4</v>
      </c>
      <c r="K771" t="s">
        <v>1429</v>
      </c>
      <c r="L771" t="s">
        <v>20</v>
      </c>
      <c r="M771" t="s">
        <v>1430</v>
      </c>
      <c r="N771" s="59">
        <v>22000</v>
      </c>
      <c r="O771" s="59">
        <v>718440492</v>
      </c>
      <c r="P771" s="59">
        <v>3622866.8113522544</v>
      </c>
      <c r="Q771" s="59">
        <v>0</v>
      </c>
      <c r="R771" s="59">
        <v>0</v>
      </c>
      <c r="S771" s="59">
        <v>714817625.18864775</v>
      </c>
      <c r="T771" s="41"/>
      <c r="U771" s="41"/>
      <c r="V771" s="41"/>
      <c r="W771" s="41"/>
      <c r="X771" s="41"/>
      <c r="Y771" s="41"/>
      <c r="Z771" s="41"/>
      <c r="AA771" s="41"/>
      <c r="AB771" s="41"/>
      <c r="AC771" s="41"/>
      <c r="AD771" s="41"/>
      <c r="AE771" s="59">
        <v>28361.540552390066</v>
      </c>
      <c r="AF771" s="59">
        <v>28505.283628057732</v>
      </c>
      <c r="AG771" s="59" t="s">
        <v>100</v>
      </c>
      <c r="AH771" s="59" t="s">
        <v>1156</v>
      </c>
    </row>
    <row r="772" spans="1:34" x14ac:dyDescent="0.35">
      <c r="A772" s="58">
        <v>2025</v>
      </c>
      <c r="B772" s="58">
        <v>1</v>
      </c>
      <c r="C772">
        <v>1</v>
      </c>
      <c r="D772" s="58" t="s">
        <v>596</v>
      </c>
      <c r="E772" t="s">
        <v>266</v>
      </c>
      <c r="F772" s="58" t="s">
        <v>171</v>
      </c>
      <c r="G772" t="s">
        <v>731</v>
      </c>
      <c r="H772" s="58" t="s">
        <v>4</v>
      </c>
      <c r="I772" t="s">
        <v>4</v>
      </c>
      <c r="J772" s="58" t="s">
        <v>4</v>
      </c>
      <c r="K772" t="s">
        <v>1429</v>
      </c>
      <c r="L772" t="s">
        <v>20</v>
      </c>
      <c r="M772" t="s">
        <v>1430</v>
      </c>
      <c r="N772" s="59">
        <v>44000</v>
      </c>
      <c r="O772" s="59">
        <v>1436880984</v>
      </c>
      <c r="P772" s="59">
        <v>7245733.6227045087</v>
      </c>
      <c r="Q772" s="59">
        <v>0</v>
      </c>
      <c r="R772" s="59">
        <v>0</v>
      </c>
      <c r="S772" s="59">
        <v>1429635250.3772955</v>
      </c>
      <c r="T772" s="41"/>
      <c r="U772" s="41"/>
      <c r="V772" s="41"/>
      <c r="W772" s="41"/>
      <c r="X772" s="41"/>
      <c r="Y772" s="41"/>
      <c r="Z772" s="41"/>
      <c r="AA772" s="41"/>
      <c r="AB772" s="41"/>
      <c r="AC772" s="41"/>
      <c r="AD772" s="41"/>
      <c r="AE772" s="59">
        <v>56723.081104780133</v>
      </c>
      <c r="AF772" s="59">
        <v>57010.567256115464</v>
      </c>
      <c r="AG772" s="59" t="s">
        <v>100</v>
      </c>
      <c r="AH772" s="59" t="s">
        <v>1166</v>
      </c>
    </row>
    <row r="773" spans="1:34" x14ac:dyDescent="0.35">
      <c r="A773" s="58">
        <v>2025</v>
      </c>
      <c r="B773" s="58">
        <v>1</v>
      </c>
      <c r="C773">
        <v>1</v>
      </c>
      <c r="D773" s="58" t="s">
        <v>610</v>
      </c>
      <c r="E773" t="s">
        <v>44</v>
      </c>
      <c r="F773" s="58" t="s">
        <v>186</v>
      </c>
      <c r="G773" t="s">
        <v>781</v>
      </c>
      <c r="H773" s="58" t="s">
        <v>1428</v>
      </c>
      <c r="I773" t="s">
        <v>75</v>
      </c>
      <c r="J773" s="58" t="s">
        <v>75</v>
      </c>
      <c r="K773" t="s">
        <v>1429</v>
      </c>
      <c r="L773" t="s">
        <v>20</v>
      </c>
      <c r="M773" t="s">
        <v>1430</v>
      </c>
      <c r="N773" s="59">
        <v>22000</v>
      </c>
      <c r="O773" s="59">
        <v>759102300</v>
      </c>
      <c r="P773" s="59">
        <v>0</v>
      </c>
      <c r="Q773" s="59">
        <v>0</v>
      </c>
      <c r="R773" s="59">
        <v>0</v>
      </c>
      <c r="S773" s="59">
        <v>759102300</v>
      </c>
      <c r="T773" s="41"/>
      <c r="U773" s="41"/>
      <c r="V773" s="41"/>
      <c r="W773" s="41"/>
      <c r="X773" s="41"/>
      <c r="Y773" s="41"/>
      <c r="Z773" s="41"/>
      <c r="AA773" s="41"/>
      <c r="AB773" s="41"/>
      <c r="AC773" s="41"/>
      <c r="AD773" s="41"/>
      <c r="AE773" s="59">
        <v>30118.606349669626</v>
      </c>
      <c r="AF773" s="59">
        <v>30118.606349669626</v>
      </c>
      <c r="AG773" s="59" t="s">
        <v>44</v>
      </c>
      <c r="AH773" s="59" t="s">
        <v>1202</v>
      </c>
    </row>
    <row r="774" spans="1:34" x14ac:dyDescent="0.35">
      <c r="A774" s="58">
        <v>2025</v>
      </c>
      <c r="B774" s="58">
        <v>1</v>
      </c>
      <c r="C774">
        <v>1</v>
      </c>
      <c r="D774" s="58" t="s">
        <v>1558</v>
      </c>
      <c r="E774" t="s">
        <v>1223</v>
      </c>
      <c r="F774" s="58" t="s">
        <v>841</v>
      </c>
      <c r="G774" t="s">
        <v>842</v>
      </c>
      <c r="H774" s="58" t="s">
        <v>1012</v>
      </c>
      <c r="I774" t="s">
        <v>86</v>
      </c>
      <c r="J774" s="58" t="s">
        <v>86</v>
      </c>
      <c r="K774" t="s">
        <v>1429</v>
      </c>
      <c r="L774" t="s">
        <v>20</v>
      </c>
      <c r="M774" t="s">
        <v>1430</v>
      </c>
      <c r="N774" s="59">
        <v>2490</v>
      </c>
      <c r="O774" s="59">
        <v>12450000</v>
      </c>
      <c r="P774" s="59">
        <v>0</v>
      </c>
      <c r="Q774" s="59">
        <v>0</v>
      </c>
      <c r="R774" s="59">
        <v>0</v>
      </c>
      <c r="S774" s="59">
        <v>12450000</v>
      </c>
      <c r="T774" s="41"/>
      <c r="U774" s="41"/>
      <c r="V774" s="41"/>
      <c r="W774" s="41"/>
      <c r="X774" s="41"/>
      <c r="Y774" s="41"/>
      <c r="Z774" s="41"/>
      <c r="AA774" s="41"/>
      <c r="AB774" s="41"/>
      <c r="AC774" s="41"/>
      <c r="AD774" s="41"/>
      <c r="AE774" s="59">
        <v>493.97380175687368</v>
      </c>
      <c r="AF774" s="59">
        <v>493.97380175687368</v>
      </c>
      <c r="AG774" s="59" t="s">
        <v>1223</v>
      </c>
      <c r="AH774" s="59" t="s">
        <v>1222</v>
      </c>
    </row>
    <row r="775" spans="1:34" x14ac:dyDescent="0.35">
      <c r="A775" s="58">
        <v>2025</v>
      </c>
      <c r="B775" s="58">
        <v>1</v>
      </c>
      <c r="C775">
        <v>1</v>
      </c>
      <c r="D775" s="58" t="s">
        <v>1558</v>
      </c>
      <c r="E775" t="s">
        <v>1223</v>
      </c>
      <c r="F775" s="58" t="s">
        <v>843</v>
      </c>
      <c r="G775" t="s">
        <v>844</v>
      </c>
      <c r="H775" s="58" t="s">
        <v>1012</v>
      </c>
      <c r="I775" t="s">
        <v>86</v>
      </c>
      <c r="J775" s="58" t="s">
        <v>86</v>
      </c>
      <c r="K775" t="s">
        <v>1429</v>
      </c>
      <c r="L775" t="s">
        <v>20</v>
      </c>
      <c r="M775" t="s">
        <v>1430</v>
      </c>
      <c r="N775" s="59">
        <v>2420</v>
      </c>
      <c r="O775" s="59">
        <v>12100000</v>
      </c>
      <c r="P775" s="59">
        <v>0</v>
      </c>
      <c r="Q775" s="59">
        <v>0</v>
      </c>
      <c r="R775" s="59">
        <v>0</v>
      </c>
      <c r="S775" s="59">
        <v>12100000</v>
      </c>
      <c r="T775" s="41"/>
      <c r="U775" s="41"/>
      <c r="V775" s="41"/>
      <c r="W775" s="41"/>
      <c r="X775" s="41"/>
      <c r="Y775" s="41"/>
      <c r="Z775" s="41"/>
      <c r="AA775" s="41"/>
      <c r="AB775" s="41"/>
      <c r="AC775" s="41"/>
      <c r="AD775" s="41"/>
      <c r="AE775" s="59">
        <v>480.08698805286519</v>
      </c>
      <c r="AF775" s="59">
        <v>480.08698805286519</v>
      </c>
      <c r="AG775" s="59" t="s">
        <v>1223</v>
      </c>
      <c r="AH775" s="59" t="s">
        <v>1224</v>
      </c>
    </row>
    <row r="776" spans="1:34" x14ac:dyDescent="0.35">
      <c r="A776" s="58">
        <v>2025</v>
      </c>
      <c r="B776" s="58">
        <v>1</v>
      </c>
      <c r="C776">
        <v>1</v>
      </c>
      <c r="D776" s="58" t="s">
        <v>1558</v>
      </c>
      <c r="E776" t="s">
        <v>1223</v>
      </c>
      <c r="F776" s="58" t="s">
        <v>845</v>
      </c>
      <c r="G776" t="s">
        <v>846</v>
      </c>
      <c r="H776" s="58" t="s">
        <v>1012</v>
      </c>
      <c r="I776" t="s">
        <v>86</v>
      </c>
      <c r="J776" s="58" t="s">
        <v>86</v>
      </c>
      <c r="K776" t="s">
        <v>1429</v>
      </c>
      <c r="L776" t="s">
        <v>20</v>
      </c>
      <c r="M776" t="s">
        <v>1430</v>
      </c>
      <c r="N776" s="59">
        <v>2290</v>
      </c>
      <c r="O776" s="59">
        <v>11450000</v>
      </c>
      <c r="P776" s="59">
        <v>0</v>
      </c>
      <c r="Q776" s="59">
        <v>0</v>
      </c>
      <c r="R776" s="59">
        <v>0</v>
      </c>
      <c r="S776" s="59">
        <v>11450000</v>
      </c>
      <c r="T776" s="41"/>
      <c r="U776" s="41"/>
      <c r="V776" s="41"/>
      <c r="W776" s="41"/>
      <c r="X776" s="41"/>
      <c r="Y776" s="41"/>
      <c r="Z776" s="41"/>
      <c r="AA776" s="41"/>
      <c r="AB776" s="41"/>
      <c r="AC776" s="41"/>
      <c r="AD776" s="41"/>
      <c r="AE776" s="59">
        <v>454.29719117399225</v>
      </c>
      <c r="AF776" s="59">
        <v>454.29719117399225</v>
      </c>
      <c r="AG776" s="59" t="s">
        <v>1223</v>
      </c>
      <c r="AH776" s="59" t="s">
        <v>1225</v>
      </c>
    </row>
    <row r="777" spans="1:34" x14ac:dyDescent="0.35">
      <c r="A777" s="58">
        <v>2025</v>
      </c>
      <c r="B777" s="58">
        <v>1</v>
      </c>
      <c r="C777">
        <v>1</v>
      </c>
      <c r="D777" s="58" t="s">
        <v>1558</v>
      </c>
      <c r="E777" t="s">
        <v>1223</v>
      </c>
      <c r="F777" s="58" t="s">
        <v>847</v>
      </c>
      <c r="G777" t="s">
        <v>848</v>
      </c>
      <c r="H777" s="58" t="s">
        <v>1012</v>
      </c>
      <c r="I777" t="s">
        <v>86</v>
      </c>
      <c r="J777" s="58" t="s">
        <v>86</v>
      </c>
      <c r="K777" t="s">
        <v>1429</v>
      </c>
      <c r="L777" t="s">
        <v>20</v>
      </c>
      <c r="M777" t="s">
        <v>1430</v>
      </c>
      <c r="N777" s="59">
        <v>2590</v>
      </c>
      <c r="O777" s="59">
        <v>12950000</v>
      </c>
      <c r="P777" s="59">
        <v>0</v>
      </c>
      <c r="Q777" s="59">
        <v>0</v>
      </c>
      <c r="R777" s="59">
        <v>0</v>
      </c>
      <c r="S777" s="59">
        <v>12950000</v>
      </c>
      <c r="T777" s="41"/>
      <c r="U777" s="41"/>
      <c r="V777" s="41"/>
      <c r="W777" s="41"/>
      <c r="X777" s="41"/>
      <c r="Y777" s="41"/>
      <c r="Z777" s="41"/>
      <c r="AA777" s="41"/>
      <c r="AB777" s="41"/>
      <c r="AC777" s="41"/>
      <c r="AD777" s="41"/>
      <c r="AE777" s="59">
        <v>513.81210704831437</v>
      </c>
      <c r="AF777" s="59">
        <v>513.81210704831437</v>
      </c>
      <c r="AG777" s="59" t="s">
        <v>1223</v>
      </c>
      <c r="AH777" s="59" t="s">
        <v>1226</v>
      </c>
    </row>
    <row r="778" spans="1:34" x14ac:dyDescent="0.35">
      <c r="A778" s="58">
        <v>2025</v>
      </c>
      <c r="B778" s="58">
        <v>1</v>
      </c>
      <c r="C778">
        <v>1</v>
      </c>
      <c r="D778" s="58" t="s">
        <v>652</v>
      </c>
      <c r="E778" t="s">
        <v>71</v>
      </c>
      <c r="F778" s="58" t="s">
        <v>171</v>
      </c>
      <c r="G778" t="s">
        <v>731</v>
      </c>
      <c r="H778" s="58" t="s">
        <v>4</v>
      </c>
      <c r="I778" t="s">
        <v>4</v>
      </c>
      <c r="J778" s="58" t="s">
        <v>4</v>
      </c>
      <c r="K778" t="s">
        <v>1429</v>
      </c>
      <c r="L778" t="s">
        <v>20</v>
      </c>
      <c r="M778" t="s">
        <v>1430</v>
      </c>
      <c r="N778" s="59">
        <v>3300</v>
      </c>
      <c r="O778" s="59">
        <v>108043822</v>
      </c>
      <c r="P778" s="59">
        <v>543430.02170283813</v>
      </c>
      <c r="Q778" s="59">
        <v>0</v>
      </c>
      <c r="R778" s="59">
        <v>0</v>
      </c>
      <c r="S778" s="59">
        <v>107500391.97829716</v>
      </c>
      <c r="T778" s="41"/>
      <c r="U778" s="41"/>
      <c r="V778" s="41"/>
      <c r="W778" s="41"/>
      <c r="X778" s="41"/>
      <c r="Y778" s="41"/>
      <c r="Z778" s="41"/>
      <c r="AA778" s="41"/>
      <c r="AB778" s="41"/>
      <c r="AC778" s="41"/>
      <c r="AD778" s="41"/>
      <c r="AE778" s="59">
        <v>4265.251190030006</v>
      </c>
      <c r="AF778" s="59">
        <v>4286.8126513801562</v>
      </c>
      <c r="AG778" s="59" t="s">
        <v>71</v>
      </c>
      <c r="AH778" s="59" t="s">
        <v>1166</v>
      </c>
    </row>
    <row r="779" spans="1:34" x14ac:dyDescent="0.35">
      <c r="A779" s="58">
        <v>2025</v>
      </c>
      <c r="B779" s="58">
        <v>1</v>
      </c>
      <c r="C779">
        <v>1</v>
      </c>
      <c r="D779" s="58" t="s">
        <v>636</v>
      </c>
      <c r="E779" t="s">
        <v>270</v>
      </c>
      <c r="F779" s="58" t="s">
        <v>171</v>
      </c>
      <c r="G779" t="s">
        <v>731</v>
      </c>
      <c r="H779" s="58" t="s">
        <v>4</v>
      </c>
      <c r="I779" t="s">
        <v>4</v>
      </c>
      <c r="J779" s="58" t="s">
        <v>4</v>
      </c>
      <c r="K779" t="s">
        <v>1429</v>
      </c>
      <c r="L779" t="s">
        <v>20</v>
      </c>
      <c r="M779" t="s">
        <v>1430</v>
      </c>
      <c r="N779" s="59">
        <v>22000</v>
      </c>
      <c r="O779" s="59">
        <v>711068380</v>
      </c>
      <c r="P779" s="59">
        <v>3622866.8113522534</v>
      </c>
      <c r="Q779" s="59">
        <v>0</v>
      </c>
      <c r="R779" s="59">
        <v>0</v>
      </c>
      <c r="S779" s="59">
        <v>707445513.18864775</v>
      </c>
      <c r="T779" s="41"/>
      <c r="U779" s="41"/>
      <c r="V779" s="41"/>
      <c r="W779" s="41"/>
      <c r="X779" s="41"/>
      <c r="Y779" s="41"/>
      <c r="Z779" s="41"/>
      <c r="AA779" s="41"/>
      <c r="AB779" s="41"/>
      <c r="AC779" s="41"/>
      <c r="AD779" s="41"/>
      <c r="AE779" s="59">
        <v>28069.040135392679</v>
      </c>
      <c r="AF779" s="59">
        <v>28212.783211060345</v>
      </c>
      <c r="AG779" s="59" t="s">
        <v>102</v>
      </c>
      <c r="AH779" s="59" t="s">
        <v>1166</v>
      </c>
    </row>
    <row r="780" spans="1:34" x14ac:dyDescent="0.35">
      <c r="A780" s="58">
        <v>2025</v>
      </c>
      <c r="B780" s="58">
        <v>1</v>
      </c>
      <c r="C780">
        <v>1</v>
      </c>
      <c r="D780" s="58" t="s">
        <v>659</v>
      </c>
      <c r="E780" t="s">
        <v>487</v>
      </c>
      <c r="F780" s="58" t="s">
        <v>198</v>
      </c>
      <c r="G780" t="s">
        <v>755</v>
      </c>
      <c r="H780" s="58" t="s">
        <v>1428</v>
      </c>
      <c r="I780" t="s">
        <v>76</v>
      </c>
      <c r="J780" s="58" t="s">
        <v>76</v>
      </c>
      <c r="K780" t="s">
        <v>1429</v>
      </c>
      <c r="L780" t="s">
        <v>20</v>
      </c>
      <c r="M780" t="s">
        <v>1430</v>
      </c>
      <c r="N780" s="59">
        <v>3000</v>
      </c>
      <c r="O780" s="59">
        <v>80445000</v>
      </c>
      <c r="P780" s="59">
        <v>0</v>
      </c>
      <c r="Q780" s="59">
        <v>0</v>
      </c>
      <c r="R780" s="59">
        <v>0</v>
      </c>
      <c r="S780" s="59">
        <v>80445000</v>
      </c>
      <c r="T780" s="41"/>
      <c r="U780" s="41"/>
      <c r="V780" s="41"/>
      <c r="W780" s="41"/>
      <c r="X780" s="41"/>
      <c r="Y780" s="41"/>
      <c r="Z780" s="41"/>
      <c r="AA780" s="41"/>
      <c r="AB780" s="41"/>
      <c r="AC780" s="41"/>
      <c r="AD780" s="41"/>
      <c r="AE780" s="59">
        <v>3191.7849383398957</v>
      </c>
      <c r="AF780" s="59">
        <v>3191.7849383398957</v>
      </c>
      <c r="AG780" s="59" t="s">
        <v>99</v>
      </c>
      <c r="AH780" s="59" t="s">
        <v>1250</v>
      </c>
    </row>
    <row r="781" spans="1:34" x14ac:dyDescent="0.35">
      <c r="A781" s="58">
        <v>2025</v>
      </c>
      <c r="B781" s="58">
        <v>1</v>
      </c>
      <c r="C781">
        <v>1</v>
      </c>
      <c r="D781" s="58" t="s">
        <v>1612</v>
      </c>
      <c r="E781" t="s">
        <v>1213</v>
      </c>
      <c r="F781" s="58" t="s">
        <v>1613</v>
      </c>
      <c r="G781" t="s">
        <v>1614</v>
      </c>
      <c r="H781" s="58" t="s">
        <v>1012</v>
      </c>
      <c r="I781" t="s">
        <v>86</v>
      </c>
      <c r="J781" s="58" t="s">
        <v>86</v>
      </c>
      <c r="K781" t="s">
        <v>1429</v>
      </c>
      <c r="L781" t="s">
        <v>20</v>
      </c>
      <c r="M781" t="s">
        <v>1430</v>
      </c>
      <c r="N781" s="59">
        <v>1861</v>
      </c>
      <c r="O781" s="59">
        <v>33870200</v>
      </c>
      <c r="P781" s="59">
        <v>0</v>
      </c>
      <c r="Q781" s="59">
        <v>0</v>
      </c>
      <c r="R781" s="59">
        <v>0</v>
      </c>
      <c r="S781" s="59">
        <v>33870200</v>
      </c>
      <c r="T781" s="41"/>
      <c r="U781" s="41"/>
      <c r="V781" s="41"/>
      <c r="W781" s="41"/>
      <c r="X781" s="41"/>
      <c r="Y781" s="41"/>
      <c r="Z781" s="41"/>
      <c r="AA781" s="41"/>
      <c r="AB781" s="41"/>
      <c r="AC781" s="41"/>
      <c r="AD781" s="41"/>
      <c r="AE781" s="59">
        <v>1343.8547357643104</v>
      </c>
      <c r="AF781" s="59">
        <v>1343.8547357643104</v>
      </c>
      <c r="AG781" s="59" t="s">
        <v>1213</v>
      </c>
      <c r="AH781" s="59" t="s">
        <v>1212</v>
      </c>
    </row>
    <row r="782" spans="1:34" x14ac:dyDescent="0.35">
      <c r="A782" s="58">
        <v>2025</v>
      </c>
      <c r="B782" s="58">
        <v>1</v>
      </c>
      <c r="C782">
        <v>1</v>
      </c>
      <c r="D782" s="58" t="s">
        <v>1612</v>
      </c>
      <c r="E782" t="s">
        <v>1213</v>
      </c>
      <c r="F782" s="58" t="s">
        <v>1472</v>
      </c>
      <c r="G782" t="s">
        <v>1473</v>
      </c>
      <c r="H782" s="58" t="s">
        <v>1012</v>
      </c>
      <c r="I782" t="s">
        <v>86</v>
      </c>
      <c r="J782" s="58" t="s">
        <v>86</v>
      </c>
      <c r="K782" t="s">
        <v>1429</v>
      </c>
      <c r="L782" t="s">
        <v>20</v>
      </c>
      <c r="M782" t="s">
        <v>1430</v>
      </c>
      <c r="N782" s="59">
        <v>4966</v>
      </c>
      <c r="O782" s="59">
        <v>100313200</v>
      </c>
      <c r="P782" s="59">
        <v>0</v>
      </c>
      <c r="Q782" s="59">
        <v>0</v>
      </c>
      <c r="R782" s="59">
        <v>0</v>
      </c>
      <c r="S782" s="59">
        <v>100313200</v>
      </c>
      <c r="T782" s="41"/>
      <c r="U782" s="41"/>
      <c r="V782" s="41"/>
      <c r="W782" s="41"/>
      <c r="X782" s="41"/>
      <c r="Y782" s="41"/>
      <c r="Z782" s="41"/>
      <c r="AA782" s="41"/>
      <c r="AB782" s="41"/>
      <c r="AC782" s="41"/>
      <c r="AD782" s="41"/>
      <c r="AE782" s="59">
        <v>3980.0877727227003</v>
      </c>
      <c r="AF782" s="59">
        <v>3980.0877727227003</v>
      </c>
      <c r="AG782" s="59" t="s">
        <v>1213</v>
      </c>
      <c r="AH782" s="59" t="s">
        <v>1215</v>
      </c>
    </row>
    <row r="783" spans="1:34" x14ac:dyDescent="0.35">
      <c r="A783" s="58">
        <v>2025</v>
      </c>
      <c r="B783" s="58">
        <v>1</v>
      </c>
      <c r="C783">
        <v>1</v>
      </c>
      <c r="D783" s="58" t="s">
        <v>1612</v>
      </c>
      <c r="E783" t="s">
        <v>1213</v>
      </c>
      <c r="F783" s="58" t="s">
        <v>1615</v>
      </c>
      <c r="G783" t="s">
        <v>1616</v>
      </c>
      <c r="H783" s="58" t="s">
        <v>1012</v>
      </c>
      <c r="I783" t="s">
        <v>86</v>
      </c>
      <c r="J783" s="58" t="s">
        <v>86</v>
      </c>
      <c r="K783" t="s">
        <v>1429</v>
      </c>
      <c r="L783" t="s">
        <v>20</v>
      </c>
      <c r="M783" t="s">
        <v>1430</v>
      </c>
      <c r="N783" s="59">
        <v>12897</v>
      </c>
      <c r="O783" s="59">
        <v>234725400</v>
      </c>
      <c r="P783" s="59">
        <v>0</v>
      </c>
      <c r="Q783" s="59">
        <v>0</v>
      </c>
      <c r="R783" s="59">
        <v>0</v>
      </c>
      <c r="S783" s="59">
        <v>234725400</v>
      </c>
      <c r="T783" s="41"/>
      <c r="U783" s="41"/>
      <c r="V783" s="41"/>
      <c r="W783" s="41"/>
      <c r="X783" s="41"/>
      <c r="Y783" s="41"/>
      <c r="Z783" s="41"/>
      <c r="AA783" s="41"/>
      <c r="AB783" s="41"/>
      <c r="AC783" s="41"/>
      <c r="AD783" s="41"/>
      <c r="AE783" s="59">
        <v>9313.1082897110737</v>
      </c>
      <c r="AF783" s="59">
        <v>9313.1082897110737</v>
      </c>
      <c r="AG783" s="59" t="s">
        <v>1213</v>
      </c>
      <c r="AH783" s="59" t="s">
        <v>1230</v>
      </c>
    </row>
    <row r="784" spans="1:34" x14ac:dyDescent="0.35">
      <c r="A784" s="58">
        <v>2025</v>
      </c>
      <c r="B784" s="58">
        <v>1</v>
      </c>
      <c r="C784">
        <v>1</v>
      </c>
      <c r="D784" s="58" t="s">
        <v>627</v>
      </c>
      <c r="E784" t="s">
        <v>58</v>
      </c>
      <c r="F784" s="58" t="s">
        <v>200</v>
      </c>
      <c r="G784" t="s">
        <v>470</v>
      </c>
      <c r="H784" s="58" t="s">
        <v>1428</v>
      </c>
      <c r="I784" t="s">
        <v>76</v>
      </c>
      <c r="J784" s="58" t="s">
        <v>76</v>
      </c>
      <c r="K784" t="s">
        <v>1429</v>
      </c>
      <c r="L784" t="s">
        <v>20</v>
      </c>
      <c r="M784" t="s">
        <v>1430</v>
      </c>
      <c r="N784" s="59">
        <v>6000</v>
      </c>
      <c r="O784" s="59">
        <v>94444445</v>
      </c>
      <c r="P784" s="59">
        <v>181143.3405676127</v>
      </c>
      <c r="Q784" s="59">
        <v>0</v>
      </c>
      <c r="R784" s="59">
        <v>0</v>
      </c>
      <c r="S784" s="59">
        <v>94263301.659432381</v>
      </c>
      <c r="T784" s="41"/>
      <c r="U784" s="41"/>
      <c r="V784" s="41"/>
      <c r="W784" s="41"/>
      <c r="X784" s="41"/>
      <c r="Y784" s="41"/>
      <c r="Z784" s="41"/>
      <c r="AA784" s="41"/>
      <c r="AB784" s="41"/>
      <c r="AC784" s="41"/>
      <c r="AD784" s="41"/>
      <c r="AE784" s="59">
        <v>3740.0483121979782</v>
      </c>
      <c r="AF784" s="59">
        <v>3747.2354659813618</v>
      </c>
      <c r="AG784" s="59" t="s">
        <v>58</v>
      </c>
      <c r="AH784" s="59" t="s">
        <v>79</v>
      </c>
    </row>
    <row r="785" spans="1:34" x14ac:dyDescent="0.35">
      <c r="A785" s="58">
        <v>2025</v>
      </c>
      <c r="B785" s="58">
        <v>1</v>
      </c>
      <c r="C785">
        <v>1</v>
      </c>
      <c r="D785" s="58" t="s">
        <v>627</v>
      </c>
      <c r="E785" t="s">
        <v>58</v>
      </c>
      <c r="F785" s="58" t="s">
        <v>202</v>
      </c>
      <c r="G785" t="s">
        <v>473</v>
      </c>
      <c r="H785" s="58" t="s">
        <v>1428</v>
      </c>
      <c r="I785" t="s">
        <v>76</v>
      </c>
      <c r="J785" s="58" t="s">
        <v>76</v>
      </c>
      <c r="K785" t="s">
        <v>1429</v>
      </c>
      <c r="L785" t="s">
        <v>20</v>
      </c>
      <c r="M785" t="s">
        <v>1430</v>
      </c>
      <c r="N785" s="59">
        <v>1500</v>
      </c>
      <c r="O785" s="59">
        <v>23611111</v>
      </c>
      <c r="P785" s="59">
        <v>0</v>
      </c>
      <c r="Q785" s="59">
        <v>0</v>
      </c>
      <c r="R785" s="59">
        <v>0</v>
      </c>
      <c r="S785" s="59">
        <v>23611111</v>
      </c>
      <c r="T785" s="41"/>
      <c r="U785" s="41"/>
      <c r="V785" s="41"/>
      <c r="W785" s="41"/>
      <c r="X785" s="41"/>
      <c r="Y785" s="41"/>
      <c r="Z785" s="41"/>
      <c r="AA785" s="41"/>
      <c r="AB785" s="41"/>
      <c r="AC785" s="41"/>
      <c r="AD785" s="41"/>
      <c r="AE785" s="59">
        <v>936.80885657618785</v>
      </c>
      <c r="AF785" s="59">
        <v>936.80885657618785</v>
      </c>
      <c r="AG785" s="59" t="s">
        <v>58</v>
      </c>
      <c r="AH785" s="59" t="s">
        <v>80</v>
      </c>
    </row>
    <row r="786" spans="1:34" x14ac:dyDescent="0.35">
      <c r="A786" s="58">
        <v>2025</v>
      </c>
      <c r="B786" s="58">
        <v>1</v>
      </c>
      <c r="C786">
        <v>1</v>
      </c>
      <c r="D786" s="58" t="s">
        <v>1617</v>
      </c>
      <c r="E786" t="s">
        <v>1278</v>
      </c>
      <c r="F786" s="58" t="s">
        <v>1496</v>
      </c>
      <c r="G786" t="s">
        <v>1497</v>
      </c>
      <c r="H786" s="58" t="s">
        <v>1012</v>
      </c>
      <c r="I786" t="s">
        <v>1012</v>
      </c>
      <c r="J786" s="58" t="s">
        <v>1012</v>
      </c>
      <c r="K786" t="s">
        <v>1429</v>
      </c>
      <c r="L786" t="s">
        <v>20</v>
      </c>
      <c r="M786" t="s">
        <v>1430</v>
      </c>
      <c r="N786" s="59">
        <v>0</v>
      </c>
      <c r="O786" s="59">
        <v>0</v>
      </c>
      <c r="P786" s="59">
        <v>0</v>
      </c>
      <c r="Q786" s="59">
        <v>0</v>
      </c>
      <c r="R786" s="59">
        <v>0</v>
      </c>
      <c r="S786" s="59">
        <v>0</v>
      </c>
      <c r="T786" s="41"/>
      <c r="U786" s="41"/>
      <c r="V786" s="41"/>
      <c r="W786" s="41"/>
      <c r="X786" s="41"/>
      <c r="Y786" s="41"/>
      <c r="Z786" s="41"/>
      <c r="AA786" s="41"/>
      <c r="AB786" s="41"/>
      <c r="AC786" s="41"/>
      <c r="AD786" s="41"/>
      <c r="AE786" s="59">
        <v>0</v>
      </c>
      <c r="AF786" s="59">
        <v>0</v>
      </c>
      <c r="AG786" s="59" t="s">
        <v>1278</v>
      </c>
      <c r="AH786" s="59" t="s">
        <v>1329</v>
      </c>
    </row>
    <row r="787" spans="1:34" x14ac:dyDescent="0.35">
      <c r="A787" s="58">
        <v>2025</v>
      </c>
      <c r="B787" s="58">
        <v>1</v>
      </c>
      <c r="C787">
        <v>1</v>
      </c>
      <c r="D787" s="58" t="s">
        <v>1618</v>
      </c>
      <c r="E787" t="s">
        <v>1343</v>
      </c>
      <c r="F787" s="58" t="s">
        <v>1496</v>
      </c>
      <c r="G787" t="s">
        <v>1497</v>
      </c>
      <c r="H787" s="58" t="s">
        <v>1012</v>
      </c>
      <c r="I787" t="s">
        <v>1012</v>
      </c>
      <c r="J787" s="58" t="s">
        <v>1012</v>
      </c>
      <c r="K787" t="s">
        <v>1429</v>
      </c>
      <c r="L787" t="s">
        <v>20</v>
      </c>
      <c r="M787" t="s">
        <v>1430</v>
      </c>
      <c r="N787" s="59">
        <v>0</v>
      </c>
      <c r="O787" s="59">
        <v>0</v>
      </c>
      <c r="P787" s="59">
        <v>0</v>
      </c>
      <c r="Q787" s="59">
        <v>0</v>
      </c>
      <c r="R787" s="59">
        <v>0</v>
      </c>
      <c r="S787" s="59">
        <v>0</v>
      </c>
      <c r="T787" s="41"/>
      <c r="U787" s="41"/>
      <c r="V787" s="41"/>
      <c r="W787" s="41"/>
      <c r="X787" s="41"/>
      <c r="Y787" s="41"/>
      <c r="Z787" s="41"/>
      <c r="AA787" s="41"/>
      <c r="AB787" s="41"/>
      <c r="AC787" s="41"/>
      <c r="AD787" s="41"/>
      <c r="AE787" s="59">
        <v>0</v>
      </c>
      <c r="AF787" s="59">
        <v>0</v>
      </c>
      <c r="AG787" s="59" t="s">
        <v>1343</v>
      </c>
      <c r="AH787" s="59" t="s">
        <v>1329</v>
      </c>
    </row>
    <row r="788" spans="1:34" x14ac:dyDescent="0.35">
      <c r="A788" s="58">
        <v>2025</v>
      </c>
      <c r="B788" s="58">
        <v>1</v>
      </c>
      <c r="C788">
        <v>1</v>
      </c>
      <c r="D788" s="58" t="s">
        <v>587</v>
      </c>
      <c r="E788" t="s">
        <v>6</v>
      </c>
      <c r="F788" s="58" t="s">
        <v>171</v>
      </c>
      <c r="G788" t="s">
        <v>731</v>
      </c>
      <c r="H788" s="58" t="s">
        <v>4</v>
      </c>
      <c r="I788" t="s">
        <v>4</v>
      </c>
      <c r="J788" s="58" t="s">
        <v>4</v>
      </c>
      <c r="K788" t="s">
        <v>1476</v>
      </c>
      <c r="L788" t="s">
        <v>1477</v>
      </c>
      <c r="M788" t="s">
        <v>1430</v>
      </c>
      <c r="N788" s="59">
        <v>2376000</v>
      </c>
      <c r="O788" s="59">
        <v>72787646470</v>
      </c>
      <c r="P788" s="59">
        <v>178232314.41860464</v>
      </c>
      <c r="Q788" s="59">
        <v>1091814697.0499997</v>
      </c>
      <c r="R788" s="59">
        <v>667925808.98000038</v>
      </c>
      <c r="S788" s="59">
        <v>70849673649.551422</v>
      </c>
      <c r="T788" s="41"/>
      <c r="U788" s="41"/>
      <c r="V788" s="41"/>
      <c r="W788" s="41"/>
      <c r="X788" s="41"/>
      <c r="Y788" s="41"/>
      <c r="Z788" s="41"/>
      <c r="AA788" s="41"/>
      <c r="AB788" s="41"/>
      <c r="AC788" s="41"/>
      <c r="AD788" s="41"/>
      <c r="AE788" s="59">
        <v>2810938.9366350351</v>
      </c>
      <c r="AF788" s="59">
        <v>2887827.8000000007</v>
      </c>
      <c r="AG788" s="59" t="s">
        <v>6</v>
      </c>
      <c r="AH788" s="59" t="s">
        <v>1166</v>
      </c>
    </row>
    <row r="789" spans="1:34" x14ac:dyDescent="0.35">
      <c r="A789" s="58">
        <v>2025</v>
      </c>
      <c r="B789" s="58">
        <v>1</v>
      </c>
      <c r="C789">
        <v>1</v>
      </c>
      <c r="D789" s="58" t="s">
        <v>587</v>
      </c>
      <c r="E789" t="s">
        <v>6</v>
      </c>
      <c r="F789" s="58" t="s">
        <v>1152</v>
      </c>
      <c r="G789" t="s">
        <v>1153</v>
      </c>
      <c r="H789" s="58" t="s">
        <v>1012</v>
      </c>
      <c r="I789" t="s">
        <v>1012</v>
      </c>
      <c r="J789" s="58" t="s">
        <v>1399</v>
      </c>
      <c r="K789" t="s">
        <v>1429</v>
      </c>
      <c r="L789" t="s">
        <v>20</v>
      </c>
      <c r="M789" t="s">
        <v>1430</v>
      </c>
      <c r="N789" s="59">
        <v>0</v>
      </c>
      <c r="O789" s="59">
        <v>0</v>
      </c>
      <c r="P789" s="59">
        <v>0</v>
      </c>
      <c r="Q789" s="59">
        <v>0</v>
      </c>
      <c r="R789" s="59">
        <v>21009023.019999966</v>
      </c>
      <c r="S789" s="59">
        <v>-21009023.019999966</v>
      </c>
      <c r="T789" s="41"/>
      <c r="U789" s="41"/>
      <c r="V789" s="41"/>
      <c r="W789" s="41"/>
      <c r="X789" s="41"/>
      <c r="Y789" s="41"/>
      <c r="Z789" s="41"/>
      <c r="AA789" s="41"/>
      <c r="AB789" s="41"/>
      <c r="AC789" s="41"/>
      <c r="AD789" s="41"/>
      <c r="AE789" s="59">
        <v>-833.56682509133213</v>
      </c>
      <c r="AF789" s="59">
        <v>0</v>
      </c>
      <c r="AG789" s="59" t="s">
        <v>6</v>
      </c>
      <c r="AH789" s="59" t="s">
        <v>1400</v>
      </c>
    </row>
    <row r="790" spans="1:34" x14ac:dyDescent="0.35">
      <c r="A790" s="58">
        <v>2025</v>
      </c>
      <c r="B790" s="58">
        <v>1</v>
      </c>
      <c r="C790">
        <v>1</v>
      </c>
      <c r="D790" s="58" t="s">
        <v>1619</v>
      </c>
      <c r="E790" t="s">
        <v>1339</v>
      </c>
      <c r="F790" s="58" t="s">
        <v>1496</v>
      </c>
      <c r="G790" t="s">
        <v>1497</v>
      </c>
      <c r="H790" s="58" t="s">
        <v>1012</v>
      </c>
      <c r="I790" t="s">
        <v>1012</v>
      </c>
      <c r="J790" s="58" t="s">
        <v>1012</v>
      </c>
      <c r="K790" t="s">
        <v>1429</v>
      </c>
      <c r="L790" t="s">
        <v>20</v>
      </c>
      <c r="M790" t="s">
        <v>1430</v>
      </c>
      <c r="N790" s="59">
        <v>0</v>
      </c>
      <c r="O790" s="59">
        <v>0</v>
      </c>
      <c r="P790" s="59">
        <v>0</v>
      </c>
      <c r="Q790" s="59">
        <v>0</v>
      </c>
      <c r="R790" s="59">
        <v>0</v>
      </c>
      <c r="S790" s="59">
        <v>0</v>
      </c>
      <c r="T790" s="41"/>
      <c r="U790" s="41"/>
      <c r="V790" s="41"/>
      <c r="W790" s="41"/>
      <c r="X790" s="41"/>
      <c r="Y790" s="41"/>
      <c r="Z790" s="41"/>
      <c r="AA790" s="41"/>
      <c r="AB790" s="41"/>
      <c r="AC790" s="41"/>
      <c r="AD790" s="41"/>
      <c r="AE790" s="59">
        <v>0</v>
      </c>
      <c r="AF790" s="59">
        <v>0</v>
      </c>
      <c r="AG790" s="59" t="s">
        <v>1339</v>
      </c>
      <c r="AH790" s="59" t="s">
        <v>1329</v>
      </c>
    </row>
    <row r="791" spans="1:34" x14ac:dyDescent="0.35">
      <c r="A791" s="58">
        <v>2025</v>
      </c>
      <c r="B791" s="58">
        <v>1</v>
      </c>
      <c r="C791">
        <v>1</v>
      </c>
      <c r="D791" s="58" t="s">
        <v>668</v>
      </c>
      <c r="E791" t="s">
        <v>142</v>
      </c>
      <c r="F791" s="58" t="s">
        <v>171</v>
      </c>
      <c r="G791" t="s">
        <v>731</v>
      </c>
      <c r="H791" s="58" t="s">
        <v>4</v>
      </c>
      <c r="I791" t="s">
        <v>4</v>
      </c>
      <c r="J791" s="58" t="s">
        <v>4</v>
      </c>
      <c r="K791" t="s">
        <v>1476</v>
      </c>
      <c r="L791" t="s">
        <v>1528</v>
      </c>
      <c r="M791" t="s">
        <v>1430</v>
      </c>
      <c r="N791" s="59">
        <v>1100</v>
      </c>
      <c r="O791" s="59">
        <v>40071295.000000007</v>
      </c>
      <c r="P791" s="59">
        <v>165029.92075796728</v>
      </c>
      <c r="Q791" s="59">
        <v>0</v>
      </c>
      <c r="R791" s="59">
        <v>1846968</v>
      </c>
      <c r="S791" s="59">
        <v>38059297.079242043</v>
      </c>
      <c r="T791" s="41"/>
      <c r="U791" s="41"/>
      <c r="V791" s="41"/>
      <c r="W791" s="41"/>
      <c r="X791" s="41"/>
      <c r="Y791" s="41"/>
      <c r="Z791" s="41"/>
      <c r="AA791" s="41"/>
      <c r="AB791" s="41"/>
      <c r="AC791" s="41"/>
      <c r="AD791" s="41"/>
      <c r="AE791" s="59">
        <v>1509.6904831115448</v>
      </c>
      <c r="AF791" s="59">
        <v>1589.5000000000002</v>
      </c>
      <c r="AG791" s="59" t="s">
        <v>142</v>
      </c>
      <c r="AH791" s="59" t="s">
        <v>1166</v>
      </c>
    </row>
    <row r="792" spans="1:34" x14ac:dyDescent="0.35">
      <c r="A792" s="58">
        <v>2025</v>
      </c>
      <c r="B792" s="58">
        <v>1</v>
      </c>
      <c r="C792">
        <v>1</v>
      </c>
      <c r="D792" s="58" t="s">
        <v>668</v>
      </c>
      <c r="E792" t="s">
        <v>142</v>
      </c>
      <c r="F792" s="58" t="s">
        <v>1152</v>
      </c>
      <c r="G792" t="s">
        <v>1153</v>
      </c>
      <c r="H792" s="58" t="s">
        <v>1012</v>
      </c>
      <c r="I792" t="s">
        <v>1012</v>
      </c>
      <c r="J792" s="58" t="s">
        <v>1399</v>
      </c>
      <c r="K792" t="s">
        <v>1429</v>
      </c>
      <c r="L792" t="s">
        <v>20</v>
      </c>
      <c r="M792" t="s">
        <v>1430</v>
      </c>
      <c r="N792" s="59">
        <v>0</v>
      </c>
      <c r="O792" s="59">
        <v>0</v>
      </c>
      <c r="P792" s="59">
        <v>0</v>
      </c>
      <c r="Q792" s="59">
        <v>0</v>
      </c>
      <c r="R792" s="59">
        <v>844367</v>
      </c>
      <c r="S792" s="59">
        <v>-844367</v>
      </c>
      <c r="T792" s="41"/>
      <c r="U792" s="41"/>
      <c r="V792" s="41"/>
      <c r="W792" s="41"/>
      <c r="X792" s="41"/>
      <c r="Y792" s="41"/>
      <c r="Z792" s="41"/>
      <c r="AA792" s="41"/>
      <c r="AB792" s="41"/>
      <c r="AC792" s="41"/>
      <c r="AD792" s="41"/>
      <c r="AE792" s="59">
        <v>-33.501620648035832</v>
      </c>
      <c r="AF792" s="59">
        <v>0</v>
      </c>
      <c r="AG792" s="59" t="s">
        <v>142</v>
      </c>
      <c r="AH792" s="59" t="s">
        <v>1400</v>
      </c>
    </row>
    <row r="793" spans="1:34" x14ac:dyDescent="0.35">
      <c r="A793" s="58">
        <v>2025</v>
      </c>
      <c r="B793" s="58">
        <v>1</v>
      </c>
      <c r="C793">
        <v>1</v>
      </c>
      <c r="D793" s="58" t="s">
        <v>613</v>
      </c>
      <c r="E793" t="s">
        <v>132</v>
      </c>
      <c r="F793" s="58" t="s">
        <v>172</v>
      </c>
      <c r="G793" t="s">
        <v>734</v>
      </c>
      <c r="H793" s="58" t="s">
        <v>4</v>
      </c>
      <c r="I793" t="s">
        <v>4</v>
      </c>
      <c r="J793" s="58" t="s">
        <v>4</v>
      </c>
      <c r="K793" t="s">
        <v>1476</v>
      </c>
      <c r="L793" t="s">
        <v>1479</v>
      </c>
      <c r="M793" t="s">
        <v>1430</v>
      </c>
      <c r="N793" s="59">
        <v>132000</v>
      </c>
      <c r="O793" s="59">
        <v>4710530000</v>
      </c>
      <c r="P793" s="59">
        <v>9901795.2454780377</v>
      </c>
      <c r="Q793" s="59">
        <v>0</v>
      </c>
      <c r="R793" s="59">
        <v>507582592</v>
      </c>
      <c r="S793" s="59">
        <v>4193045612.7545214</v>
      </c>
      <c r="T793" s="41"/>
      <c r="U793" s="41"/>
      <c r="V793" s="41"/>
      <c r="W793" s="41"/>
      <c r="X793" s="41"/>
      <c r="Y793" s="41"/>
      <c r="Z793" s="41"/>
      <c r="AA793" s="41"/>
      <c r="AB793" s="41"/>
      <c r="AC793" s="41"/>
      <c r="AD793" s="41"/>
      <c r="AE793" s="59">
        <v>166456.75318596748</v>
      </c>
      <c r="AF793" s="59">
        <v>187000</v>
      </c>
      <c r="AG793" s="59" t="s">
        <v>132</v>
      </c>
      <c r="AH793" s="59" t="s">
        <v>1175</v>
      </c>
    </row>
    <row r="794" spans="1:34" x14ac:dyDescent="0.35">
      <c r="A794" s="58">
        <v>2025</v>
      </c>
      <c r="B794" s="58">
        <v>1</v>
      </c>
      <c r="C794">
        <v>1</v>
      </c>
      <c r="D794" s="58" t="s">
        <v>613</v>
      </c>
      <c r="E794" t="s">
        <v>132</v>
      </c>
      <c r="F794" s="58" t="s">
        <v>1152</v>
      </c>
      <c r="G794" t="s">
        <v>1153</v>
      </c>
      <c r="H794" s="58" t="s">
        <v>1012</v>
      </c>
      <c r="I794" t="s">
        <v>1012</v>
      </c>
      <c r="J794" s="58" t="s">
        <v>1399</v>
      </c>
      <c r="K794" t="s">
        <v>1429</v>
      </c>
      <c r="L794" t="s">
        <v>20</v>
      </c>
      <c r="M794" t="s">
        <v>1430</v>
      </c>
      <c r="N794" s="59">
        <v>0</v>
      </c>
      <c r="O794" s="59">
        <v>0</v>
      </c>
      <c r="P794" s="59">
        <v>0</v>
      </c>
      <c r="Q794" s="59">
        <v>0</v>
      </c>
      <c r="R794" s="59">
        <v>3247408</v>
      </c>
      <c r="S794" s="59">
        <v>-3247408</v>
      </c>
      <c r="T794" s="41"/>
      <c r="U794" s="41"/>
      <c r="V794" s="41"/>
      <c r="W794" s="41"/>
      <c r="X794" s="41"/>
      <c r="Y794" s="41"/>
      <c r="Z794" s="41"/>
      <c r="AA794" s="41"/>
      <c r="AB794" s="41"/>
      <c r="AC794" s="41"/>
      <c r="AD794" s="41"/>
      <c r="AE794" s="59">
        <v>-128.84614261973377</v>
      </c>
      <c r="AF794" s="59">
        <v>0</v>
      </c>
      <c r="AG794" s="59" t="s">
        <v>132</v>
      </c>
      <c r="AH794" s="59" t="s">
        <v>1400</v>
      </c>
    </row>
    <row r="795" spans="1:34" x14ac:dyDescent="0.35">
      <c r="A795" s="58">
        <v>2025</v>
      </c>
      <c r="B795" s="58">
        <v>1</v>
      </c>
      <c r="C795">
        <v>1</v>
      </c>
      <c r="D795" s="58" t="s">
        <v>599</v>
      </c>
      <c r="E795" t="s">
        <v>127</v>
      </c>
      <c r="F795" s="58" t="s">
        <v>168</v>
      </c>
      <c r="G795" t="s">
        <v>700</v>
      </c>
      <c r="H795" s="58" t="s">
        <v>4</v>
      </c>
      <c r="I795" t="s">
        <v>4</v>
      </c>
      <c r="J795" s="58" t="s">
        <v>4</v>
      </c>
      <c r="K795" t="s">
        <v>1476</v>
      </c>
      <c r="L795" t="s">
        <v>303</v>
      </c>
      <c r="M795" t="s">
        <v>1430</v>
      </c>
      <c r="N795" s="59">
        <v>44000</v>
      </c>
      <c r="O795" s="59">
        <v>1732366680</v>
      </c>
      <c r="P795" s="59">
        <v>3300598.4151593461</v>
      </c>
      <c r="Q795" s="59">
        <v>22167200</v>
      </c>
      <c r="R795" s="59">
        <v>210125000</v>
      </c>
      <c r="S795" s="59">
        <v>1496773881.5848405</v>
      </c>
      <c r="T795" s="41"/>
      <c r="U795" s="41"/>
      <c r="V795" s="41"/>
      <c r="W795" s="41"/>
      <c r="X795" s="41"/>
      <c r="Y795" s="41"/>
      <c r="Z795" s="41"/>
      <c r="AA795" s="41"/>
      <c r="AB795" s="41"/>
      <c r="AC795" s="41"/>
      <c r="AD795" s="41"/>
      <c r="AE795" s="59">
        <v>59419.368066091331</v>
      </c>
      <c r="AF795" s="59">
        <v>68772</v>
      </c>
      <c r="AG795" s="59" t="s">
        <v>127</v>
      </c>
      <c r="AH795" s="59" t="s">
        <v>1160</v>
      </c>
    </row>
    <row r="796" spans="1:34" x14ac:dyDescent="0.35">
      <c r="A796" s="58">
        <v>2025</v>
      </c>
      <c r="B796" s="58">
        <v>1</v>
      </c>
      <c r="C796">
        <v>1</v>
      </c>
      <c r="D796" s="58" t="s">
        <v>599</v>
      </c>
      <c r="E796" t="s">
        <v>127</v>
      </c>
      <c r="F796" s="58" t="s">
        <v>1152</v>
      </c>
      <c r="G796" t="s">
        <v>1153</v>
      </c>
      <c r="H796" s="58" t="s">
        <v>1012</v>
      </c>
      <c r="I796" t="s">
        <v>1012</v>
      </c>
      <c r="J796" s="58" t="s">
        <v>1399</v>
      </c>
      <c r="K796" t="s">
        <v>1429</v>
      </c>
      <c r="L796" t="s">
        <v>20</v>
      </c>
      <c r="M796" t="s">
        <v>1430</v>
      </c>
      <c r="N796" s="59">
        <v>0</v>
      </c>
      <c r="O796" s="59">
        <v>0</v>
      </c>
      <c r="P796" s="59">
        <v>0</v>
      </c>
      <c r="Q796" s="59">
        <v>0</v>
      </c>
      <c r="R796" s="59">
        <v>-4468334</v>
      </c>
      <c r="S796" s="59">
        <v>4468334</v>
      </c>
      <c r="T796" s="41"/>
      <c r="U796" s="41"/>
      <c r="V796" s="41"/>
      <c r="W796" s="41"/>
      <c r="X796" s="41"/>
      <c r="Y796" s="41"/>
      <c r="Z796" s="41"/>
      <c r="AA796" s="41"/>
      <c r="AB796" s="41"/>
      <c r="AC796" s="41"/>
      <c r="AD796" s="41"/>
      <c r="AE796" s="59">
        <v>177.28834807224885</v>
      </c>
      <c r="AF796" s="59">
        <v>0</v>
      </c>
      <c r="AG796" s="59" t="s">
        <v>127</v>
      </c>
      <c r="AH796" s="59" t="s">
        <v>1400</v>
      </c>
    </row>
    <row r="797" spans="1:34" x14ac:dyDescent="0.35">
      <c r="A797" s="58">
        <v>2025</v>
      </c>
      <c r="B797" s="58">
        <v>1</v>
      </c>
      <c r="C797">
        <v>1</v>
      </c>
      <c r="D797" s="58" t="s">
        <v>1555</v>
      </c>
      <c r="E797" t="s">
        <v>1289</v>
      </c>
      <c r="F797" s="58" t="s">
        <v>1468</v>
      </c>
      <c r="G797" t="s">
        <v>1012</v>
      </c>
      <c r="H797" s="58" t="s">
        <v>1012</v>
      </c>
      <c r="I797" t="s">
        <v>1012</v>
      </c>
      <c r="J797" s="58" t="s">
        <v>1012</v>
      </c>
      <c r="K797" t="s">
        <v>1429</v>
      </c>
      <c r="L797" t="s">
        <v>20</v>
      </c>
      <c r="M797" t="s">
        <v>1430</v>
      </c>
      <c r="N797" s="59">
        <v>0</v>
      </c>
      <c r="O797" s="59">
        <v>0</v>
      </c>
      <c r="P797" s="59">
        <v>0</v>
      </c>
      <c r="Q797" s="59">
        <v>0</v>
      </c>
      <c r="R797" s="59">
        <v>0</v>
      </c>
      <c r="S797" s="59">
        <v>0</v>
      </c>
      <c r="T797" s="41"/>
      <c r="U797" s="41"/>
      <c r="V797" s="41"/>
      <c r="W797" s="41"/>
      <c r="X797" s="41"/>
      <c r="Y797" s="41"/>
      <c r="Z797" s="41"/>
      <c r="AA797" s="41"/>
      <c r="AB797" s="41"/>
      <c r="AC797" s="41"/>
      <c r="AD797" s="41"/>
      <c r="AE797" s="59">
        <v>0</v>
      </c>
      <c r="AF797" s="59">
        <v>0</v>
      </c>
      <c r="AG797" s="59" t="s">
        <v>1289</v>
      </c>
      <c r="AH797" s="59" t="s">
        <v>1284</v>
      </c>
    </row>
    <row r="798" spans="1:34" x14ac:dyDescent="0.35">
      <c r="A798" s="58">
        <v>2025</v>
      </c>
      <c r="B798" s="58">
        <v>1</v>
      </c>
      <c r="C798">
        <v>1</v>
      </c>
      <c r="D798" s="58" t="s">
        <v>1620</v>
      </c>
      <c r="E798" t="s">
        <v>1295</v>
      </c>
      <c r="F798" s="58" t="s">
        <v>1597</v>
      </c>
      <c r="G798" t="s">
        <v>1598</v>
      </c>
      <c r="H798" s="58" t="s">
        <v>1012</v>
      </c>
      <c r="I798" t="s">
        <v>1012</v>
      </c>
      <c r="J798" s="58" t="s">
        <v>1012</v>
      </c>
      <c r="K798" t="s">
        <v>1429</v>
      </c>
      <c r="L798" t="s">
        <v>20</v>
      </c>
      <c r="M798" t="s">
        <v>1430</v>
      </c>
      <c r="N798" s="59">
        <v>0</v>
      </c>
      <c r="O798" s="59">
        <v>0</v>
      </c>
      <c r="P798" s="59">
        <v>0</v>
      </c>
      <c r="Q798" s="59">
        <v>0</v>
      </c>
      <c r="R798" s="59">
        <v>0</v>
      </c>
      <c r="S798" s="59">
        <v>0</v>
      </c>
      <c r="T798" s="41"/>
      <c r="U798" s="41"/>
      <c r="V798" s="41"/>
      <c r="W798" s="41"/>
      <c r="X798" s="41"/>
      <c r="Y798" s="41"/>
      <c r="Z798" s="41"/>
      <c r="AA798" s="41"/>
      <c r="AB798" s="41"/>
      <c r="AC798" s="41"/>
      <c r="AD798" s="41"/>
      <c r="AE798" s="59">
        <v>0</v>
      </c>
      <c r="AF798" s="59">
        <v>0</v>
      </c>
      <c r="AG798" s="59" t="s">
        <v>1295</v>
      </c>
      <c r="AH798" s="59" t="s">
        <v>1327</v>
      </c>
    </row>
    <row r="799" spans="1:34" x14ac:dyDescent="0.35">
      <c r="A799" s="58">
        <v>2025</v>
      </c>
      <c r="B799" s="58">
        <v>1</v>
      </c>
      <c r="C799">
        <v>1</v>
      </c>
      <c r="D799" s="58" t="s">
        <v>1621</v>
      </c>
      <c r="E799" t="s">
        <v>1346</v>
      </c>
      <c r="F799" s="58" t="s">
        <v>1496</v>
      </c>
      <c r="G799" t="s">
        <v>1497</v>
      </c>
      <c r="H799" s="58" t="s">
        <v>1012</v>
      </c>
      <c r="I799" t="s">
        <v>1012</v>
      </c>
      <c r="J799" s="58" t="s">
        <v>1012</v>
      </c>
      <c r="K799" t="s">
        <v>1429</v>
      </c>
      <c r="L799" t="s">
        <v>20</v>
      </c>
      <c r="M799" t="s">
        <v>1430</v>
      </c>
      <c r="N799" s="59">
        <v>0</v>
      </c>
      <c r="O799" s="59">
        <v>0</v>
      </c>
      <c r="P799" s="59">
        <v>0</v>
      </c>
      <c r="Q799" s="59">
        <v>0</v>
      </c>
      <c r="R799" s="59">
        <v>0</v>
      </c>
      <c r="S799" s="59">
        <v>0</v>
      </c>
      <c r="T799" s="41"/>
      <c r="U799" s="41"/>
      <c r="V799" s="41"/>
      <c r="W799" s="41"/>
      <c r="X799" s="41"/>
      <c r="Y799" s="41"/>
      <c r="Z799" s="41"/>
      <c r="AA799" s="41"/>
      <c r="AB799" s="41"/>
      <c r="AC799" s="41"/>
      <c r="AD799" s="41"/>
      <c r="AE799" s="59">
        <v>0</v>
      </c>
      <c r="AF799" s="59">
        <v>0</v>
      </c>
      <c r="AG799" s="59" t="s">
        <v>1346</v>
      </c>
      <c r="AH799" s="59" t="s">
        <v>1329</v>
      </c>
    </row>
    <row r="800" spans="1:34" x14ac:dyDescent="0.35">
      <c r="A800" s="58">
        <v>2025</v>
      </c>
      <c r="B800" s="58">
        <v>1</v>
      </c>
      <c r="C800">
        <v>1</v>
      </c>
      <c r="D800" s="58" t="s">
        <v>1622</v>
      </c>
      <c r="E800" t="s">
        <v>1350</v>
      </c>
      <c r="F800" s="58" t="s">
        <v>1496</v>
      </c>
      <c r="G800" t="s">
        <v>1497</v>
      </c>
      <c r="H800" s="58" t="s">
        <v>1012</v>
      </c>
      <c r="I800" t="s">
        <v>1012</v>
      </c>
      <c r="J800" s="58" t="s">
        <v>1012</v>
      </c>
      <c r="K800" t="s">
        <v>1429</v>
      </c>
      <c r="L800" t="s">
        <v>20</v>
      </c>
      <c r="M800" t="s">
        <v>1430</v>
      </c>
      <c r="N800" s="59">
        <v>0</v>
      </c>
      <c r="O800" s="59">
        <v>0</v>
      </c>
      <c r="P800" s="59">
        <v>0</v>
      </c>
      <c r="Q800" s="59">
        <v>0</v>
      </c>
      <c r="R800" s="59">
        <v>0</v>
      </c>
      <c r="S800" s="59">
        <v>0</v>
      </c>
      <c r="T800" s="41"/>
      <c r="U800" s="41"/>
      <c r="V800" s="41"/>
      <c r="W800" s="41"/>
      <c r="X800" s="41"/>
      <c r="Y800" s="41"/>
      <c r="Z800" s="41"/>
      <c r="AA800" s="41"/>
      <c r="AB800" s="41"/>
      <c r="AC800" s="41"/>
      <c r="AD800" s="41"/>
      <c r="AE800" s="59">
        <v>0</v>
      </c>
      <c r="AF800" s="59">
        <v>0</v>
      </c>
      <c r="AG800" s="59" t="s">
        <v>1350</v>
      </c>
      <c r="AH800" s="59" t="s">
        <v>1329</v>
      </c>
    </row>
    <row r="801" spans="1:34" x14ac:dyDescent="0.35">
      <c r="A801" s="58">
        <v>2025</v>
      </c>
      <c r="B801" s="58">
        <v>1</v>
      </c>
      <c r="C801">
        <v>1</v>
      </c>
      <c r="D801" s="58" t="s">
        <v>1623</v>
      </c>
      <c r="E801" t="s">
        <v>1301</v>
      </c>
      <c r="F801" s="58" t="s">
        <v>1496</v>
      </c>
      <c r="G801" t="s">
        <v>1497</v>
      </c>
      <c r="H801" s="58" t="s">
        <v>1012</v>
      </c>
      <c r="I801" t="s">
        <v>1012</v>
      </c>
      <c r="J801" s="58" t="s">
        <v>1012</v>
      </c>
      <c r="K801" t="s">
        <v>1429</v>
      </c>
      <c r="L801" t="s">
        <v>20</v>
      </c>
      <c r="M801" t="s">
        <v>1430</v>
      </c>
      <c r="N801" s="59">
        <v>0</v>
      </c>
      <c r="O801" s="59">
        <v>0</v>
      </c>
      <c r="P801" s="59">
        <v>0</v>
      </c>
      <c r="Q801" s="59">
        <v>0</v>
      </c>
      <c r="R801" s="59">
        <v>0</v>
      </c>
      <c r="S801" s="59">
        <v>0</v>
      </c>
      <c r="T801" s="41"/>
      <c r="U801" s="41"/>
      <c r="V801" s="41"/>
      <c r="W801" s="41"/>
      <c r="X801" s="41"/>
      <c r="Y801" s="41"/>
      <c r="Z801" s="41"/>
      <c r="AA801" s="41"/>
      <c r="AB801" s="41"/>
      <c r="AC801" s="41"/>
      <c r="AD801" s="41"/>
      <c r="AE801" s="59">
        <v>0</v>
      </c>
      <c r="AF801" s="59">
        <v>0</v>
      </c>
      <c r="AG801" s="59" t="s">
        <v>1301</v>
      </c>
      <c r="AH801" s="59" t="s">
        <v>1329</v>
      </c>
    </row>
    <row r="802" spans="1:34" x14ac:dyDescent="0.35">
      <c r="A802" s="58">
        <v>2025</v>
      </c>
      <c r="B802" s="58">
        <v>1</v>
      </c>
      <c r="C802">
        <v>1</v>
      </c>
      <c r="D802" s="58" t="s">
        <v>1485</v>
      </c>
      <c r="E802" t="s">
        <v>1318</v>
      </c>
      <c r="F802" s="58" t="s">
        <v>1486</v>
      </c>
      <c r="G802" t="s">
        <v>1487</v>
      </c>
      <c r="H802" s="58" t="s">
        <v>1012</v>
      </c>
      <c r="I802" t="s">
        <v>1012</v>
      </c>
      <c r="J802" s="58" t="s">
        <v>1012</v>
      </c>
      <c r="K802" t="s">
        <v>1429</v>
      </c>
      <c r="L802" t="s">
        <v>20</v>
      </c>
      <c r="M802" t="s">
        <v>1430</v>
      </c>
      <c r="N802" s="59">
        <v>0</v>
      </c>
      <c r="O802" s="59">
        <v>0</v>
      </c>
      <c r="P802" s="59">
        <v>0</v>
      </c>
      <c r="Q802" s="59">
        <v>0</v>
      </c>
      <c r="R802" s="59">
        <v>0</v>
      </c>
      <c r="S802" s="59">
        <v>0</v>
      </c>
      <c r="T802" s="41"/>
      <c r="U802" s="41"/>
      <c r="V802" s="41"/>
      <c r="W802" s="41"/>
      <c r="X802" s="41"/>
      <c r="Y802" s="41"/>
      <c r="Z802" s="41"/>
      <c r="AA802" s="41"/>
      <c r="AB802" s="41"/>
      <c r="AC802" s="41"/>
      <c r="AD802" s="41"/>
      <c r="AE802" s="59">
        <v>0</v>
      </c>
      <c r="AF802" s="59">
        <v>0</v>
      </c>
      <c r="AG802" s="59" t="s">
        <v>1318</v>
      </c>
      <c r="AH802" s="59" t="s">
        <v>1317</v>
      </c>
    </row>
    <row r="803" spans="1:34" x14ac:dyDescent="0.35">
      <c r="A803" s="58">
        <v>2025</v>
      </c>
      <c r="B803" s="58">
        <v>1</v>
      </c>
      <c r="C803">
        <v>1</v>
      </c>
      <c r="D803" s="58" t="s">
        <v>1624</v>
      </c>
      <c r="E803" t="s">
        <v>1286</v>
      </c>
      <c r="F803" s="58" t="s">
        <v>1496</v>
      </c>
      <c r="G803" t="s">
        <v>1497</v>
      </c>
      <c r="H803" s="58" t="s">
        <v>1012</v>
      </c>
      <c r="I803" t="s">
        <v>1012</v>
      </c>
      <c r="J803" s="58" t="s">
        <v>1012</v>
      </c>
      <c r="K803" t="s">
        <v>1429</v>
      </c>
      <c r="L803" t="s">
        <v>20</v>
      </c>
      <c r="M803" t="s">
        <v>1430</v>
      </c>
      <c r="N803" s="59">
        <v>0</v>
      </c>
      <c r="O803" s="59">
        <v>0</v>
      </c>
      <c r="P803" s="59">
        <v>0</v>
      </c>
      <c r="Q803" s="59">
        <v>0</v>
      </c>
      <c r="R803" s="59">
        <v>0</v>
      </c>
      <c r="S803" s="59">
        <v>0</v>
      </c>
      <c r="T803" s="41"/>
      <c r="U803" s="41"/>
      <c r="V803" s="41"/>
      <c r="W803" s="41"/>
      <c r="X803" s="41"/>
      <c r="Y803" s="41"/>
      <c r="Z803" s="41"/>
      <c r="AA803" s="41"/>
      <c r="AB803" s="41"/>
      <c r="AC803" s="41"/>
      <c r="AD803" s="41"/>
      <c r="AE803" s="59">
        <v>0</v>
      </c>
      <c r="AF803" s="59">
        <v>0</v>
      </c>
      <c r="AG803" s="59" t="s">
        <v>1286</v>
      </c>
      <c r="AH803" s="59" t="s">
        <v>1329</v>
      </c>
    </row>
    <row r="804" spans="1:34" x14ac:dyDescent="0.35">
      <c r="A804" s="58">
        <v>2025</v>
      </c>
      <c r="B804" s="58">
        <v>1</v>
      </c>
      <c r="C804">
        <v>1</v>
      </c>
      <c r="D804" s="58" t="s">
        <v>1625</v>
      </c>
      <c r="E804" t="s">
        <v>1340</v>
      </c>
      <c r="F804" s="58" t="s">
        <v>1496</v>
      </c>
      <c r="G804" t="s">
        <v>1497</v>
      </c>
      <c r="H804" s="58" t="s">
        <v>1012</v>
      </c>
      <c r="I804" t="s">
        <v>1012</v>
      </c>
      <c r="J804" s="58" t="s">
        <v>1012</v>
      </c>
      <c r="K804" t="s">
        <v>1429</v>
      </c>
      <c r="L804" t="s">
        <v>20</v>
      </c>
      <c r="M804" t="s">
        <v>1430</v>
      </c>
      <c r="N804" s="59">
        <v>0</v>
      </c>
      <c r="O804" s="59">
        <v>0</v>
      </c>
      <c r="P804" s="59">
        <v>0</v>
      </c>
      <c r="Q804" s="59">
        <v>0</v>
      </c>
      <c r="R804" s="59">
        <v>0</v>
      </c>
      <c r="S804" s="59">
        <v>0</v>
      </c>
      <c r="T804" s="41"/>
      <c r="U804" s="41"/>
      <c r="V804" s="41"/>
      <c r="W804" s="41"/>
      <c r="X804" s="41"/>
      <c r="Y804" s="41"/>
      <c r="Z804" s="41"/>
      <c r="AA804" s="41"/>
      <c r="AB804" s="41"/>
      <c r="AC804" s="41"/>
      <c r="AD804" s="41"/>
      <c r="AE804" s="59">
        <v>0</v>
      </c>
      <c r="AF804" s="59">
        <v>0</v>
      </c>
      <c r="AG804" s="59" t="s">
        <v>1340</v>
      </c>
      <c r="AH804" s="59" t="s">
        <v>1329</v>
      </c>
    </row>
    <row r="805" spans="1:34" x14ac:dyDescent="0.35">
      <c r="A805" s="58">
        <v>2025</v>
      </c>
      <c r="B805" s="58">
        <v>1</v>
      </c>
      <c r="C805">
        <v>1</v>
      </c>
      <c r="D805" s="58" t="s">
        <v>1606</v>
      </c>
      <c r="E805" t="s">
        <v>1266</v>
      </c>
      <c r="F805" s="58" t="s">
        <v>1607</v>
      </c>
      <c r="G805" t="s">
        <v>1608</v>
      </c>
      <c r="H805" s="58" t="s">
        <v>1012</v>
      </c>
      <c r="I805" t="s">
        <v>1012</v>
      </c>
      <c r="J805" s="58" t="s">
        <v>1012</v>
      </c>
      <c r="K805" t="s">
        <v>1429</v>
      </c>
      <c r="L805" t="s">
        <v>20</v>
      </c>
      <c r="M805" t="s">
        <v>1430</v>
      </c>
      <c r="N805" s="59">
        <v>0</v>
      </c>
      <c r="O805" s="59">
        <v>0</v>
      </c>
      <c r="P805" s="59">
        <v>0</v>
      </c>
      <c r="Q805" s="59">
        <v>0</v>
      </c>
      <c r="R805" s="59">
        <v>0</v>
      </c>
      <c r="S805" s="59">
        <v>0</v>
      </c>
      <c r="T805" s="41"/>
      <c r="U805" s="41"/>
      <c r="V805" s="41"/>
      <c r="W805" s="41"/>
      <c r="X805" s="41"/>
      <c r="Y805" s="41"/>
      <c r="Z805" s="41"/>
      <c r="AA805" s="41"/>
      <c r="AB805" s="41"/>
      <c r="AC805" s="41"/>
      <c r="AD805" s="41"/>
      <c r="AE805" s="59">
        <v>0</v>
      </c>
      <c r="AF805" s="59">
        <v>0</v>
      </c>
      <c r="AG805" s="59" t="s">
        <v>1266</v>
      </c>
      <c r="AH805" s="59" t="s">
        <v>1265</v>
      </c>
    </row>
    <row r="806" spans="1:34" x14ac:dyDescent="0.35">
      <c r="A806" s="58">
        <v>2025</v>
      </c>
      <c r="B806" s="58">
        <v>1</v>
      </c>
      <c r="C806">
        <v>1</v>
      </c>
      <c r="D806" s="58" t="s">
        <v>1570</v>
      </c>
      <c r="E806" t="s">
        <v>1282</v>
      </c>
      <c r="F806" s="58" t="s">
        <v>1496</v>
      </c>
      <c r="G806" t="s">
        <v>1497</v>
      </c>
      <c r="H806" s="58" t="s">
        <v>1012</v>
      </c>
      <c r="I806" t="s">
        <v>1012</v>
      </c>
      <c r="J806" s="58" t="s">
        <v>1012</v>
      </c>
      <c r="K806" t="s">
        <v>1429</v>
      </c>
      <c r="L806" t="s">
        <v>20</v>
      </c>
      <c r="M806" t="s">
        <v>1430</v>
      </c>
      <c r="N806" s="59">
        <v>0</v>
      </c>
      <c r="O806" s="59">
        <v>0</v>
      </c>
      <c r="P806" s="59">
        <v>0</v>
      </c>
      <c r="Q806" s="59">
        <v>0</v>
      </c>
      <c r="R806" s="59">
        <v>0</v>
      </c>
      <c r="S806" s="59">
        <v>0</v>
      </c>
      <c r="T806" s="41"/>
      <c r="U806" s="41"/>
      <c r="V806" s="41"/>
      <c r="W806" s="41"/>
      <c r="X806" s="41"/>
      <c r="Y806" s="41"/>
      <c r="Z806" s="41"/>
      <c r="AA806" s="41"/>
      <c r="AB806" s="41"/>
      <c r="AC806" s="41"/>
      <c r="AD806" s="41"/>
      <c r="AE806" s="59">
        <v>0</v>
      </c>
      <c r="AF806" s="59">
        <v>0</v>
      </c>
      <c r="AG806" s="59" t="s">
        <v>1282</v>
      </c>
      <c r="AH806" s="59" t="s">
        <v>1329</v>
      </c>
    </row>
    <row r="807" spans="1:34" x14ac:dyDescent="0.35">
      <c r="A807" s="58">
        <v>2025</v>
      </c>
      <c r="B807" s="58">
        <v>1</v>
      </c>
      <c r="C807">
        <v>1</v>
      </c>
      <c r="D807" s="58" t="s">
        <v>1571</v>
      </c>
      <c r="E807" t="s">
        <v>1283</v>
      </c>
      <c r="F807" s="58" t="s">
        <v>1496</v>
      </c>
      <c r="G807" t="s">
        <v>1497</v>
      </c>
      <c r="H807" s="58" t="s">
        <v>1012</v>
      </c>
      <c r="I807" t="s">
        <v>1012</v>
      </c>
      <c r="J807" s="58" t="s">
        <v>1012</v>
      </c>
      <c r="K807" t="s">
        <v>1429</v>
      </c>
      <c r="L807" t="s">
        <v>20</v>
      </c>
      <c r="M807" t="s">
        <v>1430</v>
      </c>
      <c r="N807" s="59">
        <v>0</v>
      </c>
      <c r="O807" s="59">
        <v>0</v>
      </c>
      <c r="P807" s="59">
        <v>0</v>
      </c>
      <c r="Q807" s="59">
        <v>0</v>
      </c>
      <c r="R807" s="59">
        <v>0</v>
      </c>
      <c r="S807" s="59">
        <v>0</v>
      </c>
      <c r="T807" s="41"/>
      <c r="U807" s="41"/>
      <c r="V807" s="41"/>
      <c r="W807" s="41"/>
      <c r="X807" s="41"/>
      <c r="Y807" s="41"/>
      <c r="Z807" s="41"/>
      <c r="AA807" s="41"/>
      <c r="AB807" s="41"/>
      <c r="AC807" s="41"/>
      <c r="AD807" s="41"/>
      <c r="AE807" s="59">
        <v>0</v>
      </c>
      <c r="AF807" s="59">
        <v>0</v>
      </c>
      <c r="AG807" s="59" t="s">
        <v>1283</v>
      </c>
      <c r="AH807" s="59" t="s">
        <v>1329</v>
      </c>
    </row>
    <row r="808" spans="1:34" x14ac:dyDescent="0.35">
      <c r="A808" s="58">
        <v>2025</v>
      </c>
      <c r="B808" s="58">
        <v>1</v>
      </c>
      <c r="C808">
        <v>1</v>
      </c>
      <c r="D808" s="58" t="s">
        <v>1488</v>
      </c>
      <c r="E808" t="s">
        <v>1275</v>
      </c>
      <c r="F808" s="58" t="s">
        <v>1489</v>
      </c>
      <c r="G808" t="s">
        <v>1490</v>
      </c>
      <c r="H808" s="58" t="s">
        <v>1012</v>
      </c>
      <c r="I808" t="s">
        <v>1012</v>
      </c>
      <c r="J808" s="58" t="s">
        <v>1012</v>
      </c>
      <c r="K808" t="s">
        <v>1429</v>
      </c>
      <c r="L808" t="s">
        <v>20</v>
      </c>
      <c r="M808" t="s">
        <v>1430</v>
      </c>
      <c r="N808" s="59">
        <v>0</v>
      </c>
      <c r="O808" s="59">
        <v>0</v>
      </c>
      <c r="P808" s="59">
        <v>0</v>
      </c>
      <c r="Q808" s="59">
        <v>0</v>
      </c>
      <c r="R808" s="59">
        <v>0</v>
      </c>
      <c r="S808" s="59">
        <v>0</v>
      </c>
      <c r="T808" s="41"/>
      <c r="U808" s="41"/>
      <c r="V808" s="41"/>
      <c r="W808" s="41"/>
      <c r="X808" s="41"/>
      <c r="Y808" s="41"/>
      <c r="Z808" s="41"/>
      <c r="AA808" s="41"/>
      <c r="AB808" s="41"/>
      <c r="AC808" s="41"/>
      <c r="AD808" s="41"/>
      <c r="AE808" s="59">
        <v>0</v>
      </c>
      <c r="AF808" s="59">
        <v>0</v>
      </c>
      <c r="AG808" s="59" t="s">
        <v>1275</v>
      </c>
      <c r="AH808" s="59" t="s">
        <v>1274</v>
      </c>
    </row>
    <row r="809" spans="1:34" x14ac:dyDescent="0.35">
      <c r="A809" s="58">
        <v>2025</v>
      </c>
      <c r="B809" s="58">
        <v>1</v>
      </c>
      <c r="C809">
        <v>1</v>
      </c>
      <c r="D809" s="58" t="s">
        <v>1626</v>
      </c>
      <c r="E809" t="s">
        <v>1293</v>
      </c>
      <c r="F809" s="58" t="s">
        <v>1468</v>
      </c>
      <c r="G809" t="s">
        <v>1012</v>
      </c>
      <c r="H809" s="58" t="s">
        <v>1012</v>
      </c>
      <c r="I809" t="s">
        <v>1012</v>
      </c>
      <c r="J809" s="58" t="s">
        <v>1012</v>
      </c>
      <c r="K809" t="s">
        <v>1429</v>
      </c>
      <c r="L809" t="s">
        <v>20</v>
      </c>
      <c r="M809" t="s">
        <v>1430</v>
      </c>
      <c r="N809" s="59">
        <v>0</v>
      </c>
      <c r="O809" s="59">
        <v>-52424713</v>
      </c>
      <c r="P809" s="59">
        <v>0</v>
      </c>
      <c r="Q809" s="59">
        <v>0</v>
      </c>
      <c r="R809" s="59">
        <v>0</v>
      </c>
      <c r="S809" s="59">
        <v>-52424713</v>
      </c>
      <c r="T809" s="41"/>
      <c r="U809" s="41"/>
      <c r="V809" s="41"/>
      <c r="W809" s="41"/>
      <c r="X809" s="41"/>
      <c r="Y809" s="41"/>
      <c r="Z809" s="41"/>
      <c r="AA809" s="41"/>
      <c r="AB809" s="41"/>
      <c r="AC809" s="41"/>
      <c r="AD809" s="41"/>
      <c r="AE809" s="59">
        <v>-2080.0349226203211</v>
      </c>
      <c r="AF809" s="59">
        <v>-2080.0349226203211</v>
      </c>
      <c r="AG809" s="59" t="s">
        <v>1293</v>
      </c>
      <c r="AH809" s="59" t="s">
        <v>1284</v>
      </c>
    </row>
    <row r="810" spans="1:34" x14ac:dyDescent="0.35">
      <c r="A810" s="58">
        <v>2025</v>
      </c>
      <c r="B810" s="58">
        <v>1</v>
      </c>
      <c r="C810">
        <v>1</v>
      </c>
      <c r="D810" s="58" t="s">
        <v>1491</v>
      </c>
      <c r="E810" t="s">
        <v>1264</v>
      </c>
      <c r="F810" s="58" t="s">
        <v>1492</v>
      </c>
      <c r="G810" t="s">
        <v>1493</v>
      </c>
      <c r="H810" s="58" t="s">
        <v>1012</v>
      </c>
      <c r="I810" t="s">
        <v>1012</v>
      </c>
      <c r="J810" s="58" t="s">
        <v>1012</v>
      </c>
      <c r="K810" t="s">
        <v>1429</v>
      </c>
      <c r="L810" t="s">
        <v>20</v>
      </c>
      <c r="M810" t="s">
        <v>1430</v>
      </c>
      <c r="N810" s="59">
        <v>0</v>
      </c>
      <c r="O810" s="59">
        <v>0</v>
      </c>
      <c r="P810" s="59">
        <v>0</v>
      </c>
      <c r="Q810" s="59">
        <v>0</v>
      </c>
      <c r="R810" s="59">
        <v>5766867</v>
      </c>
      <c r="S810" s="59">
        <v>-5766867</v>
      </c>
      <c r="T810" s="41"/>
      <c r="U810" s="41"/>
      <c r="V810" s="41"/>
      <c r="W810" s="41"/>
      <c r="X810" s="41"/>
      <c r="Y810" s="41"/>
      <c r="Z810" s="41"/>
      <c r="AA810" s="41"/>
      <c r="AB810" s="41"/>
      <c r="AC810" s="41"/>
      <c r="AD810" s="41"/>
      <c r="AE810" s="59">
        <v>-228.80973624226962</v>
      </c>
      <c r="AF810" s="59">
        <v>0</v>
      </c>
      <c r="AG810" s="59" t="s">
        <v>1264</v>
      </c>
      <c r="AH810" s="59" t="s">
        <v>1269</v>
      </c>
    </row>
    <row r="811" spans="1:34" x14ac:dyDescent="0.35">
      <c r="A811" s="58">
        <v>2025</v>
      </c>
      <c r="B811" s="58">
        <v>1</v>
      </c>
      <c r="C811">
        <v>1</v>
      </c>
      <c r="D811" s="58" t="s">
        <v>1491</v>
      </c>
      <c r="E811" t="s">
        <v>1264</v>
      </c>
      <c r="F811" s="58" t="s">
        <v>1152</v>
      </c>
      <c r="G811" t="s">
        <v>1153</v>
      </c>
      <c r="H811" s="58" t="s">
        <v>1012</v>
      </c>
      <c r="I811" t="s">
        <v>1012</v>
      </c>
      <c r="J811" s="58" t="s">
        <v>1399</v>
      </c>
      <c r="K811" t="s">
        <v>1429</v>
      </c>
      <c r="L811" t="s">
        <v>20</v>
      </c>
      <c r="M811" t="s">
        <v>1430</v>
      </c>
      <c r="N811" s="59">
        <v>0</v>
      </c>
      <c r="O811" s="59">
        <v>0</v>
      </c>
      <c r="P811" s="59">
        <v>0</v>
      </c>
      <c r="Q811" s="59">
        <v>-121577.049999475</v>
      </c>
      <c r="R811" s="59">
        <v>2297082.9999999991</v>
      </c>
      <c r="S811" s="59">
        <v>-2175505.9500005241</v>
      </c>
      <c r="T811" s="41"/>
      <c r="U811" s="41"/>
      <c r="V811" s="41"/>
      <c r="W811" s="41"/>
      <c r="X811" s="41"/>
      <c r="Y811" s="41"/>
      <c r="Z811" s="41"/>
      <c r="AA811" s="41"/>
      <c r="AB811" s="41"/>
      <c r="AC811" s="41"/>
      <c r="AD811" s="41"/>
      <c r="AE811" s="59">
        <v>-86.316702398912355</v>
      </c>
      <c r="AF811" s="59">
        <v>0</v>
      </c>
      <c r="AG811" s="59" t="s">
        <v>1264</v>
      </c>
      <c r="AH811" s="59" t="s">
        <v>1400</v>
      </c>
    </row>
    <row r="812" spans="1:34" x14ac:dyDescent="0.35">
      <c r="A812" s="58">
        <v>2025</v>
      </c>
      <c r="B812" s="58">
        <v>1</v>
      </c>
      <c r="C812">
        <v>1</v>
      </c>
      <c r="D812" s="58" t="s">
        <v>1491</v>
      </c>
      <c r="E812" t="s">
        <v>1264</v>
      </c>
      <c r="F812" s="58" t="s">
        <v>1496</v>
      </c>
      <c r="G812" t="s">
        <v>1497</v>
      </c>
      <c r="H812" s="58" t="s">
        <v>1012</v>
      </c>
      <c r="I812" t="s">
        <v>1012</v>
      </c>
      <c r="J812" s="58" t="s">
        <v>1012</v>
      </c>
      <c r="K812" t="s">
        <v>1429</v>
      </c>
      <c r="L812" t="s">
        <v>20</v>
      </c>
      <c r="M812" t="s">
        <v>1430</v>
      </c>
      <c r="N812" s="59">
        <v>0</v>
      </c>
      <c r="O812" s="59">
        <v>0</v>
      </c>
      <c r="P812" s="59">
        <v>0</v>
      </c>
      <c r="Q812" s="59">
        <v>0</v>
      </c>
      <c r="R812" s="59">
        <v>0</v>
      </c>
      <c r="S812" s="59">
        <v>0</v>
      </c>
      <c r="T812" s="41"/>
      <c r="U812" s="41"/>
      <c r="V812" s="41"/>
      <c r="W812" s="41"/>
      <c r="X812" s="41"/>
      <c r="Y812" s="41"/>
      <c r="Z812" s="41"/>
      <c r="AA812" s="41"/>
      <c r="AB812" s="41"/>
      <c r="AC812" s="41"/>
      <c r="AD812" s="41"/>
      <c r="AE812" s="59">
        <v>0</v>
      </c>
      <c r="AF812" s="59">
        <v>0</v>
      </c>
      <c r="AG812" s="59" t="s">
        <v>1264</v>
      </c>
      <c r="AH812" s="59" t="s">
        <v>1329</v>
      </c>
    </row>
    <row r="813" spans="1:34" x14ac:dyDescent="0.35">
      <c r="A813" s="58">
        <v>2025</v>
      </c>
      <c r="B813" s="58">
        <v>1</v>
      </c>
      <c r="C813">
        <v>15</v>
      </c>
      <c r="D813" s="58" t="s">
        <v>587</v>
      </c>
      <c r="E813" t="s">
        <v>6</v>
      </c>
      <c r="F813" s="58" t="s">
        <v>1498</v>
      </c>
      <c r="G813" t="s">
        <v>1499</v>
      </c>
      <c r="H813" s="58" t="s">
        <v>1012</v>
      </c>
      <c r="I813" t="s">
        <v>1012</v>
      </c>
      <c r="J813" s="58" t="s">
        <v>1012</v>
      </c>
      <c r="K813" t="s">
        <v>1476</v>
      </c>
      <c r="L813" t="s">
        <v>1477</v>
      </c>
      <c r="M813" t="s">
        <v>1430</v>
      </c>
      <c r="N813" s="59">
        <v>88000</v>
      </c>
      <c r="O813" s="59">
        <v>2852560259.9999995</v>
      </c>
      <c r="P813" s="59">
        <v>6602369.4153846148</v>
      </c>
      <c r="Q813" s="59">
        <v>42788403.899999991</v>
      </c>
      <c r="R813" s="59">
        <v>34296120</v>
      </c>
      <c r="S813" s="59">
        <v>2768873366.6846147</v>
      </c>
      <c r="T813" s="41"/>
      <c r="U813" s="41"/>
      <c r="V813" s="41"/>
      <c r="W813" s="41"/>
      <c r="X813" s="41"/>
      <c r="Y813" s="41"/>
      <c r="Z813" s="41"/>
      <c r="AA813" s="41"/>
      <c r="AB813" s="41"/>
      <c r="AC813" s="41"/>
      <c r="AD813" s="41"/>
      <c r="AE813" s="59">
        <v>109484.90971469413</v>
      </c>
      <c r="AF813" s="59">
        <v>112793.99999999999</v>
      </c>
      <c r="AG813" s="59" t="s">
        <v>6</v>
      </c>
      <c r="AH813" s="59" t="s">
        <v>1268</v>
      </c>
    </row>
    <row r="814" spans="1:34" x14ac:dyDescent="0.35">
      <c r="A814" s="58">
        <v>2025</v>
      </c>
      <c r="B814" s="58">
        <v>1</v>
      </c>
      <c r="C814">
        <v>15</v>
      </c>
      <c r="D814" s="58" t="s">
        <v>1491</v>
      </c>
      <c r="E814" t="s">
        <v>1264</v>
      </c>
      <c r="F814" s="58" t="s">
        <v>1498</v>
      </c>
      <c r="G814" t="s">
        <v>1499</v>
      </c>
      <c r="H814" s="58" t="s">
        <v>1012</v>
      </c>
      <c r="I814" t="s">
        <v>1012</v>
      </c>
      <c r="J814" s="58" t="s">
        <v>1012</v>
      </c>
      <c r="K814" t="s">
        <v>1429</v>
      </c>
      <c r="L814" t="s">
        <v>20</v>
      </c>
      <c r="M814" t="s">
        <v>1430</v>
      </c>
      <c r="N814" s="59">
        <v>0</v>
      </c>
      <c r="O814" s="59">
        <v>0</v>
      </c>
      <c r="P814" s="59">
        <v>0</v>
      </c>
      <c r="Q814" s="59">
        <v>0</v>
      </c>
      <c r="R814" s="59">
        <v>-16000</v>
      </c>
      <c r="S814" s="59">
        <v>16000</v>
      </c>
      <c r="T814" s="41"/>
      <c r="U814" s="41"/>
      <c r="V814" s="41"/>
      <c r="W814" s="41"/>
      <c r="X814" s="41"/>
      <c r="Y814" s="41"/>
      <c r="Z814" s="41"/>
      <c r="AA814" s="41"/>
      <c r="AB814" s="41"/>
      <c r="AC814" s="41"/>
      <c r="AD814" s="41"/>
      <c r="AE814" s="59">
        <v>0.63428335948965753</v>
      </c>
      <c r="AF814" s="59">
        <v>0</v>
      </c>
      <c r="AG814" s="59" t="s">
        <v>1264</v>
      </c>
      <c r="AH814" s="59" t="s">
        <v>1268</v>
      </c>
    </row>
    <row r="815" spans="1:34" x14ac:dyDescent="0.35">
      <c r="A815" s="58">
        <v>2025</v>
      </c>
      <c r="B815" s="58">
        <v>2</v>
      </c>
      <c r="C815">
        <v>2</v>
      </c>
      <c r="D815" s="58" t="s">
        <v>625</v>
      </c>
      <c r="E815" t="s">
        <v>271</v>
      </c>
      <c r="F815" s="58" t="s">
        <v>171</v>
      </c>
      <c r="G815" t="s">
        <v>731</v>
      </c>
      <c r="H815" s="58" t="s">
        <v>4</v>
      </c>
      <c r="I815" t="s">
        <v>4</v>
      </c>
      <c r="J815" s="58" t="s">
        <v>4</v>
      </c>
      <c r="K815" t="s">
        <v>1429</v>
      </c>
      <c r="L815" t="s">
        <v>20</v>
      </c>
      <c r="M815" t="s">
        <v>1430</v>
      </c>
      <c r="N815" s="59">
        <v>23100</v>
      </c>
      <c r="O815" s="59">
        <v>725857440</v>
      </c>
      <c r="P815" s="59">
        <v>3669729.5273972601</v>
      </c>
      <c r="Q815" s="59">
        <v>0</v>
      </c>
      <c r="R815" s="59">
        <v>0</v>
      </c>
      <c r="S815" s="59">
        <v>722187710.47260273</v>
      </c>
      <c r="T815" s="41"/>
      <c r="U815" s="41"/>
      <c r="V815" s="41"/>
      <c r="W815" s="41"/>
      <c r="X815" s="41"/>
      <c r="Y815" s="41"/>
      <c r="Z815" s="41"/>
      <c r="AA815" s="41"/>
      <c r="AB815" s="41"/>
      <c r="AC815" s="41"/>
      <c r="AD815" s="41"/>
      <c r="AE815" s="59">
        <v>28576.461583141499</v>
      </c>
      <c r="AF815" s="59">
        <v>28721.670208737691</v>
      </c>
      <c r="AG815" s="59" t="s">
        <v>47</v>
      </c>
      <c r="AH815" s="59" t="s">
        <v>1166</v>
      </c>
    </row>
    <row r="816" spans="1:34" x14ac:dyDescent="0.35">
      <c r="A816" s="58">
        <v>2025</v>
      </c>
      <c r="B816" s="58">
        <v>2</v>
      </c>
      <c r="C816">
        <v>2</v>
      </c>
      <c r="D816" s="58" t="s">
        <v>625</v>
      </c>
      <c r="E816" t="s">
        <v>271</v>
      </c>
      <c r="F816" s="58" t="s">
        <v>194</v>
      </c>
      <c r="G816" t="s">
        <v>743</v>
      </c>
      <c r="H816" s="58" t="s">
        <v>1428</v>
      </c>
      <c r="I816" t="s">
        <v>76</v>
      </c>
      <c r="J816" s="58" t="s">
        <v>76</v>
      </c>
      <c r="K816" t="s">
        <v>1429</v>
      </c>
      <c r="L816" t="s">
        <v>20</v>
      </c>
      <c r="M816" t="s">
        <v>1430</v>
      </c>
      <c r="N816" s="59">
        <v>11000</v>
      </c>
      <c r="O816" s="59">
        <v>222361700</v>
      </c>
      <c r="P816" s="59">
        <v>0</v>
      </c>
      <c r="Q816" s="59">
        <v>0</v>
      </c>
      <c r="R816" s="59">
        <v>0</v>
      </c>
      <c r="S816" s="59">
        <v>222361700</v>
      </c>
      <c r="T816" s="41"/>
      <c r="U816" s="41"/>
      <c r="V816" s="41"/>
      <c r="W816" s="41"/>
      <c r="X816" s="41"/>
      <c r="Y816" s="41"/>
      <c r="Z816" s="41"/>
      <c r="AA816" s="41"/>
      <c r="AB816" s="41"/>
      <c r="AC816" s="41"/>
      <c r="AD816" s="41"/>
      <c r="AE816" s="59">
        <v>8798.696634499287</v>
      </c>
      <c r="AF816" s="59">
        <v>8798.696634499287</v>
      </c>
      <c r="AG816" s="59" t="s">
        <v>47</v>
      </c>
      <c r="AH816" s="59" t="s">
        <v>1246</v>
      </c>
    </row>
    <row r="817" spans="1:34" x14ac:dyDescent="0.35">
      <c r="A817" s="58">
        <v>2025</v>
      </c>
      <c r="B817" s="58">
        <v>2</v>
      </c>
      <c r="C817">
        <v>2</v>
      </c>
      <c r="D817" s="58" t="s">
        <v>625</v>
      </c>
      <c r="E817" t="s">
        <v>271</v>
      </c>
      <c r="F817" s="58" t="s">
        <v>195</v>
      </c>
      <c r="G817" t="s">
        <v>746</v>
      </c>
      <c r="H817" s="58" t="s">
        <v>1428</v>
      </c>
      <c r="I817" t="s">
        <v>76</v>
      </c>
      <c r="J817" s="58" t="s">
        <v>76</v>
      </c>
      <c r="K817" t="s">
        <v>1429</v>
      </c>
      <c r="L817" t="s">
        <v>20</v>
      </c>
      <c r="M817" t="s">
        <v>1430</v>
      </c>
      <c r="N817" s="59">
        <v>16500</v>
      </c>
      <c r="O817" s="59">
        <v>333542550</v>
      </c>
      <c r="P817" s="59">
        <v>0</v>
      </c>
      <c r="Q817" s="59">
        <v>0</v>
      </c>
      <c r="R817" s="59">
        <v>0</v>
      </c>
      <c r="S817" s="59">
        <v>333542550</v>
      </c>
      <c r="T817" s="41"/>
      <c r="U817" s="41"/>
      <c r="V817" s="41"/>
      <c r="W817" s="41"/>
      <c r="X817" s="41"/>
      <c r="Y817" s="41"/>
      <c r="Z817" s="41"/>
      <c r="AA817" s="41"/>
      <c r="AB817" s="41"/>
      <c r="AC817" s="41"/>
      <c r="AD817" s="41"/>
      <c r="AE817" s="59">
        <v>13198.044951748931</v>
      </c>
      <c r="AF817" s="59">
        <v>13198.044951748931</v>
      </c>
      <c r="AG817" s="59" t="s">
        <v>47</v>
      </c>
      <c r="AH817" s="59" t="s">
        <v>1247</v>
      </c>
    </row>
    <row r="818" spans="1:34" x14ac:dyDescent="0.35">
      <c r="A818" s="58">
        <v>2025</v>
      </c>
      <c r="B818" s="58">
        <v>2</v>
      </c>
      <c r="C818">
        <v>2</v>
      </c>
      <c r="D818" s="58" t="s">
        <v>625</v>
      </c>
      <c r="E818" t="s">
        <v>271</v>
      </c>
      <c r="F818" s="58" t="s">
        <v>196</v>
      </c>
      <c r="G818" t="s">
        <v>749</v>
      </c>
      <c r="H818" s="58" t="s">
        <v>1428</v>
      </c>
      <c r="I818" t="s">
        <v>76</v>
      </c>
      <c r="J818" s="58" t="s">
        <v>76</v>
      </c>
      <c r="K818" t="s">
        <v>1429</v>
      </c>
      <c r="L818" t="s">
        <v>20</v>
      </c>
      <c r="M818" t="s">
        <v>1430</v>
      </c>
      <c r="N818" s="59">
        <v>1000</v>
      </c>
      <c r="O818" s="59">
        <v>20214700</v>
      </c>
      <c r="P818" s="59">
        <v>0</v>
      </c>
      <c r="Q818" s="59">
        <v>0</v>
      </c>
      <c r="R818" s="59">
        <v>0</v>
      </c>
      <c r="S818" s="59">
        <v>20214700</v>
      </c>
      <c r="T818" s="41"/>
      <c r="U818" s="41"/>
      <c r="V818" s="41"/>
      <c r="W818" s="41"/>
      <c r="X818" s="41"/>
      <c r="Y818" s="41"/>
      <c r="Z818" s="41"/>
      <c r="AA818" s="41"/>
      <c r="AB818" s="41"/>
      <c r="AC818" s="41"/>
      <c r="AD818" s="41"/>
      <c r="AE818" s="59">
        <v>799.88151222720785</v>
      </c>
      <c r="AF818" s="59">
        <v>799.88151222720785</v>
      </c>
      <c r="AG818" s="59" t="s">
        <v>47</v>
      </c>
      <c r="AH818" s="59" t="s">
        <v>1248</v>
      </c>
    </row>
    <row r="819" spans="1:34" x14ac:dyDescent="0.35">
      <c r="A819" s="58">
        <v>2025</v>
      </c>
      <c r="B819" s="58">
        <v>2</v>
      </c>
      <c r="C819">
        <v>2</v>
      </c>
      <c r="D819" s="58" t="s">
        <v>625</v>
      </c>
      <c r="E819" t="s">
        <v>271</v>
      </c>
      <c r="F819" s="58" t="s">
        <v>197</v>
      </c>
      <c r="G819" t="s">
        <v>752</v>
      </c>
      <c r="H819" s="58" t="s">
        <v>1428</v>
      </c>
      <c r="I819" t="s">
        <v>76</v>
      </c>
      <c r="J819" s="58" t="s">
        <v>76</v>
      </c>
      <c r="K819" t="s">
        <v>1429</v>
      </c>
      <c r="L819" t="s">
        <v>20</v>
      </c>
      <c r="M819" t="s">
        <v>1430</v>
      </c>
      <c r="N819" s="59">
        <v>5500</v>
      </c>
      <c r="O819" s="59">
        <v>111180850</v>
      </c>
      <c r="P819" s="59">
        <v>0</v>
      </c>
      <c r="Q819" s="59">
        <v>0</v>
      </c>
      <c r="R819" s="59">
        <v>0</v>
      </c>
      <c r="S819" s="59">
        <v>111180850</v>
      </c>
      <c r="T819" s="41"/>
      <c r="U819" s="41"/>
      <c r="V819" s="41"/>
      <c r="W819" s="41"/>
      <c r="X819" s="41"/>
      <c r="Y819" s="41"/>
      <c r="Z819" s="41"/>
      <c r="AA819" s="41"/>
      <c r="AB819" s="41"/>
      <c r="AC819" s="41"/>
      <c r="AD819" s="41"/>
      <c r="AE819" s="59">
        <v>4399.3483172496435</v>
      </c>
      <c r="AF819" s="59">
        <v>4399.3483172496435</v>
      </c>
      <c r="AG819" s="59" t="s">
        <v>47</v>
      </c>
      <c r="AH819" s="59" t="s">
        <v>1249</v>
      </c>
    </row>
    <row r="820" spans="1:34" x14ac:dyDescent="0.35">
      <c r="A820" s="58">
        <v>2025</v>
      </c>
      <c r="B820" s="58">
        <v>2</v>
      </c>
      <c r="C820">
        <v>2</v>
      </c>
      <c r="D820" s="58" t="s">
        <v>1433</v>
      </c>
      <c r="E820" t="s">
        <v>1276</v>
      </c>
      <c r="F820" s="58" t="s">
        <v>1434</v>
      </c>
      <c r="G820" t="s">
        <v>1435</v>
      </c>
      <c r="H820" s="58" t="s">
        <v>1012</v>
      </c>
      <c r="I820" t="s">
        <v>1012</v>
      </c>
      <c r="J820" s="58" t="s">
        <v>1012</v>
      </c>
      <c r="K820" t="s">
        <v>1429</v>
      </c>
      <c r="L820" t="s">
        <v>20</v>
      </c>
      <c r="M820" t="s">
        <v>1430</v>
      </c>
      <c r="N820" s="59">
        <v>0</v>
      </c>
      <c r="O820" s="59">
        <v>0</v>
      </c>
      <c r="P820" s="59">
        <v>0</v>
      </c>
      <c r="Q820" s="59">
        <v>0</v>
      </c>
      <c r="R820" s="59">
        <v>0</v>
      </c>
      <c r="S820" s="59">
        <v>0</v>
      </c>
      <c r="T820" s="41"/>
      <c r="U820" s="41"/>
      <c r="V820" s="41"/>
      <c r="W820" s="41"/>
      <c r="X820" s="41"/>
      <c r="Y820" s="41"/>
      <c r="Z820" s="41"/>
      <c r="AA820" s="41"/>
      <c r="AB820" s="41"/>
      <c r="AC820" s="41"/>
      <c r="AD820" s="41"/>
      <c r="AE820" s="59">
        <v>0</v>
      </c>
      <c r="AF820" s="59">
        <v>0</v>
      </c>
      <c r="AG820" s="59" t="s">
        <v>1276</v>
      </c>
      <c r="AH820" s="59" t="s">
        <v>1319</v>
      </c>
    </row>
    <row r="821" spans="1:34" x14ac:dyDescent="0.35">
      <c r="A821" s="58">
        <v>2025</v>
      </c>
      <c r="B821" s="58">
        <v>2</v>
      </c>
      <c r="C821">
        <v>2</v>
      </c>
      <c r="D821" s="58" t="s">
        <v>1627</v>
      </c>
      <c r="E821" t="s">
        <v>1344</v>
      </c>
      <c r="F821" s="58" t="s">
        <v>1496</v>
      </c>
      <c r="G821" t="s">
        <v>1497</v>
      </c>
      <c r="H821" s="58" t="s">
        <v>1012</v>
      </c>
      <c r="I821" t="s">
        <v>1012</v>
      </c>
      <c r="J821" s="58" t="s">
        <v>1012</v>
      </c>
      <c r="K821" t="s">
        <v>1429</v>
      </c>
      <c r="L821" t="s">
        <v>20</v>
      </c>
      <c r="M821" t="s">
        <v>1430</v>
      </c>
      <c r="N821" s="59">
        <v>0</v>
      </c>
      <c r="O821" s="59">
        <v>0</v>
      </c>
      <c r="P821" s="59">
        <v>0</v>
      </c>
      <c r="Q821" s="59">
        <v>0</v>
      </c>
      <c r="R821" s="59">
        <v>0</v>
      </c>
      <c r="S821" s="59">
        <v>0</v>
      </c>
      <c r="T821" s="41"/>
      <c r="U821" s="41"/>
      <c r="V821" s="41"/>
      <c r="W821" s="41"/>
      <c r="X821" s="41"/>
      <c r="Y821" s="41"/>
      <c r="Z821" s="41"/>
      <c r="AA821" s="41"/>
      <c r="AB821" s="41"/>
      <c r="AC821" s="41"/>
      <c r="AD821" s="41"/>
      <c r="AE821" s="59">
        <v>0</v>
      </c>
      <c r="AF821" s="59">
        <v>0</v>
      </c>
      <c r="AG821" s="59" t="s">
        <v>1344</v>
      </c>
      <c r="AH821" s="59" t="s">
        <v>1329</v>
      </c>
    </row>
    <row r="822" spans="1:34" x14ac:dyDescent="0.35">
      <c r="A822" s="58">
        <v>2025</v>
      </c>
      <c r="B822" s="58">
        <v>2</v>
      </c>
      <c r="C822">
        <v>2</v>
      </c>
      <c r="D822" s="58" t="s">
        <v>651</v>
      </c>
      <c r="E822" t="s">
        <v>464</v>
      </c>
      <c r="F822" s="58" t="s">
        <v>184</v>
      </c>
      <c r="G822" t="s">
        <v>717</v>
      </c>
      <c r="H822" s="58" t="s">
        <v>1428</v>
      </c>
      <c r="I822" t="s">
        <v>75</v>
      </c>
      <c r="J822" s="58" t="s">
        <v>75</v>
      </c>
      <c r="K822" t="s">
        <v>1429</v>
      </c>
      <c r="L822" t="s">
        <v>20</v>
      </c>
      <c r="M822" t="s">
        <v>1430</v>
      </c>
      <c r="N822" s="59">
        <v>2750</v>
      </c>
      <c r="O822" s="59">
        <v>98362000</v>
      </c>
      <c r="P822" s="59">
        <v>0</v>
      </c>
      <c r="Q822" s="59">
        <v>0</v>
      </c>
      <c r="R822" s="59">
        <v>0</v>
      </c>
      <c r="S822" s="59">
        <v>98362000</v>
      </c>
      <c r="T822" s="41"/>
      <c r="U822" s="41"/>
      <c r="V822" s="41"/>
      <c r="W822" s="41"/>
      <c r="X822" s="41"/>
      <c r="Y822" s="41"/>
      <c r="Z822" s="41"/>
      <c r="AA822" s="41"/>
      <c r="AB822" s="41"/>
      <c r="AC822" s="41"/>
      <c r="AD822" s="41"/>
      <c r="AE822" s="59">
        <v>3892.1154063969598</v>
      </c>
      <c r="AF822" s="59">
        <v>3892.1154063969598</v>
      </c>
      <c r="AG822" s="59" t="s">
        <v>5</v>
      </c>
      <c r="AH822" s="59" t="s">
        <v>1198</v>
      </c>
    </row>
    <row r="823" spans="1:34" x14ac:dyDescent="0.35">
      <c r="A823" s="58">
        <v>2025</v>
      </c>
      <c r="B823" s="58">
        <v>2</v>
      </c>
      <c r="C823">
        <v>2</v>
      </c>
      <c r="D823" s="58" t="s">
        <v>589</v>
      </c>
      <c r="E823" t="s">
        <v>322</v>
      </c>
      <c r="F823" s="58" t="s">
        <v>171</v>
      </c>
      <c r="G823" t="s">
        <v>731</v>
      </c>
      <c r="H823" s="58" t="s">
        <v>4</v>
      </c>
      <c r="I823" t="s">
        <v>4</v>
      </c>
      <c r="J823" s="58" t="s">
        <v>4</v>
      </c>
      <c r="K823" t="s">
        <v>1429</v>
      </c>
      <c r="L823" t="s">
        <v>20</v>
      </c>
      <c r="M823" t="s">
        <v>1430</v>
      </c>
      <c r="N823" s="59">
        <v>352000</v>
      </c>
      <c r="O823" s="59">
        <v>11623040000</v>
      </c>
      <c r="P823" s="59">
        <v>55919688.036529668</v>
      </c>
      <c r="Q823" s="59">
        <v>0</v>
      </c>
      <c r="R823" s="59">
        <v>49280000</v>
      </c>
      <c r="S823" s="59">
        <v>11517840311.96347</v>
      </c>
      <c r="T823" s="41"/>
      <c r="U823" s="41"/>
      <c r="V823" s="41"/>
      <c r="W823" s="41"/>
      <c r="X823" s="41"/>
      <c r="Y823" s="41"/>
      <c r="Z823" s="41"/>
      <c r="AA823" s="41"/>
      <c r="AB823" s="41"/>
      <c r="AC823" s="41"/>
      <c r="AD823" s="41"/>
      <c r="AE823" s="59">
        <v>455752.86926468549</v>
      </c>
      <c r="AF823" s="59">
        <v>459915.54719473072</v>
      </c>
      <c r="AG823" s="59" t="s">
        <v>5</v>
      </c>
      <c r="AH823" s="59" t="s">
        <v>1166</v>
      </c>
    </row>
    <row r="824" spans="1:34" x14ac:dyDescent="0.35">
      <c r="A824" s="58">
        <v>2025</v>
      </c>
      <c r="B824" s="58">
        <v>2</v>
      </c>
      <c r="C824">
        <v>2</v>
      </c>
      <c r="D824" s="58" t="s">
        <v>671</v>
      </c>
      <c r="E824" t="s">
        <v>273</v>
      </c>
      <c r="F824" s="58" t="s">
        <v>200</v>
      </c>
      <c r="G824" t="s">
        <v>470</v>
      </c>
      <c r="H824" s="58" t="s">
        <v>1428</v>
      </c>
      <c r="I824" t="s">
        <v>76</v>
      </c>
      <c r="J824" s="58" t="s">
        <v>76</v>
      </c>
      <c r="K824" t="s">
        <v>1429</v>
      </c>
      <c r="L824" t="s">
        <v>20</v>
      </c>
      <c r="M824" t="s">
        <v>1430</v>
      </c>
      <c r="N824" s="59">
        <v>750</v>
      </c>
      <c r="O824" s="59">
        <v>13541666.666666666</v>
      </c>
      <c r="P824" s="59">
        <v>174749.02511415526</v>
      </c>
      <c r="Q824" s="59">
        <v>0</v>
      </c>
      <c r="R824" s="59">
        <v>366666.66666666669</v>
      </c>
      <c r="S824" s="59">
        <v>13000250.974885846</v>
      </c>
      <c r="T824" s="41"/>
      <c r="U824" s="41"/>
      <c r="V824" s="41"/>
      <c r="W824" s="41"/>
      <c r="X824" s="41"/>
      <c r="Y824" s="41"/>
      <c r="Z824" s="41"/>
      <c r="AA824" s="41"/>
      <c r="AB824" s="41"/>
      <c r="AC824" s="41"/>
      <c r="AD824" s="41"/>
      <c r="AE824" s="59">
        <v>514.41082030032226</v>
      </c>
      <c r="AF824" s="59">
        <v>535.83425979164201</v>
      </c>
      <c r="AG824" s="59" t="s">
        <v>154</v>
      </c>
      <c r="AH824" s="59" t="s">
        <v>79</v>
      </c>
    </row>
    <row r="825" spans="1:34" x14ac:dyDescent="0.35">
      <c r="A825" s="58">
        <v>2025</v>
      </c>
      <c r="B825" s="58">
        <v>2</v>
      </c>
      <c r="C825">
        <v>2</v>
      </c>
      <c r="D825" s="58" t="s">
        <v>671</v>
      </c>
      <c r="E825" t="s">
        <v>273</v>
      </c>
      <c r="F825" s="58" t="s">
        <v>201</v>
      </c>
      <c r="G825" t="s">
        <v>471</v>
      </c>
      <c r="H825" s="58" t="s">
        <v>1428</v>
      </c>
      <c r="I825" t="s">
        <v>76</v>
      </c>
      <c r="J825" s="58" t="s">
        <v>76</v>
      </c>
      <c r="K825" t="s">
        <v>1429</v>
      </c>
      <c r="L825" t="s">
        <v>20</v>
      </c>
      <c r="M825" t="s">
        <v>1430</v>
      </c>
      <c r="N825" s="59">
        <v>750</v>
      </c>
      <c r="O825" s="59">
        <v>13541666.666666666</v>
      </c>
      <c r="P825" s="59">
        <v>174749.02511415526</v>
      </c>
      <c r="Q825" s="59">
        <v>0</v>
      </c>
      <c r="R825" s="59">
        <v>366666.66666666669</v>
      </c>
      <c r="S825" s="59">
        <v>13000250.974885846</v>
      </c>
      <c r="T825" s="41"/>
      <c r="U825" s="41"/>
      <c r="V825" s="41"/>
      <c r="W825" s="41"/>
      <c r="X825" s="41"/>
      <c r="Y825" s="41"/>
      <c r="Z825" s="41"/>
      <c r="AA825" s="41"/>
      <c r="AB825" s="41"/>
      <c r="AC825" s="41"/>
      <c r="AD825" s="41"/>
      <c r="AE825" s="59">
        <v>514.41082030032226</v>
      </c>
      <c r="AF825" s="59">
        <v>535.83425979164201</v>
      </c>
      <c r="AG825" s="59" t="s">
        <v>154</v>
      </c>
      <c r="AH825" s="59" t="s">
        <v>77</v>
      </c>
    </row>
    <row r="826" spans="1:34" x14ac:dyDescent="0.35">
      <c r="A826" s="58">
        <v>2025</v>
      </c>
      <c r="B826" s="58">
        <v>2</v>
      </c>
      <c r="C826">
        <v>2</v>
      </c>
      <c r="D826" s="58" t="s">
        <v>671</v>
      </c>
      <c r="E826" t="s">
        <v>273</v>
      </c>
      <c r="F826" s="58" t="s">
        <v>203</v>
      </c>
      <c r="G826" t="s">
        <v>472</v>
      </c>
      <c r="H826" s="58" t="s">
        <v>1428</v>
      </c>
      <c r="I826" t="s">
        <v>76</v>
      </c>
      <c r="J826" s="58" t="s">
        <v>76</v>
      </c>
      <c r="K826" t="s">
        <v>1429</v>
      </c>
      <c r="L826" t="s">
        <v>20</v>
      </c>
      <c r="M826" t="s">
        <v>1430</v>
      </c>
      <c r="N826" s="59">
        <v>750</v>
      </c>
      <c r="O826" s="59">
        <v>13541666.666666666</v>
      </c>
      <c r="P826" s="59">
        <v>174749.02511415526</v>
      </c>
      <c r="Q826" s="59">
        <v>0</v>
      </c>
      <c r="R826" s="59">
        <v>366666.66666666669</v>
      </c>
      <c r="S826" s="59">
        <v>13000250.974885846</v>
      </c>
      <c r="T826" s="41"/>
      <c r="U826" s="41"/>
      <c r="V826" s="41"/>
      <c r="W826" s="41"/>
      <c r="X826" s="41"/>
      <c r="Y826" s="41"/>
      <c r="Z826" s="41"/>
      <c r="AA826" s="41"/>
      <c r="AB826" s="41"/>
      <c r="AC826" s="41"/>
      <c r="AD826" s="41"/>
      <c r="AE826" s="59">
        <v>514.41082030032226</v>
      </c>
      <c r="AF826" s="59">
        <v>535.83425979164201</v>
      </c>
      <c r="AG826" s="59" t="s">
        <v>154</v>
      </c>
      <c r="AH826" s="59" t="s">
        <v>78</v>
      </c>
    </row>
    <row r="827" spans="1:34" x14ac:dyDescent="0.35">
      <c r="A827" s="58">
        <v>2025</v>
      </c>
      <c r="B827" s="58">
        <v>2</v>
      </c>
      <c r="C827">
        <v>2</v>
      </c>
      <c r="D827" s="58" t="s">
        <v>590</v>
      </c>
      <c r="E827" t="s">
        <v>500</v>
      </c>
      <c r="F827" s="58" t="s">
        <v>168</v>
      </c>
      <c r="G827" t="s">
        <v>700</v>
      </c>
      <c r="H827" s="58" t="s">
        <v>4</v>
      </c>
      <c r="I827" t="s">
        <v>4</v>
      </c>
      <c r="J827" s="58" t="s">
        <v>4</v>
      </c>
      <c r="K827" t="s">
        <v>1429</v>
      </c>
      <c r="L827" t="s">
        <v>20</v>
      </c>
      <c r="M827" t="s">
        <v>1430</v>
      </c>
      <c r="N827" s="59">
        <v>484000</v>
      </c>
      <c r="O827" s="59">
        <v>17735696000</v>
      </c>
      <c r="P827" s="59">
        <v>39807091.273972601</v>
      </c>
      <c r="Q827" s="59">
        <v>0</v>
      </c>
      <c r="R827" s="59">
        <v>289259259.25925922</v>
      </c>
      <c r="S827" s="59">
        <v>17140594209.466776</v>
      </c>
      <c r="T827" s="41"/>
      <c r="U827" s="41"/>
      <c r="V827" s="41"/>
      <c r="W827" s="41"/>
      <c r="X827" s="41"/>
      <c r="Y827" s="41"/>
      <c r="Z827" s="41"/>
      <c r="AA827" s="41"/>
      <c r="AB827" s="41"/>
      <c r="AC827" s="41"/>
      <c r="AD827" s="41"/>
      <c r="AE827" s="59">
        <v>678241.300476445</v>
      </c>
      <c r="AF827" s="59">
        <v>701789.06127135432</v>
      </c>
      <c r="AG827" s="59" t="s">
        <v>8</v>
      </c>
      <c r="AH827" s="59" t="s">
        <v>1160</v>
      </c>
    </row>
    <row r="828" spans="1:34" x14ac:dyDescent="0.35">
      <c r="A828" s="58">
        <v>2025</v>
      </c>
      <c r="B828" s="58">
        <v>2</v>
      </c>
      <c r="C828">
        <v>2</v>
      </c>
      <c r="D828" s="58" t="s">
        <v>590</v>
      </c>
      <c r="E828" t="s">
        <v>500</v>
      </c>
      <c r="F828" s="58" t="s">
        <v>172</v>
      </c>
      <c r="G828" t="s">
        <v>734</v>
      </c>
      <c r="H828" s="58" t="s">
        <v>4</v>
      </c>
      <c r="I828" t="s">
        <v>4</v>
      </c>
      <c r="J828" s="58" t="s">
        <v>4</v>
      </c>
      <c r="K828" t="s">
        <v>1429</v>
      </c>
      <c r="L828" t="s">
        <v>20</v>
      </c>
      <c r="M828" t="s">
        <v>1430</v>
      </c>
      <c r="N828" s="59">
        <v>154000</v>
      </c>
      <c r="O828" s="59">
        <v>5643176000</v>
      </c>
      <c r="P828" s="59">
        <v>20777290.762557078</v>
      </c>
      <c r="Q828" s="59">
        <v>0</v>
      </c>
      <c r="R828" s="59">
        <v>136592592.5925926</v>
      </c>
      <c r="S828" s="59">
        <v>5401158476.6448498</v>
      </c>
      <c r="T828" s="41"/>
      <c r="U828" s="41"/>
      <c r="V828" s="41"/>
      <c r="W828" s="41"/>
      <c r="X828" s="41"/>
      <c r="Y828" s="41"/>
      <c r="Z828" s="41"/>
      <c r="AA828" s="41"/>
      <c r="AB828" s="41"/>
      <c r="AC828" s="41"/>
      <c r="AD828" s="41"/>
      <c r="AE828" s="59">
        <v>213720.05570587172</v>
      </c>
      <c r="AF828" s="59">
        <v>223296.51949543084</v>
      </c>
      <c r="AG828" s="59" t="s">
        <v>8</v>
      </c>
      <c r="AH828" s="59" t="s">
        <v>1175</v>
      </c>
    </row>
    <row r="829" spans="1:34" x14ac:dyDescent="0.35">
      <c r="A829" s="58">
        <v>2025</v>
      </c>
      <c r="B829" s="58">
        <v>2</v>
      </c>
      <c r="C829">
        <v>2</v>
      </c>
      <c r="D829" s="58" t="s">
        <v>590</v>
      </c>
      <c r="E829" t="s">
        <v>500</v>
      </c>
      <c r="F829" s="58" t="s">
        <v>1535</v>
      </c>
      <c r="G829" t="s">
        <v>1536</v>
      </c>
      <c r="H829" s="58" t="s">
        <v>1012</v>
      </c>
      <c r="I829" t="s">
        <v>1012</v>
      </c>
      <c r="J829" s="58" t="s">
        <v>1012</v>
      </c>
      <c r="K829" t="s">
        <v>1429</v>
      </c>
      <c r="L829" t="s">
        <v>20</v>
      </c>
      <c r="M829" t="s">
        <v>1430</v>
      </c>
      <c r="N829" s="59">
        <v>0</v>
      </c>
      <c r="O829" s="59">
        <v>0</v>
      </c>
      <c r="P829" s="59">
        <v>0</v>
      </c>
      <c r="Q829" s="59">
        <v>0</v>
      </c>
      <c r="R829" s="59">
        <v>0</v>
      </c>
      <c r="S829" s="59">
        <v>350683080</v>
      </c>
      <c r="T829" s="41"/>
      <c r="U829" s="41"/>
      <c r="V829" s="41"/>
      <c r="W829" s="41"/>
      <c r="X829" s="41"/>
      <c r="Y829" s="41"/>
      <c r="Z829" s="41"/>
      <c r="AA829" s="41"/>
      <c r="AB829" s="41"/>
      <c r="AC829" s="41"/>
      <c r="AD829" s="41"/>
      <c r="AE829" s="59">
        <v>13876.283711501776</v>
      </c>
      <c r="AF829" s="59">
        <v>0</v>
      </c>
      <c r="AG829" s="59" t="s">
        <v>8</v>
      </c>
      <c r="AH829" s="59" t="s">
        <v>1270</v>
      </c>
    </row>
    <row r="830" spans="1:34" x14ac:dyDescent="0.35">
      <c r="A830" s="58">
        <v>2025</v>
      </c>
      <c r="B830" s="58">
        <v>2</v>
      </c>
      <c r="C830">
        <v>2</v>
      </c>
      <c r="D830" s="58" t="s">
        <v>590</v>
      </c>
      <c r="E830" t="s">
        <v>500</v>
      </c>
      <c r="F830" s="58" t="s">
        <v>1152</v>
      </c>
      <c r="G830" t="s">
        <v>1153</v>
      </c>
      <c r="H830" s="58" t="s">
        <v>1012</v>
      </c>
      <c r="I830" t="s">
        <v>1012</v>
      </c>
      <c r="J830" s="58" t="s">
        <v>1399</v>
      </c>
      <c r="K830" t="s">
        <v>1429</v>
      </c>
      <c r="L830" t="s">
        <v>20</v>
      </c>
      <c r="M830" t="s">
        <v>1430</v>
      </c>
      <c r="N830" s="59">
        <v>0</v>
      </c>
      <c r="O830" s="59">
        <v>0</v>
      </c>
      <c r="P830" s="59">
        <v>0</v>
      </c>
      <c r="Q830" s="59">
        <v>0</v>
      </c>
      <c r="R830" s="59">
        <v>9000000</v>
      </c>
      <c r="S830" s="59">
        <v>-9000000</v>
      </c>
      <c r="T830" s="41"/>
      <c r="U830" s="41"/>
      <c r="V830" s="41"/>
      <c r="W830" s="41"/>
      <c r="X830" s="41"/>
      <c r="Y830" s="41"/>
      <c r="Z830" s="41"/>
      <c r="AA830" s="41"/>
      <c r="AB830" s="41"/>
      <c r="AC830" s="41"/>
      <c r="AD830" s="41"/>
      <c r="AE830" s="59">
        <v>-356.12369266152211</v>
      </c>
      <c r="AF830" s="59">
        <v>0</v>
      </c>
      <c r="AG830" s="59" t="s">
        <v>8</v>
      </c>
      <c r="AH830" s="59" t="s">
        <v>1400</v>
      </c>
    </row>
    <row r="831" spans="1:34" x14ac:dyDescent="0.35">
      <c r="A831" s="58">
        <v>2025</v>
      </c>
      <c r="B831" s="58">
        <v>2</v>
      </c>
      <c r="C831">
        <v>2</v>
      </c>
      <c r="D831" s="58" t="s">
        <v>590</v>
      </c>
      <c r="E831" t="s">
        <v>500</v>
      </c>
      <c r="F831" s="58" t="s">
        <v>1590</v>
      </c>
      <c r="G831" t="s">
        <v>1590</v>
      </c>
      <c r="H831" s="58" t="s">
        <v>1012</v>
      </c>
      <c r="I831" t="s">
        <v>1012</v>
      </c>
      <c r="J831" s="58" t="s">
        <v>1012</v>
      </c>
      <c r="K831" t="s">
        <v>1429</v>
      </c>
      <c r="L831" t="s">
        <v>20</v>
      </c>
      <c r="M831" t="s">
        <v>1591</v>
      </c>
      <c r="N831" s="59">
        <v>0</v>
      </c>
      <c r="O831" s="59">
        <v>-439589818.64999998</v>
      </c>
      <c r="P831" s="59">
        <v>0</v>
      </c>
      <c r="Q831" s="59">
        <v>0</v>
      </c>
      <c r="R831" s="59">
        <v>0</v>
      </c>
      <c r="S831" s="59">
        <v>-439589818.64999998</v>
      </c>
      <c r="T831" s="41"/>
      <c r="U831" s="41"/>
      <c r="V831" s="41"/>
      <c r="W831" s="41"/>
      <c r="X831" s="41"/>
      <c r="Y831" s="41"/>
      <c r="Z831" s="41"/>
      <c r="AA831" s="41"/>
      <c r="AB831" s="41"/>
      <c r="AC831" s="41"/>
      <c r="AD831" s="41"/>
      <c r="AE831" s="59">
        <v>-17394.261052671871</v>
      </c>
      <c r="AF831" s="59">
        <v>-17394.261052671871</v>
      </c>
      <c r="AG831" s="59" t="s">
        <v>8</v>
      </c>
      <c r="AH831" s="59" t="s">
        <v>1592</v>
      </c>
    </row>
    <row r="832" spans="1:34" x14ac:dyDescent="0.35">
      <c r="A832" s="58">
        <v>2025</v>
      </c>
      <c r="B832" s="58">
        <v>2</v>
      </c>
      <c r="C832">
        <v>2</v>
      </c>
      <c r="D832" s="58" t="s">
        <v>601</v>
      </c>
      <c r="E832" t="s">
        <v>501</v>
      </c>
      <c r="F832" s="58" t="s">
        <v>171</v>
      </c>
      <c r="G832" t="s">
        <v>731</v>
      </c>
      <c r="H832" s="58" t="s">
        <v>4</v>
      </c>
      <c r="I832" t="s">
        <v>4</v>
      </c>
      <c r="J832" s="58" t="s">
        <v>4</v>
      </c>
      <c r="K832" t="s">
        <v>1429</v>
      </c>
      <c r="L832" t="s">
        <v>20</v>
      </c>
      <c r="M832" t="s">
        <v>1430</v>
      </c>
      <c r="N832" s="59">
        <v>33000</v>
      </c>
      <c r="O832" s="59">
        <v>1026927000</v>
      </c>
      <c r="P832" s="59">
        <v>5242470.7534246575</v>
      </c>
      <c r="Q832" s="59">
        <v>0</v>
      </c>
      <c r="R832" s="59">
        <v>3080000</v>
      </c>
      <c r="S832" s="59">
        <v>1018604529.2465754</v>
      </c>
      <c r="T832" s="41"/>
      <c r="U832" s="41"/>
      <c r="V832" s="41"/>
      <c r="W832" s="41"/>
      <c r="X832" s="41"/>
      <c r="Y832" s="41"/>
      <c r="Z832" s="41"/>
      <c r="AA832" s="41"/>
      <c r="AB832" s="41"/>
      <c r="AC832" s="41"/>
      <c r="AD832" s="41"/>
      <c r="AE832" s="59">
        <v>40305.467368560203</v>
      </c>
      <c r="AF832" s="59">
        <v>40634.781703757661</v>
      </c>
      <c r="AG832" s="59" t="s">
        <v>109</v>
      </c>
      <c r="AH832" s="59" t="s">
        <v>1166</v>
      </c>
    </row>
    <row r="833" spans="1:34" x14ac:dyDescent="0.35">
      <c r="A833" s="58">
        <v>2025</v>
      </c>
      <c r="B833" s="58">
        <v>2</v>
      </c>
      <c r="C833">
        <v>2</v>
      </c>
      <c r="D833" s="58" t="s">
        <v>620</v>
      </c>
      <c r="E833" t="s">
        <v>324</v>
      </c>
      <c r="F833" s="58" t="s">
        <v>168</v>
      </c>
      <c r="G833" t="s">
        <v>700</v>
      </c>
      <c r="H833" s="58" t="s">
        <v>4</v>
      </c>
      <c r="I833" t="s">
        <v>4</v>
      </c>
      <c r="J833" s="58" t="s">
        <v>4</v>
      </c>
      <c r="K833" t="s">
        <v>1429</v>
      </c>
      <c r="L833" t="s">
        <v>20</v>
      </c>
      <c r="M833" t="s">
        <v>1431</v>
      </c>
      <c r="N833" s="59">
        <v>-3300</v>
      </c>
      <c r="O833" s="59">
        <v>0</v>
      </c>
      <c r="P833" s="59">
        <v>0</v>
      </c>
      <c r="Q833" s="59">
        <v>0</v>
      </c>
      <c r="R833" s="59">
        <v>0</v>
      </c>
      <c r="S833" s="59">
        <v>0</v>
      </c>
      <c r="T833" s="41"/>
      <c r="U833" s="41"/>
      <c r="V833" s="41"/>
      <c r="W833" s="41"/>
      <c r="X833" s="41"/>
      <c r="Y833" s="41"/>
      <c r="Z833" s="41"/>
      <c r="AA833" s="41"/>
      <c r="AB833" s="41"/>
      <c r="AC833" s="41"/>
      <c r="AD833" s="41"/>
      <c r="AE833" s="59">
        <v>0</v>
      </c>
      <c r="AF833" s="59">
        <v>0</v>
      </c>
      <c r="AG833" s="59" t="s">
        <v>8</v>
      </c>
      <c r="AH833" s="59" t="s">
        <v>1160</v>
      </c>
    </row>
    <row r="834" spans="1:34" x14ac:dyDescent="0.35">
      <c r="A834" s="58">
        <v>2025</v>
      </c>
      <c r="B834" s="58">
        <v>2</v>
      </c>
      <c r="C834">
        <v>2</v>
      </c>
      <c r="D834" s="58" t="s">
        <v>620</v>
      </c>
      <c r="E834" t="s">
        <v>324</v>
      </c>
      <c r="F834" s="58" t="s">
        <v>168</v>
      </c>
      <c r="G834" t="s">
        <v>700</v>
      </c>
      <c r="H834" s="58" t="s">
        <v>4</v>
      </c>
      <c r="I834" t="s">
        <v>4</v>
      </c>
      <c r="J834" s="58" t="s">
        <v>4</v>
      </c>
      <c r="K834" t="s">
        <v>1429</v>
      </c>
      <c r="L834" t="s">
        <v>20</v>
      </c>
      <c r="M834" t="s">
        <v>1430</v>
      </c>
      <c r="N834" s="59">
        <v>22000</v>
      </c>
      <c r="O834" s="59">
        <v>796901490</v>
      </c>
      <c r="P834" s="59">
        <v>3494980.5022831052</v>
      </c>
      <c r="Q834" s="59">
        <v>0</v>
      </c>
      <c r="R834" s="59">
        <v>3520000</v>
      </c>
      <c r="S834" s="59">
        <v>777932987.14771688</v>
      </c>
      <c r="T834" s="41"/>
      <c r="U834" s="41"/>
      <c r="V834" s="41"/>
      <c r="W834" s="41"/>
      <c r="X834" s="41"/>
      <c r="Y834" s="41"/>
      <c r="Z834" s="41"/>
      <c r="AA834" s="41"/>
      <c r="AB834" s="41"/>
      <c r="AC834" s="41"/>
      <c r="AD834" s="41"/>
      <c r="AE834" s="59">
        <v>30782.263114028148</v>
      </c>
      <c r="AF834" s="59">
        <v>31532.833478474335</v>
      </c>
      <c r="AG834" s="59" t="s">
        <v>8</v>
      </c>
      <c r="AH834" s="59" t="s">
        <v>1160</v>
      </c>
    </row>
    <row r="835" spans="1:34" x14ac:dyDescent="0.35">
      <c r="A835" s="58">
        <v>2025</v>
      </c>
      <c r="B835" s="58">
        <v>2</v>
      </c>
      <c r="C835">
        <v>2</v>
      </c>
      <c r="D835" s="58" t="s">
        <v>620</v>
      </c>
      <c r="E835" t="s">
        <v>324</v>
      </c>
      <c r="F835" s="58" t="s">
        <v>168</v>
      </c>
      <c r="G835" t="s">
        <v>700</v>
      </c>
      <c r="H835" s="58" t="s">
        <v>4</v>
      </c>
      <c r="I835" t="s">
        <v>4</v>
      </c>
      <c r="J835" s="58" t="s">
        <v>4</v>
      </c>
      <c r="K835" t="s">
        <v>1429</v>
      </c>
      <c r="L835" t="s">
        <v>20</v>
      </c>
      <c r="M835" t="s">
        <v>1432</v>
      </c>
      <c r="N835" s="59">
        <v>3300</v>
      </c>
      <c r="O835" s="59">
        <v>0</v>
      </c>
      <c r="P835" s="59">
        <v>0</v>
      </c>
      <c r="Q835" s="59">
        <v>0</v>
      </c>
      <c r="R835" s="59">
        <v>0</v>
      </c>
      <c r="S835" s="59">
        <v>0</v>
      </c>
      <c r="T835" s="41"/>
      <c r="U835" s="41"/>
      <c r="V835" s="41"/>
      <c r="W835" s="41"/>
      <c r="X835" s="41"/>
      <c r="Y835" s="41"/>
      <c r="Z835" s="41"/>
      <c r="AA835" s="41"/>
      <c r="AB835" s="41"/>
      <c r="AC835" s="41"/>
      <c r="AD835" s="41"/>
      <c r="AE835" s="59">
        <v>0</v>
      </c>
      <c r="AF835" s="59">
        <v>0</v>
      </c>
      <c r="AG835" s="59" t="s">
        <v>8</v>
      </c>
      <c r="AH835" s="59" t="s">
        <v>1160</v>
      </c>
    </row>
    <row r="836" spans="1:34" x14ac:dyDescent="0.35">
      <c r="A836" s="58">
        <v>2025</v>
      </c>
      <c r="B836" s="58">
        <v>2</v>
      </c>
      <c r="C836">
        <v>2</v>
      </c>
      <c r="D836" s="58" t="s">
        <v>620</v>
      </c>
      <c r="E836" t="s">
        <v>324</v>
      </c>
      <c r="F836" s="58" t="s">
        <v>1535</v>
      </c>
      <c r="G836" t="s">
        <v>1536</v>
      </c>
      <c r="H836" s="58" t="s">
        <v>1012</v>
      </c>
      <c r="I836" t="s">
        <v>1012</v>
      </c>
      <c r="J836" s="58" t="s">
        <v>1012</v>
      </c>
      <c r="K836" t="s">
        <v>1429</v>
      </c>
      <c r="L836" t="s">
        <v>20</v>
      </c>
      <c r="M836" t="s">
        <v>1430</v>
      </c>
      <c r="N836" s="59">
        <v>0</v>
      </c>
      <c r="O836" s="59">
        <v>0</v>
      </c>
      <c r="P836" s="59">
        <v>0</v>
      </c>
      <c r="Q836" s="59">
        <v>0</v>
      </c>
      <c r="R836" s="59">
        <v>0</v>
      </c>
      <c r="S836" s="59">
        <v>11953522.35</v>
      </c>
      <c r="T836" s="41"/>
      <c r="U836" s="41"/>
      <c r="V836" s="41"/>
      <c r="W836" s="41"/>
      <c r="X836" s="41"/>
      <c r="Y836" s="41"/>
      <c r="Z836" s="41"/>
      <c r="AA836" s="41"/>
      <c r="AB836" s="41"/>
      <c r="AC836" s="41"/>
      <c r="AD836" s="41"/>
      <c r="AE836" s="59">
        <v>472.99250217711506</v>
      </c>
      <c r="AF836" s="59">
        <v>0</v>
      </c>
      <c r="AG836" s="59" t="s">
        <v>8</v>
      </c>
      <c r="AH836" s="59" t="s">
        <v>1270</v>
      </c>
    </row>
    <row r="837" spans="1:34" x14ac:dyDescent="0.35">
      <c r="A837" s="58">
        <v>2025</v>
      </c>
      <c r="B837" s="58">
        <v>2</v>
      </c>
      <c r="C837">
        <v>2</v>
      </c>
      <c r="D837" s="58" t="s">
        <v>620</v>
      </c>
      <c r="E837" t="s">
        <v>324</v>
      </c>
      <c r="F837" s="58" t="s">
        <v>1590</v>
      </c>
      <c r="G837" t="s">
        <v>1590</v>
      </c>
      <c r="H837" s="58" t="s">
        <v>1012</v>
      </c>
      <c r="I837" t="s">
        <v>1012</v>
      </c>
      <c r="J837" s="58" t="s">
        <v>1012</v>
      </c>
      <c r="K837" t="s">
        <v>1429</v>
      </c>
      <c r="L837" t="s">
        <v>20</v>
      </c>
      <c r="M837" t="s">
        <v>1591</v>
      </c>
      <c r="N837" s="59">
        <v>0</v>
      </c>
      <c r="O837" s="59">
        <v>-11953522.35</v>
      </c>
      <c r="P837" s="59">
        <v>0</v>
      </c>
      <c r="Q837" s="59">
        <v>0</v>
      </c>
      <c r="R837" s="59">
        <v>0</v>
      </c>
      <c r="S837" s="59">
        <v>-11953522.35</v>
      </c>
      <c r="T837" s="41"/>
      <c r="U837" s="41"/>
      <c r="V837" s="41"/>
      <c r="W837" s="41"/>
      <c r="X837" s="41"/>
      <c r="Y837" s="41"/>
      <c r="Z837" s="41"/>
      <c r="AA837" s="41"/>
      <c r="AB837" s="41"/>
      <c r="AC837" s="41"/>
      <c r="AD837" s="41"/>
      <c r="AE837" s="59">
        <v>-472.99250217711506</v>
      </c>
      <c r="AF837" s="59">
        <v>-472.99250217711506</v>
      </c>
      <c r="AG837" s="59" t="s">
        <v>8</v>
      </c>
      <c r="AH837" s="59" t="s">
        <v>1592</v>
      </c>
    </row>
    <row r="838" spans="1:34" x14ac:dyDescent="0.35">
      <c r="A838" s="58">
        <v>2025</v>
      </c>
      <c r="B838" s="58">
        <v>2</v>
      </c>
      <c r="C838">
        <v>2</v>
      </c>
      <c r="D838" s="58" t="s">
        <v>682</v>
      </c>
      <c r="E838" t="s">
        <v>156</v>
      </c>
      <c r="F838" s="58" t="s">
        <v>1468</v>
      </c>
      <c r="G838" t="s">
        <v>1012</v>
      </c>
      <c r="H838" s="58" t="s">
        <v>1012</v>
      </c>
      <c r="I838" t="s">
        <v>1012</v>
      </c>
      <c r="J838" s="58" t="s">
        <v>1012</v>
      </c>
      <c r="K838" t="s">
        <v>1429</v>
      </c>
      <c r="L838" t="s">
        <v>20</v>
      </c>
      <c r="M838" t="s">
        <v>1430</v>
      </c>
      <c r="N838" s="59">
        <v>0</v>
      </c>
      <c r="O838" s="59">
        <v>6761641</v>
      </c>
      <c r="P838" s="59">
        <v>0</v>
      </c>
      <c r="Q838" s="59">
        <v>0</v>
      </c>
      <c r="R838" s="59">
        <v>0</v>
      </c>
      <c r="S838" s="59">
        <v>6761641</v>
      </c>
      <c r="T838" s="41"/>
      <c r="U838" s="41"/>
      <c r="V838" s="41"/>
      <c r="W838" s="41"/>
      <c r="X838" s="41"/>
      <c r="Y838" s="41"/>
      <c r="Z838" s="41"/>
      <c r="AA838" s="41"/>
      <c r="AB838" s="41"/>
      <c r="AC838" s="41"/>
      <c r="AD838" s="41"/>
      <c r="AE838" s="59">
        <v>267.55339570794968</v>
      </c>
      <c r="AF838" s="59">
        <v>267.55339570794968</v>
      </c>
      <c r="AG838" s="59" t="s">
        <v>156</v>
      </c>
      <c r="AH838" s="59" t="s">
        <v>1284</v>
      </c>
    </row>
    <row r="839" spans="1:34" x14ac:dyDescent="0.35">
      <c r="A839" s="58">
        <v>2025</v>
      </c>
      <c r="B839" s="58">
        <v>2</v>
      </c>
      <c r="C839">
        <v>2</v>
      </c>
      <c r="D839" s="58" t="s">
        <v>615</v>
      </c>
      <c r="E839" t="s">
        <v>320</v>
      </c>
      <c r="F839" s="58" t="s">
        <v>168</v>
      </c>
      <c r="G839" t="s">
        <v>700</v>
      </c>
      <c r="H839" s="58" t="s">
        <v>4</v>
      </c>
      <c r="I839" t="s">
        <v>4</v>
      </c>
      <c r="J839" s="58" t="s">
        <v>4</v>
      </c>
      <c r="K839" t="s">
        <v>1429</v>
      </c>
      <c r="L839" t="s">
        <v>20</v>
      </c>
      <c r="M839" t="s">
        <v>1430</v>
      </c>
      <c r="N839" s="59">
        <v>88000</v>
      </c>
      <c r="O839" s="59">
        <v>3197744000</v>
      </c>
      <c r="P839" s="59">
        <v>6989961.0045662103</v>
      </c>
      <c r="Q839" s="59">
        <v>0</v>
      </c>
      <c r="R839" s="59">
        <v>52592592.59259259</v>
      </c>
      <c r="S839" s="59">
        <v>3138161446.4028411</v>
      </c>
      <c r="T839" s="41"/>
      <c r="U839" s="41"/>
      <c r="V839" s="41"/>
      <c r="W839" s="41"/>
      <c r="X839" s="41"/>
      <c r="Y839" s="41"/>
      <c r="Z839" s="41"/>
      <c r="AA839" s="41"/>
      <c r="AB839" s="41"/>
      <c r="AC839" s="41"/>
      <c r="AD839" s="41"/>
      <c r="AE839" s="59">
        <v>124174.84916233367</v>
      </c>
      <c r="AF839" s="59">
        <v>126532.48905180293</v>
      </c>
      <c r="AG839" s="59" t="s">
        <v>99</v>
      </c>
      <c r="AH839" s="59" t="s">
        <v>1160</v>
      </c>
    </row>
    <row r="840" spans="1:34" x14ac:dyDescent="0.35">
      <c r="A840" s="58">
        <v>2025</v>
      </c>
      <c r="B840" s="58">
        <v>2</v>
      </c>
      <c r="C840">
        <v>2</v>
      </c>
      <c r="D840" s="58" t="s">
        <v>615</v>
      </c>
      <c r="E840" t="s">
        <v>320</v>
      </c>
      <c r="F840" s="58" t="s">
        <v>168</v>
      </c>
      <c r="G840" t="s">
        <v>700</v>
      </c>
      <c r="H840" s="58" t="s">
        <v>4</v>
      </c>
      <c r="I840" t="s">
        <v>4</v>
      </c>
      <c r="J840" s="58" t="s">
        <v>4</v>
      </c>
      <c r="K840" t="s">
        <v>1429</v>
      </c>
      <c r="L840" t="s">
        <v>20</v>
      </c>
      <c r="M840" t="s">
        <v>1591</v>
      </c>
      <c r="N840" s="59">
        <v>0</v>
      </c>
      <c r="O840" s="59">
        <v>-94248000</v>
      </c>
      <c r="P840" s="59">
        <v>0</v>
      </c>
      <c r="Q840" s="59">
        <v>0</v>
      </c>
      <c r="R840" s="59">
        <v>0</v>
      </c>
      <c r="S840" s="59">
        <v>-94248000</v>
      </c>
      <c r="T840" s="41"/>
      <c r="U840" s="41"/>
      <c r="V840" s="41"/>
      <c r="W840" s="41"/>
      <c r="X840" s="41"/>
      <c r="Y840" s="41"/>
      <c r="Z840" s="41"/>
      <c r="AA840" s="41"/>
      <c r="AB840" s="41"/>
      <c r="AC840" s="41"/>
      <c r="AD840" s="41"/>
      <c r="AE840" s="59">
        <v>-3729.3273095514596</v>
      </c>
      <c r="AF840" s="59">
        <v>-3729.3273095514596</v>
      </c>
      <c r="AG840" s="59" t="s">
        <v>99</v>
      </c>
      <c r="AH840" s="59" t="s">
        <v>1160</v>
      </c>
    </row>
    <row r="841" spans="1:34" x14ac:dyDescent="0.35">
      <c r="A841" s="58">
        <v>2025</v>
      </c>
      <c r="B841" s="58">
        <v>2</v>
      </c>
      <c r="C841">
        <v>2</v>
      </c>
      <c r="D841" s="58" t="s">
        <v>615</v>
      </c>
      <c r="E841" t="s">
        <v>320</v>
      </c>
      <c r="F841" s="58" t="s">
        <v>1590</v>
      </c>
      <c r="G841" t="s">
        <v>1590</v>
      </c>
      <c r="H841" s="58" t="s">
        <v>1012</v>
      </c>
      <c r="I841" t="s">
        <v>1012</v>
      </c>
      <c r="J841" s="58" t="s">
        <v>1012</v>
      </c>
      <c r="K841" t="s">
        <v>1429</v>
      </c>
      <c r="L841" t="s">
        <v>20</v>
      </c>
      <c r="M841" t="s">
        <v>1591</v>
      </c>
      <c r="N841" s="59">
        <v>0</v>
      </c>
      <c r="O841" s="59">
        <v>94248000</v>
      </c>
      <c r="P841" s="59">
        <v>0</v>
      </c>
      <c r="Q841" s="59">
        <v>0</v>
      </c>
      <c r="R841" s="59">
        <v>0</v>
      </c>
      <c r="S841" s="59">
        <v>94248000</v>
      </c>
      <c r="T841" s="41"/>
      <c r="U841" s="41"/>
      <c r="V841" s="41"/>
      <c r="W841" s="41"/>
      <c r="X841" s="41"/>
      <c r="Y841" s="41"/>
      <c r="Z841" s="41"/>
      <c r="AA841" s="41"/>
      <c r="AB841" s="41"/>
      <c r="AC841" s="41"/>
      <c r="AD841" s="41"/>
      <c r="AE841" s="59">
        <v>3729.3273095514596</v>
      </c>
      <c r="AF841" s="59">
        <v>3729.3273095514596</v>
      </c>
      <c r="AG841" s="59" t="s">
        <v>99</v>
      </c>
      <c r="AH841" s="59" t="s">
        <v>1592</v>
      </c>
    </row>
    <row r="842" spans="1:34" x14ac:dyDescent="0.35">
      <c r="A842" s="58">
        <v>2025</v>
      </c>
      <c r="B842" s="58">
        <v>2</v>
      </c>
      <c r="C842">
        <v>2</v>
      </c>
      <c r="D842" s="58" t="s">
        <v>605</v>
      </c>
      <c r="E842" t="s">
        <v>479</v>
      </c>
      <c r="F842" s="58" t="s">
        <v>184</v>
      </c>
      <c r="G842" t="s">
        <v>717</v>
      </c>
      <c r="H842" s="58" t="s">
        <v>1428</v>
      </c>
      <c r="I842" t="s">
        <v>75</v>
      </c>
      <c r="J842" s="58" t="s">
        <v>75</v>
      </c>
      <c r="K842" t="s">
        <v>1429</v>
      </c>
      <c r="L842" t="s">
        <v>20</v>
      </c>
      <c r="M842" t="s">
        <v>1430</v>
      </c>
      <c r="N842" s="59">
        <v>24750</v>
      </c>
      <c r="O842" s="59">
        <v>900108000</v>
      </c>
      <c r="P842" s="59">
        <v>0</v>
      </c>
      <c r="Q842" s="59">
        <v>0</v>
      </c>
      <c r="R842" s="59">
        <v>18981481.481481481</v>
      </c>
      <c r="S842" s="59">
        <v>881126518.51851857</v>
      </c>
      <c r="T842" s="41"/>
      <c r="U842" s="41"/>
      <c r="V842" s="41"/>
      <c r="W842" s="41"/>
      <c r="X842" s="41"/>
      <c r="Y842" s="41"/>
      <c r="Z842" s="41"/>
      <c r="AA842" s="41"/>
      <c r="AB842" s="41"/>
      <c r="AC842" s="41"/>
      <c r="AD842" s="41"/>
      <c r="AE842" s="59">
        <v>34865.558830756207</v>
      </c>
      <c r="AF842" s="59">
        <v>35616.642750464147</v>
      </c>
      <c r="AG842" s="59" t="s">
        <v>5</v>
      </c>
      <c r="AH842" s="59" t="s">
        <v>1198</v>
      </c>
    </row>
    <row r="843" spans="1:34" x14ac:dyDescent="0.35">
      <c r="A843" s="58">
        <v>2025</v>
      </c>
      <c r="B843" s="58">
        <v>2</v>
      </c>
      <c r="C843">
        <v>2</v>
      </c>
      <c r="D843" s="58" t="s">
        <v>1502</v>
      </c>
      <c r="E843" t="s">
        <v>1236</v>
      </c>
      <c r="F843" s="58" t="s">
        <v>879</v>
      </c>
      <c r="G843" t="s">
        <v>880</v>
      </c>
      <c r="H843" s="58" t="s">
        <v>1234</v>
      </c>
      <c r="I843" t="s">
        <v>1234</v>
      </c>
      <c r="J843" s="58" t="s">
        <v>1234</v>
      </c>
      <c r="K843" t="s">
        <v>1429</v>
      </c>
      <c r="L843" t="s">
        <v>20</v>
      </c>
      <c r="M843" t="s">
        <v>1430</v>
      </c>
      <c r="N843" s="59">
        <v>386000</v>
      </c>
      <c r="O843" s="59">
        <v>7465500000</v>
      </c>
      <c r="P843" s="59">
        <v>0</v>
      </c>
      <c r="Q843" s="59">
        <v>553550000</v>
      </c>
      <c r="R843" s="59">
        <v>0</v>
      </c>
      <c r="S843" s="59">
        <v>6911950000</v>
      </c>
      <c r="T843" s="41"/>
      <c r="U843" s="41"/>
      <c r="V843" s="41"/>
      <c r="W843" s="41"/>
      <c r="X843" s="41"/>
      <c r="Y843" s="41"/>
      <c r="Z843" s="41"/>
      <c r="AA843" s="41"/>
      <c r="AB843" s="41"/>
      <c r="AC843" s="41"/>
      <c r="AD843" s="41"/>
      <c r="AE843" s="59">
        <v>273501.01749908976</v>
      </c>
      <c r="AF843" s="59">
        <v>295404.60306273261</v>
      </c>
      <c r="AG843" s="59" t="s">
        <v>1236</v>
      </c>
      <c r="AH843" s="59" t="s">
        <v>1235</v>
      </c>
    </row>
    <row r="844" spans="1:34" x14ac:dyDescent="0.35">
      <c r="A844" s="58">
        <v>2025</v>
      </c>
      <c r="B844" s="58">
        <v>2</v>
      </c>
      <c r="C844">
        <v>2</v>
      </c>
      <c r="D844" s="58" t="s">
        <v>1469</v>
      </c>
      <c r="E844" t="s">
        <v>1211</v>
      </c>
      <c r="F844" s="58" t="s">
        <v>1472</v>
      </c>
      <c r="G844" t="s">
        <v>1473</v>
      </c>
      <c r="H844" s="58" t="s">
        <v>1012</v>
      </c>
      <c r="I844" t="s">
        <v>86</v>
      </c>
      <c r="J844" s="58" t="s">
        <v>86</v>
      </c>
      <c r="K844" t="s">
        <v>1429</v>
      </c>
      <c r="L844" t="s">
        <v>20</v>
      </c>
      <c r="M844" t="s">
        <v>1430</v>
      </c>
      <c r="N844" s="59">
        <v>1752</v>
      </c>
      <c r="O844" s="59">
        <v>36266400</v>
      </c>
      <c r="P844" s="59">
        <v>0</v>
      </c>
      <c r="Q844" s="59">
        <v>0</v>
      </c>
      <c r="R844" s="59">
        <v>0</v>
      </c>
      <c r="S844" s="59">
        <v>36266400</v>
      </c>
      <c r="T844" s="41"/>
      <c r="U844" s="41"/>
      <c r="V844" s="41"/>
      <c r="W844" s="41"/>
      <c r="X844" s="41"/>
      <c r="Y844" s="41"/>
      <c r="Z844" s="41"/>
      <c r="AA844" s="41"/>
      <c r="AB844" s="41"/>
      <c r="AC844" s="41"/>
      <c r="AD844" s="41"/>
      <c r="AE844" s="59">
        <v>1435.0360319488695</v>
      </c>
      <c r="AF844" s="59">
        <v>1435.0360319488695</v>
      </c>
      <c r="AG844" s="59" t="s">
        <v>1211</v>
      </c>
      <c r="AH844" s="59" t="s">
        <v>1215</v>
      </c>
    </row>
    <row r="845" spans="1:34" x14ac:dyDescent="0.35">
      <c r="A845" s="58">
        <v>2025</v>
      </c>
      <c r="B845" s="58">
        <v>2</v>
      </c>
      <c r="C845">
        <v>2</v>
      </c>
      <c r="D845" s="58" t="s">
        <v>1505</v>
      </c>
      <c r="E845" t="s">
        <v>1216</v>
      </c>
      <c r="F845" s="58" t="s">
        <v>1472</v>
      </c>
      <c r="G845" t="s">
        <v>1473</v>
      </c>
      <c r="H845" s="58" t="s">
        <v>1012</v>
      </c>
      <c r="I845" t="s">
        <v>86</v>
      </c>
      <c r="J845" s="58" t="s">
        <v>86</v>
      </c>
      <c r="K845" t="s">
        <v>1429</v>
      </c>
      <c r="L845" t="s">
        <v>20</v>
      </c>
      <c r="M845" t="s">
        <v>1430</v>
      </c>
      <c r="N845" s="59">
        <v>11072</v>
      </c>
      <c r="O845" s="59">
        <v>229190400</v>
      </c>
      <c r="P845" s="59">
        <v>0</v>
      </c>
      <c r="Q845" s="59">
        <v>0</v>
      </c>
      <c r="R845" s="59">
        <v>0</v>
      </c>
      <c r="S845" s="59">
        <v>229190400</v>
      </c>
      <c r="T845" s="41"/>
      <c r="U845" s="41"/>
      <c r="V845" s="41"/>
      <c r="W845" s="41"/>
      <c r="X845" s="41"/>
      <c r="Y845" s="41"/>
      <c r="Z845" s="41"/>
      <c r="AA845" s="41"/>
      <c r="AB845" s="41"/>
      <c r="AC845" s="41"/>
      <c r="AD845" s="41"/>
      <c r="AE845" s="59">
        <v>9068.9035078412562</v>
      </c>
      <c r="AF845" s="59">
        <v>9068.9035078412562</v>
      </c>
      <c r="AG845" s="59" t="s">
        <v>1216</v>
      </c>
      <c r="AH845" s="59" t="s">
        <v>1215</v>
      </c>
    </row>
    <row r="846" spans="1:34" x14ac:dyDescent="0.35">
      <c r="A846" s="58">
        <v>2025</v>
      </c>
      <c r="B846" s="58">
        <v>2</v>
      </c>
      <c r="C846">
        <v>2</v>
      </c>
      <c r="D846" s="58" t="s">
        <v>1505</v>
      </c>
      <c r="E846" t="s">
        <v>1216</v>
      </c>
      <c r="F846" s="58" t="s">
        <v>1615</v>
      </c>
      <c r="G846" t="s">
        <v>1616</v>
      </c>
      <c r="H846" s="58" t="s">
        <v>1012</v>
      </c>
      <c r="I846" t="s">
        <v>86</v>
      </c>
      <c r="J846" s="58" t="s">
        <v>86</v>
      </c>
      <c r="K846" t="s">
        <v>1429</v>
      </c>
      <c r="L846" t="s">
        <v>20</v>
      </c>
      <c r="M846" t="s">
        <v>1430</v>
      </c>
      <c r="N846" s="59">
        <v>5406</v>
      </c>
      <c r="O846" s="59">
        <v>98389200</v>
      </c>
      <c r="P846" s="59">
        <v>0</v>
      </c>
      <c r="Q846" s="59">
        <v>0</v>
      </c>
      <c r="R846" s="59">
        <v>0</v>
      </c>
      <c r="S846" s="59">
        <v>98389200</v>
      </c>
      <c r="T846" s="41"/>
      <c r="U846" s="41"/>
      <c r="V846" s="41"/>
      <c r="W846" s="41"/>
      <c r="X846" s="41"/>
      <c r="Y846" s="41"/>
      <c r="Z846" s="41"/>
      <c r="AA846" s="41"/>
      <c r="AB846" s="41"/>
      <c r="AC846" s="41"/>
      <c r="AD846" s="41"/>
      <c r="AE846" s="59">
        <v>3893.1916913347814</v>
      </c>
      <c r="AF846" s="59">
        <v>3893.1916913347814</v>
      </c>
      <c r="AG846" s="59" t="s">
        <v>1216</v>
      </c>
      <c r="AH846" s="59" t="s">
        <v>1230</v>
      </c>
    </row>
    <row r="847" spans="1:34" x14ac:dyDescent="0.35">
      <c r="A847" s="58">
        <v>2025</v>
      </c>
      <c r="B847" s="58">
        <v>2</v>
      </c>
      <c r="C847">
        <v>2</v>
      </c>
      <c r="D847" s="58" t="s">
        <v>595</v>
      </c>
      <c r="E847" t="s">
        <v>478</v>
      </c>
      <c r="F847" s="58" t="s">
        <v>184</v>
      </c>
      <c r="G847" t="s">
        <v>717</v>
      </c>
      <c r="H847" s="58" t="s">
        <v>1428</v>
      </c>
      <c r="I847" t="s">
        <v>75</v>
      </c>
      <c r="J847" s="58" t="s">
        <v>75</v>
      </c>
      <c r="K847" t="s">
        <v>1429</v>
      </c>
      <c r="L847" t="s">
        <v>20</v>
      </c>
      <c r="M847" t="s">
        <v>1430</v>
      </c>
      <c r="N847" s="59">
        <v>77000</v>
      </c>
      <c r="O847" s="59">
        <v>2738120000</v>
      </c>
      <c r="P847" s="59">
        <v>0</v>
      </c>
      <c r="Q847" s="59">
        <v>0</v>
      </c>
      <c r="R847" s="59">
        <v>0</v>
      </c>
      <c r="S847" s="59">
        <v>2738120000</v>
      </c>
      <c r="T847" s="41"/>
      <c r="U847" s="41"/>
      <c r="V847" s="41"/>
      <c r="W847" s="41"/>
      <c r="X847" s="41"/>
      <c r="Y847" s="41"/>
      <c r="Z847" s="41"/>
      <c r="AA847" s="41"/>
      <c r="AB847" s="41"/>
      <c r="AC847" s="41"/>
      <c r="AD847" s="41"/>
      <c r="AE847" s="59">
        <v>108345.48948337411</v>
      </c>
      <c r="AF847" s="59">
        <v>108345.48948337411</v>
      </c>
      <c r="AG847" s="59" t="s">
        <v>5</v>
      </c>
      <c r="AH847" s="59" t="s">
        <v>1198</v>
      </c>
    </row>
    <row r="848" spans="1:34" x14ac:dyDescent="0.35">
      <c r="A848" s="58">
        <v>2025</v>
      </c>
      <c r="B848" s="58">
        <v>2</v>
      </c>
      <c r="C848">
        <v>2</v>
      </c>
      <c r="D848" s="58" t="s">
        <v>595</v>
      </c>
      <c r="E848" t="s">
        <v>478</v>
      </c>
      <c r="F848" s="58" t="s">
        <v>171</v>
      </c>
      <c r="G848" t="s">
        <v>731</v>
      </c>
      <c r="H848" s="58" t="s">
        <v>4</v>
      </c>
      <c r="I848" t="s">
        <v>4</v>
      </c>
      <c r="J848" s="58" t="s">
        <v>4</v>
      </c>
      <c r="K848" t="s">
        <v>1429</v>
      </c>
      <c r="L848" t="s">
        <v>20</v>
      </c>
      <c r="M848" t="s">
        <v>1430</v>
      </c>
      <c r="N848" s="59">
        <v>11000</v>
      </c>
      <c r="O848" s="59">
        <v>363220000</v>
      </c>
      <c r="P848" s="59">
        <v>1747490.2511415526</v>
      </c>
      <c r="Q848" s="59">
        <v>0</v>
      </c>
      <c r="R848" s="59">
        <v>0</v>
      </c>
      <c r="S848" s="59">
        <v>361472509.74885845</v>
      </c>
      <c r="T848" s="41"/>
      <c r="U848" s="41"/>
      <c r="V848" s="41"/>
      <c r="W848" s="41"/>
      <c r="X848" s="41"/>
      <c r="Y848" s="41"/>
      <c r="Z848" s="41"/>
      <c r="AA848" s="41"/>
      <c r="AB848" s="41"/>
      <c r="AC848" s="41"/>
      <c r="AD848" s="41"/>
      <c r="AE848" s="59">
        <v>14303.213885265724</v>
      </c>
      <c r="AF848" s="59">
        <v>14372.360849835341</v>
      </c>
      <c r="AG848" s="59" t="s">
        <v>5</v>
      </c>
      <c r="AH848" s="59" t="s">
        <v>1166</v>
      </c>
    </row>
    <row r="849" spans="1:34" x14ac:dyDescent="0.35">
      <c r="A849" s="58">
        <v>2025</v>
      </c>
      <c r="B849" s="58">
        <v>2</v>
      </c>
      <c r="C849">
        <v>2</v>
      </c>
      <c r="D849" s="58" t="s">
        <v>595</v>
      </c>
      <c r="E849" t="s">
        <v>478</v>
      </c>
      <c r="F849" s="58" t="s">
        <v>187</v>
      </c>
      <c r="G849" t="s">
        <v>869</v>
      </c>
      <c r="H849" s="58" t="s">
        <v>1428</v>
      </c>
      <c r="I849" t="s">
        <v>75</v>
      </c>
      <c r="J849" s="58" t="s">
        <v>75</v>
      </c>
      <c r="K849" t="s">
        <v>1429</v>
      </c>
      <c r="L849" t="s">
        <v>20</v>
      </c>
      <c r="M849" t="s">
        <v>1430</v>
      </c>
      <c r="N849" s="59">
        <v>5500</v>
      </c>
      <c r="O849" s="59">
        <v>188595000</v>
      </c>
      <c r="P849" s="59">
        <v>0</v>
      </c>
      <c r="Q849" s="59">
        <v>0</v>
      </c>
      <c r="R849" s="59">
        <v>0</v>
      </c>
      <c r="S849" s="59">
        <v>188595000</v>
      </c>
      <c r="T849" s="41"/>
      <c r="U849" s="41"/>
      <c r="V849" s="41"/>
      <c r="W849" s="41"/>
      <c r="X849" s="41"/>
      <c r="Y849" s="41"/>
      <c r="Z849" s="41"/>
      <c r="AA849" s="41"/>
      <c r="AB849" s="41"/>
      <c r="AC849" s="41"/>
      <c r="AD849" s="41"/>
      <c r="AE849" s="59">
        <v>7462.5719797221955</v>
      </c>
      <c r="AF849" s="59">
        <v>7462.5719797221955</v>
      </c>
      <c r="AG849" s="59" t="s">
        <v>5</v>
      </c>
      <c r="AH849" s="59" t="s">
        <v>1203</v>
      </c>
    </row>
    <row r="850" spans="1:34" x14ac:dyDescent="0.35">
      <c r="A850" s="58">
        <v>2025</v>
      </c>
      <c r="B850" s="58">
        <v>2</v>
      </c>
      <c r="C850">
        <v>2</v>
      </c>
      <c r="D850" s="58" t="s">
        <v>595</v>
      </c>
      <c r="E850" t="s">
        <v>478</v>
      </c>
      <c r="F850" s="58" t="s">
        <v>188</v>
      </c>
      <c r="G850" t="s">
        <v>872</v>
      </c>
      <c r="H850" s="58" t="s">
        <v>1428</v>
      </c>
      <c r="I850" t="s">
        <v>75</v>
      </c>
      <c r="J850" s="58" t="s">
        <v>75</v>
      </c>
      <c r="K850" t="s">
        <v>1429</v>
      </c>
      <c r="L850" t="s">
        <v>20</v>
      </c>
      <c r="M850" t="s">
        <v>1430</v>
      </c>
      <c r="N850" s="59">
        <v>44000</v>
      </c>
      <c r="O850" s="59">
        <v>1508760000</v>
      </c>
      <c r="P850" s="59">
        <v>0</v>
      </c>
      <c r="Q850" s="59">
        <v>0</v>
      </c>
      <c r="R850" s="59">
        <v>0</v>
      </c>
      <c r="S850" s="59">
        <v>1508760000</v>
      </c>
      <c r="T850" s="41"/>
      <c r="U850" s="41"/>
      <c r="V850" s="41"/>
      <c r="W850" s="41"/>
      <c r="X850" s="41"/>
      <c r="Y850" s="41"/>
      <c r="Z850" s="41"/>
      <c r="AA850" s="41"/>
      <c r="AB850" s="41"/>
      <c r="AC850" s="41"/>
      <c r="AD850" s="41"/>
      <c r="AE850" s="59">
        <v>59700.575837777564</v>
      </c>
      <c r="AF850" s="59">
        <v>59700.575837777564</v>
      </c>
      <c r="AG850" s="59" t="s">
        <v>5</v>
      </c>
      <c r="AH850" s="59" t="s">
        <v>1204</v>
      </c>
    </row>
    <row r="851" spans="1:34" x14ac:dyDescent="0.35">
      <c r="A851" s="58">
        <v>2025</v>
      </c>
      <c r="B851" s="58">
        <v>2</v>
      </c>
      <c r="C851">
        <v>2</v>
      </c>
      <c r="D851" s="58" t="s">
        <v>595</v>
      </c>
      <c r="E851" t="s">
        <v>478</v>
      </c>
      <c r="F851" s="58" t="s">
        <v>191</v>
      </c>
      <c r="G851" t="s">
        <v>941</v>
      </c>
      <c r="H851" s="58" t="s">
        <v>1428</v>
      </c>
      <c r="I851" t="s">
        <v>75</v>
      </c>
      <c r="J851" s="58" t="s">
        <v>75</v>
      </c>
      <c r="K851" t="s">
        <v>1429</v>
      </c>
      <c r="L851" t="s">
        <v>20</v>
      </c>
      <c r="M851" t="s">
        <v>1430</v>
      </c>
      <c r="N851" s="59">
        <v>24000</v>
      </c>
      <c r="O851" s="59">
        <v>853440000</v>
      </c>
      <c r="P851" s="59">
        <v>0</v>
      </c>
      <c r="Q851" s="59">
        <v>0</v>
      </c>
      <c r="R851" s="59">
        <v>0</v>
      </c>
      <c r="S851" s="59">
        <v>853440000</v>
      </c>
      <c r="T851" s="41"/>
      <c r="U851" s="41"/>
      <c r="V851" s="41"/>
      <c r="W851" s="41"/>
      <c r="X851" s="41"/>
      <c r="Y851" s="41"/>
      <c r="Z851" s="41"/>
      <c r="AA851" s="41"/>
      <c r="AB851" s="41"/>
      <c r="AC851" s="41"/>
      <c r="AD851" s="41"/>
      <c r="AE851" s="59">
        <v>33770.022696116604</v>
      </c>
      <c r="AF851" s="59">
        <v>33770.022696116604</v>
      </c>
      <c r="AG851" s="59" t="s">
        <v>5</v>
      </c>
      <c r="AH851" s="59" t="s">
        <v>1208</v>
      </c>
    </row>
    <row r="852" spans="1:34" x14ac:dyDescent="0.35">
      <c r="A852" s="58">
        <v>2025</v>
      </c>
      <c r="B852" s="58">
        <v>2</v>
      </c>
      <c r="C852">
        <v>2</v>
      </c>
      <c r="D852" s="58" t="s">
        <v>654</v>
      </c>
      <c r="E852" t="s">
        <v>118</v>
      </c>
      <c r="F852" s="58" t="s">
        <v>171</v>
      </c>
      <c r="G852" t="s">
        <v>731</v>
      </c>
      <c r="H852" s="58" t="s">
        <v>4</v>
      </c>
      <c r="I852" t="s">
        <v>4</v>
      </c>
      <c r="J852" s="58" t="s">
        <v>4</v>
      </c>
      <c r="K852" t="s">
        <v>1429</v>
      </c>
      <c r="L852" t="s">
        <v>20</v>
      </c>
      <c r="M852" t="s">
        <v>1430</v>
      </c>
      <c r="N852" s="59">
        <v>1100</v>
      </c>
      <c r="O852" s="59">
        <v>34230900</v>
      </c>
      <c r="P852" s="59">
        <v>174749.02511415526</v>
      </c>
      <c r="Q852" s="59">
        <v>0</v>
      </c>
      <c r="R852" s="59">
        <v>0</v>
      </c>
      <c r="S852" s="59">
        <v>34056150.974885844</v>
      </c>
      <c r="T852" s="41"/>
      <c r="U852" s="41"/>
      <c r="V852" s="41"/>
      <c r="W852" s="41"/>
      <c r="X852" s="41"/>
      <c r="Y852" s="41"/>
      <c r="Z852" s="41"/>
      <c r="AA852" s="41"/>
      <c r="AB852" s="41"/>
      <c r="AC852" s="41"/>
      <c r="AD852" s="41"/>
      <c r="AE852" s="59">
        <v>1347.5780270016269</v>
      </c>
      <c r="AF852" s="59">
        <v>1354.4927234585884</v>
      </c>
      <c r="AG852" s="59" t="s">
        <v>118</v>
      </c>
      <c r="AH852" s="59" t="s">
        <v>1166</v>
      </c>
    </row>
    <row r="853" spans="1:34" x14ac:dyDescent="0.35">
      <c r="A853" s="58">
        <v>2025</v>
      </c>
      <c r="B853" s="58">
        <v>2</v>
      </c>
      <c r="C853">
        <v>2</v>
      </c>
      <c r="D853" s="58" t="s">
        <v>606</v>
      </c>
      <c r="E853" t="s">
        <v>325</v>
      </c>
      <c r="F853" s="58" t="s">
        <v>1590</v>
      </c>
      <c r="G853" t="s">
        <v>1590</v>
      </c>
      <c r="H853" s="58" t="s">
        <v>1012</v>
      </c>
      <c r="I853" t="s">
        <v>1012</v>
      </c>
      <c r="J853" s="58" t="s">
        <v>1012</v>
      </c>
      <c r="K853" t="s">
        <v>1429</v>
      </c>
      <c r="L853" t="s">
        <v>20</v>
      </c>
      <c r="M853" t="s">
        <v>1591</v>
      </c>
      <c r="N853" s="59">
        <v>0</v>
      </c>
      <c r="O853" s="59">
        <v>-26333835</v>
      </c>
      <c r="P853" s="59">
        <v>0</v>
      </c>
      <c r="Q853" s="59">
        <v>0</v>
      </c>
      <c r="R853" s="59">
        <v>0</v>
      </c>
      <c r="S853" s="59">
        <v>-26333835</v>
      </c>
      <c r="T853" s="41"/>
      <c r="U853" s="41"/>
      <c r="V853" s="41"/>
      <c r="W853" s="41"/>
      <c r="X853" s="41"/>
      <c r="Y853" s="41"/>
      <c r="Z853" s="41"/>
      <c r="AA853" s="41"/>
      <c r="AB853" s="41"/>
      <c r="AC853" s="41"/>
      <c r="AD853" s="41"/>
      <c r="AE853" s="59">
        <v>-1042.0113957932483</v>
      </c>
      <c r="AF853" s="59">
        <v>-1042.0113957932483</v>
      </c>
      <c r="AG853" s="59" t="s">
        <v>8</v>
      </c>
      <c r="AH853" s="59" t="s">
        <v>1592</v>
      </c>
    </row>
    <row r="854" spans="1:34" x14ac:dyDescent="0.35">
      <c r="A854" s="58">
        <v>2025</v>
      </c>
      <c r="B854" s="58">
        <v>2</v>
      </c>
      <c r="C854">
        <v>2</v>
      </c>
      <c r="D854" s="58" t="s">
        <v>634</v>
      </c>
      <c r="E854" t="s">
        <v>148</v>
      </c>
      <c r="F854" s="58" t="s">
        <v>183</v>
      </c>
      <c r="G854" t="s">
        <v>924</v>
      </c>
      <c r="H854" s="58" t="s">
        <v>74</v>
      </c>
      <c r="I854" t="s">
        <v>74</v>
      </c>
      <c r="J854" s="58" t="s">
        <v>74</v>
      </c>
      <c r="K854" t="s">
        <v>1429</v>
      </c>
      <c r="L854" t="s">
        <v>20</v>
      </c>
      <c r="M854" t="s">
        <v>1430</v>
      </c>
      <c r="N854" s="59">
        <v>11000</v>
      </c>
      <c r="O854" s="59">
        <v>209000000</v>
      </c>
      <c r="P854" s="59">
        <v>1747490.2511415526</v>
      </c>
      <c r="Q854" s="59">
        <v>0</v>
      </c>
      <c r="R854" s="59">
        <v>0</v>
      </c>
      <c r="S854" s="59">
        <v>207252509.74885845</v>
      </c>
      <c r="T854" s="41"/>
      <c r="U854" s="41"/>
      <c r="V854" s="41"/>
      <c r="W854" s="41"/>
      <c r="X854" s="41"/>
      <c r="Y854" s="41"/>
      <c r="Z854" s="41"/>
      <c r="AA854" s="41"/>
      <c r="AB854" s="41"/>
      <c r="AC854" s="41"/>
      <c r="AD854" s="41"/>
      <c r="AE854" s="59">
        <v>8200.8365650146206</v>
      </c>
      <c r="AF854" s="59">
        <v>8269.9835295842349</v>
      </c>
      <c r="AG854" s="59" t="s">
        <v>148</v>
      </c>
      <c r="AH854" s="59" t="s">
        <v>1245</v>
      </c>
    </row>
    <row r="855" spans="1:34" x14ac:dyDescent="0.35">
      <c r="A855" s="58">
        <v>2025</v>
      </c>
      <c r="B855" s="58">
        <v>2</v>
      </c>
      <c r="C855">
        <v>2</v>
      </c>
      <c r="D855" s="58" t="s">
        <v>596</v>
      </c>
      <c r="E855" t="s">
        <v>266</v>
      </c>
      <c r="F855" s="58" t="s">
        <v>171</v>
      </c>
      <c r="G855" t="s">
        <v>731</v>
      </c>
      <c r="H855" s="58" t="s">
        <v>4</v>
      </c>
      <c r="I855" t="s">
        <v>4</v>
      </c>
      <c r="J855" s="58" t="s">
        <v>4</v>
      </c>
      <c r="K855" t="s">
        <v>1429</v>
      </c>
      <c r="L855" t="s">
        <v>20</v>
      </c>
      <c r="M855" t="s">
        <v>1430</v>
      </c>
      <c r="N855" s="59">
        <v>77000</v>
      </c>
      <c r="O855" s="59">
        <v>2410180080</v>
      </c>
      <c r="P855" s="59">
        <v>12232431.757990867</v>
      </c>
      <c r="Q855" s="59">
        <v>0</v>
      </c>
      <c r="R855" s="59">
        <v>0</v>
      </c>
      <c r="S855" s="59">
        <v>2397947648.2420092</v>
      </c>
      <c r="T855" s="41"/>
      <c r="U855" s="41"/>
      <c r="V855" s="41"/>
      <c r="W855" s="41"/>
      <c r="X855" s="41"/>
      <c r="Y855" s="41"/>
      <c r="Z855" s="41"/>
      <c r="AA855" s="41"/>
      <c r="AB855" s="41"/>
      <c r="AC855" s="41"/>
      <c r="AD855" s="41"/>
      <c r="AE855" s="59">
        <v>94885.107922328549</v>
      </c>
      <c r="AF855" s="59">
        <v>95369.136674315872</v>
      </c>
      <c r="AG855" s="59" t="s">
        <v>100</v>
      </c>
      <c r="AH855" s="59" t="s">
        <v>1166</v>
      </c>
    </row>
    <row r="856" spans="1:34" x14ac:dyDescent="0.35">
      <c r="A856" s="58">
        <v>2025</v>
      </c>
      <c r="B856" s="58">
        <v>2</v>
      </c>
      <c r="C856">
        <v>2</v>
      </c>
      <c r="D856" s="58" t="s">
        <v>610</v>
      </c>
      <c r="E856" t="s">
        <v>44</v>
      </c>
      <c r="F856" s="58" t="s">
        <v>186</v>
      </c>
      <c r="G856" t="s">
        <v>781</v>
      </c>
      <c r="H856" s="58" t="s">
        <v>1428</v>
      </c>
      <c r="I856" t="s">
        <v>75</v>
      </c>
      <c r="J856" s="58" t="s">
        <v>75</v>
      </c>
      <c r="K856" t="s">
        <v>1429</v>
      </c>
      <c r="L856" t="s">
        <v>20</v>
      </c>
      <c r="M856" t="s">
        <v>1431</v>
      </c>
      <c r="N856" s="59">
        <v>-1410</v>
      </c>
      <c r="O856" s="59">
        <v>0</v>
      </c>
      <c r="P856" s="59">
        <v>0</v>
      </c>
      <c r="Q856" s="59">
        <v>0</v>
      </c>
      <c r="R856" s="59">
        <v>0</v>
      </c>
      <c r="S856" s="59">
        <v>0</v>
      </c>
      <c r="T856" s="41"/>
      <c r="U856" s="41"/>
      <c r="V856" s="41"/>
      <c r="W856" s="41"/>
      <c r="X856" s="41"/>
      <c r="Y856" s="41"/>
      <c r="Z856" s="41"/>
      <c r="AA856" s="41"/>
      <c r="AB856" s="41"/>
      <c r="AC856" s="41"/>
      <c r="AD856" s="41"/>
      <c r="AE856" s="59">
        <v>0</v>
      </c>
      <c r="AF856" s="59">
        <v>0</v>
      </c>
      <c r="AG856" s="59" t="s">
        <v>44</v>
      </c>
      <c r="AH856" s="59" t="s">
        <v>1202</v>
      </c>
    </row>
    <row r="857" spans="1:34" x14ac:dyDescent="0.35">
      <c r="A857" s="58">
        <v>2025</v>
      </c>
      <c r="B857" s="58">
        <v>2</v>
      </c>
      <c r="C857">
        <v>2</v>
      </c>
      <c r="D857" s="58" t="s">
        <v>610</v>
      </c>
      <c r="E857" t="s">
        <v>44</v>
      </c>
      <c r="F857" s="58" t="s">
        <v>186</v>
      </c>
      <c r="G857" t="s">
        <v>781</v>
      </c>
      <c r="H857" s="58" t="s">
        <v>1428</v>
      </c>
      <c r="I857" t="s">
        <v>75</v>
      </c>
      <c r="J857" s="58" t="s">
        <v>75</v>
      </c>
      <c r="K857" t="s">
        <v>1429</v>
      </c>
      <c r="L857" t="s">
        <v>20</v>
      </c>
      <c r="M857" t="s">
        <v>1430</v>
      </c>
      <c r="N857" s="59">
        <v>22000</v>
      </c>
      <c r="O857" s="59">
        <v>759102300</v>
      </c>
      <c r="P857" s="59">
        <v>0</v>
      </c>
      <c r="Q857" s="59">
        <v>0</v>
      </c>
      <c r="R857" s="59">
        <v>0</v>
      </c>
      <c r="S857" s="59">
        <v>759102300</v>
      </c>
      <c r="T857" s="41"/>
      <c r="U857" s="41"/>
      <c r="V857" s="41"/>
      <c r="W857" s="41"/>
      <c r="X857" s="41"/>
      <c r="Y857" s="41"/>
      <c r="Z857" s="41"/>
      <c r="AA857" s="41"/>
      <c r="AB857" s="41"/>
      <c r="AC857" s="41"/>
      <c r="AD857" s="41"/>
      <c r="AE857" s="59">
        <v>30037.146020428285</v>
      </c>
      <c r="AF857" s="59">
        <v>30037.146020428285</v>
      </c>
      <c r="AG857" s="59" t="s">
        <v>44</v>
      </c>
      <c r="AH857" s="59" t="s">
        <v>1202</v>
      </c>
    </row>
    <row r="858" spans="1:34" x14ac:dyDescent="0.35">
      <c r="A858" s="58">
        <v>2025</v>
      </c>
      <c r="B858" s="58">
        <v>2</v>
      </c>
      <c r="C858">
        <v>2</v>
      </c>
      <c r="D858" s="58" t="s">
        <v>610</v>
      </c>
      <c r="E858" t="s">
        <v>44</v>
      </c>
      <c r="F858" s="58" t="s">
        <v>186</v>
      </c>
      <c r="G858" t="s">
        <v>781</v>
      </c>
      <c r="H858" s="58" t="s">
        <v>1428</v>
      </c>
      <c r="I858" t="s">
        <v>75</v>
      </c>
      <c r="J858" s="58" t="s">
        <v>75</v>
      </c>
      <c r="K858" t="s">
        <v>1429</v>
      </c>
      <c r="L858" t="s">
        <v>20</v>
      </c>
      <c r="M858" t="s">
        <v>1432</v>
      </c>
      <c r="N858" s="59">
        <v>1410</v>
      </c>
      <c r="O858" s="59">
        <v>0</v>
      </c>
      <c r="P858" s="59">
        <v>0</v>
      </c>
      <c r="Q858" s="59">
        <v>0</v>
      </c>
      <c r="R858" s="59">
        <v>0</v>
      </c>
      <c r="S858" s="59">
        <v>0</v>
      </c>
      <c r="T858" s="41"/>
      <c r="U858" s="41"/>
      <c r="V858" s="41"/>
      <c r="W858" s="41"/>
      <c r="X858" s="41"/>
      <c r="Y858" s="41"/>
      <c r="Z858" s="41"/>
      <c r="AA858" s="41"/>
      <c r="AB858" s="41"/>
      <c r="AC858" s="41"/>
      <c r="AD858" s="41"/>
      <c r="AE858" s="59">
        <v>0</v>
      </c>
      <c r="AF858" s="59">
        <v>0</v>
      </c>
      <c r="AG858" s="59" t="s">
        <v>44</v>
      </c>
      <c r="AH858" s="59" t="s">
        <v>1202</v>
      </c>
    </row>
    <row r="859" spans="1:34" x14ac:dyDescent="0.35">
      <c r="A859" s="58">
        <v>2025</v>
      </c>
      <c r="B859" s="58">
        <v>2</v>
      </c>
      <c r="C859">
        <v>2</v>
      </c>
      <c r="D859" s="58" t="s">
        <v>624</v>
      </c>
      <c r="E859" t="s">
        <v>272</v>
      </c>
      <c r="F859" s="58" t="s">
        <v>172</v>
      </c>
      <c r="G859" t="s">
        <v>734</v>
      </c>
      <c r="H859" s="58" t="s">
        <v>4</v>
      </c>
      <c r="I859" t="s">
        <v>4</v>
      </c>
      <c r="J859" s="58" t="s">
        <v>4</v>
      </c>
      <c r="K859" t="s">
        <v>1429</v>
      </c>
      <c r="L859" t="s">
        <v>20</v>
      </c>
      <c r="M859" t="s">
        <v>1430</v>
      </c>
      <c r="N859" s="59">
        <v>4400</v>
      </c>
      <c r="O859" s="59">
        <v>145072928</v>
      </c>
      <c r="P859" s="59">
        <v>698996.10045662103</v>
      </c>
      <c r="Q859" s="59">
        <v>0</v>
      </c>
      <c r="R859" s="59">
        <v>0</v>
      </c>
      <c r="S859" s="59">
        <v>144373931.89954337</v>
      </c>
      <c r="T859" s="41"/>
      <c r="U859" s="41"/>
      <c r="V859" s="41"/>
      <c r="W859" s="41"/>
      <c r="X859" s="41"/>
      <c r="Y859" s="41"/>
      <c r="Z859" s="41"/>
      <c r="AA859" s="41"/>
      <c r="AB859" s="41"/>
      <c r="AC859" s="41"/>
      <c r="AD859" s="41"/>
      <c r="AE859" s="59">
        <v>5712.7753057920563</v>
      </c>
      <c r="AF859" s="59">
        <v>5740.4340916199026</v>
      </c>
      <c r="AG859" s="59" t="s">
        <v>103</v>
      </c>
      <c r="AH859" s="59" t="s">
        <v>1175</v>
      </c>
    </row>
    <row r="860" spans="1:34" x14ac:dyDescent="0.35">
      <c r="A860" s="58">
        <v>2025</v>
      </c>
      <c r="B860" s="58">
        <v>2</v>
      </c>
      <c r="C860">
        <v>2</v>
      </c>
      <c r="D860" s="58" t="s">
        <v>1558</v>
      </c>
      <c r="E860" t="s">
        <v>1223</v>
      </c>
      <c r="F860" s="58" t="s">
        <v>841</v>
      </c>
      <c r="G860" t="s">
        <v>842</v>
      </c>
      <c r="H860" s="58" t="s">
        <v>1012</v>
      </c>
      <c r="I860" t="s">
        <v>86</v>
      </c>
      <c r="J860" s="58" t="s">
        <v>86</v>
      </c>
      <c r="K860" t="s">
        <v>1429</v>
      </c>
      <c r="L860" t="s">
        <v>20</v>
      </c>
      <c r="M860" t="s">
        <v>1430</v>
      </c>
      <c r="N860" s="59">
        <v>21200</v>
      </c>
      <c r="O860" s="59">
        <v>106000000</v>
      </c>
      <c r="P860" s="59">
        <v>0</v>
      </c>
      <c r="Q860" s="59">
        <v>0</v>
      </c>
      <c r="R860" s="59">
        <v>0</v>
      </c>
      <c r="S860" s="59">
        <v>106000000</v>
      </c>
      <c r="T860" s="41"/>
      <c r="U860" s="41"/>
      <c r="V860" s="41"/>
      <c r="W860" s="41"/>
      <c r="X860" s="41"/>
      <c r="Y860" s="41"/>
      <c r="Z860" s="41"/>
      <c r="AA860" s="41"/>
      <c r="AB860" s="41"/>
      <c r="AC860" s="41"/>
      <c r="AD860" s="41"/>
      <c r="AE860" s="59">
        <v>4194.3457135690378</v>
      </c>
      <c r="AF860" s="59">
        <v>4194.3457135690378</v>
      </c>
      <c r="AG860" s="59" t="s">
        <v>1223</v>
      </c>
      <c r="AH860" s="59" t="s">
        <v>1222</v>
      </c>
    </row>
    <row r="861" spans="1:34" x14ac:dyDescent="0.35">
      <c r="A861" s="58">
        <v>2025</v>
      </c>
      <c r="B861" s="58">
        <v>2</v>
      </c>
      <c r="C861">
        <v>2</v>
      </c>
      <c r="D861" s="58" t="s">
        <v>1558</v>
      </c>
      <c r="E861" t="s">
        <v>1223</v>
      </c>
      <c r="F861" s="58" t="s">
        <v>843</v>
      </c>
      <c r="G861" t="s">
        <v>844</v>
      </c>
      <c r="H861" s="58" t="s">
        <v>1012</v>
      </c>
      <c r="I861" t="s">
        <v>86</v>
      </c>
      <c r="J861" s="58" t="s">
        <v>86</v>
      </c>
      <c r="K861" t="s">
        <v>1429</v>
      </c>
      <c r="L861" t="s">
        <v>20</v>
      </c>
      <c r="M861" t="s">
        <v>1430</v>
      </c>
      <c r="N861" s="59">
        <v>23538</v>
      </c>
      <c r="O861" s="59">
        <v>117690000</v>
      </c>
      <c r="P861" s="59">
        <v>0</v>
      </c>
      <c r="Q861" s="59">
        <v>0</v>
      </c>
      <c r="R861" s="59">
        <v>0</v>
      </c>
      <c r="S861" s="59">
        <v>117690000</v>
      </c>
      <c r="T861" s="41"/>
      <c r="U861" s="41"/>
      <c r="V861" s="41"/>
      <c r="W861" s="41"/>
      <c r="X861" s="41"/>
      <c r="Y861" s="41"/>
      <c r="Z861" s="41"/>
      <c r="AA861" s="41"/>
      <c r="AB861" s="41"/>
      <c r="AC861" s="41"/>
      <c r="AD861" s="41"/>
      <c r="AE861" s="59">
        <v>4656.9108210371696</v>
      </c>
      <c r="AF861" s="59">
        <v>4656.9108210371696</v>
      </c>
      <c r="AG861" s="59" t="s">
        <v>1223</v>
      </c>
      <c r="AH861" s="59" t="s">
        <v>1224</v>
      </c>
    </row>
    <row r="862" spans="1:34" x14ac:dyDescent="0.35">
      <c r="A862" s="58">
        <v>2025</v>
      </c>
      <c r="B862" s="58">
        <v>2</v>
      </c>
      <c r="C862">
        <v>2</v>
      </c>
      <c r="D862" s="58" t="s">
        <v>1558</v>
      </c>
      <c r="E862" t="s">
        <v>1223</v>
      </c>
      <c r="F862" s="58" t="s">
        <v>845</v>
      </c>
      <c r="G862" t="s">
        <v>846</v>
      </c>
      <c r="H862" s="58" t="s">
        <v>1012</v>
      </c>
      <c r="I862" t="s">
        <v>86</v>
      </c>
      <c r="J862" s="58" t="s">
        <v>86</v>
      </c>
      <c r="K862" t="s">
        <v>1429</v>
      </c>
      <c r="L862" t="s">
        <v>20</v>
      </c>
      <c r="M862" t="s">
        <v>1430</v>
      </c>
      <c r="N862" s="59">
        <v>28910</v>
      </c>
      <c r="O862" s="59">
        <v>144550000</v>
      </c>
      <c r="P862" s="59">
        <v>0</v>
      </c>
      <c r="Q862" s="59">
        <v>0</v>
      </c>
      <c r="R862" s="59">
        <v>0</v>
      </c>
      <c r="S862" s="59">
        <v>144550000</v>
      </c>
      <c r="T862" s="41"/>
      <c r="U862" s="41"/>
      <c r="V862" s="41"/>
      <c r="W862" s="41"/>
      <c r="X862" s="41"/>
      <c r="Y862" s="41"/>
      <c r="Z862" s="41"/>
      <c r="AA862" s="41"/>
      <c r="AB862" s="41"/>
      <c r="AC862" s="41"/>
      <c r="AD862" s="41"/>
      <c r="AE862" s="59">
        <v>5719.7421971358908</v>
      </c>
      <c r="AF862" s="59">
        <v>5719.7421971358908</v>
      </c>
      <c r="AG862" s="59" t="s">
        <v>1223</v>
      </c>
      <c r="AH862" s="59" t="s">
        <v>1225</v>
      </c>
    </row>
    <row r="863" spans="1:34" x14ac:dyDescent="0.35">
      <c r="A863" s="58">
        <v>2025</v>
      </c>
      <c r="B863" s="58">
        <v>2</v>
      </c>
      <c r="C863">
        <v>2</v>
      </c>
      <c r="D863" s="58" t="s">
        <v>1558</v>
      </c>
      <c r="E863" t="s">
        <v>1223</v>
      </c>
      <c r="F863" s="58" t="s">
        <v>847</v>
      </c>
      <c r="G863" t="s">
        <v>848</v>
      </c>
      <c r="H863" s="58" t="s">
        <v>1012</v>
      </c>
      <c r="I863" t="s">
        <v>86</v>
      </c>
      <c r="J863" s="58" t="s">
        <v>86</v>
      </c>
      <c r="K863" t="s">
        <v>1429</v>
      </c>
      <c r="L863" t="s">
        <v>20</v>
      </c>
      <c r="M863" t="s">
        <v>1430</v>
      </c>
      <c r="N863" s="59">
        <v>31610</v>
      </c>
      <c r="O863" s="59">
        <v>158050000</v>
      </c>
      <c r="P863" s="59">
        <v>0</v>
      </c>
      <c r="Q863" s="59">
        <v>0</v>
      </c>
      <c r="R863" s="59">
        <v>0</v>
      </c>
      <c r="S863" s="59">
        <v>158050000</v>
      </c>
      <c r="T863" s="41"/>
      <c r="U863" s="41"/>
      <c r="V863" s="41"/>
      <c r="W863" s="41"/>
      <c r="X863" s="41"/>
      <c r="Y863" s="41"/>
      <c r="Z863" s="41"/>
      <c r="AA863" s="41"/>
      <c r="AB863" s="41"/>
      <c r="AC863" s="41"/>
      <c r="AD863" s="41"/>
      <c r="AE863" s="59">
        <v>6253.9277361281729</v>
      </c>
      <c r="AF863" s="59">
        <v>6253.9277361281729</v>
      </c>
      <c r="AG863" s="59" t="s">
        <v>1223</v>
      </c>
      <c r="AH863" s="59" t="s">
        <v>1226</v>
      </c>
    </row>
    <row r="864" spans="1:34" x14ac:dyDescent="0.35">
      <c r="A864" s="58">
        <v>2025</v>
      </c>
      <c r="B864" s="58">
        <v>2</v>
      </c>
      <c r="C864">
        <v>2</v>
      </c>
      <c r="D864" s="58" t="s">
        <v>652</v>
      </c>
      <c r="E864" t="s">
        <v>71</v>
      </c>
      <c r="F864" s="58" t="s">
        <v>171</v>
      </c>
      <c r="G864" t="s">
        <v>731</v>
      </c>
      <c r="H864" s="58" t="s">
        <v>4</v>
      </c>
      <c r="I864" t="s">
        <v>4</v>
      </c>
      <c r="J864" s="58" t="s">
        <v>4</v>
      </c>
      <c r="K864" t="s">
        <v>1429</v>
      </c>
      <c r="L864" t="s">
        <v>20</v>
      </c>
      <c r="M864" t="s">
        <v>1430</v>
      </c>
      <c r="N864" s="59">
        <v>3300</v>
      </c>
      <c r="O864" s="59">
        <v>103935678</v>
      </c>
      <c r="P864" s="59">
        <v>455267.19700793084</v>
      </c>
      <c r="Q864" s="59">
        <v>0</v>
      </c>
      <c r="R864" s="59">
        <v>0</v>
      </c>
      <c r="S864" s="59">
        <v>103480410.80299208</v>
      </c>
      <c r="T864" s="41"/>
      <c r="U864" s="41"/>
      <c r="V864" s="41"/>
      <c r="W864" s="41"/>
      <c r="X864" s="41"/>
      <c r="Y864" s="41"/>
      <c r="Z864" s="41"/>
      <c r="AA864" s="41"/>
      <c r="AB864" s="41"/>
      <c r="AC864" s="41"/>
      <c r="AD864" s="41"/>
      <c r="AE864" s="59">
        <v>4094.6473348103113</v>
      </c>
      <c r="AF864" s="59">
        <v>4112.6619387376586</v>
      </c>
      <c r="AG864" s="59" t="s">
        <v>71</v>
      </c>
      <c r="AH864" s="59" t="s">
        <v>1166</v>
      </c>
    </row>
    <row r="865" spans="1:34" x14ac:dyDescent="0.35">
      <c r="A865" s="58">
        <v>2025</v>
      </c>
      <c r="B865" s="58">
        <v>2</v>
      </c>
      <c r="C865">
        <v>2</v>
      </c>
      <c r="D865" s="58" t="s">
        <v>652</v>
      </c>
      <c r="E865" t="s">
        <v>71</v>
      </c>
      <c r="F865" s="58" t="s">
        <v>210</v>
      </c>
      <c r="G865" t="s">
        <v>833</v>
      </c>
      <c r="H865" s="58" t="s">
        <v>21</v>
      </c>
      <c r="I865" t="s">
        <v>21</v>
      </c>
      <c r="J865" s="58" t="s">
        <v>21</v>
      </c>
      <c r="K865" t="s">
        <v>1429</v>
      </c>
      <c r="L865" t="s">
        <v>20</v>
      </c>
      <c r="M865" t="s">
        <v>1430</v>
      </c>
      <c r="N865" s="59">
        <v>500</v>
      </c>
      <c r="O865" s="59">
        <v>14601680</v>
      </c>
      <c r="P865" s="59">
        <v>68979.87833453498</v>
      </c>
      <c r="Q865" s="59">
        <v>0</v>
      </c>
      <c r="R865" s="59">
        <v>0</v>
      </c>
      <c r="S865" s="59">
        <v>14532700.121665465</v>
      </c>
      <c r="T865" s="41"/>
      <c r="U865" s="41"/>
      <c r="V865" s="41"/>
      <c r="W865" s="41"/>
      <c r="X865" s="41"/>
      <c r="Y865" s="41"/>
      <c r="Z865" s="41"/>
      <c r="AA865" s="41"/>
      <c r="AB865" s="41"/>
      <c r="AC865" s="41"/>
      <c r="AD865" s="41"/>
      <c r="AE865" s="59">
        <v>575.0487590744508</v>
      </c>
      <c r="AF865" s="59">
        <v>577.77824451798824</v>
      </c>
      <c r="AG865" s="59" t="s">
        <v>71</v>
      </c>
      <c r="AH865" s="59" t="s">
        <v>1354</v>
      </c>
    </row>
    <row r="866" spans="1:34" x14ac:dyDescent="0.35">
      <c r="A866" s="58">
        <v>2025</v>
      </c>
      <c r="B866" s="58">
        <v>2</v>
      </c>
      <c r="C866">
        <v>2</v>
      </c>
      <c r="D866" s="58" t="s">
        <v>622</v>
      </c>
      <c r="E866" t="s">
        <v>53</v>
      </c>
      <c r="F866" s="58" t="s">
        <v>185</v>
      </c>
      <c r="G866" t="s">
        <v>720</v>
      </c>
      <c r="H866" s="58" t="s">
        <v>1428</v>
      </c>
      <c r="I866" t="s">
        <v>75</v>
      </c>
      <c r="J866" s="58" t="s">
        <v>75</v>
      </c>
      <c r="K866" t="s">
        <v>1429</v>
      </c>
      <c r="L866" t="s">
        <v>20</v>
      </c>
      <c r="M866" t="s">
        <v>1430</v>
      </c>
      <c r="N866" s="59">
        <v>11000</v>
      </c>
      <c r="O866" s="59">
        <v>187000000</v>
      </c>
      <c r="P866" s="59">
        <v>0</v>
      </c>
      <c r="Q866" s="59">
        <v>0</v>
      </c>
      <c r="R866" s="59">
        <v>0</v>
      </c>
      <c r="S866" s="59">
        <v>187000000</v>
      </c>
      <c r="T866" s="41"/>
      <c r="U866" s="41"/>
      <c r="V866" s="41"/>
      <c r="W866" s="41"/>
      <c r="X866" s="41"/>
      <c r="Y866" s="41"/>
      <c r="Z866" s="41"/>
      <c r="AA866" s="41"/>
      <c r="AB866" s="41"/>
      <c r="AC866" s="41"/>
      <c r="AD866" s="41"/>
      <c r="AE866" s="59">
        <v>7399.4589475227367</v>
      </c>
      <c r="AF866" s="59">
        <v>7399.4589475227367</v>
      </c>
      <c r="AG866" s="59" t="s">
        <v>53</v>
      </c>
      <c r="AH866" s="59" t="s">
        <v>1199</v>
      </c>
    </row>
    <row r="867" spans="1:34" x14ac:dyDescent="0.35">
      <c r="A867" s="58">
        <v>2025</v>
      </c>
      <c r="B867" s="58">
        <v>2</v>
      </c>
      <c r="C867">
        <v>2</v>
      </c>
      <c r="D867" s="58" t="s">
        <v>657</v>
      </c>
      <c r="E867" t="s">
        <v>26</v>
      </c>
      <c r="F867" s="58" t="s">
        <v>182</v>
      </c>
      <c r="G867" t="s">
        <v>905</v>
      </c>
      <c r="H867" s="58" t="s">
        <v>74</v>
      </c>
      <c r="I867" t="s">
        <v>74</v>
      </c>
      <c r="J867" s="58" t="s">
        <v>74</v>
      </c>
      <c r="K867" t="s">
        <v>1429</v>
      </c>
      <c r="L867" t="s">
        <v>20</v>
      </c>
      <c r="M867" t="s">
        <v>1431</v>
      </c>
      <c r="N867" s="59">
        <v>-5500</v>
      </c>
      <c r="O867" s="59">
        <v>0</v>
      </c>
      <c r="P867" s="59">
        <v>0</v>
      </c>
      <c r="Q867" s="59">
        <v>0</v>
      </c>
      <c r="R867" s="59">
        <v>0</v>
      </c>
      <c r="S867" s="59">
        <v>0</v>
      </c>
      <c r="T867" s="41"/>
      <c r="U867" s="41"/>
      <c r="V867" s="41"/>
      <c r="W867" s="41"/>
      <c r="X867" s="41"/>
      <c r="Y867" s="41"/>
      <c r="Z867" s="41"/>
      <c r="AA867" s="41"/>
      <c r="AB867" s="41"/>
      <c r="AC867" s="41"/>
      <c r="AD867" s="41"/>
      <c r="AE867" s="59">
        <v>0</v>
      </c>
      <c r="AF867" s="59">
        <v>0</v>
      </c>
      <c r="AG867" s="59" t="s">
        <v>26</v>
      </c>
      <c r="AH867" s="59" t="s">
        <v>1242</v>
      </c>
    </row>
    <row r="868" spans="1:34" x14ac:dyDescent="0.35">
      <c r="A868" s="58">
        <v>2025</v>
      </c>
      <c r="B868" s="58">
        <v>2</v>
      </c>
      <c r="C868">
        <v>2</v>
      </c>
      <c r="D868" s="58" t="s">
        <v>657</v>
      </c>
      <c r="E868" t="s">
        <v>26</v>
      </c>
      <c r="F868" s="58" t="s">
        <v>182</v>
      </c>
      <c r="G868" t="s">
        <v>905</v>
      </c>
      <c r="H868" s="58" t="s">
        <v>74</v>
      </c>
      <c r="I868" t="s">
        <v>74</v>
      </c>
      <c r="J868" s="58" t="s">
        <v>74</v>
      </c>
      <c r="K868" t="s">
        <v>1429</v>
      </c>
      <c r="L868" t="s">
        <v>20</v>
      </c>
      <c r="M868" t="s">
        <v>1430</v>
      </c>
      <c r="N868" s="59">
        <v>5500</v>
      </c>
      <c r="O868" s="59">
        <v>105050000</v>
      </c>
      <c r="P868" s="59">
        <v>873745.12557077629</v>
      </c>
      <c r="Q868" s="59">
        <v>0</v>
      </c>
      <c r="R868" s="59">
        <v>0</v>
      </c>
      <c r="S868" s="59">
        <v>104176254.87442923</v>
      </c>
      <c r="T868" s="41"/>
      <c r="U868" s="41"/>
      <c r="V868" s="41"/>
      <c r="W868" s="41"/>
      <c r="X868" s="41"/>
      <c r="Y868" s="41"/>
      <c r="Z868" s="41"/>
      <c r="AA868" s="41"/>
      <c r="AB868" s="41"/>
      <c r="AC868" s="41"/>
      <c r="AD868" s="41"/>
      <c r="AE868" s="59">
        <v>4122.1813970588473</v>
      </c>
      <c r="AF868" s="59">
        <v>4156.7548793436554</v>
      </c>
      <c r="AG868" s="59" t="s">
        <v>26</v>
      </c>
      <c r="AH868" s="59" t="s">
        <v>1242</v>
      </c>
    </row>
    <row r="869" spans="1:34" x14ac:dyDescent="0.35">
      <c r="A869" s="58">
        <v>2025</v>
      </c>
      <c r="B869" s="58">
        <v>2</v>
      </c>
      <c r="C869">
        <v>2</v>
      </c>
      <c r="D869" s="58" t="s">
        <v>657</v>
      </c>
      <c r="E869" t="s">
        <v>26</v>
      </c>
      <c r="F869" s="58" t="s">
        <v>182</v>
      </c>
      <c r="G869" t="s">
        <v>905</v>
      </c>
      <c r="H869" s="58" t="s">
        <v>74</v>
      </c>
      <c r="I869" t="s">
        <v>74</v>
      </c>
      <c r="J869" s="58" t="s">
        <v>74</v>
      </c>
      <c r="K869" t="s">
        <v>1429</v>
      </c>
      <c r="L869" t="s">
        <v>20</v>
      </c>
      <c r="M869" t="s">
        <v>1432</v>
      </c>
      <c r="N869" s="59">
        <v>5500</v>
      </c>
      <c r="O869" s="59">
        <v>0</v>
      </c>
      <c r="P869" s="59">
        <v>873745.12557077629</v>
      </c>
      <c r="Q869" s="59">
        <v>0</v>
      </c>
      <c r="R869" s="59">
        <v>0</v>
      </c>
      <c r="S869" s="59">
        <v>-873745.12557077629</v>
      </c>
      <c r="T869" s="41"/>
      <c r="U869" s="41"/>
      <c r="V869" s="41"/>
      <c r="W869" s="41"/>
      <c r="X869" s="41"/>
      <c r="Y869" s="41"/>
      <c r="Z869" s="41"/>
      <c r="AA869" s="41"/>
      <c r="AB869" s="41"/>
      <c r="AC869" s="41"/>
      <c r="AD869" s="41"/>
      <c r="AE869" s="59">
        <v>-34.573482284807795</v>
      </c>
      <c r="AF869" s="59">
        <v>0</v>
      </c>
      <c r="AG869" s="59" t="s">
        <v>26</v>
      </c>
      <c r="AH869" s="59" t="s">
        <v>1242</v>
      </c>
    </row>
    <row r="870" spans="1:34" x14ac:dyDescent="0.35">
      <c r="A870" s="58">
        <v>2025</v>
      </c>
      <c r="B870" s="58">
        <v>2</v>
      </c>
      <c r="C870">
        <v>2</v>
      </c>
      <c r="D870" s="58" t="s">
        <v>627</v>
      </c>
      <c r="E870" t="s">
        <v>58</v>
      </c>
      <c r="F870" s="58" t="s">
        <v>200</v>
      </c>
      <c r="G870" t="s">
        <v>470</v>
      </c>
      <c r="H870" s="58" t="s">
        <v>1428</v>
      </c>
      <c r="I870" t="s">
        <v>76</v>
      </c>
      <c r="J870" s="58" t="s">
        <v>76</v>
      </c>
      <c r="K870" t="s">
        <v>1429</v>
      </c>
      <c r="L870" t="s">
        <v>20</v>
      </c>
      <c r="M870" t="s">
        <v>1430</v>
      </c>
      <c r="N870" s="59">
        <v>9750</v>
      </c>
      <c r="O870" s="59">
        <v>153472222</v>
      </c>
      <c r="P870" s="59">
        <v>2271737.326484018</v>
      </c>
      <c r="Q870" s="59">
        <v>0</v>
      </c>
      <c r="R870" s="59">
        <v>0</v>
      </c>
      <c r="S870" s="59">
        <v>151200484.67351601</v>
      </c>
      <c r="T870" s="41"/>
      <c r="U870" s="41"/>
      <c r="V870" s="41"/>
      <c r="W870" s="41"/>
      <c r="X870" s="41"/>
      <c r="Y870" s="41"/>
      <c r="Z870" s="41"/>
      <c r="AA870" s="41"/>
      <c r="AB870" s="41"/>
      <c r="AC870" s="41"/>
      <c r="AD870" s="41"/>
      <c r="AE870" s="59">
        <v>5982.8972149049323</v>
      </c>
      <c r="AF870" s="59">
        <v>6072.788268845432</v>
      </c>
      <c r="AG870" s="59" t="s">
        <v>58</v>
      </c>
      <c r="AH870" s="59" t="s">
        <v>79</v>
      </c>
    </row>
    <row r="871" spans="1:34" x14ac:dyDescent="0.35">
      <c r="A871" s="58">
        <v>2025</v>
      </c>
      <c r="B871" s="58">
        <v>2</v>
      </c>
      <c r="C871">
        <v>2</v>
      </c>
      <c r="D871" s="58" t="s">
        <v>627</v>
      </c>
      <c r="E871" t="s">
        <v>58</v>
      </c>
      <c r="F871" s="58" t="s">
        <v>202</v>
      </c>
      <c r="G871" t="s">
        <v>473</v>
      </c>
      <c r="H871" s="58" t="s">
        <v>1428</v>
      </c>
      <c r="I871" t="s">
        <v>76</v>
      </c>
      <c r="J871" s="58" t="s">
        <v>76</v>
      </c>
      <c r="K871" t="s">
        <v>1429</v>
      </c>
      <c r="L871" t="s">
        <v>20</v>
      </c>
      <c r="M871" t="s">
        <v>1430</v>
      </c>
      <c r="N871" s="59">
        <v>1500</v>
      </c>
      <c r="O871" s="59">
        <v>23611111</v>
      </c>
      <c r="P871" s="59">
        <v>349498.05022831052</v>
      </c>
      <c r="Q871" s="59">
        <v>0</v>
      </c>
      <c r="R871" s="59">
        <v>0</v>
      </c>
      <c r="S871" s="59">
        <v>23261612.949771691</v>
      </c>
      <c r="T871" s="41"/>
      <c r="U871" s="41"/>
      <c r="V871" s="41"/>
      <c r="W871" s="41"/>
      <c r="X871" s="41"/>
      <c r="Y871" s="41"/>
      <c r="Z871" s="41"/>
      <c r="AA871" s="41"/>
      <c r="AB871" s="41"/>
      <c r="AC871" s="41"/>
      <c r="AD871" s="41"/>
      <c r="AE871" s="59">
        <v>920.44572232619737</v>
      </c>
      <c r="AF871" s="59">
        <v>934.27511524012039</v>
      </c>
      <c r="AG871" s="59" t="s">
        <v>58</v>
      </c>
      <c r="AH871" s="59" t="s">
        <v>80</v>
      </c>
    </row>
    <row r="872" spans="1:34" x14ac:dyDescent="0.35">
      <c r="A872" s="58">
        <v>2025</v>
      </c>
      <c r="B872" s="58">
        <v>2</v>
      </c>
      <c r="C872">
        <v>2</v>
      </c>
      <c r="D872" s="58" t="s">
        <v>627</v>
      </c>
      <c r="E872" t="s">
        <v>58</v>
      </c>
      <c r="F872" s="58" t="s">
        <v>204</v>
      </c>
      <c r="G872" t="s">
        <v>474</v>
      </c>
      <c r="H872" s="58" t="s">
        <v>1428</v>
      </c>
      <c r="I872" t="s">
        <v>76</v>
      </c>
      <c r="J872" s="58" t="s">
        <v>76</v>
      </c>
      <c r="K872" t="s">
        <v>1429</v>
      </c>
      <c r="L872" t="s">
        <v>20</v>
      </c>
      <c r="M872" t="s">
        <v>1430</v>
      </c>
      <c r="N872" s="59">
        <v>750</v>
      </c>
      <c r="O872" s="59">
        <v>11805556</v>
      </c>
      <c r="P872" s="59">
        <v>0</v>
      </c>
      <c r="Q872" s="59">
        <v>0</v>
      </c>
      <c r="R872" s="59">
        <v>0</v>
      </c>
      <c r="S872" s="59">
        <v>11805556</v>
      </c>
      <c r="T872" s="41"/>
      <c r="U872" s="41"/>
      <c r="V872" s="41"/>
      <c r="W872" s="41"/>
      <c r="X872" s="41"/>
      <c r="Y872" s="41"/>
      <c r="Z872" s="41"/>
      <c r="AA872" s="41"/>
      <c r="AB872" s="41"/>
      <c r="AC872" s="41"/>
      <c r="AD872" s="41"/>
      <c r="AE872" s="59">
        <v>467.13757740470982</v>
      </c>
      <c r="AF872" s="59">
        <v>467.13757740470982</v>
      </c>
      <c r="AG872" s="59" t="s">
        <v>58</v>
      </c>
      <c r="AH872" s="59" t="s">
        <v>81</v>
      </c>
    </row>
    <row r="873" spans="1:34" x14ac:dyDescent="0.35">
      <c r="A873" s="58">
        <v>2025</v>
      </c>
      <c r="B873" s="58">
        <v>2</v>
      </c>
      <c r="C873">
        <v>2</v>
      </c>
      <c r="D873" s="58" t="s">
        <v>1060</v>
      </c>
      <c r="E873" t="s">
        <v>1061</v>
      </c>
      <c r="F873" s="58" t="s">
        <v>1628</v>
      </c>
      <c r="G873" t="s">
        <v>1629</v>
      </c>
      <c r="H873" s="58" t="s">
        <v>1012</v>
      </c>
      <c r="I873" t="s">
        <v>86</v>
      </c>
      <c r="J873" s="58" t="s">
        <v>86</v>
      </c>
      <c r="K873" t="s">
        <v>1429</v>
      </c>
      <c r="L873" t="s">
        <v>20</v>
      </c>
      <c r="M873" t="s">
        <v>1430</v>
      </c>
      <c r="N873" s="59">
        <v>15875</v>
      </c>
      <c r="O873" s="59">
        <v>5879630</v>
      </c>
      <c r="P873" s="59">
        <v>0</v>
      </c>
      <c r="Q873" s="59">
        <v>0</v>
      </c>
      <c r="R873" s="59">
        <v>0</v>
      </c>
      <c r="S873" s="59">
        <v>5879630</v>
      </c>
      <c r="T873" s="41"/>
      <c r="U873" s="41"/>
      <c r="V873" s="41"/>
      <c r="W873" s="41"/>
      <c r="X873" s="41"/>
      <c r="Y873" s="41"/>
      <c r="Z873" s="41"/>
      <c r="AA873" s="41"/>
      <c r="AB873" s="41"/>
      <c r="AC873" s="41"/>
      <c r="AD873" s="41"/>
      <c r="AE873" s="59">
        <v>232.65283856482947</v>
      </c>
      <c r="AF873" s="59">
        <v>232.65283856482947</v>
      </c>
      <c r="AG873" s="59" t="s">
        <v>1061</v>
      </c>
      <c r="AH873" s="59" t="s">
        <v>1233</v>
      </c>
    </row>
    <row r="874" spans="1:34" x14ac:dyDescent="0.35">
      <c r="A874" s="58">
        <v>2025</v>
      </c>
      <c r="B874" s="58">
        <v>2</v>
      </c>
      <c r="C874">
        <v>2</v>
      </c>
      <c r="D874" s="58" t="s">
        <v>683</v>
      </c>
      <c r="E874" t="s">
        <v>72</v>
      </c>
      <c r="F874" s="58" t="s">
        <v>209</v>
      </c>
      <c r="G874" t="s">
        <v>822</v>
      </c>
      <c r="H874" s="58" t="s">
        <v>21</v>
      </c>
      <c r="I874" t="s">
        <v>21</v>
      </c>
      <c r="J874" s="58" t="s">
        <v>21</v>
      </c>
      <c r="K874" t="s">
        <v>1429</v>
      </c>
      <c r="L874" t="s">
        <v>20</v>
      </c>
      <c r="M874" t="s">
        <v>1430</v>
      </c>
      <c r="N874" s="59">
        <v>5</v>
      </c>
      <c r="O874" s="59">
        <v>105000</v>
      </c>
      <c r="P874" s="59">
        <v>0</v>
      </c>
      <c r="Q874" s="59">
        <v>0</v>
      </c>
      <c r="R874" s="59">
        <v>0</v>
      </c>
      <c r="S874" s="59">
        <v>105000</v>
      </c>
      <c r="T874" s="41"/>
      <c r="U874" s="41"/>
      <c r="V874" s="41"/>
      <c r="W874" s="41"/>
      <c r="X874" s="41"/>
      <c r="Y874" s="41"/>
      <c r="Z874" s="41"/>
      <c r="AA874" s="41"/>
      <c r="AB874" s="41"/>
      <c r="AC874" s="41"/>
      <c r="AD874" s="41"/>
      <c r="AE874" s="59">
        <v>4.1547764143844246</v>
      </c>
      <c r="AF874" s="59">
        <v>4.1547764143844246</v>
      </c>
      <c r="AG874" s="59" t="s">
        <v>72</v>
      </c>
      <c r="AH874" s="59" t="s">
        <v>1353</v>
      </c>
    </row>
    <row r="875" spans="1:34" x14ac:dyDescent="0.35">
      <c r="A875" s="58">
        <v>2025</v>
      </c>
      <c r="B875" s="58">
        <v>2</v>
      </c>
      <c r="C875">
        <v>2</v>
      </c>
      <c r="D875" s="58" t="s">
        <v>683</v>
      </c>
      <c r="E875" t="s">
        <v>72</v>
      </c>
      <c r="F875" s="58" t="s">
        <v>210</v>
      </c>
      <c r="G875" t="s">
        <v>833</v>
      </c>
      <c r="H875" s="58" t="s">
        <v>21</v>
      </c>
      <c r="I875" t="s">
        <v>21</v>
      </c>
      <c r="J875" s="58" t="s">
        <v>21</v>
      </c>
      <c r="K875" t="s">
        <v>1429</v>
      </c>
      <c r="L875" t="s">
        <v>20</v>
      </c>
      <c r="M875" t="s">
        <v>1430</v>
      </c>
      <c r="N875" s="59">
        <v>5</v>
      </c>
      <c r="O875" s="59">
        <v>89250</v>
      </c>
      <c r="P875" s="59">
        <v>0</v>
      </c>
      <c r="Q875" s="59">
        <v>0</v>
      </c>
      <c r="R875" s="59">
        <v>0</v>
      </c>
      <c r="S875" s="59">
        <v>89250</v>
      </c>
      <c r="T875" s="41"/>
      <c r="U875" s="41"/>
      <c r="V875" s="41"/>
      <c r="W875" s="41"/>
      <c r="X875" s="41"/>
      <c r="Y875" s="41"/>
      <c r="Z875" s="41"/>
      <c r="AA875" s="41"/>
      <c r="AB875" s="41"/>
      <c r="AC875" s="41"/>
      <c r="AD875" s="41"/>
      <c r="AE875" s="59">
        <v>3.5315599522267607</v>
      </c>
      <c r="AF875" s="59">
        <v>3.5315599522267607</v>
      </c>
      <c r="AG875" s="59" t="s">
        <v>72</v>
      </c>
      <c r="AH875" s="59" t="s">
        <v>1354</v>
      </c>
    </row>
    <row r="876" spans="1:34" x14ac:dyDescent="0.35">
      <c r="A876" s="58">
        <v>2025</v>
      </c>
      <c r="B876" s="58">
        <v>2</v>
      </c>
      <c r="C876">
        <v>2</v>
      </c>
      <c r="D876" s="58" t="s">
        <v>683</v>
      </c>
      <c r="E876" t="s">
        <v>72</v>
      </c>
      <c r="F876" s="58" t="s">
        <v>214</v>
      </c>
      <c r="G876" t="s">
        <v>902</v>
      </c>
      <c r="H876" s="58" t="s">
        <v>21</v>
      </c>
      <c r="I876" t="s">
        <v>21</v>
      </c>
      <c r="J876" s="58" t="s">
        <v>21</v>
      </c>
      <c r="K876" t="s">
        <v>1429</v>
      </c>
      <c r="L876" t="s">
        <v>20</v>
      </c>
      <c r="M876" t="s">
        <v>1430</v>
      </c>
      <c r="N876" s="59">
        <v>5</v>
      </c>
      <c r="O876" s="59">
        <v>105000</v>
      </c>
      <c r="P876" s="59">
        <v>0</v>
      </c>
      <c r="Q876" s="59">
        <v>0</v>
      </c>
      <c r="R876" s="59">
        <v>0</v>
      </c>
      <c r="S876" s="59">
        <v>105000</v>
      </c>
      <c r="T876" s="41"/>
      <c r="U876" s="41"/>
      <c r="V876" s="41"/>
      <c r="W876" s="41"/>
      <c r="X876" s="41"/>
      <c r="Y876" s="41"/>
      <c r="Z876" s="41"/>
      <c r="AA876" s="41"/>
      <c r="AB876" s="41"/>
      <c r="AC876" s="41"/>
      <c r="AD876" s="41"/>
      <c r="AE876" s="59">
        <v>4.1547764143844246</v>
      </c>
      <c r="AF876" s="59">
        <v>4.1547764143844246</v>
      </c>
      <c r="AG876" s="59" t="s">
        <v>72</v>
      </c>
      <c r="AH876" s="59" t="s">
        <v>1355</v>
      </c>
    </row>
    <row r="877" spans="1:34" x14ac:dyDescent="0.35">
      <c r="A877" s="58">
        <v>2025</v>
      </c>
      <c r="B877" s="58">
        <v>2</v>
      </c>
      <c r="C877">
        <v>2</v>
      </c>
      <c r="D877" s="58" t="s">
        <v>683</v>
      </c>
      <c r="E877" t="s">
        <v>72</v>
      </c>
      <c r="F877" s="58" t="s">
        <v>217</v>
      </c>
      <c r="G877" t="s">
        <v>938</v>
      </c>
      <c r="H877" s="58" t="s">
        <v>21</v>
      </c>
      <c r="I877" t="s">
        <v>21</v>
      </c>
      <c r="J877" s="58" t="s">
        <v>21</v>
      </c>
      <c r="K877" t="s">
        <v>1429</v>
      </c>
      <c r="L877" t="s">
        <v>20</v>
      </c>
      <c r="M877" t="s">
        <v>1430</v>
      </c>
      <c r="N877" s="59">
        <v>5</v>
      </c>
      <c r="O877" s="59">
        <v>105000</v>
      </c>
      <c r="P877" s="59">
        <v>0</v>
      </c>
      <c r="Q877" s="59">
        <v>0</v>
      </c>
      <c r="R877" s="59">
        <v>0</v>
      </c>
      <c r="S877" s="59">
        <v>105000</v>
      </c>
      <c r="T877" s="41"/>
      <c r="U877" s="41"/>
      <c r="V877" s="41"/>
      <c r="W877" s="41"/>
      <c r="X877" s="41"/>
      <c r="Y877" s="41"/>
      <c r="Z877" s="41"/>
      <c r="AA877" s="41"/>
      <c r="AB877" s="41"/>
      <c r="AC877" s="41"/>
      <c r="AD877" s="41"/>
      <c r="AE877" s="59">
        <v>4.1547764143844246</v>
      </c>
      <c r="AF877" s="59">
        <v>4.1547764143844246</v>
      </c>
      <c r="AG877" s="59" t="s">
        <v>72</v>
      </c>
      <c r="AH877" s="59" t="s">
        <v>1359</v>
      </c>
    </row>
    <row r="878" spans="1:34" x14ac:dyDescent="0.35">
      <c r="A878" s="58">
        <v>2025</v>
      </c>
      <c r="B878" s="58">
        <v>2</v>
      </c>
      <c r="C878">
        <v>2</v>
      </c>
      <c r="D878" s="58" t="s">
        <v>683</v>
      </c>
      <c r="E878" t="s">
        <v>72</v>
      </c>
      <c r="F878" s="58" t="s">
        <v>218</v>
      </c>
      <c r="G878" t="s">
        <v>944</v>
      </c>
      <c r="H878" s="58" t="s">
        <v>21</v>
      </c>
      <c r="I878" t="s">
        <v>21</v>
      </c>
      <c r="J878" s="58" t="s">
        <v>21</v>
      </c>
      <c r="K878" t="s">
        <v>1429</v>
      </c>
      <c r="L878" t="s">
        <v>20</v>
      </c>
      <c r="M878" t="s">
        <v>1430</v>
      </c>
      <c r="N878" s="59">
        <v>5</v>
      </c>
      <c r="O878" s="59">
        <v>105000</v>
      </c>
      <c r="P878" s="59">
        <v>0</v>
      </c>
      <c r="Q878" s="59">
        <v>0</v>
      </c>
      <c r="R878" s="59">
        <v>0</v>
      </c>
      <c r="S878" s="59">
        <v>105000</v>
      </c>
      <c r="T878" s="41"/>
      <c r="U878" s="41"/>
      <c r="V878" s="41"/>
      <c r="W878" s="41"/>
      <c r="X878" s="41"/>
      <c r="Y878" s="41"/>
      <c r="Z878" s="41"/>
      <c r="AA878" s="41"/>
      <c r="AB878" s="41"/>
      <c r="AC878" s="41"/>
      <c r="AD878" s="41"/>
      <c r="AE878" s="59">
        <v>4.1547764143844246</v>
      </c>
      <c r="AF878" s="59">
        <v>4.1547764143844246</v>
      </c>
      <c r="AG878" s="59" t="s">
        <v>72</v>
      </c>
      <c r="AH878" s="59" t="s">
        <v>1360</v>
      </c>
    </row>
    <row r="879" spans="1:34" x14ac:dyDescent="0.35">
      <c r="A879" s="58">
        <v>2025</v>
      </c>
      <c r="B879" s="58">
        <v>2</v>
      </c>
      <c r="C879">
        <v>2</v>
      </c>
      <c r="D879" s="58" t="s">
        <v>676</v>
      </c>
      <c r="E879" t="s">
        <v>69</v>
      </c>
      <c r="F879" s="58" t="s">
        <v>210</v>
      </c>
      <c r="G879" t="s">
        <v>833</v>
      </c>
      <c r="H879" s="58" t="s">
        <v>21</v>
      </c>
      <c r="I879" t="s">
        <v>21</v>
      </c>
      <c r="J879" s="58" t="s">
        <v>21</v>
      </c>
      <c r="K879" t="s">
        <v>1429</v>
      </c>
      <c r="L879" t="s">
        <v>20</v>
      </c>
      <c r="M879" t="s">
        <v>1430</v>
      </c>
      <c r="N879" s="59">
        <v>100</v>
      </c>
      <c r="O879" s="59">
        <v>1955000</v>
      </c>
      <c r="P879" s="59">
        <v>0</v>
      </c>
      <c r="Q879" s="59">
        <v>0</v>
      </c>
      <c r="R879" s="59">
        <v>0</v>
      </c>
      <c r="S879" s="59">
        <v>1955000</v>
      </c>
      <c r="T879" s="41"/>
      <c r="U879" s="41"/>
      <c r="V879" s="41"/>
      <c r="W879" s="41"/>
      <c r="X879" s="41"/>
      <c r="Y879" s="41"/>
      <c r="Z879" s="41"/>
      <c r="AA879" s="41"/>
      <c r="AB879" s="41"/>
      <c r="AC879" s="41"/>
      <c r="AD879" s="41"/>
      <c r="AE879" s="59">
        <v>77.357979905919521</v>
      </c>
      <c r="AF879" s="59">
        <v>77.357979905919521</v>
      </c>
      <c r="AG879" s="59" t="s">
        <v>69</v>
      </c>
      <c r="AH879" s="59" t="s">
        <v>1354</v>
      </c>
    </row>
    <row r="880" spans="1:34" x14ac:dyDescent="0.35">
      <c r="A880" s="58">
        <v>2025</v>
      </c>
      <c r="B880" s="58">
        <v>2</v>
      </c>
      <c r="C880">
        <v>2</v>
      </c>
      <c r="D880" s="58" t="s">
        <v>661</v>
      </c>
      <c r="E880" t="s">
        <v>106</v>
      </c>
      <c r="F880" s="58" t="s">
        <v>174</v>
      </c>
      <c r="G880" t="s">
        <v>740</v>
      </c>
      <c r="H880" s="58" t="s">
        <v>4</v>
      </c>
      <c r="I880" t="s">
        <v>4</v>
      </c>
      <c r="J880" s="58" t="s">
        <v>4</v>
      </c>
      <c r="K880" t="s">
        <v>1429</v>
      </c>
      <c r="L880" t="s">
        <v>20</v>
      </c>
      <c r="M880" t="s">
        <v>1430</v>
      </c>
      <c r="N880" s="59">
        <v>1100</v>
      </c>
      <c r="O880" s="59">
        <v>31680000</v>
      </c>
      <c r="P880" s="59">
        <v>174749.02511415526</v>
      </c>
      <c r="Q880" s="59">
        <v>0</v>
      </c>
      <c r="R880" s="59">
        <v>0</v>
      </c>
      <c r="S880" s="59">
        <v>31505250.974885844</v>
      </c>
      <c r="T880" s="41"/>
      <c r="U880" s="41"/>
      <c r="V880" s="41"/>
      <c r="W880" s="41"/>
      <c r="X880" s="41"/>
      <c r="Y880" s="41"/>
      <c r="Z880" s="41"/>
      <c r="AA880" s="41"/>
      <c r="AB880" s="41"/>
      <c r="AC880" s="41"/>
      <c r="AD880" s="41"/>
      <c r="AE880" s="59">
        <v>1246.6407017115962</v>
      </c>
      <c r="AF880" s="59">
        <v>1253.5553981685578</v>
      </c>
      <c r="AG880" s="59" t="s">
        <v>106</v>
      </c>
      <c r="AH880" s="59" t="s">
        <v>1185</v>
      </c>
    </row>
    <row r="881" spans="1:34" x14ac:dyDescent="0.35">
      <c r="A881" s="58">
        <v>2025</v>
      </c>
      <c r="B881" s="58">
        <v>2</v>
      </c>
      <c r="C881">
        <v>2</v>
      </c>
      <c r="D881" s="58" t="s">
        <v>603</v>
      </c>
      <c r="E881" t="s">
        <v>56</v>
      </c>
      <c r="F881" s="58" t="s">
        <v>201</v>
      </c>
      <c r="G881" t="s">
        <v>471</v>
      </c>
      <c r="H881" s="58" t="s">
        <v>1428</v>
      </c>
      <c r="I881" t="s">
        <v>76</v>
      </c>
      <c r="J881" s="58" t="s">
        <v>76</v>
      </c>
      <c r="K881" t="s">
        <v>1429</v>
      </c>
      <c r="L881" t="s">
        <v>20</v>
      </c>
      <c r="M881" t="s">
        <v>1430</v>
      </c>
      <c r="N881" s="59">
        <v>750</v>
      </c>
      <c r="O881" s="59">
        <v>11250000</v>
      </c>
      <c r="P881" s="59">
        <v>174749.02511415526</v>
      </c>
      <c r="Q881" s="59">
        <v>0</v>
      </c>
      <c r="R881" s="59">
        <v>0</v>
      </c>
      <c r="S881" s="59">
        <v>11075250.974885846</v>
      </c>
      <c r="T881" s="41"/>
      <c r="U881" s="41"/>
      <c r="V881" s="41"/>
      <c r="W881" s="41"/>
      <c r="X881" s="41"/>
      <c r="Y881" s="41"/>
      <c r="Z881" s="41"/>
      <c r="AA881" s="41"/>
      <c r="AB881" s="41"/>
      <c r="AC881" s="41"/>
      <c r="AD881" s="41"/>
      <c r="AE881" s="59">
        <v>438.23991936994111</v>
      </c>
      <c r="AF881" s="59">
        <v>445.15461582690261</v>
      </c>
      <c r="AG881" s="59" t="s">
        <v>56</v>
      </c>
      <c r="AH881" s="59" t="s">
        <v>77</v>
      </c>
    </row>
    <row r="882" spans="1:34" x14ac:dyDescent="0.35">
      <c r="A882" s="58">
        <v>2025</v>
      </c>
      <c r="B882" s="58">
        <v>2</v>
      </c>
      <c r="C882">
        <v>2</v>
      </c>
      <c r="D882" s="58" t="s">
        <v>603</v>
      </c>
      <c r="E882" t="s">
        <v>56</v>
      </c>
      <c r="F882" s="58" t="s">
        <v>203</v>
      </c>
      <c r="G882" t="s">
        <v>472</v>
      </c>
      <c r="H882" s="58" t="s">
        <v>1428</v>
      </c>
      <c r="I882" t="s">
        <v>76</v>
      </c>
      <c r="J882" s="58" t="s">
        <v>76</v>
      </c>
      <c r="K882" t="s">
        <v>1429</v>
      </c>
      <c r="L882" t="s">
        <v>20</v>
      </c>
      <c r="M882" t="s">
        <v>1430</v>
      </c>
      <c r="N882" s="59">
        <v>750</v>
      </c>
      <c r="O882" s="59">
        <v>11250000</v>
      </c>
      <c r="P882" s="59">
        <v>174749.02511415526</v>
      </c>
      <c r="Q882" s="59">
        <v>0</v>
      </c>
      <c r="R882" s="59">
        <v>0</v>
      </c>
      <c r="S882" s="59">
        <v>11075250.974885846</v>
      </c>
      <c r="T882" s="41"/>
      <c r="U882" s="41"/>
      <c r="V882" s="41"/>
      <c r="W882" s="41"/>
      <c r="X882" s="41"/>
      <c r="Y882" s="41"/>
      <c r="Z882" s="41"/>
      <c r="AA882" s="41"/>
      <c r="AB882" s="41"/>
      <c r="AC882" s="41"/>
      <c r="AD882" s="41"/>
      <c r="AE882" s="59">
        <v>438.23991936994111</v>
      </c>
      <c r="AF882" s="59">
        <v>445.15461582690261</v>
      </c>
      <c r="AG882" s="59" t="s">
        <v>56</v>
      </c>
      <c r="AH882" s="59" t="s">
        <v>78</v>
      </c>
    </row>
    <row r="883" spans="1:34" x14ac:dyDescent="0.35">
      <c r="A883" s="58">
        <v>2025</v>
      </c>
      <c r="B883" s="58">
        <v>2</v>
      </c>
      <c r="C883">
        <v>2</v>
      </c>
      <c r="D883" s="58" t="s">
        <v>603</v>
      </c>
      <c r="E883" t="s">
        <v>56</v>
      </c>
      <c r="F883" s="58" t="s">
        <v>204</v>
      </c>
      <c r="G883" t="s">
        <v>474</v>
      </c>
      <c r="H883" s="58" t="s">
        <v>1428</v>
      </c>
      <c r="I883" t="s">
        <v>76</v>
      </c>
      <c r="J883" s="58" t="s">
        <v>76</v>
      </c>
      <c r="K883" t="s">
        <v>1429</v>
      </c>
      <c r="L883" t="s">
        <v>20</v>
      </c>
      <c r="M883" t="s">
        <v>1430</v>
      </c>
      <c r="N883" s="59">
        <v>750</v>
      </c>
      <c r="O883" s="59">
        <v>11250000</v>
      </c>
      <c r="P883" s="59">
        <v>174749.02511415526</v>
      </c>
      <c r="Q883" s="59">
        <v>0</v>
      </c>
      <c r="R883" s="59">
        <v>0</v>
      </c>
      <c r="S883" s="59">
        <v>11075250.974885846</v>
      </c>
      <c r="T883" s="41"/>
      <c r="U883" s="41"/>
      <c r="V883" s="41"/>
      <c r="W883" s="41"/>
      <c r="X883" s="41"/>
      <c r="Y883" s="41"/>
      <c r="Z883" s="41"/>
      <c r="AA883" s="41"/>
      <c r="AB883" s="41"/>
      <c r="AC883" s="41"/>
      <c r="AD883" s="41"/>
      <c r="AE883" s="59">
        <v>438.23991936994111</v>
      </c>
      <c r="AF883" s="59">
        <v>445.15461582690261</v>
      </c>
      <c r="AG883" s="59" t="s">
        <v>56</v>
      </c>
      <c r="AH883" s="59" t="s">
        <v>81</v>
      </c>
    </row>
    <row r="884" spans="1:34" x14ac:dyDescent="0.35">
      <c r="A884" s="58">
        <v>2025</v>
      </c>
      <c r="B884" s="58">
        <v>2</v>
      </c>
      <c r="C884">
        <v>2</v>
      </c>
      <c r="D884" s="58" t="s">
        <v>679</v>
      </c>
      <c r="E884" t="s">
        <v>68</v>
      </c>
      <c r="F884" s="58" t="s">
        <v>217</v>
      </c>
      <c r="G884" t="s">
        <v>938</v>
      </c>
      <c r="H884" s="58" t="s">
        <v>21</v>
      </c>
      <c r="I884" t="s">
        <v>21</v>
      </c>
      <c r="J884" s="58" t="s">
        <v>21</v>
      </c>
      <c r="K884" t="s">
        <v>1429</v>
      </c>
      <c r="L884" t="s">
        <v>20</v>
      </c>
      <c r="M884" t="s">
        <v>1430</v>
      </c>
      <c r="N884" s="59">
        <v>50</v>
      </c>
      <c r="O884" s="59">
        <v>1347700</v>
      </c>
      <c r="P884" s="59">
        <v>0</v>
      </c>
      <c r="Q884" s="59">
        <v>0</v>
      </c>
      <c r="R884" s="59">
        <v>0</v>
      </c>
      <c r="S884" s="59">
        <v>1347700</v>
      </c>
      <c r="T884" s="41"/>
      <c r="U884" s="41"/>
      <c r="V884" s="41"/>
      <c r="W884" s="41"/>
      <c r="X884" s="41"/>
      <c r="Y884" s="41"/>
      <c r="Z884" s="41"/>
      <c r="AA884" s="41"/>
      <c r="AB884" s="41"/>
      <c r="AC884" s="41"/>
      <c r="AD884" s="41"/>
      <c r="AE884" s="59">
        <v>53.327544511103703</v>
      </c>
      <c r="AF884" s="59">
        <v>53.327544511103703</v>
      </c>
      <c r="AG884" s="59" t="s">
        <v>68</v>
      </c>
      <c r="AH884" s="59" t="s">
        <v>1359</v>
      </c>
    </row>
    <row r="885" spans="1:34" x14ac:dyDescent="0.35">
      <c r="A885" s="58">
        <v>2025</v>
      </c>
      <c r="B885" s="58">
        <v>2</v>
      </c>
      <c r="C885">
        <v>2</v>
      </c>
      <c r="D885" s="58" t="s">
        <v>1617</v>
      </c>
      <c r="E885" t="s">
        <v>1278</v>
      </c>
      <c r="F885" s="58" t="s">
        <v>1496</v>
      </c>
      <c r="G885" t="s">
        <v>1497</v>
      </c>
      <c r="H885" s="58" t="s">
        <v>1012</v>
      </c>
      <c r="I885" t="s">
        <v>1012</v>
      </c>
      <c r="J885" s="58" t="s">
        <v>1012</v>
      </c>
      <c r="K885" t="s">
        <v>1429</v>
      </c>
      <c r="L885" t="s">
        <v>20</v>
      </c>
      <c r="M885" t="s">
        <v>1430</v>
      </c>
      <c r="N885" s="59">
        <v>0</v>
      </c>
      <c r="O885" s="59">
        <v>0</v>
      </c>
      <c r="P885" s="59">
        <v>0</v>
      </c>
      <c r="Q885" s="59">
        <v>0</v>
      </c>
      <c r="R885" s="59">
        <v>0</v>
      </c>
      <c r="S885" s="59">
        <v>0</v>
      </c>
      <c r="T885" s="41"/>
      <c r="U885" s="41"/>
      <c r="V885" s="41"/>
      <c r="W885" s="41"/>
      <c r="X885" s="41"/>
      <c r="Y885" s="41"/>
      <c r="Z885" s="41"/>
      <c r="AA885" s="41"/>
      <c r="AB885" s="41"/>
      <c r="AC885" s="41"/>
      <c r="AD885" s="41"/>
      <c r="AE885" s="59">
        <v>0</v>
      </c>
      <c r="AF885" s="59">
        <v>0</v>
      </c>
      <c r="AG885" s="59" t="s">
        <v>1278</v>
      </c>
      <c r="AH885" s="59" t="s">
        <v>1329</v>
      </c>
    </row>
    <row r="886" spans="1:34" x14ac:dyDescent="0.35">
      <c r="A886" s="58">
        <v>2025</v>
      </c>
      <c r="B886" s="58">
        <v>2</v>
      </c>
      <c r="C886">
        <v>2</v>
      </c>
      <c r="D886" s="58" t="s">
        <v>1630</v>
      </c>
      <c r="E886" t="s">
        <v>1272</v>
      </c>
      <c r="F886" s="58" t="s">
        <v>1631</v>
      </c>
      <c r="G886" t="s">
        <v>1632</v>
      </c>
      <c r="H886" s="58" t="s">
        <v>1012</v>
      </c>
      <c r="I886" t="s">
        <v>1012</v>
      </c>
      <c r="J886" s="58" t="s">
        <v>1012</v>
      </c>
      <c r="K886" t="s">
        <v>1429</v>
      </c>
      <c r="L886" t="s">
        <v>20</v>
      </c>
      <c r="M886" t="s">
        <v>1430</v>
      </c>
      <c r="N886" s="59">
        <v>0</v>
      </c>
      <c r="O886" s="59">
        <v>0</v>
      </c>
      <c r="P886" s="59">
        <v>0</v>
      </c>
      <c r="Q886" s="59">
        <v>0</v>
      </c>
      <c r="R886" s="59">
        <v>0</v>
      </c>
      <c r="S886" s="59">
        <v>0</v>
      </c>
      <c r="T886" s="41"/>
      <c r="U886" s="41"/>
      <c r="V886" s="41"/>
      <c r="W886" s="41"/>
      <c r="X886" s="41"/>
      <c r="Y886" s="41"/>
      <c r="Z886" s="41"/>
      <c r="AA886" s="41"/>
      <c r="AB886" s="41"/>
      <c r="AC886" s="41"/>
      <c r="AD886" s="41"/>
      <c r="AE886" s="59">
        <v>0</v>
      </c>
      <c r="AF886" s="59">
        <v>0</v>
      </c>
      <c r="AG886" s="59" t="s">
        <v>1272</v>
      </c>
      <c r="AH886" s="59" t="s">
        <v>1271</v>
      </c>
    </row>
    <row r="887" spans="1:34" x14ac:dyDescent="0.35">
      <c r="A887" s="58">
        <v>2025</v>
      </c>
      <c r="B887" s="58">
        <v>2</v>
      </c>
      <c r="C887">
        <v>2</v>
      </c>
      <c r="D887" s="58" t="s">
        <v>1618</v>
      </c>
      <c r="E887" t="s">
        <v>1343</v>
      </c>
      <c r="F887" s="58" t="s">
        <v>1496</v>
      </c>
      <c r="G887" t="s">
        <v>1497</v>
      </c>
      <c r="H887" s="58" t="s">
        <v>1012</v>
      </c>
      <c r="I887" t="s">
        <v>1012</v>
      </c>
      <c r="J887" s="58" t="s">
        <v>1012</v>
      </c>
      <c r="K887" t="s">
        <v>1429</v>
      </c>
      <c r="L887" t="s">
        <v>20</v>
      </c>
      <c r="M887" t="s">
        <v>1430</v>
      </c>
      <c r="N887" s="59">
        <v>0</v>
      </c>
      <c r="O887" s="59">
        <v>0</v>
      </c>
      <c r="P887" s="59">
        <v>0</v>
      </c>
      <c r="Q887" s="59">
        <v>0</v>
      </c>
      <c r="R887" s="59">
        <v>0</v>
      </c>
      <c r="S887" s="59">
        <v>0</v>
      </c>
      <c r="T887" s="41"/>
      <c r="U887" s="41"/>
      <c r="V887" s="41"/>
      <c r="W887" s="41"/>
      <c r="X887" s="41"/>
      <c r="Y887" s="41"/>
      <c r="Z887" s="41"/>
      <c r="AA887" s="41"/>
      <c r="AB887" s="41"/>
      <c r="AC887" s="41"/>
      <c r="AD887" s="41"/>
      <c r="AE887" s="59">
        <v>0</v>
      </c>
      <c r="AF887" s="59">
        <v>0</v>
      </c>
      <c r="AG887" s="59" t="s">
        <v>1343</v>
      </c>
      <c r="AH887" s="59" t="s">
        <v>1329</v>
      </c>
    </row>
    <row r="888" spans="1:34" x14ac:dyDescent="0.35">
      <c r="A888" s="58">
        <v>2025</v>
      </c>
      <c r="B888" s="58">
        <v>2</v>
      </c>
      <c r="C888">
        <v>2</v>
      </c>
      <c r="D888" s="58" t="s">
        <v>587</v>
      </c>
      <c r="E888" t="s">
        <v>6</v>
      </c>
      <c r="F888" s="58" t="s">
        <v>171</v>
      </c>
      <c r="G888" t="s">
        <v>731</v>
      </c>
      <c r="H888" s="58" t="s">
        <v>4</v>
      </c>
      <c r="I888" t="s">
        <v>4</v>
      </c>
      <c r="J888" s="58" t="s">
        <v>4</v>
      </c>
      <c r="K888" t="s">
        <v>1476</v>
      </c>
      <c r="L888" t="s">
        <v>1477</v>
      </c>
      <c r="M888" t="s">
        <v>1430</v>
      </c>
      <c r="N888" s="59">
        <v>1672000</v>
      </c>
      <c r="O888" s="59">
        <v>53916439509</v>
      </c>
      <c r="P888" s="59">
        <v>125411706.92307681</v>
      </c>
      <c r="Q888" s="59">
        <v>808746592.63499999</v>
      </c>
      <c r="R888" s="59">
        <v>659628299.25339365</v>
      </c>
      <c r="S888" s="59">
        <v>52322652910.188538</v>
      </c>
      <c r="T888" s="41"/>
      <c r="U888" s="41"/>
      <c r="V888" s="41"/>
      <c r="W888" s="41"/>
      <c r="X888" s="41"/>
      <c r="Y888" s="41"/>
      <c r="Z888" s="41"/>
      <c r="AA888" s="41"/>
      <c r="AB888" s="41"/>
      <c r="AC888" s="41"/>
      <c r="AD888" s="41"/>
      <c r="AE888" s="59">
        <v>2076052.925313703</v>
      </c>
      <c r="AF888" s="59">
        <v>2139287.2600945495</v>
      </c>
      <c r="AG888" s="59" t="s">
        <v>6</v>
      </c>
      <c r="AH888" s="59" t="s">
        <v>1166</v>
      </c>
    </row>
    <row r="889" spans="1:34" x14ac:dyDescent="0.35">
      <c r="A889" s="58">
        <v>2025</v>
      </c>
      <c r="B889" s="58">
        <v>2</v>
      </c>
      <c r="C889">
        <v>2</v>
      </c>
      <c r="D889" s="58" t="s">
        <v>587</v>
      </c>
      <c r="E889" t="s">
        <v>6</v>
      </c>
      <c r="F889" s="58" t="s">
        <v>1152</v>
      </c>
      <c r="G889" t="s">
        <v>1153</v>
      </c>
      <c r="H889" s="58" t="s">
        <v>1012</v>
      </c>
      <c r="I889" t="s">
        <v>1012</v>
      </c>
      <c r="J889" s="58" t="s">
        <v>1399</v>
      </c>
      <c r="K889" t="s">
        <v>1429</v>
      </c>
      <c r="L889" t="s">
        <v>20</v>
      </c>
      <c r="M889" t="s">
        <v>1430</v>
      </c>
      <c r="N889" s="59">
        <v>0</v>
      </c>
      <c r="O889" s="59">
        <v>0</v>
      </c>
      <c r="P889" s="59">
        <v>0</v>
      </c>
      <c r="Q889" s="59">
        <v>0</v>
      </c>
      <c r="R889" s="59">
        <v>-36890984.253393687</v>
      </c>
      <c r="S889" s="59">
        <v>36890984.253393687</v>
      </c>
      <c r="T889" s="41"/>
      <c r="U889" s="41"/>
      <c r="V889" s="41"/>
      <c r="W889" s="41"/>
      <c r="X889" s="41"/>
      <c r="Y889" s="41"/>
      <c r="Z889" s="41"/>
      <c r="AA889" s="41"/>
      <c r="AB889" s="41"/>
      <c r="AC889" s="41"/>
      <c r="AD889" s="41"/>
      <c r="AE889" s="59">
        <v>1459.7503931374017</v>
      </c>
      <c r="AF889" s="59">
        <v>0</v>
      </c>
      <c r="AG889" s="59" t="s">
        <v>6</v>
      </c>
      <c r="AH889" s="59" t="s">
        <v>1400</v>
      </c>
    </row>
    <row r="890" spans="1:34" x14ac:dyDescent="0.35">
      <c r="A890" s="58">
        <v>2025</v>
      </c>
      <c r="B890" s="58">
        <v>2</v>
      </c>
      <c r="C890">
        <v>2</v>
      </c>
      <c r="D890" s="58" t="s">
        <v>643</v>
      </c>
      <c r="E890" t="s">
        <v>138</v>
      </c>
      <c r="F890" s="58" t="s">
        <v>168</v>
      </c>
      <c r="G890" t="s">
        <v>700</v>
      </c>
      <c r="H890" s="58" t="s">
        <v>4</v>
      </c>
      <c r="I890" t="s">
        <v>4</v>
      </c>
      <c r="J890" s="58" t="s">
        <v>4</v>
      </c>
      <c r="K890" t="s">
        <v>1476</v>
      </c>
      <c r="L890" t="s">
        <v>303</v>
      </c>
      <c r="M890" t="s">
        <v>1430</v>
      </c>
      <c r="N890" s="59">
        <v>66000</v>
      </c>
      <c r="O890" s="59">
        <v>2392533000</v>
      </c>
      <c r="P890" s="59">
        <v>4950462.115384615</v>
      </c>
      <c r="Q890" s="59">
        <v>0</v>
      </c>
      <c r="R890" s="59">
        <v>235591411.99999997</v>
      </c>
      <c r="S890" s="59">
        <v>2151991125.8846154</v>
      </c>
      <c r="T890" s="41"/>
      <c r="U890" s="41"/>
      <c r="V890" s="41"/>
      <c r="W890" s="41"/>
      <c r="X890" s="41"/>
      <c r="Y890" s="41"/>
      <c r="Z890" s="41"/>
      <c r="AA890" s="41"/>
      <c r="AB890" s="41"/>
      <c r="AC890" s="41"/>
      <c r="AD890" s="41"/>
      <c r="AE890" s="59">
        <v>84891.168673949331</v>
      </c>
      <c r="AF890" s="59">
        <v>94380</v>
      </c>
      <c r="AG890" s="59" t="s">
        <v>138</v>
      </c>
      <c r="AH890" s="59" t="s">
        <v>1160</v>
      </c>
    </row>
    <row r="891" spans="1:34" x14ac:dyDescent="0.35">
      <c r="A891" s="58">
        <v>2025</v>
      </c>
      <c r="B891" s="58">
        <v>2</v>
      </c>
      <c r="C891">
        <v>2</v>
      </c>
      <c r="D891" s="58" t="s">
        <v>643</v>
      </c>
      <c r="E891" t="s">
        <v>138</v>
      </c>
      <c r="F891" s="58" t="s">
        <v>1152</v>
      </c>
      <c r="G891" t="s">
        <v>1153</v>
      </c>
      <c r="H891" s="58" t="s">
        <v>1012</v>
      </c>
      <c r="I891" t="s">
        <v>1012</v>
      </c>
      <c r="J891" s="58" t="s">
        <v>1399</v>
      </c>
      <c r="K891" t="s">
        <v>1429</v>
      </c>
      <c r="L891" t="s">
        <v>20</v>
      </c>
      <c r="M891" t="s">
        <v>1430</v>
      </c>
      <c r="N891" s="59">
        <v>0</v>
      </c>
      <c r="O891" s="59">
        <v>0</v>
      </c>
      <c r="P891" s="59">
        <v>0</v>
      </c>
      <c r="Q891" s="59">
        <v>0</v>
      </c>
      <c r="R891" s="59">
        <v>21358587</v>
      </c>
      <c r="S891" s="59">
        <v>-21358587</v>
      </c>
      <c r="T891" s="41"/>
      <c r="U891" s="41"/>
      <c r="V891" s="41"/>
      <c r="W891" s="41"/>
      <c r="X891" s="41"/>
      <c r="Y891" s="41"/>
      <c r="Z891" s="41"/>
      <c r="AA891" s="41"/>
      <c r="AB891" s="41"/>
      <c r="AC891" s="41"/>
      <c r="AD891" s="41"/>
      <c r="AE891" s="59">
        <v>-845.14431916359797</v>
      </c>
      <c r="AF891" s="59">
        <v>0</v>
      </c>
      <c r="AG891" s="59" t="s">
        <v>138</v>
      </c>
      <c r="AH891" s="59" t="s">
        <v>1400</v>
      </c>
    </row>
    <row r="892" spans="1:34" x14ac:dyDescent="0.35">
      <c r="A892" s="58">
        <v>2025</v>
      </c>
      <c r="B892" s="58">
        <v>2</v>
      </c>
      <c r="C892">
        <v>2</v>
      </c>
      <c r="D892" s="58" t="s">
        <v>629</v>
      </c>
      <c r="E892" t="s">
        <v>60</v>
      </c>
      <c r="F892" s="58" t="s">
        <v>195</v>
      </c>
      <c r="G892" t="s">
        <v>746</v>
      </c>
      <c r="H892" s="58" t="s">
        <v>1428</v>
      </c>
      <c r="I892" t="s">
        <v>76</v>
      </c>
      <c r="J892" s="58" t="s">
        <v>76</v>
      </c>
      <c r="K892" t="s">
        <v>1476</v>
      </c>
      <c r="L892" t="s">
        <v>1633</v>
      </c>
      <c r="M892" t="s">
        <v>1430</v>
      </c>
      <c r="N892" s="59">
        <v>25000</v>
      </c>
      <c r="O892" s="59">
        <v>602062500</v>
      </c>
      <c r="P892" s="59">
        <v>0</v>
      </c>
      <c r="Q892" s="59">
        <v>0</v>
      </c>
      <c r="R892" s="59">
        <v>126732111</v>
      </c>
      <c r="S892" s="59">
        <v>475330389</v>
      </c>
      <c r="T892" s="41"/>
      <c r="U892" s="41"/>
      <c r="V892" s="41"/>
      <c r="W892" s="41"/>
      <c r="X892" s="41"/>
      <c r="Y892" s="41"/>
      <c r="Z892" s="41"/>
      <c r="AA892" s="41"/>
      <c r="AB892" s="41"/>
      <c r="AC892" s="41"/>
      <c r="AD892" s="41"/>
      <c r="AE892" s="59">
        <v>18750.705680473373</v>
      </c>
      <c r="AF892" s="59">
        <v>23750</v>
      </c>
      <c r="AG892" s="59" t="s">
        <v>60</v>
      </c>
      <c r="AH892" s="59" t="s">
        <v>1247</v>
      </c>
    </row>
    <row r="893" spans="1:34" x14ac:dyDescent="0.35">
      <c r="A893" s="58">
        <v>2025</v>
      </c>
      <c r="B893" s="58">
        <v>2</v>
      </c>
      <c r="C893">
        <v>2</v>
      </c>
      <c r="D893" s="58" t="s">
        <v>629</v>
      </c>
      <c r="E893" t="s">
        <v>60</v>
      </c>
      <c r="F893" s="58" t="s">
        <v>1152</v>
      </c>
      <c r="G893" t="s">
        <v>1153</v>
      </c>
      <c r="H893" s="58" t="s">
        <v>1012</v>
      </c>
      <c r="I893" t="s">
        <v>1012</v>
      </c>
      <c r="J893" s="58" t="s">
        <v>1399</v>
      </c>
      <c r="K893" t="s">
        <v>1429</v>
      </c>
      <c r="L893" t="s">
        <v>20</v>
      </c>
      <c r="M893" t="s">
        <v>1430</v>
      </c>
      <c r="N893" s="59">
        <v>0</v>
      </c>
      <c r="O893" s="59">
        <v>0</v>
      </c>
      <c r="P893" s="59">
        <v>0</v>
      </c>
      <c r="Q893" s="59">
        <v>0</v>
      </c>
      <c r="R893" s="59">
        <v>-1984674</v>
      </c>
      <c r="S893" s="59">
        <v>1984674</v>
      </c>
      <c r="T893" s="41"/>
      <c r="U893" s="41"/>
      <c r="V893" s="41"/>
      <c r="W893" s="41"/>
      <c r="X893" s="41"/>
      <c r="Y893" s="41"/>
      <c r="Z893" s="41"/>
      <c r="AA893" s="41"/>
      <c r="AB893" s="41"/>
      <c r="AC893" s="41"/>
      <c r="AD893" s="41"/>
      <c r="AE893" s="59">
        <v>78.53215928992374</v>
      </c>
      <c r="AF893" s="59">
        <v>0</v>
      </c>
      <c r="AG893" s="59" t="s">
        <v>60</v>
      </c>
      <c r="AH893" s="59" t="s">
        <v>1400</v>
      </c>
    </row>
    <row r="894" spans="1:34" x14ac:dyDescent="0.35">
      <c r="A894" s="58">
        <v>2025</v>
      </c>
      <c r="B894" s="58">
        <v>2</v>
      </c>
      <c r="C894">
        <v>2</v>
      </c>
      <c r="D894" s="58" t="s">
        <v>641</v>
      </c>
      <c r="E894" t="s">
        <v>125</v>
      </c>
      <c r="F894" s="58" t="s">
        <v>174</v>
      </c>
      <c r="G894" t="s">
        <v>740</v>
      </c>
      <c r="H894" s="58" t="s">
        <v>4</v>
      </c>
      <c r="I894" t="s">
        <v>4</v>
      </c>
      <c r="J894" s="58" t="s">
        <v>4</v>
      </c>
      <c r="K894" t="s">
        <v>1476</v>
      </c>
      <c r="L894" t="s">
        <v>1510</v>
      </c>
      <c r="M894" t="s">
        <v>1430</v>
      </c>
      <c r="N894" s="59">
        <v>22000</v>
      </c>
      <c r="O894" s="59">
        <v>613470000.00000012</v>
      </c>
      <c r="P894" s="59">
        <v>1650154.0384615385</v>
      </c>
      <c r="Q894" s="59">
        <v>0</v>
      </c>
      <c r="R894" s="59">
        <v>15397937</v>
      </c>
      <c r="S894" s="59">
        <v>596421908.96153855</v>
      </c>
      <c r="T894" s="41"/>
      <c r="U894" s="41"/>
      <c r="V894" s="41"/>
      <c r="W894" s="41"/>
      <c r="X894" s="41"/>
      <c r="Y894" s="41"/>
      <c r="Z894" s="41"/>
      <c r="AA894" s="41"/>
      <c r="AB894" s="41"/>
      <c r="AC894" s="41"/>
      <c r="AD894" s="41"/>
      <c r="AE894" s="59">
        <v>23527.491477772724</v>
      </c>
      <c r="AF894" s="59">
        <v>24200.000000000004</v>
      </c>
      <c r="AG894" s="59" t="s">
        <v>125</v>
      </c>
      <c r="AH894" s="59" t="s">
        <v>1185</v>
      </c>
    </row>
    <row r="895" spans="1:34" x14ac:dyDescent="0.35">
      <c r="A895" s="58">
        <v>2025</v>
      </c>
      <c r="B895" s="58">
        <v>2</v>
      </c>
      <c r="C895">
        <v>2</v>
      </c>
      <c r="D895" s="58" t="s">
        <v>641</v>
      </c>
      <c r="E895" t="s">
        <v>125</v>
      </c>
      <c r="F895" s="58" t="s">
        <v>1152</v>
      </c>
      <c r="G895" t="s">
        <v>1153</v>
      </c>
      <c r="H895" s="58" t="s">
        <v>1012</v>
      </c>
      <c r="I895" t="s">
        <v>1012</v>
      </c>
      <c r="J895" s="58" t="s">
        <v>1399</v>
      </c>
      <c r="K895" t="s">
        <v>1429</v>
      </c>
      <c r="L895" t="s">
        <v>20</v>
      </c>
      <c r="M895" t="s">
        <v>1430</v>
      </c>
      <c r="N895" s="59">
        <v>0</v>
      </c>
      <c r="O895" s="59">
        <v>0</v>
      </c>
      <c r="P895" s="59">
        <v>0</v>
      </c>
      <c r="Q895" s="59">
        <v>0</v>
      </c>
      <c r="R895" s="59">
        <v>-667223.33333333337</v>
      </c>
      <c r="S895" s="59">
        <v>667223.33333333337</v>
      </c>
      <c r="T895" s="41"/>
      <c r="U895" s="41"/>
      <c r="V895" s="41"/>
      <c r="W895" s="41"/>
      <c r="X895" s="41"/>
      <c r="Y895" s="41"/>
      <c r="Z895" s="41"/>
      <c r="AA895" s="41"/>
      <c r="AB895" s="41"/>
      <c r="AC895" s="41"/>
      <c r="AD895" s="41"/>
      <c r="AE895" s="59">
        <v>26.401559699621814</v>
      </c>
      <c r="AF895" s="59">
        <v>0</v>
      </c>
      <c r="AG895" s="59" t="s">
        <v>125</v>
      </c>
      <c r="AH895" s="59" t="s">
        <v>1400</v>
      </c>
    </row>
    <row r="896" spans="1:34" x14ac:dyDescent="0.35">
      <c r="A896" s="58">
        <v>2025</v>
      </c>
      <c r="B896" s="58">
        <v>2</v>
      </c>
      <c r="C896">
        <v>2</v>
      </c>
      <c r="D896" s="58" t="s">
        <v>588</v>
      </c>
      <c r="E896" t="s">
        <v>9</v>
      </c>
      <c r="F896" s="58" t="s">
        <v>172</v>
      </c>
      <c r="G896" t="s">
        <v>734</v>
      </c>
      <c r="H896" s="58" t="s">
        <v>4</v>
      </c>
      <c r="I896" t="s">
        <v>4</v>
      </c>
      <c r="J896" s="58" t="s">
        <v>4</v>
      </c>
      <c r="K896" t="s">
        <v>1476</v>
      </c>
      <c r="L896" t="s">
        <v>1501</v>
      </c>
      <c r="M896" t="s">
        <v>1430</v>
      </c>
      <c r="N896" s="59">
        <v>880000</v>
      </c>
      <c r="O896" s="59">
        <v>27867125000</v>
      </c>
      <c r="P896" s="59">
        <v>66006161.538461506</v>
      </c>
      <c r="Q896" s="59">
        <v>0</v>
      </c>
      <c r="R896" s="59">
        <v>345083999.0000003</v>
      </c>
      <c r="S896" s="59">
        <v>27456034839.461521</v>
      </c>
      <c r="T896" s="41"/>
      <c r="U896" s="41"/>
      <c r="V896" s="41"/>
      <c r="W896" s="41"/>
      <c r="X896" s="41"/>
      <c r="Y896" s="41"/>
      <c r="Z896" s="41"/>
      <c r="AA896" s="41"/>
      <c r="AB896" s="41"/>
      <c r="AC896" s="41"/>
      <c r="AD896" s="41"/>
      <c r="AE896" s="59">
        <v>1083772.7916803025</v>
      </c>
      <c r="AF896" s="59">
        <v>1100000</v>
      </c>
      <c r="AG896" s="59" t="s">
        <v>9</v>
      </c>
      <c r="AH896" s="59" t="s">
        <v>1175</v>
      </c>
    </row>
    <row r="897" spans="1:34" x14ac:dyDescent="0.35">
      <c r="A897" s="58">
        <v>2025</v>
      </c>
      <c r="B897" s="58">
        <v>2</v>
      </c>
      <c r="C897">
        <v>2</v>
      </c>
      <c r="D897" s="58" t="s">
        <v>588</v>
      </c>
      <c r="E897" t="s">
        <v>9</v>
      </c>
      <c r="F897" s="58" t="s">
        <v>207</v>
      </c>
      <c r="G897" t="s">
        <v>974</v>
      </c>
      <c r="H897" s="58" t="s">
        <v>1428</v>
      </c>
      <c r="I897" t="s">
        <v>76</v>
      </c>
      <c r="J897" s="58" t="s">
        <v>76</v>
      </c>
      <c r="K897" t="s">
        <v>1476</v>
      </c>
      <c r="L897" t="s">
        <v>1501</v>
      </c>
      <c r="M897" t="s">
        <v>1430</v>
      </c>
      <c r="N897" s="59">
        <v>25000</v>
      </c>
      <c r="O897" s="59">
        <v>760500000</v>
      </c>
      <c r="P897" s="59">
        <v>0</v>
      </c>
      <c r="Q897" s="59">
        <v>0</v>
      </c>
      <c r="R897" s="59">
        <v>14903000</v>
      </c>
      <c r="S897" s="59">
        <v>745597000</v>
      </c>
      <c r="T897" s="41"/>
      <c r="U897" s="41"/>
      <c r="V897" s="41"/>
      <c r="W897" s="41"/>
      <c r="X897" s="41"/>
      <c r="Y897" s="41"/>
      <c r="Z897" s="41"/>
      <c r="AA897" s="41"/>
      <c r="AB897" s="41"/>
      <c r="AC897" s="41"/>
      <c r="AD897" s="41"/>
      <c r="AE897" s="59">
        <v>29412.110453648915</v>
      </c>
      <c r="AF897" s="59">
        <v>30000</v>
      </c>
      <c r="AG897" s="59" t="s">
        <v>9</v>
      </c>
      <c r="AH897" s="59" t="s">
        <v>1262</v>
      </c>
    </row>
    <row r="898" spans="1:34" x14ac:dyDescent="0.35">
      <c r="A898" s="58">
        <v>2025</v>
      </c>
      <c r="B898" s="58">
        <v>2</v>
      </c>
      <c r="C898">
        <v>2</v>
      </c>
      <c r="D898" s="58" t="s">
        <v>588</v>
      </c>
      <c r="E898" t="s">
        <v>9</v>
      </c>
      <c r="F898" s="58" t="s">
        <v>1152</v>
      </c>
      <c r="G898" t="s">
        <v>1153</v>
      </c>
      <c r="H898" s="58" t="s">
        <v>1012</v>
      </c>
      <c r="I898" t="s">
        <v>1012</v>
      </c>
      <c r="J898" s="58" t="s">
        <v>1399</v>
      </c>
      <c r="K898" t="s">
        <v>1429</v>
      </c>
      <c r="L898" t="s">
        <v>20</v>
      </c>
      <c r="M898" t="s">
        <v>1430</v>
      </c>
      <c r="N898" s="59">
        <v>0</v>
      </c>
      <c r="O898" s="59">
        <v>0</v>
      </c>
      <c r="P898" s="59">
        <v>0</v>
      </c>
      <c r="Q898" s="59">
        <v>0</v>
      </c>
      <c r="R898" s="59">
        <v>-4528345.9999999953</v>
      </c>
      <c r="S898" s="59">
        <v>4528345.9999999953</v>
      </c>
      <c r="T898" s="41"/>
      <c r="U898" s="41"/>
      <c r="V898" s="41"/>
      <c r="W898" s="41"/>
      <c r="X898" s="41"/>
      <c r="Y898" s="41"/>
      <c r="Z898" s="41"/>
      <c r="AA898" s="41"/>
      <c r="AB898" s="41"/>
      <c r="AC898" s="41"/>
      <c r="AD898" s="41"/>
      <c r="AE898" s="59">
        <v>179.1834776854482</v>
      </c>
      <c r="AF898" s="59">
        <v>0</v>
      </c>
      <c r="AG898" s="59" t="s">
        <v>9</v>
      </c>
      <c r="AH898" s="59" t="s">
        <v>1400</v>
      </c>
    </row>
    <row r="899" spans="1:34" x14ac:dyDescent="0.35">
      <c r="A899" s="58">
        <v>2025</v>
      </c>
      <c r="B899" s="58">
        <v>2</v>
      </c>
      <c r="C899">
        <v>2</v>
      </c>
      <c r="D899" s="58" t="s">
        <v>648</v>
      </c>
      <c r="E899" t="s">
        <v>140</v>
      </c>
      <c r="F899" s="58" t="s">
        <v>172</v>
      </c>
      <c r="G899" t="s">
        <v>734</v>
      </c>
      <c r="H899" s="58" t="s">
        <v>4</v>
      </c>
      <c r="I899" t="s">
        <v>4</v>
      </c>
      <c r="J899" s="58" t="s">
        <v>4</v>
      </c>
      <c r="K899" t="s">
        <v>1476</v>
      </c>
      <c r="L899" t="s">
        <v>1633</v>
      </c>
      <c r="M899" t="s">
        <v>1430</v>
      </c>
      <c r="N899" s="59">
        <v>22000</v>
      </c>
      <c r="O899" s="59">
        <v>782012000</v>
      </c>
      <c r="P899" s="59">
        <v>1650154.0384615385</v>
      </c>
      <c r="Q899" s="59">
        <v>0</v>
      </c>
      <c r="R899" s="59">
        <v>84327387</v>
      </c>
      <c r="S899" s="59">
        <v>696034458.96153843</v>
      </c>
      <c r="T899" s="41"/>
      <c r="U899" s="41"/>
      <c r="V899" s="41"/>
      <c r="W899" s="41"/>
      <c r="X899" s="41"/>
      <c r="Y899" s="41"/>
      <c r="Z899" s="41"/>
      <c r="AA899" s="41"/>
      <c r="AB899" s="41"/>
      <c r="AC899" s="41"/>
      <c r="AD899" s="41"/>
      <c r="AE899" s="59">
        <v>27413.724260005452</v>
      </c>
      <c r="AF899" s="59">
        <v>30800</v>
      </c>
      <c r="AG899" s="59" t="s">
        <v>140</v>
      </c>
      <c r="AH899" s="59" t="s">
        <v>1175</v>
      </c>
    </row>
    <row r="900" spans="1:34" x14ac:dyDescent="0.35">
      <c r="A900" s="58">
        <v>2025</v>
      </c>
      <c r="B900" s="58">
        <v>2</v>
      </c>
      <c r="C900">
        <v>2</v>
      </c>
      <c r="D900" s="58" t="s">
        <v>648</v>
      </c>
      <c r="E900" t="s">
        <v>140</v>
      </c>
      <c r="F900" s="58" t="s">
        <v>1634</v>
      </c>
      <c r="G900" t="s">
        <v>1635</v>
      </c>
      <c r="H900" s="58" t="s">
        <v>1012</v>
      </c>
      <c r="I900" t="s">
        <v>1012</v>
      </c>
      <c r="J900" s="58" t="s">
        <v>1395</v>
      </c>
      <c r="K900" t="s">
        <v>1429</v>
      </c>
      <c r="L900" t="s">
        <v>20</v>
      </c>
      <c r="M900" t="s">
        <v>1430</v>
      </c>
      <c r="N900" s="59">
        <v>0</v>
      </c>
      <c r="O900" s="59">
        <v>0</v>
      </c>
      <c r="P900" s="59">
        <v>0</v>
      </c>
      <c r="Q900" s="59">
        <v>0</v>
      </c>
      <c r="R900" s="59">
        <v>-1188704</v>
      </c>
      <c r="S900" s="59">
        <v>1188704</v>
      </c>
      <c r="T900" s="41"/>
      <c r="U900" s="41"/>
      <c r="V900" s="41"/>
      <c r="W900" s="41"/>
      <c r="X900" s="41"/>
      <c r="Y900" s="41"/>
      <c r="Z900" s="41"/>
      <c r="AA900" s="41"/>
      <c r="AB900" s="41"/>
      <c r="AC900" s="41"/>
      <c r="AD900" s="41"/>
      <c r="AE900" s="59">
        <v>47.036184217946882</v>
      </c>
      <c r="AF900" s="59">
        <v>0</v>
      </c>
      <c r="AG900" s="59" t="s">
        <v>140</v>
      </c>
      <c r="AH900" s="59" t="s">
        <v>1396</v>
      </c>
    </row>
    <row r="901" spans="1:34" x14ac:dyDescent="0.35">
      <c r="A901" s="58">
        <v>2025</v>
      </c>
      <c r="B901" s="58">
        <v>2</v>
      </c>
      <c r="C901">
        <v>2</v>
      </c>
      <c r="D901" s="58" t="s">
        <v>648</v>
      </c>
      <c r="E901" t="s">
        <v>140</v>
      </c>
      <c r="F901" s="58" t="s">
        <v>1152</v>
      </c>
      <c r="G901" t="s">
        <v>1153</v>
      </c>
      <c r="H901" s="58" t="s">
        <v>1012</v>
      </c>
      <c r="I901" t="s">
        <v>1012</v>
      </c>
      <c r="J901" s="58" t="s">
        <v>1399</v>
      </c>
      <c r="K901" t="s">
        <v>1429</v>
      </c>
      <c r="L901" t="s">
        <v>20</v>
      </c>
      <c r="M901" t="s">
        <v>1430</v>
      </c>
      <c r="N901" s="59">
        <v>0</v>
      </c>
      <c r="O901" s="59">
        <v>0</v>
      </c>
      <c r="P901" s="59">
        <v>0</v>
      </c>
      <c r="Q901" s="59">
        <v>0</v>
      </c>
      <c r="R901" s="59">
        <v>-1528654</v>
      </c>
      <c r="S901" s="59">
        <v>1528654</v>
      </c>
      <c r="T901" s="41"/>
      <c r="U901" s="41"/>
      <c r="V901" s="41"/>
      <c r="W901" s="41"/>
      <c r="X901" s="41"/>
      <c r="Y901" s="41"/>
      <c r="Z901" s="41"/>
      <c r="AA901" s="41"/>
      <c r="AB901" s="41"/>
      <c r="AC901" s="41"/>
      <c r="AD901" s="41"/>
      <c r="AE901" s="59">
        <v>60.487767475756272</v>
      </c>
      <c r="AF901" s="59">
        <v>0</v>
      </c>
      <c r="AG901" s="59" t="s">
        <v>140</v>
      </c>
      <c r="AH901" s="59" t="s">
        <v>1400</v>
      </c>
    </row>
    <row r="902" spans="1:34" x14ac:dyDescent="0.35">
      <c r="A902" s="58">
        <v>2025</v>
      </c>
      <c r="B902" s="58">
        <v>2</v>
      </c>
      <c r="C902">
        <v>2</v>
      </c>
      <c r="D902" s="58" t="s">
        <v>623</v>
      </c>
      <c r="E902" t="s">
        <v>137</v>
      </c>
      <c r="F902" s="58" t="s">
        <v>172</v>
      </c>
      <c r="G902" t="s">
        <v>734</v>
      </c>
      <c r="H902" s="58" t="s">
        <v>4</v>
      </c>
      <c r="I902" t="s">
        <v>4</v>
      </c>
      <c r="J902" s="58" t="s">
        <v>4</v>
      </c>
      <c r="K902" t="s">
        <v>1476</v>
      </c>
      <c r="L902" t="s">
        <v>1540</v>
      </c>
      <c r="M902" t="s">
        <v>1430</v>
      </c>
      <c r="N902" s="59">
        <v>110000</v>
      </c>
      <c r="O902" s="59">
        <v>3783384000</v>
      </c>
      <c r="P902" s="59">
        <v>10334120.192307692</v>
      </c>
      <c r="Q902" s="59">
        <v>0</v>
      </c>
      <c r="R902" s="59">
        <v>250850185</v>
      </c>
      <c r="S902" s="59">
        <v>3522199694.8076921</v>
      </c>
      <c r="T902" s="41"/>
      <c r="U902" s="41"/>
      <c r="V902" s="41"/>
      <c r="W902" s="41"/>
      <c r="X902" s="41"/>
      <c r="Y902" s="41"/>
      <c r="Z902" s="41"/>
      <c r="AA902" s="41"/>
      <c r="AB902" s="41"/>
      <c r="AC902" s="41"/>
      <c r="AD902" s="41"/>
      <c r="AE902" s="59">
        <v>139272.42763177905</v>
      </c>
      <c r="AF902" s="59">
        <v>149600</v>
      </c>
      <c r="AG902" s="59" t="s">
        <v>137</v>
      </c>
      <c r="AH902" s="59" t="s">
        <v>1175</v>
      </c>
    </row>
    <row r="903" spans="1:34" x14ac:dyDescent="0.35">
      <c r="A903" s="58">
        <v>2025</v>
      </c>
      <c r="B903" s="58">
        <v>2</v>
      </c>
      <c r="C903">
        <v>2</v>
      </c>
      <c r="D903" s="58" t="s">
        <v>623</v>
      </c>
      <c r="E903" t="s">
        <v>137</v>
      </c>
      <c r="F903" s="58" t="s">
        <v>1152</v>
      </c>
      <c r="G903" t="s">
        <v>1153</v>
      </c>
      <c r="H903" s="58" t="s">
        <v>1012</v>
      </c>
      <c r="I903" t="s">
        <v>1012</v>
      </c>
      <c r="J903" s="58" t="s">
        <v>1399</v>
      </c>
      <c r="K903" t="s">
        <v>1429</v>
      </c>
      <c r="L903" t="s">
        <v>20</v>
      </c>
      <c r="M903" t="s">
        <v>1430</v>
      </c>
      <c r="N903" s="59">
        <v>0</v>
      </c>
      <c r="O903" s="59">
        <v>0</v>
      </c>
      <c r="P903" s="59">
        <v>0</v>
      </c>
      <c r="Q903" s="59">
        <v>0</v>
      </c>
      <c r="R903" s="59">
        <v>8341480</v>
      </c>
      <c r="S903" s="59">
        <v>-8341480</v>
      </c>
      <c r="T903" s="41"/>
      <c r="U903" s="41"/>
      <c r="V903" s="41"/>
      <c r="W903" s="41"/>
      <c r="X903" s="41"/>
      <c r="Y903" s="41"/>
      <c r="Z903" s="41"/>
      <c r="AA903" s="41"/>
      <c r="AB903" s="41"/>
      <c r="AC903" s="41"/>
      <c r="AD903" s="41"/>
      <c r="AE903" s="59">
        <v>-330.06651776247031</v>
      </c>
      <c r="AF903" s="59">
        <v>0</v>
      </c>
      <c r="AG903" s="59" t="s">
        <v>137</v>
      </c>
      <c r="AH903" s="59" t="s">
        <v>1400</v>
      </c>
    </row>
    <row r="904" spans="1:34" x14ac:dyDescent="0.35">
      <c r="A904" s="58">
        <v>2025</v>
      </c>
      <c r="B904" s="58">
        <v>2</v>
      </c>
      <c r="C904">
        <v>2</v>
      </c>
      <c r="D904" s="58" t="s">
        <v>616</v>
      </c>
      <c r="E904" t="s">
        <v>128</v>
      </c>
      <c r="F904" s="58" t="s">
        <v>172</v>
      </c>
      <c r="G904" t="s">
        <v>734</v>
      </c>
      <c r="H904" s="58" t="s">
        <v>4</v>
      </c>
      <c r="I904" t="s">
        <v>4</v>
      </c>
      <c r="J904" s="58" t="s">
        <v>4</v>
      </c>
      <c r="K904" t="s">
        <v>1476</v>
      </c>
      <c r="L904" t="s">
        <v>1510</v>
      </c>
      <c r="M904" t="s">
        <v>1430</v>
      </c>
      <c r="N904" s="59">
        <v>22000</v>
      </c>
      <c r="O904" s="59">
        <v>708279000</v>
      </c>
      <c r="P904" s="59">
        <v>1650154.0384615385</v>
      </c>
      <c r="Q904" s="59">
        <v>0</v>
      </c>
      <c r="R904" s="59">
        <v>15397937</v>
      </c>
      <c r="S904" s="59">
        <v>691230908.96153843</v>
      </c>
      <c r="T904" s="41"/>
      <c r="U904" s="41"/>
      <c r="V904" s="41"/>
      <c r="W904" s="41"/>
      <c r="X904" s="41"/>
      <c r="Y904" s="41"/>
      <c r="Z904" s="41"/>
      <c r="AA904" s="41"/>
      <c r="AB904" s="41"/>
      <c r="AC904" s="41"/>
      <c r="AD904" s="41"/>
      <c r="AE904" s="59">
        <v>27267.491477772721</v>
      </c>
      <c r="AF904" s="59">
        <v>27940</v>
      </c>
      <c r="AG904" s="59" t="s">
        <v>128</v>
      </c>
      <c r="AH904" s="59" t="s">
        <v>1175</v>
      </c>
    </row>
    <row r="905" spans="1:34" x14ac:dyDescent="0.35">
      <c r="A905" s="58">
        <v>2025</v>
      </c>
      <c r="B905" s="58">
        <v>2</v>
      </c>
      <c r="C905">
        <v>2</v>
      </c>
      <c r="D905" s="58" t="s">
        <v>616</v>
      </c>
      <c r="E905" t="s">
        <v>128</v>
      </c>
      <c r="F905" s="58" t="s">
        <v>174</v>
      </c>
      <c r="G905" t="s">
        <v>740</v>
      </c>
      <c r="H905" s="58" t="s">
        <v>4</v>
      </c>
      <c r="I905" t="s">
        <v>4</v>
      </c>
      <c r="J905" s="58" t="s">
        <v>4</v>
      </c>
      <c r="K905" t="s">
        <v>1476</v>
      </c>
      <c r="L905" t="s">
        <v>1510</v>
      </c>
      <c r="M905" t="s">
        <v>1430</v>
      </c>
      <c r="N905" s="59">
        <v>22000</v>
      </c>
      <c r="O905" s="59">
        <v>613470000.00000012</v>
      </c>
      <c r="P905" s="59">
        <v>1650154.0384615385</v>
      </c>
      <c r="Q905" s="59">
        <v>0</v>
      </c>
      <c r="R905" s="59">
        <v>15397937</v>
      </c>
      <c r="S905" s="59">
        <v>596421908.96153855</v>
      </c>
      <c r="T905" s="41"/>
      <c r="U905" s="41"/>
      <c r="V905" s="41"/>
      <c r="W905" s="41"/>
      <c r="X905" s="41"/>
      <c r="Y905" s="41"/>
      <c r="Z905" s="41"/>
      <c r="AA905" s="41"/>
      <c r="AB905" s="41"/>
      <c r="AC905" s="41"/>
      <c r="AD905" s="41"/>
      <c r="AE905" s="59">
        <v>23527.491477772724</v>
      </c>
      <c r="AF905" s="59">
        <v>24200.000000000004</v>
      </c>
      <c r="AG905" s="59" t="s">
        <v>128</v>
      </c>
      <c r="AH905" s="59" t="s">
        <v>1185</v>
      </c>
    </row>
    <row r="906" spans="1:34" x14ac:dyDescent="0.35">
      <c r="A906" s="58">
        <v>2025</v>
      </c>
      <c r="B906" s="58">
        <v>2</v>
      </c>
      <c r="C906">
        <v>2</v>
      </c>
      <c r="D906" s="58" t="s">
        <v>616</v>
      </c>
      <c r="E906" t="s">
        <v>128</v>
      </c>
      <c r="F906" s="58" t="s">
        <v>1152</v>
      </c>
      <c r="G906" t="s">
        <v>1153</v>
      </c>
      <c r="H906" s="58" t="s">
        <v>1012</v>
      </c>
      <c r="I906" t="s">
        <v>1012</v>
      </c>
      <c r="J906" s="58" t="s">
        <v>1399</v>
      </c>
      <c r="K906" t="s">
        <v>1429</v>
      </c>
      <c r="L906" t="s">
        <v>20</v>
      </c>
      <c r="M906" t="s">
        <v>1430</v>
      </c>
      <c r="N906" s="59">
        <v>0</v>
      </c>
      <c r="O906" s="59">
        <v>0</v>
      </c>
      <c r="P906" s="59">
        <v>0</v>
      </c>
      <c r="Q906" s="59">
        <v>0</v>
      </c>
      <c r="R906" s="59">
        <v>-1098888.6666666667</v>
      </c>
      <c r="S906" s="59">
        <v>1098888.6666666667</v>
      </c>
      <c r="T906" s="41"/>
      <c r="U906" s="41"/>
      <c r="V906" s="41"/>
      <c r="W906" s="41"/>
      <c r="X906" s="41"/>
      <c r="Y906" s="41"/>
      <c r="Z906" s="41"/>
      <c r="AA906" s="41"/>
      <c r="AB906" s="41"/>
      <c r="AC906" s="41"/>
      <c r="AD906" s="41"/>
      <c r="AE906" s="59">
        <v>43.482254421914426</v>
      </c>
      <c r="AF906" s="59">
        <v>0</v>
      </c>
      <c r="AG906" s="59" t="s">
        <v>128</v>
      </c>
      <c r="AH906" s="59" t="s">
        <v>1400</v>
      </c>
    </row>
    <row r="907" spans="1:34" x14ac:dyDescent="0.35">
      <c r="A907" s="58">
        <v>2025</v>
      </c>
      <c r="B907" s="58">
        <v>2</v>
      </c>
      <c r="C907">
        <v>2</v>
      </c>
      <c r="D907" s="58" t="s">
        <v>591</v>
      </c>
      <c r="E907" t="s">
        <v>121</v>
      </c>
      <c r="F907" s="58" t="s">
        <v>172</v>
      </c>
      <c r="G907" t="s">
        <v>734</v>
      </c>
      <c r="H907" s="58" t="s">
        <v>4</v>
      </c>
      <c r="I907" t="s">
        <v>4</v>
      </c>
      <c r="J907" s="58" t="s">
        <v>4</v>
      </c>
      <c r="K907" t="s">
        <v>1476</v>
      </c>
      <c r="L907" t="s">
        <v>292</v>
      </c>
      <c r="M907" t="s">
        <v>1430</v>
      </c>
      <c r="N907" s="59">
        <v>66000</v>
      </c>
      <c r="O907" s="59">
        <v>2088586500</v>
      </c>
      <c r="P907" s="59">
        <v>4950462.115384615</v>
      </c>
      <c r="Q907" s="59">
        <v>0</v>
      </c>
      <c r="R907" s="59">
        <v>29335667.000000007</v>
      </c>
      <c r="S907" s="59">
        <v>2054300370.8846154</v>
      </c>
      <c r="T907" s="41"/>
      <c r="U907" s="41"/>
      <c r="V907" s="41"/>
      <c r="W907" s="41"/>
      <c r="X907" s="41"/>
      <c r="Y907" s="41"/>
      <c r="Z907" s="41"/>
      <c r="AA907" s="41"/>
      <c r="AB907" s="41"/>
      <c r="AC907" s="41"/>
      <c r="AD907" s="41"/>
      <c r="AE907" s="59">
        <v>81037.489975724486</v>
      </c>
      <c r="AF907" s="59">
        <v>82390</v>
      </c>
      <c r="AG907" s="59" t="s">
        <v>121</v>
      </c>
      <c r="AH907" s="59" t="s">
        <v>1175</v>
      </c>
    </row>
    <row r="908" spans="1:34" x14ac:dyDescent="0.35">
      <c r="A908" s="58">
        <v>2025</v>
      </c>
      <c r="B908" s="58">
        <v>2</v>
      </c>
      <c r="C908">
        <v>2</v>
      </c>
      <c r="D908" s="58" t="s">
        <v>591</v>
      </c>
      <c r="E908" t="s">
        <v>121</v>
      </c>
      <c r="F908" s="58" t="s">
        <v>172</v>
      </c>
      <c r="G908" t="s">
        <v>734</v>
      </c>
      <c r="H908" s="58" t="s">
        <v>4</v>
      </c>
      <c r="I908" t="s">
        <v>4</v>
      </c>
      <c r="J908" s="58" t="s">
        <v>4</v>
      </c>
      <c r="K908" t="s">
        <v>1476</v>
      </c>
      <c r="L908" t="s">
        <v>1633</v>
      </c>
      <c r="M908" t="s">
        <v>1430</v>
      </c>
      <c r="N908" s="59">
        <v>242000</v>
      </c>
      <c r="O908" s="59">
        <v>7637701500.000001</v>
      </c>
      <c r="P908" s="59">
        <v>31610839.615384616</v>
      </c>
      <c r="Q908" s="59">
        <v>0</v>
      </c>
      <c r="R908" s="59">
        <v>100036295.00000003</v>
      </c>
      <c r="S908" s="59">
        <v>7506054365.3846149</v>
      </c>
      <c r="T908" s="41"/>
      <c r="U908" s="41"/>
      <c r="V908" s="41"/>
      <c r="W908" s="41"/>
      <c r="X908" s="41"/>
      <c r="Y908" s="41"/>
      <c r="Z908" s="41"/>
      <c r="AA908" s="41"/>
      <c r="AB908" s="41"/>
      <c r="AC908" s="41"/>
      <c r="AD908" s="41"/>
      <c r="AE908" s="59">
        <v>296096.81914732221</v>
      </c>
      <c r="AF908" s="59">
        <v>301290.00000000006</v>
      </c>
      <c r="AG908" s="59" t="s">
        <v>121</v>
      </c>
      <c r="AH908" s="59" t="s">
        <v>1175</v>
      </c>
    </row>
    <row r="909" spans="1:34" x14ac:dyDescent="0.35">
      <c r="A909" s="58">
        <v>2025</v>
      </c>
      <c r="B909" s="58">
        <v>2</v>
      </c>
      <c r="C909">
        <v>2</v>
      </c>
      <c r="D909" s="58" t="s">
        <v>591</v>
      </c>
      <c r="E909" t="s">
        <v>121</v>
      </c>
      <c r="F909" s="58" t="s">
        <v>172</v>
      </c>
      <c r="G909" t="s">
        <v>734</v>
      </c>
      <c r="H909" s="58" t="s">
        <v>4</v>
      </c>
      <c r="I909" t="s">
        <v>4</v>
      </c>
      <c r="J909" s="58" t="s">
        <v>4</v>
      </c>
      <c r="K909" t="s">
        <v>1476</v>
      </c>
      <c r="L909" t="s">
        <v>1636</v>
      </c>
      <c r="M909" t="s">
        <v>1430</v>
      </c>
      <c r="N909" s="59">
        <v>22000</v>
      </c>
      <c r="O909" s="59">
        <v>697125000</v>
      </c>
      <c r="P909" s="59">
        <v>1650154.0384615383</v>
      </c>
      <c r="Q909" s="59">
        <v>0</v>
      </c>
      <c r="R909" s="59">
        <v>12666482</v>
      </c>
      <c r="S909" s="59">
        <v>682808363.96153843</v>
      </c>
      <c r="T909" s="41"/>
      <c r="U909" s="41"/>
      <c r="V909" s="41"/>
      <c r="W909" s="41"/>
      <c r="X909" s="41"/>
      <c r="Y909" s="41"/>
      <c r="Z909" s="41"/>
      <c r="AA909" s="41"/>
      <c r="AB909" s="41"/>
      <c r="AC909" s="41"/>
      <c r="AD909" s="41"/>
      <c r="AE909" s="59">
        <v>26935.241181914731</v>
      </c>
      <c r="AF909" s="59">
        <v>27500</v>
      </c>
      <c r="AG909" s="59" t="s">
        <v>121</v>
      </c>
      <c r="AH909" s="59" t="s">
        <v>1175</v>
      </c>
    </row>
    <row r="910" spans="1:34" x14ac:dyDescent="0.35">
      <c r="A910" s="58">
        <v>2025</v>
      </c>
      <c r="B910" s="58">
        <v>2</v>
      </c>
      <c r="C910">
        <v>2</v>
      </c>
      <c r="D910" s="58" t="s">
        <v>591</v>
      </c>
      <c r="E910" t="s">
        <v>121</v>
      </c>
      <c r="F910" s="58" t="s">
        <v>1152</v>
      </c>
      <c r="G910" t="s">
        <v>1153</v>
      </c>
      <c r="H910" s="58" t="s">
        <v>1012</v>
      </c>
      <c r="I910" t="s">
        <v>1012</v>
      </c>
      <c r="J910" s="58" t="s">
        <v>1399</v>
      </c>
      <c r="K910" t="s">
        <v>1429</v>
      </c>
      <c r="L910" t="s">
        <v>20</v>
      </c>
      <c r="M910" t="s">
        <v>1430</v>
      </c>
      <c r="N910" s="59">
        <v>0</v>
      </c>
      <c r="O910" s="59">
        <v>0</v>
      </c>
      <c r="P910" s="59">
        <v>0</v>
      </c>
      <c r="Q910" s="59">
        <v>0</v>
      </c>
      <c r="R910" s="59">
        <v>-3518449</v>
      </c>
      <c r="S910" s="59">
        <v>3518449</v>
      </c>
      <c r="T910" s="41"/>
      <c r="U910" s="41"/>
      <c r="V910" s="41"/>
      <c r="W910" s="41"/>
      <c r="X910" s="41"/>
      <c r="Y910" s="41"/>
      <c r="Z910" s="41"/>
      <c r="AA910" s="41"/>
      <c r="AB910" s="41"/>
      <c r="AC910" s="41"/>
      <c r="AD910" s="41"/>
      <c r="AE910" s="59">
        <v>139.22256114680442</v>
      </c>
      <c r="AF910" s="59">
        <v>0</v>
      </c>
      <c r="AG910" s="59" t="s">
        <v>121</v>
      </c>
      <c r="AH910" s="59" t="s">
        <v>1400</v>
      </c>
    </row>
    <row r="911" spans="1:34" x14ac:dyDescent="0.35">
      <c r="A911" s="58">
        <v>2025</v>
      </c>
      <c r="B911" s="58">
        <v>2</v>
      </c>
      <c r="C911">
        <v>2</v>
      </c>
      <c r="D911" s="58" t="s">
        <v>649</v>
      </c>
      <c r="E911" t="s">
        <v>135</v>
      </c>
      <c r="F911" s="58" t="s">
        <v>172</v>
      </c>
      <c r="G911" t="s">
        <v>734</v>
      </c>
      <c r="H911" s="58" t="s">
        <v>4</v>
      </c>
      <c r="I911" t="s">
        <v>4</v>
      </c>
      <c r="J911" s="58" t="s">
        <v>4</v>
      </c>
      <c r="K911" t="s">
        <v>1476</v>
      </c>
      <c r="L911" t="s">
        <v>292</v>
      </c>
      <c r="M911" t="s">
        <v>1430</v>
      </c>
      <c r="N911" s="59">
        <v>22000</v>
      </c>
      <c r="O911" s="59">
        <v>800371000</v>
      </c>
      <c r="P911" s="59">
        <v>1650154.0384615385</v>
      </c>
      <c r="Q911" s="59">
        <v>0</v>
      </c>
      <c r="R911" s="59">
        <v>103874956</v>
      </c>
      <c r="S911" s="59">
        <v>694845889.96153843</v>
      </c>
      <c r="T911" s="41"/>
      <c r="U911" s="41"/>
      <c r="V911" s="41"/>
      <c r="W911" s="41"/>
      <c r="X911" s="41"/>
      <c r="Y911" s="41"/>
      <c r="Z911" s="41"/>
      <c r="AA911" s="41"/>
      <c r="AB911" s="41"/>
      <c r="AC911" s="41"/>
      <c r="AD911" s="41"/>
      <c r="AE911" s="59">
        <v>27694.13670631879</v>
      </c>
      <c r="AF911" s="59">
        <v>31900</v>
      </c>
      <c r="AG911" s="59" t="s">
        <v>135</v>
      </c>
      <c r="AH911" s="59" t="s">
        <v>1175</v>
      </c>
    </row>
    <row r="912" spans="1:34" x14ac:dyDescent="0.35">
      <c r="A912" s="58">
        <v>2025</v>
      </c>
      <c r="B912" s="58">
        <v>2</v>
      </c>
      <c r="C912">
        <v>2</v>
      </c>
      <c r="D912" s="58" t="s">
        <v>593</v>
      </c>
      <c r="E912" t="s">
        <v>46</v>
      </c>
      <c r="F912" s="58" t="s">
        <v>172</v>
      </c>
      <c r="G912" t="s">
        <v>734</v>
      </c>
      <c r="H912" s="58" t="s">
        <v>4</v>
      </c>
      <c r="I912" t="s">
        <v>4</v>
      </c>
      <c r="J912" s="58" t="s">
        <v>4</v>
      </c>
      <c r="K912" t="s">
        <v>1476</v>
      </c>
      <c r="L912" t="s">
        <v>1637</v>
      </c>
      <c r="M912" t="s">
        <v>1430</v>
      </c>
      <c r="N912" s="59">
        <v>440000</v>
      </c>
      <c r="O912" s="59">
        <v>15166438320</v>
      </c>
      <c r="P912" s="59">
        <v>38419790.769230776</v>
      </c>
      <c r="Q912" s="59">
        <v>0</v>
      </c>
      <c r="R912" s="59">
        <v>1244777301.8235292</v>
      </c>
      <c r="S912" s="59">
        <v>13883241227.407238</v>
      </c>
      <c r="T912" s="41"/>
      <c r="U912" s="41"/>
      <c r="V912" s="41"/>
      <c r="W912" s="41"/>
      <c r="X912" s="41"/>
      <c r="Y912" s="41"/>
      <c r="Z912" s="41"/>
      <c r="AA912" s="41"/>
      <c r="AB912" s="41"/>
      <c r="AC912" s="41"/>
      <c r="AD912" s="41"/>
      <c r="AE912" s="59">
        <v>548007.55202897778</v>
      </c>
      <c r="AF912" s="59">
        <v>598664</v>
      </c>
      <c r="AG912" s="59" t="s">
        <v>46</v>
      </c>
      <c r="AH912" s="59" t="s">
        <v>1175</v>
      </c>
    </row>
    <row r="913" spans="1:34" x14ac:dyDescent="0.35">
      <c r="A913" s="58">
        <v>2025</v>
      </c>
      <c r="B913" s="58">
        <v>2</v>
      </c>
      <c r="C913">
        <v>2</v>
      </c>
      <c r="D913" s="58" t="s">
        <v>593</v>
      </c>
      <c r="E913" t="s">
        <v>46</v>
      </c>
      <c r="F913" s="58" t="s">
        <v>1152</v>
      </c>
      <c r="G913" t="s">
        <v>1153</v>
      </c>
      <c r="H913" s="58" t="s">
        <v>1012</v>
      </c>
      <c r="I913" t="s">
        <v>1012</v>
      </c>
      <c r="J913" s="58" t="s">
        <v>1399</v>
      </c>
      <c r="K913" t="s">
        <v>1429</v>
      </c>
      <c r="L913" t="s">
        <v>20</v>
      </c>
      <c r="M913" t="s">
        <v>1430</v>
      </c>
      <c r="N913" s="59">
        <v>0</v>
      </c>
      <c r="O913" s="59">
        <v>0</v>
      </c>
      <c r="P913" s="59">
        <v>0</v>
      </c>
      <c r="Q913" s="59">
        <v>0</v>
      </c>
      <c r="R913" s="59">
        <v>-7656516.8235294065</v>
      </c>
      <c r="S913" s="59">
        <v>7656516.8235294065</v>
      </c>
      <c r="T913" s="41"/>
      <c r="U913" s="41"/>
      <c r="V913" s="41"/>
      <c r="W913" s="41"/>
      <c r="X913" s="41"/>
      <c r="Y913" s="41"/>
      <c r="Z913" s="41"/>
      <c r="AA913" s="41"/>
      <c r="AB913" s="41"/>
      <c r="AC913" s="41"/>
      <c r="AD913" s="41"/>
      <c r="AE913" s="59">
        <v>302.96300490226196</v>
      </c>
      <c r="AF913" s="59">
        <v>0</v>
      </c>
      <c r="AG913" s="59" t="s">
        <v>46</v>
      </c>
      <c r="AH913" s="59" t="s">
        <v>1400</v>
      </c>
    </row>
    <row r="914" spans="1:34" x14ac:dyDescent="0.35">
      <c r="A914" s="58">
        <v>2025</v>
      </c>
      <c r="B914" s="58">
        <v>2</v>
      </c>
      <c r="C914">
        <v>2</v>
      </c>
      <c r="D914" s="58" t="s">
        <v>617</v>
      </c>
      <c r="E914" t="s">
        <v>144</v>
      </c>
      <c r="F914" s="58" t="s">
        <v>172</v>
      </c>
      <c r="G914" t="s">
        <v>734</v>
      </c>
      <c r="H914" s="58" t="s">
        <v>4</v>
      </c>
      <c r="I914" t="s">
        <v>4</v>
      </c>
      <c r="J914" s="58" t="s">
        <v>4</v>
      </c>
      <c r="K914" t="s">
        <v>1476</v>
      </c>
      <c r="L914" t="s">
        <v>292</v>
      </c>
      <c r="M914" t="s">
        <v>1430</v>
      </c>
      <c r="N914" s="59">
        <v>220000</v>
      </c>
      <c r="O914" s="59">
        <v>6907758000</v>
      </c>
      <c r="P914" s="59">
        <v>16501540.384615382</v>
      </c>
      <c r="Q914" s="59">
        <v>0</v>
      </c>
      <c r="R914" s="59">
        <v>92914889.000000015</v>
      </c>
      <c r="S914" s="59">
        <v>6798341570.615386</v>
      </c>
      <c r="T914" s="41"/>
      <c r="U914" s="41"/>
      <c r="V914" s="41"/>
      <c r="W914" s="41"/>
      <c r="X914" s="41"/>
      <c r="Y914" s="41"/>
      <c r="Z914" s="41"/>
      <c r="AA914" s="41"/>
      <c r="AB914" s="41"/>
      <c r="AC914" s="41"/>
      <c r="AD914" s="41"/>
      <c r="AE914" s="59">
        <v>269561.52143597871</v>
      </c>
      <c r="AF914" s="59">
        <v>273900</v>
      </c>
      <c r="AG914" s="59" t="s">
        <v>144</v>
      </c>
      <c r="AH914" s="59" t="s">
        <v>1175</v>
      </c>
    </row>
    <row r="915" spans="1:34" x14ac:dyDescent="0.35">
      <c r="A915" s="58">
        <v>2025</v>
      </c>
      <c r="B915" s="58">
        <v>2</v>
      </c>
      <c r="C915">
        <v>2</v>
      </c>
      <c r="D915" s="58" t="s">
        <v>617</v>
      </c>
      <c r="E915" t="s">
        <v>144</v>
      </c>
      <c r="F915" s="58" t="s">
        <v>1152</v>
      </c>
      <c r="G915" t="s">
        <v>1153</v>
      </c>
      <c r="H915" s="58" t="s">
        <v>1012</v>
      </c>
      <c r="I915" t="s">
        <v>1012</v>
      </c>
      <c r="J915" s="58" t="s">
        <v>1399</v>
      </c>
      <c r="K915" t="s">
        <v>1429</v>
      </c>
      <c r="L915" t="s">
        <v>20</v>
      </c>
      <c r="M915" t="s">
        <v>1430</v>
      </c>
      <c r="N915" s="59">
        <v>0</v>
      </c>
      <c r="O915" s="59">
        <v>0</v>
      </c>
      <c r="P915" s="59">
        <v>0</v>
      </c>
      <c r="Q915" s="59">
        <v>0</v>
      </c>
      <c r="R915" s="59">
        <v>-365559.00000000012</v>
      </c>
      <c r="S915" s="59">
        <v>365559.00000000012</v>
      </c>
      <c r="T915" s="41"/>
      <c r="U915" s="41"/>
      <c r="V915" s="41"/>
      <c r="W915" s="41"/>
      <c r="X915" s="41"/>
      <c r="Y915" s="41"/>
      <c r="Z915" s="41"/>
      <c r="AA915" s="41"/>
      <c r="AB915" s="41"/>
      <c r="AC915" s="41"/>
      <c r="AD915" s="41"/>
      <c r="AE915" s="59">
        <v>14.464913440628155</v>
      </c>
      <c r="AF915" s="59">
        <v>0</v>
      </c>
      <c r="AG915" s="59" t="s">
        <v>144</v>
      </c>
      <c r="AH915" s="59" t="s">
        <v>1400</v>
      </c>
    </row>
    <row r="916" spans="1:34" x14ac:dyDescent="0.35">
      <c r="A916" s="58">
        <v>2025</v>
      </c>
      <c r="B916" s="58">
        <v>2</v>
      </c>
      <c r="C916">
        <v>2</v>
      </c>
      <c r="D916" s="58" t="s">
        <v>642</v>
      </c>
      <c r="E916" t="s">
        <v>133</v>
      </c>
      <c r="F916" s="58" t="s">
        <v>172</v>
      </c>
      <c r="G916" t="s">
        <v>734</v>
      </c>
      <c r="H916" s="58" t="s">
        <v>4</v>
      </c>
      <c r="I916" t="s">
        <v>4</v>
      </c>
      <c r="J916" s="58" t="s">
        <v>4</v>
      </c>
      <c r="K916" t="s">
        <v>1476</v>
      </c>
      <c r="L916" t="s">
        <v>1477</v>
      </c>
      <c r="M916" t="s">
        <v>1430</v>
      </c>
      <c r="N916" s="59">
        <v>66000</v>
      </c>
      <c r="O916" s="59">
        <v>2417629500</v>
      </c>
      <c r="P916" s="59">
        <v>4950462.115384615</v>
      </c>
      <c r="Q916" s="59">
        <v>33462000</v>
      </c>
      <c r="R916" s="59">
        <v>235471968</v>
      </c>
      <c r="S916" s="59">
        <v>2143745069.8846154</v>
      </c>
      <c r="T916" s="41"/>
      <c r="U916" s="41"/>
      <c r="V916" s="41"/>
      <c r="W916" s="41"/>
      <c r="X916" s="41"/>
      <c r="Y916" s="41"/>
      <c r="Z916" s="41"/>
      <c r="AA916" s="41"/>
      <c r="AB916" s="41"/>
      <c r="AC916" s="41"/>
      <c r="AD916" s="41"/>
      <c r="AE916" s="59">
        <v>84565.880468821124</v>
      </c>
      <c r="AF916" s="59">
        <v>95370</v>
      </c>
      <c r="AG916" s="59" t="s">
        <v>133</v>
      </c>
      <c r="AH916" s="59" t="s">
        <v>1175</v>
      </c>
    </row>
    <row r="917" spans="1:34" x14ac:dyDescent="0.35">
      <c r="A917" s="58">
        <v>2025</v>
      </c>
      <c r="B917" s="58">
        <v>2</v>
      </c>
      <c r="C917">
        <v>2</v>
      </c>
      <c r="D917" s="58" t="s">
        <v>642</v>
      </c>
      <c r="E917" t="s">
        <v>133</v>
      </c>
      <c r="F917" s="58" t="s">
        <v>1152</v>
      </c>
      <c r="G917" t="s">
        <v>1153</v>
      </c>
      <c r="H917" s="58" t="s">
        <v>1012</v>
      </c>
      <c r="I917" t="s">
        <v>1012</v>
      </c>
      <c r="J917" s="58" t="s">
        <v>1399</v>
      </c>
      <c r="K917" t="s">
        <v>1429</v>
      </c>
      <c r="L917" t="s">
        <v>20</v>
      </c>
      <c r="M917" t="s">
        <v>1430</v>
      </c>
      <c r="N917" s="59">
        <v>0</v>
      </c>
      <c r="O917" s="59">
        <v>0</v>
      </c>
      <c r="P917" s="59">
        <v>0</v>
      </c>
      <c r="Q917" s="59">
        <v>0</v>
      </c>
      <c r="R917" s="59">
        <v>21478031</v>
      </c>
      <c r="S917" s="59">
        <v>-21478031</v>
      </c>
      <c r="T917" s="41"/>
      <c r="U917" s="41"/>
      <c r="V917" s="41"/>
      <c r="W917" s="41"/>
      <c r="X917" s="41"/>
      <c r="Y917" s="41"/>
      <c r="Z917" s="41"/>
      <c r="AA917" s="41"/>
      <c r="AB917" s="41"/>
      <c r="AC917" s="41"/>
      <c r="AD917" s="41"/>
      <c r="AE917" s="59">
        <v>-849.87063453540497</v>
      </c>
      <c r="AF917" s="59">
        <v>0</v>
      </c>
      <c r="AG917" s="59" t="s">
        <v>133</v>
      </c>
      <c r="AH917" s="59" t="s">
        <v>1400</v>
      </c>
    </row>
    <row r="918" spans="1:34" x14ac:dyDescent="0.35">
      <c r="A918" s="58">
        <v>2025</v>
      </c>
      <c r="B918" s="58">
        <v>2</v>
      </c>
      <c r="C918">
        <v>2</v>
      </c>
      <c r="D918" s="58" t="s">
        <v>1555</v>
      </c>
      <c r="E918" t="s">
        <v>1289</v>
      </c>
      <c r="F918" s="58" t="s">
        <v>1468</v>
      </c>
      <c r="G918" t="s">
        <v>1012</v>
      </c>
      <c r="H918" s="58" t="s">
        <v>1012</v>
      </c>
      <c r="I918" t="s">
        <v>1012</v>
      </c>
      <c r="J918" s="58" t="s">
        <v>1012</v>
      </c>
      <c r="K918" t="s">
        <v>1429</v>
      </c>
      <c r="L918" t="s">
        <v>20</v>
      </c>
      <c r="M918" t="s">
        <v>1430</v>
      </c>
      <c r="N918" s="59">
        <v>0</v>
      </c>
      <c r="O918" s="59">
        <v>0</v>
      </c>
      <c r="P918" s="59">
        <v>0</v>
      </c>
      <c r="Q918" s="59">
        <v>0</v>
      </c>
      <c r="R918" s="59">
        <v>0</v>
      </c>
      <c r="S918" s="59">
        <v>0</v>
      </c>
      <c r="T918" s="41"/>
      <c r="U918" s="41"/>
      <c r="V918" s="41"/>
      <c r="W918" s="41"/>
      <c r="X918" s="41"/>
      <c r="Y918" s="41"/>
      <c r="Z918" s="41"/>
      <c r="AA918" s="41"/>
      <c r="AB918" s="41"/>
      <c r="AC918" s="41"/>
      <c r="AD918" s="41"/>
      <c r="AE918" s="59">
        <v>0</v>
      </c>
      <c r="AF918" s="59">
        <v>0</v>
      </c>
      <c r="AG918" s="59" t="s">
        <v>1289</v>
      </c>
      <c r="AH918" s="59" t="s">
        <v>1284</v>
      </c>
    </row>
    <row r="919" spans="1:34" x14ac:dyDescent="0.35">
      <c r="A919" s="58">
        <v>2025</v>
      </c>
      <c r="B919" s="58">
        <v>2</v>
      </c>
      <c r="C919">
        <v>2</v>
      </c>
      <c r="D919" s="58" t="s">
        <v>1620</v>
      </c>
      <c r="E919" t="s">
        <v>1295</v>
      </c>
      <c r="F919" s="58" t="s">
        <v>1597</v>
      </c>
      <c r="G919" t="s">
        <v>1598</v>
      </c>
      <c r="H919" s="58" t="s">
        <v>1012</v>
      </c>
      <c r="I919" t="s">
        <v>1012</v>
      </c>
      <c r="J919" s="58" t="s">
        <v>1012</v>
      </c>
      <c r="K919" t="s">
        <v>1429</v>
      </c>
      <c r="L919" t="s">
        <v>20</v>
      </c>
      <c r="M919" t="s">
        <v>1430</v>
      </c>
      <c r="N919" s="59">
        <v>0</v>
      </c>
      <c r="O919" s="59">
        <v>0</v>
      </c>
      <c r="P919" s="59">
        <v>0</v>
      </c>
      <c r="Q919" s="59">
        <v>0</v>
      </c>
      <c r="R919" s="59">
        <v>0</v>
      </c>
      <c r="S919" s="59">
        <v>0</v>
      </c>
      <c r="T919" s="41"/>
      <c r="U919" s="41"/>
      <c r="V919" s="41"/>
      <c r="W919" s="41"/>
      <c r="X919" s="41"/>
      <c r="Y919" s="41"/>
      <c r="Z919" s="41"/>
      <c r="AA919" s="41"/>
      <c r="AB919" s="41"/>
      <c r="AC919" s="41"/>
      <c r="AD919" s="41"/>
      <c r="AE919" s="59">
        <v>0</v>
      </c>
      <c r="AF919" s="59">
        <v>0</v>
      </c>
      <c r="AG919" s="59" t="s">
        <v>1295</v>
      </c>
      <c r="AH919" s="59" t="s">
        <v>1327</v>
      </c>
    </row>
    <row r="920" spans="1:34" x14ac:dyDescent="0.35">
      <c r="A920" s="58">
        <v>2025</v>
      </c>
      <c r="B920" s="58">
        <v>2</v>
      </c>
      <c r="C920">
        <v>2</v>
      </c>
      <c r="D920" s="58" t="s">
        <v>1625</v>
      </c>
      <c r="E920" t="s">
        <v>1340</v>
      </c>
      <c r="F920" s="58" t="s">
        <v>1496</v>
      </c>
      <c r="G920" t="s">
        <v>1497</v>
      </c>
      <c r="H920" s="58" t="s">
        <v>1012</v>
      </c>
      <c r="I920" t="s">
        <v>1012</v>
      </c>
      <c r="J920" s="58" t="s">
        <v>1012</v>
      </c>
      <c r="K920" t="s">
        <v>1429</v>
      </c>
      <c r="L920" t="s">
        <v>20</v>
      </c>
      <c r="M920" t="s">
        <v>1430</v>
      </c>
      <c r="N920" s="59">
        <v>0</v>
      </c>
      <c r="O920" s="59">
        <v>0</v>
      </c>
      <c r="P920" s="59">
        <v>0</v>
      </c>
      <c r="Q920" s="59">
        <v>0</v>
      </c>
      <c r="R920" s="59">
        <v>0</v>
      </c>
      <c r="S920" s="59">
        <v>0</v>
      </c>
      <c r="T920" s="41"/>
      <c r="U920" s="41"/>
      <c r="V920" s="41"/>
      <c r="W920" s="41"/>
      <c r="X920" s="41"/>
      <c r="Y920" s="41"/>
      <c r="Z920" s="41"/>
      <c r="AA920" s="41"/>
      <c r="AB920" s="41"/>
      <c r="AC920" s="41"/>
      <c r="AD920" s="41"/>
      <c r="AE920" s="59">
        <v>0</v>
      </c>
      <c r="AF920" s="59">
        <v>0</v>
      </c>
      <c r="AG920" s="59" t="s">
        <v>1340</v>
      </c>
      <c r="AH920" s="59" t="s">
        <v>1329</v>
      </c>
    </row>
    <row r="921" spans="1:34" x14ac:dyDescent="0.35">
      <c r="A921" s="58">
        <v>2025</v>
      </c>
      <c r="B921" s="58">
        <v>2</v>
      </c>
      <c r="C921">
        <v>2</v>
      </c>
      <c r="D921" s="58" t="s">
        <v>1570</v>
      </c>
      <c r="E921" t="s">
        <v>1282</v>
      </c>
      <c r="F921" s="58" t="s">
        <v>1496</v>
      </c>
      <c r="G921" t="s">
        <v>1497</v>
      </c>
      <c r="H921" s="58" t="s">
        <v>1012</v>
      </c>
      <c r="I921" t="s">
        <v>1012</v>
      </c>
      <c r="J921" s="58" t="s">
        <v>1012</v>
      </c>
      <c r="K921" t="s">
        <v>1429</v>
      </c>
      <c r="L921" t="s">
        <v>20</v>
      </c>
      <c r="M921" t="s">
        <v>1430</v>
      </c>
      <c r="N921" s="59">
        <v>0</v>
      </c>
      <c r="O921" s="59">
        <v>0</v>
      </c>
      <c r="P921" s="59">
        <v>0</v>
      </c>
      <c r="Q921" s="59">
        <v>0</v>
      </c>
      <c r="R921" s="59">
        <v>0</v>
      </c>
      <c r="S921" s="59">
        <v>0</v>
      </c>
      <c r="T921" s="41"/>
      <c r="U921" s="41"/>
      <c r="V921" s="41"/>
      <c r="W921" s="41"/>
      <c r="X921" s="41"/>
      <c r="Y921" s="41"/>
      <c r="Z921" s="41"/>
      <c r="AA921" s="41"/>
      <c r="AB921" s="41"/>
      <c r="AC921" s="41"/>
      <c r="AD921" s="41"/>
      <c r="AE921" s="59">
        <v>0</v>
      </c>
      <c r="AF921" s="59">
        <v>0</v>
      </c>
      <c r="AG921" s="59" t="s">
        <v>1282</v>
      </c>
      <c r="AH921" s="59" t="s">
        <v>1329</v>
      </c>
    </row>
    <row r="922" spans="1:34" x14ac:dyDescent="0.35">
      <c r="A922" s="58">
        <v>2025</v>
      </c>
      <c r="B922" s="58">
        <v>2</v>
      </c>
      <c r="C922">
        <v>2</v>
      </c>
      <c r="D922" s="58" t="s">
        <v>1571</v>
      </c>
      <c r="E922" t="s">
        <v>1283</v>
      </c>
      <c r="F922" s="58" t="s">
        <v>1496</v>
      </c>
      <c r="G922" t="s">
        <v>1497</v>
      </c>
      <c r="H922" s="58" t="s">
        <v>1012</v>
      </c>
      <c r="I922" t="s">
        <v>1012</v>
      </c>
      <c r="J922" s="58" t="s">
        <v>1012</v>
      </c>
      <c r="K922" t="s">
        <v>1429</v>
      </c>
      <c r="L922" t="s">
        <v>20</v>
      </c>
      <c r="M922" t="s">
        <v>1430</v>
      </c>
      <c r="N922" s="59">
        <v>0</v>
      </c>
      <c r="O922" s="59">
        <v>0</v>
      </c>
      <c r="P922" s="59">
        <v>0</v>
      </c>
      <c r="Q922" s="59">
        <v>0</v>
      </c>
      <c r="R922" s="59">
        <v>0</v>
      </c>
      <c r="S922" s="59">
        <v>0</v>
      </c>
      <c r="T922" s="41"/>
      <c r="U922" s="41"/>
      <c r="V922" s="41"/>
      <c r="W922" s="41"/>
      <c r="X922" s="41"/>
      <c r="Y922" s="41"/>
      <c r="Z922" s="41"/>
      <c r="AA922" s="41"/>
      <c r="AB922" s="41"/>
      <c r="AC922" s="41"/>
      <c r="AD922" s="41"/>
      <c r="AE922" s="59">
        <v>0</v>
      </c>
      <c r="AF922" s="59">
        <v>0</v>
      </c>
      <c r="AG922" s="59" t="s">
        <v>1283</v>
      </c>
      <c r="AH922" s="59" t="s">
        <v>1329</v>
      </c>
    </row>
    <row r="923" spans="1:34" x14ac:dyDescent="0.35">
      <c r="A923" s="58">
        <v>2025</v>
      </c>
      <c r="B923" s="58">
        <v>2</v>
      </c>
      <c r="C923">
        <v>2</v>
      </c>
      <c r="D923" s="58" t="s">
        <v>1488</v>
      </c>
      <c r="E923" t="s">
        <v>1275</v>
      </c>
      <c r="F923" s="58" t="s">
        <v>1489</v>
      </c>
      <c r="G923" t="s">
        <v>1490</v>
      </c>
      <c r="H923" s="58" t="s">
        <v>1012</v>
      </c>
      <c r="I923" t="s">
        <v>1012</v>
      </c>
      <c r="J923" s="58" t="s">
        <v>1012</v>
      </c>
      <c r="K923" t="s">
        <v>1429</v>
      </c>
      <c r="L923" t="s">
        <v>20</v>
      </c>
      <c r="M923" t="s">
        <v>1430</v>
      </c>
      <c r="N923" s="59">
        <v>0</v>
      </c>
      <c r="O923" s="59">
        <v>0</v>
      </c>
      <c r="P923" s="59">
        <v>0</v>
      </c>
      <c r="Q923" s="59">
        <v>0</v>
      </c>
      <c r="R923" s="59">
        <v>0</v>
      </c>
      <c r="S923" s="59">
        <v>0</v>
      </c>
      <c r="T923" s="41"/>
      <c r="U923" s="41"/>
      <c r="V923" s="41"/>
      <c r="W923" s="41"/>
      <c r="X923" s="41"/>
      <c r="Y923" s="41"/>
      <c r="Z923" s="41"/>
      <c r="AA923" s="41"/>
      <c r="AB923" s="41"/>
      <c r="AC923" s="41"/>
      <c r="AD923" s="41"/>
      <c r="AE923" s="59">
        <v>0</v>
      </c>
      <c r="AF923" s="59">
        <v>0</v>
      </c>
      <c r="AG923" s="59" t="s">
        <v>1275</v>
      </c>
      <c r="AH923" s="59" t="s">
        <v>1274</v>
      </c>
    </row>
    <row r="924" spans="1:34" x14ac:dyDescent="0.35">
      <c r="A924" s="58">
        <v>2025</v>
      </c>
      <c r="B924" s="58">
        <v>2</v>
      </c>
      <c r="C924">
        <v>2</v>
      </c>
      <c r="D924" s="58" t="s">
        <v>1638</v>
      </c>
      <c r="E924" t="s">
        <v>1348</v>
      </c>
      <c r="F924" s="58" t="s">
        <v>1496</v>
      </c>
      <c r="G924" t="s">
        <v>1497</v>
      </c>
      <c r="H924" s="58" t="s">
        <v>1012</v>
      </c>
      <c r="I924" t="s">
        <v>1012</v>
      </c>
      <c r="J924" s="58" t="s">
        <v>1012</v>
      </c>
      <c r="K924" t="s">
        <v>1429</v>
      </c>
      <c r="L924" t="s">
        <v>20</v>
      </c>
      <c r="M924" t="s">
        <v>1430</v>
      </c>
      <c r="N924" s="59">
        <v>0</v>
      </c>
      <c r="O924" s="59">
        <v>0</v>
      </c>
      <c r="P924" s="59">
        <v>0</v>
      </c>
      <c r="Q924" s="59">
        <v>0</v>
      </c>
      <c r="R924" s="59">
        <v>0</v>
      </c>
      <c r="S924" s="59">
        <v>0</v>
      </c>
      <c r="T924" s="41"/>
      <c r="U924" s="41"/>
      <c r="V924" s="41"/>
      <c r="W924" s="41"/>
      <c r="X924" s="41"/>
      <c r="Y924" s="41"/>
      <c r="Z924" s="41"/>
      <c r="AA924" s="41"/>
      <c r="AB924" s="41"/>
      <c r="AC924" s="41"/>
      <c r="AD924" s="41"/>
      <c r="AE924" s="59">
        <v>0</v>
      </c>
      <c r="AF924" s="59">
        <v>0</v>
      </c>
      <c r="AG924" s="59" t="s">
        <v>1348</v>
      </c>
      <c r="AH924" s="59" t="s">
        <v>1329</v>
      </c>
    </row>
    <row r="925" spans="1:34" x14ac:dyDescent="0.35">
      <c r="A925" s="58">
        <v>2025</v>
      </c>
      <c r="B925" s="58">
        <v>2</v>
      </c>
      <c r="C925">
        <v>2</v>
      </c>
      <c r="D925" s="58" t="s">
        <v>1639</v>
      </c>
      <c r="E925" t="s">
        <v>1291</v>
      </c>
      <c r="F925" s="58" t="s">
        <v>1496</v>
      </c>
      <c r="G925" t="s">
        <v>1497</v>
      </c>
      <c r="H925" s="58" t="s">
        <v>1012</v>
      </c>
      <c r="I925" t="s">
        <v>1012</v>
      </c>
      <c r="J925" s="58" t="s">
        <v>1012</v>
      </c>
      <c r="K925" t="s">
        <v>1429</v>
      </c>
      <c r="L925" t="s">
        <v>20</v>
      </c>
      <c r="M925" t="s">
        <v>1430</v>
      </c>
      <c r="N925" s="59">
        <v>0</v>
      </c>
      <c r="O925" s="59">
        <v>0</v>
      </c>
      <c r="P925" s="59">
        <v>0</v>
      </c>
      <c r="Q925" s="59">
        <v>0</v>
      </c>
      <c r="R925" s="59">
        <v>0</v>
      </c>
      <c r="S925" s="59">
        <v>0</v>
      </c>
      <c r="T925" s="41"/>
      <c r="U925" s="41"/>
      <c r="V925" s="41"/>
      <c r="W925" s="41"/>
      <c r="X925" s="41"/>
      <c r="Y925" s="41"/>
      <c r="Z925" s="41"/>
      <c r="AA925" s="41"/>
      <c r="AB925" s="41"/>
      <c r="AC925" s="41"/>
      <c r="AD925" s="41"/>
      <c r="AE925" s="59">
        <v>0</v>
      </c>
      <c r="AF925" s="59">
        <v>0</v>
      </c>
      <c r="AG925" s="59" t="s">
        <v>1291</v>
      </c>
      <c r="AH925" s="59" t="s">
        <v>1329</v>
      </c>
    </row>
    <row r="926" spans="1:34" x14ac:dyDescent="0.35">
      <c r="A926" s="58">
        <v>2025</v>
      </c>
      <c r="B926" s="58">
        <v>2</v>
      </c>
      <c r="C926">
        <v>2</v>
      </c>
      <c r="D926" s="58" t="s">
        <v>1491</v>
      </c>
      <c r="E926" t="s">
        <v>1264</v>
      </c>
      <c r="F926" s="58" t="s">
        <v>1492</v>
      </c>
      <c r="G926" t="s">
        <v>1493</v>
      </c>
      <c r="H926" s="58" t="s">
        <v>1012</v>
      </c>
      <c r="I926" t="s">
        <v>1012</v>
      </c>
      <c r="J926" s="58" t="s">
        <v>1012</v>
      </c>
      <c r="K926" t="s">
        <v>1429</v>
      </c>
      <c r="L926" t="s">
        <v>20</v>
      </c>
      <c r="M926" t="s">
        <v>1430</v>
      </c>
      <c r="N926" s="59">
        <v>0</v>
      </c>
      <c r="O926" s="59">
        <v>0</v>
      </c>
      <c r="P926" s="59">
        <v>-873745.12557077629</v>
      </c>
      <c r="Q926" s="59">
        <v>0</v>
      </c>
      <c r="R926" s="59">
        <v>700000.81481510401</v>
      </c>
      <c r="S926" s="59">
        <v>173744.31075567228</v>
      </c>
      <c r="T926" s="41"/>
      <c r="U926" s="41"/>
      <c r="V926" s="41"/>
      <c r="W926" s="41"/>
      <c r="X926" s="41"/>
      <c r="Y926" s="41"/>
      <c r="Z926" s="41"/>
      <c r="AA926" s="41"/>
      <c r="AB926" s="41"/>
      <c r="AC926" s="41"/>
      <c r="AD926" s="41"/>
      <c r="AE926" s="59">
        <v>6.874940613915669</v>
      </c>
      <c r="AF926" s="59">
        <v>0</v>
      </c>
      <c r="AG926" s="59" t="s">
        <v>1264</v>
      </c>
      <c r="AH926" s="59" t="s">
        <v>1269</v>
      </c>
    </row>
    <row r="927" spans="1:34" x14ac:dyDescent="0.35">
      <c r="A927" s="58">
        <v>2025</v>
      </c>
      <c r="B927" s="58">
        <v>2</v>
      </c>
      <c r="C927">
        <v>2</v>
      </c>
      <c r="D927" s="58" t="s">
        <v>1491</v>
      </c>
      <c r="E927" t="s">
        <v>1264</v>
      </c>
      <c r="F927" s="58" t="s">
        <v>1152</v>
      </c>
      <c r="G927" t="s">
        <v>1153</v>
      </c>
      <c r="H927" s="58" t="s">
        <v>1012</v>
      </c>
      <c r="I927" t="s">
        <v>1012</v>
      </c>
      <c r="J927" s="58" t="s">
        <v>1399</v>
      </c>
      <c r="K927" t="s">
        <v>1429</v>
      </c>
      <c r="L927" t="s">
        <v>20</v>
      </c>
      <c r="M927" t="s">
        <v>1430</v>
      </c>
      <c r="N927" s="59">
        <v>0</v>
      </c>
      <c r="O927" s="59">
        <v>0</v>
      </c>
      <c r="P927" s="59">
        <v>0</v>
      </c>
      <c r="Q927" s="59">
        <v>231247.36499965191</v>
      </c>
      <c r="R927" s="59">
        <v>-62900740.740740731</v>
      </c>
      <c r="S927" s="59">
        <v>62669493.375741079</v>
      </c>
      <c r="T927" s="41"/>
      <c r="U927" s="41"/>
      <c r="V927" s="41"/>
      <c r="W927" s="41"/>
      <c r="X927" s="41"/>
      <c r="Y927" s="41"/>
      <c r="Z927" s="41"/>
      <c r="AA927" s="41"/>
      <c r="AB927" s="41"/>
      <c r="AC927" s="41"/>
      <c r="AD927" s="41"/>
      <c r="AE927" s="59">
        <v>2479.7879331328572</v>
      </c>
      <c r="AF927" s="59">
        <v>0</v>
      </c>
      <c r="AG927" s="59" t="s">
        <v>1264</v>
      </c>
      <c r="AH927" s="59" t="s">
        <v>1400</v>
      </c>
    </row>
    <row r="928" spans="1:34" x14ac:dyDescent="0.35">
      <c r="A928" s="58">
        <v>2025</v>
      </c>
      <c r="B928" s="58">
        <v>2</v>
      </c>
      <c r="C928">
        <v>2</v>
      </c>
      <c r="D928" s="58" t="s">
        <v>1491</v>
      </c>
      <c r="E928" t="s">
        <v>1264</v>
      </c>
      <c r="F928" s="58" t="s">
        <v>1496</v>
      </c>
      <c r="G928" t="s">
        <v>1497</v>
      </c>
      <c r="H928" s="58" t="s">
        <v>1012</v>
      </c>
      <c r="I928" t="s">
        <v>1012</v>
      </c>
      <c r="J928" s="58" t="s">
        <v>1012</v>
      </c>
      <c r="K928" t="s">
        <v>1429</v>
      </c>
      <c r="L928" t="s">
        <v>20</v>
      </c>
      <c r="M928" t="s">
        <v>1430</v>
      </c>
      <c r="N928" s="59">
        <v>0</v>
      </c>
      <c r="O928" s="59">
        <v>0</v>
      </c>
      <c r="P928" s="59">
        <v>0</v>
      </c>
      <c r="Q928" s="59">
        <v>0</v>
      </c>
      <c r="R928" s="59">
        <v>0</v>
      </c>
      <c r="S928" s="59">
        <v>0</v>
      </c>
      <c r="T928" s="41"/>
      <c r="U928" s="41"/>
      <c r="V928" s="41"/>
      <c r="W928" s="41"/>
      <c r="X928" s="41"/>
      <c r="Y928" s="41"/>
      <c r="Z928" s="41"/>
      <c r="AA928" s="41"/>
      <c r="AB928" s="41"/>
      <c r="AC928" s="41"/>
      <c r="AD928" s="41"/>
      <c r="AE928" s="59">
        <v>0</v>
      </c>
      <c r="AF928" s="59">
        <v>0</v>
      </c>
      <c r="AG928" s="59" t="s">
        <v>1264</v>
      </c>
      <c r="AH928" s="59" t="s">
        <v>1329</v>
      </c>
    </row>
    <row r="929" spans="1:34" x14ac:dyDescent="0.35">
      <c r="A929" s="58">
        <v>2025</v>
      </c>
      <c r="B929" s="58">
        <v>3</v>
      </c>
      <c r="C929">
        <v>3</v>
      </c>
      <c r="D929" s="58" t="s">
        <v>625</v>
      </c>
      <c r="E929" t="s">
        <v>271</v>
      </c>
      <c r="F929" s="58" t="s">
        <v>171</v>
      </c>
      <c r="G929" t="s">
        <v>731</v>
      </c>
      <c r="H929" s="58" t="s">
        <v>4</v>
      </c>
      <c r="I929" t="s">
        <v>4</v>
      </c>
      <c r="J929" s="58" t="s">
        <v>4</v>
      </c>
      <c r="K929" t="s">
        <v>1429</v>
      </c>
      <c r="L929" t="s">
        <v>20</v>
      </c>
      <c r="M929" t="s">
        <v>1430</v>
      </c>
      <c r="N929" s="59">
        <v>11000</v>
      </c>
      <c r="O929" s="59">
        <v>342309000</v>
      </c>
      <c r="P929" s="59">
        <v>1709320.5337519622</v>
      </c>
      <c r="Q929" s="59">
        <v>0</v>
      </c>
      <c r="R929" s="59">
        <v>0</v>
      </c>
      <c r="S929" s="59">
        <v>340599679.46624804</v>
      </c>
      <c r="T929" s="41"/>
      <c r="U929" s="41"/>
      <c r="V929" s="41"/>
      <c r="W929" s="41"/>
      <c r="X929" s="41"/>
      <c r="Y929" s="41"/>
      <c r="Z929" s="41"/>
      <c r="AA929" s="41"/>
      <c r="AB929" s="41"/>
      <c r="AC929" s="41"/>
      <c r="AD929" s="41"/>
      <c r="AE929" s="59">
        <v>13423.007720538255</v>
      </c>
      <c r="AF929" s="59">
        <v>13490.371914061228</v>
      </c>
      <c r="AG929" s="59" t="s">
        <v>47</v>
      </c>
      <c r="AH929" s="59" t="s">
        <v>1166</v>
      </c>
    </row>
    <row r="930" spans="1:34" x14ac:dyDescent="0.35">
      <c r="A930" s="58">
        <v>2025</v>
      </c>
      <c r="B930" s="58">
        <v>3</v>
      </c>
      <c r="C930">
        <v>3</v>
      </c>
      <c r="D930" s="58" t="s">
        <v>625</v>
      </c>
      <c r="E930" t="s">
        <v>271</v>
      </c>
      <c r="F930" s="58" t="s">
        <v>194</v>
      </c>
      <c r="G930" t="s">
        <v>743</v>
      </c>
      <c r="H930" s="58" t="s">
        <v>1428</v>
      </c>
      <c r="I930" t="s">
        <v>76</v>
      </c>
      <c r="J930" s="58" t="s">
        <v>76</v>
      </c>
      <c r="K930" t="s">
        <v>1429</v>
      </c>
      <c r="L930" t="s">
        <v>20</v>
      </c>
      <c r="M930" t="s">
        <v>1430</v>
      </c>
      <c r="N930" s="59">
        <v>16500</v>
      </c>
      <c r="O930" s="59">
        <v>341758725.00000006</v>
      </c>
      <c r="P930" s="59">
        <v>0</v>
      </c>
      <c r="Q930" s="59">
        <v>0</v>
      </c>
      <c r="R930" s="59">
        <v>0</v>
      </c>
      <c r="S930" s="59">
        <v>341758725.00000006</v>
      </c>
      <c r="T930" s="41"/>
      <c r="U930" s="41"/>
      <c r="V930" s="41"/>
      <c r="W930" s="41"/>
      <c r="X930" s="41"/>
      <c r="Y930" s="41"/>
      <c r="Z930" s="41"/>
      <c r="AA930" s="41"/>
      <c r="AB930" s="41"/>
      <c r="AC930" s="41"/>
      <c r="AD930" s="41"/>
      <c r="AE930" s="59">
        <v>13468.685617747051</v>
      </c>
      <c r="AF930" s="59">
        <v>13468.685617747051</v>
      </c>
      <c r="AG930" s="59" t="s">
        <v>47</v>
      </c>
      <c r="AH930" s="59" t="s">
        <v>1246</v>
      </c>
    </row>
    <row r="931" spans="1:34" x14ac:dyDescent="0.35">
      <c r="A931" s="58">
        <v>2025</v>
      </c>
      <c r="B931" s="58">
        <v>3</v>
      </c>
      <c r="C931">
        <v>3</v>
      </c>
      <c r="D931" s="58" t="s">
        <v>625</v>
      </c>
      <c r="E931" t="s">
        <v>271</v>
      </c>
      <c r="F931" s="58" t="s">
        <v>197</v>
      </c>
      <c r="G931" t="s">
        <v>752</v>
      </c>
      <c r="H931" s="58" t="s">
        <v>1428</v>
      </c>
      <c r="I931" t="s">
        <v>76</v>
      </c>
      <c r="J931" s="58" t="s">
        <v>76</v>
      </c>
      <c r="K931" t="s">
        <v>1429</v>
      </c>
      <c r="L931" t="s">
        <v>20</v>
      </c>
      <c r="M931" t="s">
        <v>1430</v>
      </c>
      <c r="N931" s="59">
        <v>11000</v>
      </c>
      <c r="O931" s="59">
        <v>227839150.00000003</v>
      </c>
      <c r="P931" s="59">
        <v>0</v>
      </c>
      <c r="Q931" s="59">
        <v>0</v>
      </c>
      <c r="R931" s="59">
        <v>0</v>
      </c>
      <c r="S931" s="59">
        <v>227839150.00000003</v>
      </c>
      <c r="T931" s="41"/>
      <c r="U931" s="41"/>
      <c r="V931" s="41"/>
      <c r="W931" s="41"/>
      <c r="X931" s="41"/>
      <c r="Y931" s="41"/>
      <c r="Z931" s="41"/>
      <c r="AA931" s="41"/>
      <c r="AB931" s="41"/>
      <c r="AC931" s="41"/>
      <c r="AD931" s="41"/>
      <c r="AE931" s="59">
        <v>8979.1237451647012</v>
      </c>
      <c r="AF931" s="59">
        <v>8979.1237451647012</v>
      </c>
      <c r="AG931" s="59" t="s">
        <v>47</v>
      </c>
      <c r="AH931" s="59" t="s">
        <v>1249</v>
      </c>
    </row>
    <row r="932" spans="1:34" x14ac:dyDescent="0.35">
      <c r="A932" s="58">
        <v>2025</v>
      </c>
      <c r="B932" s="58">
        <v>3</v>
      </c>
      <c r="C932">
        <v>3</v>
      </c>
      <c r="D932" s="58" t="s">
        <v>625</v>
      </c>
      <c r="E932" t="s">
        <v>271</v>
      </c>
      <c r="F932" s="58" t="s">
        <v>192</v>
      </c>
      <c r="G932" t="s">
        <v>973</v>
      </c>
      <c r="H932" s="58" t="s">
        <v>1428</v>
      </c>
      <c r="I932" t="s">
        <v>75</v>
      </c>
      <c r="J932" s="58" t="s">
        <v>75</v>
      </c>
      <c r="K932" t="s">
        <v>1429</v>
      </c>
      <c r="L932" t="s">
        <v>20</v>
      </c>
      <c r="M932" t="s">
        <v>1430</v>
      </c>
      <c r="N932" s="59">
        <v>500</v>
      </c>
      <c r="O932" s="59">
        <v>17077500</v>
      </c>
      <c r="P932" s="59">
        <v>0</v>
      </c>
      <c r="Q932" s="59">
        <v>0</v>
      </c>
      <c r="R932" s="59">
        <v>0</v>
      </c>
      <c r="S932" s="59">
        <v>17077500</v>
      </c>
      <c r="T932" s="41"/>
      <c r="U932" s="41"/>
      <c r="V932" s="41"/>
      <c r="W932" s="41"/>
      <c r="X932" s="41"/>
      <c r="Y932" s="41"/>
      <c r="Z932" s="41"/>
      <c r="AA932" s="41"/>
      <c r="AB932" s="41"/>
      <c r="AC932" s="41"/>
      <c r="AD932" s="41"/>
      <c r="AE932" s="59">
        <v>673.02298906070428</v>
      </c>
      <c r="AF932" s="59">
        <v>673.02298906070428</v>
      </c>
      <c r="AG932" s="59" t="s">
        <v>47</v>
      </c>
      <c r="AH932" s="59" t="s">
        <v>1209</v>
      </c>
    </row>
    <row r="933" spans="1:34" x14ac:dyDescent="0.35">
      <c r="A933" s="58">
        <v>2025</v>
      </c>
      <c r="B933" s="58">
        <v>3</v>
      </c>
      <c r="C933">
        <v>3</v>
      </c>
      <c r="D933" s="58" t="s">
        <v>1433</v>
      </c>
      <c r="E933" t="s">
        <v>1276</v>
      </c>
      <c r="F933" s="58" t="s">
        <v>1489</v>
      </c>
      <c r="G933" t="s">
        <v>1490</v>
      </c>
      <c r="H933" s="58" t="s">
        <v>1012</v>
      </c>
      <c r="I933" t="s">
        <v>1012</v>
      </c>
      <c r="J933" s="58" t="s">
        <v>1012</v>
      </c>
      <c r="K933" t="s">
        <v>1429</v>
      </c>
      <c r="L933" t="s">
        <v>20</v>
      </c>
      <c r="M933" t="s">
        <v>1430</v>
      </c>
      <c r="N933" s="59">
        <v>0</v>
      </c>
      <c r="O933" s="59">
        <v>0</v>
      </c>
      <c r="P933" s="59">
        <v>0</v>
      </c>
      <c r="Q933" s="59">
        <v>0</v>
      </c>
      <c r="R933" s="59">
        <v>0</v>
      </c>
      <c r="S933" s="59">
        <v>0</v>
      </c>
      <c r="T933" s="41"/>
      <c r="U933" s="41"/>
      <c r="V933" s="41"/>
      <c r="W933" s="41"/>
      <c r="X933" s="41"/>
      <c r="Y933" s="41"/>
      <c r="Z933" s="41"/>
      <c r="AA933" s="41"/>
      <c r="AB933" s="41"/>
      <c r="AC933" s="41"/>
      <c r="AD933" s="41"/>
      <c r="AE933" s="59">
        <v>0</v>
      </c>
      <c r="AF933" s="59">
        <v>0</v>
      </c>
      <c r="AG933" s="59" t="s">
        <v>1276</v>
      </c>
      <c r="AH933" s="59" t="s">
        <v>1274</v>
      </c>
    </row>
    <row r="934" spans="1:34" x14ac:dyDescent="0.35">
      <c r="A934" s="58">
        <v>2025</v>
      </c>
      <c r="B934" s="58">
        <v>3</v>
      </c>
      <c r="C934">
        <v>3</v>
      </c>
      <c r="D934" s="58" t="s">
        <v>1433</v>
      </c>
      <c r="E934" t="s">
        <v>1276</v>
      </c>
      <c r="F934" s="58" t="s">
        <v>1468</v>
      </c>
      <c r="G934" t="s">
        <v>1012</v>
      </c>
      <c r="H934" s="58" t="s">
        <v>1012</v>
      </c>
      <c r="I934" t="s">
        <v>1012</v>
      </c>
      <c r="J934" s="58" t="s">
        <v>1012</v>
      </c>
      <c r="K934" t="s">
        <v>1429</v>
      </c>
      <c r="L934" t="s">
        <v>20</v>
      </c>
      <c r="M934" t="s">
        <v>1430</v>
      </c>
      <c r="N934" s="59">
        <v>0</v>
      </c>
      <c r="O934" s="59">
        <v>0</v>
      </c>
      <c r="P934" s="59">
        <v>0</v>
      </c>
      <c r="Q934" s="59">
        <v>0</v>
      </c>
      <c r="R934" s="59">
        <v>0</v>
      </c>
      <c r="S934" s="59">
        <v>0</v>
      </c>
      <c r="T934" s="41"/>
      <c r="U934" s="41"/>
      <c r="V934" s="41"/>
      <c r="W934" s="41"/>
      <c r="X934" s="41"/>
      <c r="Y934" s="41"/>
      <c r="Z934" s="41"/>
      <c r="AA934" s="41"/>
      <c r="AB934" s="41"/>
      <c r="AC934" s="41"/>
      <c r="AD934" s="41"/>
      <c r="AE934" s="59">
        <v>0</v>
      </c>
      <c r="AF934" s="59">
        <v>0</v>
      </c>
      <c r="AG934" s="59" t="s">
        <v>1276</v>
      </c>
      <c r="AH934" s="59" t="s">
        <v>1284</v>
      </c>
    </row>
    <row r="935" spans="1:34" x14ac:dyDescent="0.35">
      <c r="A935" s="58">
        <v>2025</v>
      </c>
      <c r="B935" s="58">
        <v>3</v>
      </c>
      <c r="C935">
        <v>3</v>
      </c>
      <c r="D935" s="58" t="s">
        <v>1433</v>
      </c>
      <c r="E935" t="s">
        <v>1276</v>
      </c>
      <c r="F935" s="58" t="s">
        <v>1434</v>
      </c>
      <c r="G935" t="s">
        <v>1435</v>
      </c>
      <c r="H935" s="58" t="s">
        <v>1012</v>
      </c>
      <c r="I935" t="s">
        <v>1012</v>
      </c>
      <c r="J935" s="58" t="s">
        <v>1012</v>
      </c>
      <c r="K935" t="s">
        <v>1429</v>
      </c>
      <c r="L935" t="s">
        <v>20</v>
      </c>
      <c r="M935" t="s">
        <v>1430</v>
      </c>
      <c r="N935" s="59">
        <v>0</v>
      </c>
      <c r="O935" s="59">
        <v>0</v>
      </c>
      <c r="P935" s="59">
        <v>0</v>
      </c>
      <c r="Q935" s="59">
        <v>0</v>
      </c>
      <c r="R935" s="59">
        <v>0</v>
      </c>
      <c r="S935" s="59">
        <v>0</v>
      </c>
      <c r="T935" s="41"/>
      <c r="U935" s="41"/>
      <c r="V935" s="41"/>
      <c r="W935" s="41"/>
      <c r="X935" s="41"/>
      <c r="Y935" s="41"/>
      <c r="Z935" s="41"/>
      <c r="AA935" s="41"/>
      <c r="AB935" s="41"/>
      <c r="AC935" s="41"/>
      <c r="AD935" s="41"/>
      <c r="AE935" s="59">
        <v>0</v>
      </c>
      <c r="AF935" s="59">
        <v>0</v>
      </c>
      <c r="AG935" s="59" t="s">
        <v>1276</v>
      </c>
      <c r="AH935" s="59" t="s">
        <v>1319</v>
      </c>
    </row>
    <row r="936" spans="1:34" x14ac:dyDescent="0.35">
      <c r="A936" s="58">
        <v>2025</v>
      </c>
      <c r="B936" s="58">
        <v>3</v>
      </c>
      <c r="C936">
        <v>3</v>
      </c>
      <c r="D936" s="58" t="s">
        <v>1640</v>
      </c>
      <c r="E936" t="s">
        <v>1332</v>
      </c>
      <c r="F936" s="58" t="s">
        <v>1496</v>
      </c>
      <c r="G936" t="s">
        <v>1497</v>
      </c>
      <c r="H936" s="58" t="s">
        <v>1012</v>
      </c>
      <c r="I936" t="s">
        <v>1012</v>
      </c>
      <c r="J936" s="58" t="s">
        <v>1012</v>
      </c>
      <c r="K936" t="s">
        <v>1429</v>
      </c>
      <c r="L936" t="s">
        <v>20</v>
      </c>
      <c r="M936" t="s">
        <v>1430</v>
      </c>
      <c r="N936" s="59">
        <v>0</v>
      </c>
      <c r="O936" s="59">
        <v>0</v>
      </c>
      <c r="P936" s="59">
        <v>0</v>
      </c>
      <c r="Q936" s="59">
        <v>0</v>
      </c>
      <c r="R936" s="59">
        <v>0</v>
      </c>
      <c r="S936" s="59">
        <v>0</v>
      </c>
      <c r="T936" s="41"/>
      <c r="U936" s="41"/>
      <c r="V936" s="41"/>
      <c r="W936" s="41"/>
      <c r="X936" s="41"/>
      <c r="Y936" s="41"/>
      <c r="Z936" s="41"/>
      <c r="AA936" s="41"/>
      <c r="AB936" s="41"/>
      <c r="AC936" s="41"/>
      <c r="AD936" s="41"/>
      <c r="AE936" s="59">
        <v>0</v>
      </c>
      <c r="AF936" s="59">
        <v>0</v>
      </c>
      <c r="AG936" s="59" t="s">
        <v>1332</v>
      </c>
      <c r="AH936" s="59" t="s">
        <v>1329</v>
      </c>
    </row>
    <row r="937" spans="1:34" x14ac:dyDescent="0.35">
      <c r="A937" s="58">
        <v>2025</v>
      </c>
      <c r="B937" s="58">
        <v>3</v>
      </c>
      <c r="C937">
        <v>3</v>
      </c>
      <c r="D937" s="58" t="s">
        <v>651</v>
      </c>
      <c r="E937" t="s">
        <v>464</v>
      </c>
      <c r="F937" s="58" t="s">
        <v>184</v>
      </c>
      <c r="G937" t="s">
        <v>717</v>
      </c>
      <c r="H937" s="58" t="s">
        <v>1428</v>
      </c>
      <c r="I937" t="s">
        <v>75</v>
      </c>
      <c r="J937" s="58" t="s">
        <v>75</v>
      </c>
      <c r="K937" t="s">
        <v>1429</v>
      </c>
      <c r="L937" t="s">
        <v>20</v>
      </c>
      <c r="M937" t="s">
        <v>1430</v>
      </c>
      <c r="N937" s="59">
        <v>9625</v>
      </c>
      <c r="O937" s="59">
        <v>344267000</v>
      </c>
      <c r="P937" s="59">
        <v>0</v>
      </c>
      <c r="Q937" s="59">
        <v>0</v>
      </c>
      <c r="R937" s="59">
        <v>0</v>
      </c>
      <c r="S937" s="59">
        <v>344267000</v>
      </c>
      <c r="T937" s="41"/>
      <c r="U937" s="41"/>
      <c r="V937" s="41"/>
      <c r="W937" s="41"/>
      <c r="X937" s="41"/>
      <c r="Y937" s="41"/>
      <c r="Z937" s="41"/>
      <c r="AA937" s="41"/>
      <c r="AB937" s="41"/>
      <c r="AC937" s="41"/>
      <c r="AD937" s="41"/>
      <c r="AE937" s="59">
        <v>13567.536546623422</v>
      </c>
      <c r="AF937" s="59">
        <v>13567.536546623422</v>
      </c>
      <c r="AG937" s="59" t="s">
        <v>5</v>
      </c>
      <c r="AH937" s="59" t="s">
        <v>1198</v>
      </c>
    </row>
    <row r="938" spans="1:34" x14ac:dyDescent="0.35">
      <c r="A938" s="58">
        <v>2025</v>
      </c>
      <c r="B938" s="58">
        <v>3</v>
      </c>
      <c r="C938">
        <v>3</v>
      </c>
      <c r="D938" s="58" t="s">
        <v>589</v>
      </c>
      <c r="E938" t="s">
        <v>322</v>
      </c>
      <c r="F938" s="58" t="s">
        <v>171</v>
      </c>
      <c r="G938" t="s">
        <v>731</v>
      </c>
      <c r="H938" s="58" t="s">
        <v>4</v>
      </c>
      <c r="I938" t="s">
        <v>4</v>
      </c>
      <c r="J938" s="58" t="s">
        <v>4</v>
      </c>
      <c r="K938" t="s">
        <v>1429</v>
      </c>
      <c r="L938" t="s">
        <v>20</v>
      </c>
      <c r="M938" t="s">
        <v>1430</v>
      </c>
      <c r="N938" s="59">
        <v>227700</v>
      </c>
      <c r="O938" s="59">
        <v>7504016300</v>
      </c>
      <c r="P938" s="59">
        <v>35382935.04866562</v>
      </c>
      <c r="Q938" s="59">
        <v>0</v>
      </c>
      <c r="R938" s="59">
        <v>30800000</v>
      </c>
      <c r="S938" s="59">
        <v>7437833364.951334</v>
      </c>
      <c r="T938" s="41"/>
      <c r="U938" s="41"/>
      <c r="V938" s="41"/>
      <c r="W938" s="41"/>
      <c r="X938" s="41"/>
      <c r="Y938" s="41"/>
      <c r="Z938" s="41"/>
      <c r="AA938" s="41"/>
      <c r="AB938" s="41"/>
      <c r="AC938" s="41"/>
      <c r="AD938" s="41"/>
      <c r="AE938" s="59">
        <v>293124.45284233539</v>
      </c>
      <c r="AF938" s="59">
        <v>295732.71732901462</v>
      </c>
      <c r="AG938" s="59" t="s">
        <v>5</v>
      </c>
      <c r="AH938" s="59" t="s">
        <v>1166</v>
      </c>
    </row>
    <row r="939" spans="1:34" x14ac:dyDescent="0.35">
      <c r="A939" s="58">
        <v>2025</v>
      </c>
      <c r="B939" s="58">
        <v>3</v>
      </c>
      <c r="C939">
        <v>3</v>
      </c>
      <c r="D939" s="58" t="s">
        <v>589</v>
      </c>
      <c r="E939" t="s">
        <v>322</v>
      </c>
      <c r="F939" s="58" t="s">
        <v>1152</v>
      </c>
      <c r="G939" t="s">
        <v>1153</v>
      </c>
      <c r="H939" s="58" t="s">
        <v>1012</v>
      </c>
      <c r="I939" t="s">
        <v>1012</v>
      </c>
      <c r="J939" s="58" t="s">
        <v>1399</v>
      </c>
      <c r="K939" t="s">
        <v>1429</v>
      </c>
      <c r="L939" t="s">
        <v>20</v>
      </c>
      <c r="M939" t="s">
        <v>1430</v>
      </c>
      <c r="N939" s="59">
        <v>0</v>
      </c>
      <c r="O939" s="59">
        <v>0</v>
      </c>
      <c r="P939" s="59">
        <v>0</v>
      </c>
      <c r="Q939" s="59">
        <v>0</v>
      </c>
      <c r="R939" s="59">
        <v>3080000</v>
      </c>
      <c r="S939" s="59">
        <v>-3080000</v>
      </c>
      <c r="T939" s="41"/>
      <c r="U939" s="41"/>
      <c r="V939" s="41"/>
      <c r="W939" s="41"/>
      <c r="X939" s="41"/>
      <c r="Y939" s="41"/>
      <c r="Z939" s="41"/>
      <c r="AA939" s="41"/>
      <c r="AB939" s="41"/>
      <c r="AC939" s="41"/>
      <c r="AD939" s="41"/>
      <c r="AE939" s="59">
        <v>-121.38256807536052</v>
      </c>
      <c r="AF939" s="59">
        <v>0</v>
      </c>
      <c r="AG939" s="59" t="s">
        <v>5</v>
      </c>
      <c r="AH939" s="59" t="s">
        <v>1400</v>
      </c>
    </row>
    <row r="940" spans="1:34" x14ac:dyDescent="0.35">
      <c r="A940" s="58">
        <v>2025</v>
      </c>
      <c r="B940" s="58">
        <v>3</v>
      </c>
      <c r="C940">
        <v>3</v>
      </c>
      <c r="D940" s="58" t="s">
        <v>590</v>
      </c>
      <c r="E940" t="s">
        <v>500</v>
      </c>
      <c r="F940" s="58" t="s">
        <v>168</v>
      </c>
      <c r="G940" t="s">
        <v>700</v>
      </c>
      <c r="H940" s="58" t="s">
        <v>4</v>
      </c>
      <c r="I940" t="s">
        <v>4</v>
      </c>
      <c r="J940" s="58" t="s">
        <v>4</v>
      </c>
      <c r="K940" t="s">
        <v>1429</v>
      </c>
      <c r="L940" t="s">
        <v>20</v>
      </c>
      <c r="M940" t="s">
        <v>1430</v>
      </c>
      <c r="N940" s="59">
        <v>154000</v>
      </c>
      <c r="O940" s="59">
        <v>5521472000</v>
      </c>
      <c r="P940" s="59">
        <v>10873916.666666666</v>
      </c>
      <c r="Q940" s="59">
        <v>0</v>
      </c>
      <c r="R940" s="59">
        <v>98518518.518518522</v>
      </c>
      <c r="S940" s="59">
        <v>5330822062.6648149</v>
      </c>
      <c r="T940" s="41"/>
      <c r="U940" s="41"/>
      <c r="V940" s="41"/>
      <c r="W940" s="41"/>
      <c r="X940" s="41"/>
      <c r="Y940" s="41"/>
      <c r="Z940" s="41"/>
      <c r="AA940" s="41"/>
      <c r="AB940" s="41"/>
      <c r="AC940" s="41"/>
      <c r="AD940" s="41"/>
      <c r="AE940" s="59">
        <v>210087.29607761226</v>
      </c>
      <c r="AF940" s="59">
        <v>217600.795752012</v>
      </c>
      <c r="AG940" s="59" t="s">
        <v>8</v>
      </c>
      <c r="AH940" s="59" t="s">
        <v>1160</v>
      </c>
    </row>
    <row r="941" spans="1:34" x14ac:dyDescent="0.35">
      <c r="A941" s="58">
        <v>2025</v>
      </c>
      <c r="B941" s="58">
        <v>3</v>
      </c>
      <c r="C941">
        <v>3</v>
      </c>
      <c r="D941" s="58" t="s">
        <v>590</v>
      </c>
      <c r="E941" t="s">
        <v>500</v>
      </c>
      <c r="F941" s="58" t="s">
        <v>172</v>
      </c>
      <c r="G941" t="s">
        <v>734</v>
      </c>
      <c r="H941" s="58" t="s">
        <v>4</v>
      </c>
      <c r="I941" t="s">
        <v>4</v>
      </c>
      <c r="J941" s="58" t="s">
        <v>4</v>
      </c>
      <c r="K941" t="s">
        <v>1429</v>
      </c>
      <c r="L941" t="s">
        <v>20</v>
      </c>
      <c r="M941" t="s">
        <v>1508</v>
      </c>
      <c r="N941" s="59">
        <v>-1100</v>
      </c>
      <c r="O941" s="59">
        <v>-40308400</v>
      </c>
      <c r="P941" s="59">
        <v>0</v>
      </c>
      <c r="Q941" s="59">
        <v>0</v>
      </c>
      <c r="R941" s="59">
        <v>0</v>
      </c>
      <c r="S941" s="59">
        <v>-40308400</v>
      </c>
      <c r="T941" s="41"/>
      <c r="U941" s="41"/>
      <c r="V941" s="41"/>
      <c r="W941" s="41"/>
      <c r="X941" s="41"/>
      <c r="Y941" s="41"/>
      <c r="Z941" s="41"/>
      <c r="AA941" s="41"/>
      <c r="AB941" s="41"/>
      <c r="AC941" s="41"/>
      <c r="AD941" s="41"/>
      <c r="AE941" s="59">
        <v>-1588.5510087691111</v>
      </c>
      <c r="AF941" s="59">
        <v>-1588.5510087691111</v>
      </c>
      <c r="AG941" s="59" t="s">
        <v>8</v>
      </c>
      <c r="AH941" s="59" t="s">
        <v>1175</v>
      </c>
    </row>
    <row r="942" spans="1:34" x14ac:dyDescent="0.35">
      <c r="A942" s="58">
        <v>2025</v>
      </c>
      <c r="B942" s="58">
        <v>3</v>
      </c>
      <c r="C942">
        <v>3</v>
      </c>
      <c r="D942" s="58" t="s">
        <v>590</v>
      </c>
      <c r="E942" t="s">
        <v>500</v>
      </c>
      <c r="F942" s="58" t="s">
        <v>1535</v>
      </c>
      <c r="G942" t="s">
        <v>1536</v>
      </c>
      <c r="H942" s="58" t="s">
        <v>1012</v>
      </c>
      <c r="I942" t="s">
        <v>1012</v>
      </c>
      <c r="J942" s="58" t="s">
        <v>1012</v>
      </c>
      <c r="K942" t="s">
        <v>1429</v>
      </c>
      <c r="L942" t="s">
        <v>20</v>
      </c>
      <c r="M942" t="s">
        <v>1430</v>
      </c>
      <c r="N942" s="59">
        <v>0</v>
      </c>
      <c r="O942" s="59">
        <v>0</v>
      </c>
      <c r="P942" s="59">
        <v>0</v>
      </c>
      <c r="Q942" s="59">
        <v>0</v>
      </c>
      <c r="R942" s="59">
        <v>0</v>
      </c>
      <c r="S942" s="59">
        <v>81257502.150000006</v>
      </c>
      <c r="T942" s="41"/>
      <c r="U942" s="41"/>
      <c r="V942" s="41"/>
      <c r="W942" s="41"/>
      <c r="X942" s="41"/>
      <c r="Y942" s="41"/>
      <c r="Z942" s="41"/>
      <c r="AA942" s="41"/>
      <c r="AB942" s="41"/>
      <c r="AC942" s="41"/>
      <c r="AD942" s="41"/>
      <c r="AE942" s="59">
        <v>3202.3520410247174</v>
      </c>
      <c r="AF942" s="59">
        <v>0</v>
      </c>
      <c r="AG942" s="59" t="s">
        <v>8</v>
      </c>
      <c r="AH942" s="59" t="s">
        <v>1270</v>
      </c>
    </row>
    <row r="943" spans="1:34" x14ac:dyDescent="0.35">
      <c r="A943" s="58">
        <v>2025</v>
      </c>
      <c r="B943" s="58">
        <v>3</v>
      </c>
      <c r="C943">
        <v>3</v>
      </c>
      <c r="D943" s="58" t="s">
        <v>590</v>
      </c>
      <c r="E943" t="s">
        <v>500</v>
      </c>
      <c r="F943" s="58" t="s">
        <v>1152</v>
      </c>
      <c r="G943" t="s">
        <v>1153</v>
      </c>
      <c r="H943" s="58" t="s">
        <v>1012</v>
      </c>
      <c r="I943" t="s">
        <v>1012</v>
      </c>
      <c r="J943" s="58" t="s">
        <v>1399</v>
      </c>
      <c r="K943" t="s">
        <v>1429</v>
      </c>
      <c r="L943" t="s">
        <v>20</v>
      </c>
      <c r="M943" t="s">
        <v>1430</v>
      </c>
      <c r="N943" s="59">
        <v>0</v>
      </c>
      <c r="O943" s="59">
        <v>0</v>
      </c>
      <c r="P943" s="59">
        <v>0</v>
      </c>
      <c r="Q943" s="59">
        <v>0</v>
      </c>
      <c r="R943" s="59">
        <v>65740740.740740739</v>
      </c>
      <c r="S943" s="59">
        <v>-65740740.740740739</v>
      </c>
      <c r="T943" s="41"/>
      <c r="U943" s="41"/>
      <c r="V943" s="41"/>
      <c r="W943" s="41"/>
      <c r="X943" s="41"/>
      <c r="Y943" s="41"/>
      <c r="Z943" s="41"/>
      <c r="AA943" s="41"/>
      <c r="AB943" s="41"/>
      <c r="AC943" s="41"/>
      <c r="AD943" s="41"/>
      <c r="AE943" s="59">
        <v>-2590.837642301165</v>
      </c>
      <c r="AF943" s="59">
        <v>0</v>
      </c>
      <c r="AG943" s="59" t="s">
        <v>8</v>
      </c>
      <c r="AH943" s="59" t="s">
        <v>1400</v>
      </c>
    </row>
    <row r="944" spans="1:34" x14ac:dyDescent="0.35">
      <c r="A944" s="58">
        <v>2025</v>
      </c>
      <c r="B944" s="58">
        <v>3</v>
      </c>
      <c r="C944">
        <v>3</v>
      </c>
      <c r="D944" s="58" t="s">
        <v>590</v>
      </c>
      <c r="E944" t="s">
        <v>500</v>
      </c>
      <c r="F944" s="58" t="s">
        <v>1590</v>
      </c>
      <c r="G944" t="s">
        <v>1590</v>
      </c>
      <c r="H944" s="58" t="s">
        <v>1012</v>
      </c>
      <c r="I944" t="s">
        <v>1012</v>
      </c>
      <c r="J944" s="58" t="s">
        <v>1012</v>
      </c>
      <c r="K944" t="s">
        <v>1429</v>
      </c>
      <c r="L944" t="s">
        <v>20</v>
      </c>
      <c r="M944" t="s">
        <v>1591</v>
      </c>
      <c r="N944" s="59">
        <v>0</v>
      </c>
      <c r="O944" s="59">
        <v>-81257502</v>
      </c>
      <c r="P944" s="59">
        <v>0</v>
      </c>
      <c r="Q944" s="59">
        <v>0</v>
      </c>
      <c r="R944" s="59">
        <v>0</v>
      </c>
      <c r="S944" s="59">
        <v>-81257502</v>
      </c>
      <c r="T944" s="41"/>
      <c r="U944" s="41"/>
      <c r="V944" s="41"/>
      <c r="W944" s="41"/>
      <c r="X944" s="41"/>
      <c r="Y944" s="41"/>
      <c r="Z944" s="41"/>
      <c r="AA944" s="41"/>
      <c r="AB944" s="41"/>
      <c r="AC944" s="41"/>
      <c r="AD944" s="41"/>
      <c r="AE944" s="59">
        <v>-3202.3520351132283</v>
      </c>
      <c r="AF944" s="59">
        <v>-3202.3520351132283</v>
      </c>
      <c r="AG944" s="59" t="s">
        <v>8</v>
      </c>
      <c r="AH944" s="59" t="s">
        <v>1592</v>
      </c>
    </row>
    <row r="945" spans="1:34" x14ac:dyDescent="0.35">
      <c r="A945" s="58">
        <v>2025</v>
      </c>
      <c r="B945" s="58">
        <v>3</v>
      </c>
      <c r="C945">
        <v>3</v>
      </c>
      <c r="D945" s="58" t="s">
        <v>601</v>
      </c>
      <c r="E945" t="s">
        <v>501</v>
      </c>
      <c r="F945" s="58" t="s">
        <v>171</v>
      </c>
      <c r="G945" t="s">
        <v>731</v>
      </c>
      <c r="H945" s="58" t="s">
        <v>4</v>
      </c>
      <c r="I945" t="s">
        <v>4</v>
      </c>
      <c r="J945" s="58" t="s">
        <v>4</v>
      </c>
      <c r="K945" t="s">
        <v>1429</v>
      </c>
      <c r="L945" t="s">
        <v>20</v>
      </c>
      <c r="M945" t="s">
        <v>1601</v>
      </c>
      <c r="N945" s="59">
        <v>0</v>
      </c>
      <c r="O945" s="59">
        <v>-38002800</v>
      </c>
      <c r="P945" s="59">
        <v>0</v>
      </c>
      <c r="Q945" s="59">
        <v>0</v>
      </c>
      <c r="R945" s="59">
        <v>0</v>
      </c>
      <c r="S945" s="59">
        <v>-38002800</v>
      </c>
      <c r="T945" s="41"/>
      <c r="U945" s="41"/>
      <c r="V945" s="41"/>
      <c r="W945" s="41"/>
      <c r="X945" s="41"/>
      <c r="Y945" s="41"/>
      <c r="Z945" s="41"/>
      <c r="AA945" s="41"/>
      <c r="AB945" s="41"/>
      <c r="AC945" s="41"/>
      <c r="AD945" s="41"/>
      <c r="AE945" s="59">
        <v>-1497.6874863812698</v>
      </c>
      <c r="AF945" s="59">
        <v>-1497.6874863812698</v>
      </c>
      <c r="AG945" s="59" t="s">
        <v>109</v>
      </c>
      <c r="AH945" s="59" t="s">
        <v>1166</v>
      </c>
    </row>
    <row r="946" spans="1:34" x14ac:dyDescent="0.35">
      <c r="A946" s="58">
        <v>2025</v>
      </c>
      <c r="B946" s="58">
        <v>3</v>
      </c>
      <c r="C946">
        <v>3</v>
      </c>
      <c r="D946" s="58" t="s">
        <v>601</v>
      </c>
      <c r="E946" t="s">
        <v>501</v>
      </c>
      <c r="F946" s="58" t="s">
        <v>171</v>
      </c>
      <c r="G946" t="s">
        <v>731</v>
      </c>
      <c r="H946" s="58" t="s">
        <v>4</v>
      </c>
      <c r="I946" t="s">
        <v>4</v>
      </c>
      <c r="J946" s="58" t="s">
        <v>4</v>
      </c>
      <c r="K946" t="s">
        <v>1429</v>
      </c>
      <c r="L946" t="s">
        <v>20</v>
      </c>
      <c r="M946" t="s">
        <v>1430</v>
      </c>
      <c r="N946" s="59">
        <v>45000</v>
      </c>
      <c r="O946" s="59">
        <v>1476855000</v>
      </c>
      <c r="P946" s="59">
        <v>7008214.1883830447</v>
      </c>
      <c r="Q946" s="59">
        <v>0</v>
      </c>
      <c r="R946" s="59">
        <v>5544000</v>
      </c>
      <c r="S946" s="59">
        <v>1464302785.8116171</v>
      </c>
      <c r="T946" s="41"/>
      <c r="U946" s="41"/>
      <c r="V946" s="41"/>
      <c r="W946" s="41"/>
      <c r="X946" s="41"/>
      <c r="Y946" s="41"/>
      <c r="Z946" s="41"/>
      <c r="AA946" s="41"/>
      <c r="AB946" s="41"/>
      <c r="AC946" s="41"/>
      <c r="AD946" s="41"/>
      <c r="AE946" s="59">
        <v>57708.062526532027</v>
      </c>
      <c r="AF946" s="59">
        <v>58202.744342511869</v>
      </c>
      <c r="AG946" s="59" t="s">
        <v>109</v>
      </c>
      <c r="AH946" s="59" t="s">
        <v>1166</v>
      </c>
    </row>
    <row r="947" spans="1:34" x14ac:dyDescent="0.35">
      <c r="A947" s="58">
        <v>2025</v>
      </c>
      <c r="B947" s="58">
        <v>3</v>
      </c>
      <c r="C947">
        <v>3</v>
      </c>
      <c r="D947" s="58" t="s">
        <v>601</v>
      </c>
      <c r="E947" t="s">
        <v>501</v>
      </c>
      <c r="F947" s="58" t="s">
        <v>1152</v>
      </c>
      <c r="G947" t="s">
        <v>1153</v>
      </c>
      <c r="H947" s="58" t="s">
        <v>1012</v>
      </c>
      <c r="I947" t="s">
        <v>1012</v>
      </c>
      <c r="J947" s="58" t="s">
        <v>1399</v>
      </c>
      <c r="K947" t="s">
        <v>1429</v>
      </c>
      <c r="L947" t="s">
        <v>20</v>
      </c>
      <c r="M947" t="s">
        <v>1430</v>
      </c>
      <c r="N947" s="59">
        <v>0</v>
      </c>
      <c r="O947" s="59">
        <v>0</v>
      </c>
      <c r="P947" s="59">
        <v>0</v>
      </c>
      <c r="Q947" s="59">
        <v>0</v>
      </c>
      <c r="R947" s="59">
        <v>-3080000</v>
      </c>
      <c r="S947" s="59">
        <v>3080000</v>
      </c>
      <c r="T947" s="41"/>
      <c r="U947" s="41"/>
      <c r="V947" s="41"/>
      <c r="W947" s="41"/>
      <c r="X947" s="41"/>
      <c r="Y947" s="41"/>
      <c r="Z947" s="41"/>
      <c r="AA947" s="41"/>
      <c r="AB947" s="41"/>
      <c r="AC947" s="41"/>
      <c r="AD947" s="41"/>
      <c r="AE947" s="59">
        <v>121.38256807536052</v>
      </c>
      <c r="AF947" s="59">
        <v>0</v>
      </c>
      <c r="AG947" s="59" t="s">
        <v>109</v>
      </c>
      <c r="AH947" s="59" t="s">
        <v>1400</v>
      </c>
    </row>
    <row r="948" spans="1:34" x14ac:dyDescent="0.35">
      <c r="A948" s="58">
        <v>2025</v>
      </c>
      <c r="B948" s="58">
        <v>3</v>
      </c>
      <c r="C948">
        <v>3</v>
      </c>
      <c r="D948" s="58" t="s">
        <v>620</v>
      </c>
      <c r="E948" t="s">
        <v>324</v>
      </c>
      <c r="F948" s="58" t="s">
        <v>168</v>
      </c>
      <c r="G948" t="s">
        <v>700</v>
      </c>
      <c r="H948" s="58" t="s">
        <v>4</v>
      </c>
      <c r="I948" t="s">
        <v>4</v>
      </c>
      <c r="J948" s="58" t="s">
        <v>4</v>
      </c>
      <c r="K948" t="s">
        <v>1429</v>
      </c>
      <c r="L948" t="s">
        <v>20</v>
      </c>
      <c r="M948" t="s">
        <v>1430</v>
      </c>
      <c r="N948" s="59">
        <v>88000</v>
      </c>
      <c r="O948" s="59">
        <v>3106435200</v>
      </c>
      <c r="P948" s="59">
        <v>12427333.333333334</v>
      </c>
      <c r="Q948" s="59">
        <v>0</v>
      </c>
      <c r="R948" s="59">
        <v>14080000</v>
      </c>
      <c r="S948" s="59">
        <v>3033668994.6666665</v>
      </c>
      <c r="T948" s="41"/>
      <c r="U948" s="41"/>
      <c r="V948" s="41"/>
      <c r="W948" s="41"/>
      <c r="X948" s="41"/>
      <c r="Y948" s="41"/>
      <c r="Z948" s="41"/>
      <c r="AA948" s="41"/>
      <c r="AB948" s="41"/>
      <c r="AC948" s="41"/>
      <c r="AD948" s="41"/>
      <c r="AE948" s="59">
        <v>119556.66664390817</v>
      </c>
      <c r="AF948" s="59">
        <v>122424.37731678448</v>
      </c>
      <c r="AG948" s="59" t="s">
        <v>8</v>
      </c>
      <c r="AH948" s="59" t="s">
        <v>1160</v>
      </c>
    </row>
    <row r="949" spans="1:34" x14ac:dyDescent="0.35">
      <c r="A949" s="58">
        <v>2025</v>
      </c>
      <c r="B949" s="58">
        <v>3</v>
      </c>
      <c r="C949">
        <v>3</v>
      </c>
      <c r="D949" s="58" t="s">
        <v>620</v>
      </c>
      <c r="E949" t="s">
        <v>324</v>
      </c>
      <c r="F949" s="58" t="s">
        <v>1535</v>
      </c>
      <c r="G949" t="s">
        <v>1536</v>
      </c>
      <c r="H949" s="58" t="s">
        <v>1012</v>
      </c>
      <c r="I949" t="s">
        <v>1012</v>
      </c>
      <c r="J949" s="58" t="s">
        <v>1012</v>
      </c>
      <c r="K949" t="s">
        <v>1429</v>
      </c>
      <c r="L949" t="s">
        <v>20</v>
      </c>
      <c r="M949" t="s">
        <v>1430</v>
      </c>
      <c r="N949" s="59">
        <v>0</v>
      </c>
      <c r="O949" s="59">
        <v>0</v>
      </c>
      <c r="P949" s="59">
        <v>0</v>
      </c>
      <c r="Q949" s="59">
        <v>0</v>
      </c>
      <c r="R949" s="59">
        <v>0</v>
      </c>
      <c r="S949" s="59">
        <v>46258872</v>
      </c>
      <c r="T949" s="41"/>
      <c r="U949" s="41"/>
      <c r="V949" s="41"/>
      <c r="W949" s="41"/>
      <c r="X949" s="41"/>
      <c r="Y949" s="41"/>
      <c r="Z949" s="41"/>
      <c r="AA949" s="41"/>
      <c r="AB949" s="41"/>
      <c r="AC949" s="41"/>
      <c r="AD949" s="41"/>
      <c r="AE949" s="59">
        <v>1823.0586622173339</v>
      </c>
      <c r="AF949" s="59">
        <v>0</v>
      </c>
      <c r="AG949" s="59" t="s">
        <v>8</v>
      </c>
      <c r="AH949" s="59" t="s">
        <v>1270</v>
      </c>
    </row>
    <row r="950" spans="1:34" x14ac:dyDescent="0.35">
      <c r="A950" s="58">
        <v>2025</v>
      </c>
      <c r="B950" s="58">
        <v>3</v>
      </c>
      <c r="C950">
        <v>3</v>
      </c>
      <c r="D950" s="58" t="s">
        <v>620</v>
      </c>
      <c r="E950" t="s">
        <v>324</v>
      </c>
      <c r="F950" s="58" t="s">
        <v>1468</v>
      </c>
      <c r="G950" t="s">
        <v>1012</v>
      </c>
      <c r="H950" s="58" t="s">
        <v>1012</v>
      </c>
      <c r="I950" t="s">
        <v>1012</v>
      </c>
      <c r="J950" s="58" t="s">
        <v>1012</v>
      </c>
      <c r="K950" t="s">
        <v>1429</v>
      </c>
      <c r="L950" t="s">
        <v>20</v>
      </c>
      <c r="M950" t="s">
        <v>1430</v>
      </c>
      <c r="N950" s="59">
        <v>0</v>
      </c>
      <c r="O950" s="59">
        <v>3832350</v>
      </c>
      <c r="P950" s="59">
        <v>0</v>
      </c>
      <c r="Q950" s="59">
        <v>0</v>
      </c>
      <c r="R950" s="59">
        <v>0</v>
      </c>
      <c r="S950" s="59">
        <v>3832350</v>
      </c>
      <c r="T950" s="41"/>
      <c r="U950" s="41"/>
      <c r="V950" s="41"/>
      <c r="W950" s="41"/>
      <c r="X950" s="41"/>
      <c r="Y950" s="41"/>
      <c r="Z950" s="41"/>
      <c r="AA950" s="41"/>
      <c r="AB950" s="41"/>
      <c r="AC950" s="41"/>
      <c r="AD950" s="41"/>
      <c r="AE950" s="59">
        <v>151.0326249232493</v>
      </c>
      <c r="AF950" s="59">
        <v>151.0326249232493</v>
      </c>
      <c r="AG950" s="59" t="s">
        <v>8</v>
      </c>
      <c r="AH950" s="59" t="s">
        <v>1284</v>
      </c>
    </row>
    <row r="951" spans="1:34" x14ac:dyDescent="0.35">
      <c r="A951" s="58">
        <v>2025</v>
      </c>
      <c r="B951" s="58">
        <v>3</v>
      </c>
      <c r="C951">
        <v>3</v>
      </c>
      <c r="D951" s="58" t="s">
        <v>620</v>
      </c>
      <c r="E951" t="s">
        <v>324</v>
      </c>
      <c r="F951" s="58" t="s">
        <v>1590</v>
      </c>
      <c r="G951" t="s">
        <v>1590</v>
      </c>
      <c r="H951" s="58" t="s">
        <v>1012</v>
      </c>
      <c r="I951" t="s">
        <v>1012</v>
      </c>
      <c r="J951" s="58" t="s">
        <v>1012</v>
      </c>
      <c r="K951" t="s">
        <v>1429</v>
      </c>
      <c r="L951" t="s">
        <v>20</v>
      </c>
      <c r="M951" t="s">
        <v>1591</v>
      </c>
      <c r="N951" s="59">
        <v>0</v>
      </c>
      <c r="O951" s="59">
        <v>-46258872</v>
      </c>
      <c r="P951" s="59">
        <v>0</v>
      </c>
      <c r="Q951" s="59">
        <v>0</v>
      </c>
      <c r="R951" s="59">
        <v>0</v>
      </c>
      <c r="S951" s="59">
        <v>-46258872</v>
      </c>
      <c r="T951" s="41"/>
      <c r="U951" s="41"/>
      <c r="V951" s="41"/>
      <c r="W951" s="41"/>
      <c r="X951" s="41"/>
      <c r="Y951" s="41"/>
      <c r="Z951" s="41"/>
      <c r="AA951" s="41"/>
      <c r="AB951" s="41"/>
      <c r="AC951" s="41"/>
      <c r="AD951" s="41"/>
      <c r="AE951" s="59">
        <v>-1823.0586622173339</v>
      </c>
      <c r="AF951" s="59">
        <v>-1823.0586622173339</v>
      </c>
      <c r="AG951" s="59" t="s">
        <v>8</v>
      </c>
      <c r="AH951" s="59" t="s">
        <v>1592</v>
      </c>
    </row>
    <row r="952" spans="1:34" x14ac:dyDescent="0.35">
      <c r="A952" s="58">
        <v>2025</v>
      </c>
      <c r="B952" s="58">
        <v>3</v>
      </c>
      <c r="C952">
        <v>3</v>
      </c>
      <c r="D952" s="58" t="s">
        <v>1531</v>
      </c>
      <c r="E952" t="s">
        <v>1296</v>
      </c>
      <c r="F952" s="58" t="s">
        <v>1468</v>
      </c>
      <c r="G952" t="s">
        <v>1012</v>
      </c>
      <c r="H952" s="58" t="s">
        <v>1012</v>
      </c>
      <c r="I952" t="s">
        <v>1012</v>
      </c>
      <c r="J952" s="58" t="s">
        <v>1012</v>
      </c>
      <c r="K952" t="s">
        <v>1429</v>
      </c>
      <c r="L952" t="s">
        <v>20</v>
      </c>
      <c r="M952" t="s">
        <v>1430</v>
      </c>
      <c r="N952" s="59">
        <v>0</v>
      </c>
      <c r="O952" s="59">
        <v>4000000</v>
      </c>
      <c r="P952" s="59">
        <v>0</v>
      </c>
      <c r="Q952" s="59">
        <v>0</v>
      </c>
      <c r="R952" s="59">
        <v>0</v>
      </c>
      <c r="S952" s="59">
        <v>4000000</v>
      </c>
      <c r="T952" s="41"/>
      <c r="U952" s="41"/>
      <c r="V952" s="41"/>
      <c r="W952" s="41"/>
      <c r="X952" s="41"/>
      <c r="Y952" s="41"/>
      <c r="Z952" s="41"/>
      <c r="AA952" s="41"/>
      <c r="AB952" s="41"/>
      <c r="AC952" s="41"/>
      <c r="AD952" s="41"/>
      <c r="AE952" s="59">
        <v>157.63969879916951</v>
      </c>
      <c r="AF952" s="59">
        <v>157.63969879916951</v>
      </c>
      <c r="AG952" s="59" t="s">
        <v>1296</v>
      </c>
      <c r="AH952" s="59" t="s">
        <v>1284</v>
      </c>
    </row>
    <row r="953" spans="1:34" x14ac:dyDescent="0.35">
      <c r="A953" s="58">
        <v>2025</v>
      </c>
      <c r="B953" s="58">
        <v>3</v>
      </c>
      <c r="C953">
        <v>3</v>
      </c>
      <c r="D953" s="58" t="s">
        <v>682</v>
      </c>
      <c r="E953" t="s">
        <v>156</v>
      </c>
      <c r="F953" s="58" t="s">
        <v>1468</v>
      </c>
      <c r="G953" t="s">
        <v>1012</v>
      </c>
      <c r="H953" s="58" t="s">
        <v>1012</v>
      </c>
      <c r="I953" t="s">
        <v>1012</v>
      </c>
      <c r="J953" s="58" t="s">
        <v>1012</v>
      </c>
      <c r="K953" t="s">
        <v>1429</v>
      </c>
      <c r="L953" t="s">
        <v>20</v>
      </c>
      <c r="M953" t="s">
        <v>1430</v>
      </c>
      <c r="N953" s="59">
        <v>0</v>
      </c>
      <c r="O953" s="59">
        <v>72864702</v>
      </c>
      <c r="P953" s="59">
        <v>0</v>
      </c>
      <c r="Q953" s="59">
        <v>0</v>
      </c>
      <c r="R953" s="59">
        <v>0</v>
      </c>
      <c r="S953" s="59">
        <v>72864702</v>
      </c>
      <c r="T953" s="41"/>
      <c r="U953" s="41"/>
      <c r="V953" s="41"/>
      <c r="W953" s="41"/>
      <c r="X953" s="41"/>
      <c r="Y953" s="41"/>
      <c r="Z953" s="41"/>
      <c r="AA953" s="41"/>
      <c r="AB953" s="41"/>
      <c r="AC953" s="41"/>
      <c r="AD953" s="41"/>
      <c r="AE953" s="59">
        <v>2871.5924190928108</v>
      </c>
      <c r="AF953" s="59">
        <v>2871.5924190928108</v>
      </c>
      <c r="AG953" s="59" t="s">
        <v>156</v>
      </c>
      <c r="AH953" s="59" t="s">
        <v>1284</v>
      </c>
    </row>
    <row r="954" spans="1:34" x14ac:dyDescent="0.35">
      <c r="A954" s="58">
        <v>2025</v>
      </c>
      <c r="B954" s="58">
        <v>3</v>
      </c>
      <c r="C954">
        <v>3</v>
      </c>
      <c r="D954" s="58" t="s">
        <v>674</v>
      </c>
      <c r="E954" t="s">
        <v>48</v>
      </c>
      <c r="F954" s="58" t="s">
        <v>186</v>
      </c>
      <c r="G954" t="s">
        <v>781</v>
      </c>
      <c r="H954" s="58" t="s">
        <v>1428</v>
      </c>
      <c r="I954" t="s">
        <v>75</v>
      </c>
      <c r="J954" s="58" t="s">
        <v>75</v>
      </c>
      <c r="K954" t="s">
        <v>1429</v>
      </c>
      <c r="L954" t="s">
        <v>20</v>
      </c>
      <c r="M954" t="s">
        <v>1430</v>
      </c>
      <c r="N954" s="59">
        <v>300</v>
      </c>
      <c r="O954" s="59">
        <v>10019100</v>
      </c>
      <c r="P954" s="59">
        <v>0</v>
      </c>
      <c r="Q954" s="59">
        <v>0</v>
      </c>
      <c r="R954" s="59">
        <v>0</v>
      </c>
      <c r="S954" s="59">
        <v>10019100</v>
      </c>
      <c r="T954" s="41"/>
      <c r="U954" s="41"/>
      <c r="V954" s="41"/>
      <c r="W954" s="41"/>
      <c r="X954" s="41"/>
      <c r="Y954" s="41"/>
      <c r="Z954" s="41"/>
      <c r="AA954" s="41"/>
      <c r="AB954" s="41"/>
      <c r="AC954" s="41"/>
      <c r="AD954" s="41"/>
      <c r="AE954" s="59">
        <v>394.85197655968977</v>
      </c>
      <c r="AF954" s="59">
        <v>394.85197655968977</v>
      </c>
      <c r="AG954" s="59" t="s">
        <v>48</v>
      </c>
      <c r="AH954" s="59" t="s">
        <v>1202</v>
      </c>
    </row>
    <row r="955" spans="1:34" x14ac:dyDescent="0.35">
      <c r="A955" s="58">
        <v>2025</v>
      </c>
      <c r="B955" s="58">
        <v>3</v>
      </c>
      <c r="C955">
        <v>3</v>
      </c>
      <c r="D955" s="58" t="s">
        <v>615</v>
      </c>
      <c r="E955" t="s">
        <v>320</v>
      </c>
      <c r="F955" s="58" t="s">
        <v>168</v>
      </c>
      <c r="G955" t="s">
        <v>700</v>
      </c>
      <c r="H955" s="58" t="s">
        <v>4</v>
      </c>
      <c r="I955" t="s">
        <v>4</v>
      </c>
      <c r="J955" s="58" t="s">
        <v>4</v>
      </c>
      <c r="K955" t="s">
        <v>1429</v>
      </c>
      <c r="L955" t="s">
        <v>20</v>
      </c>
      <c r="M955" t="s">
        <v>1430</v>
      </c>
      <c r="N955" s="59">
        <v>66000</v>
      </c>
      <c r="O955" s="59">
        <v>2418042000</v>
      </c>
      <c r="P955" s="59">
        <v>4660250</v>
      </c>
      <c r="Q955" s="59">
        <v>0</v>
      </c>
      <c r="R955" s="59">
        <v>41111112.000000007</v>
      </c>
      <c r="S955" s="59">
        <v>2372270638</v>
      </c>
      <c r="T955" s="41"/>
      <c r="U955" s="41"/>
      <c r="V955" s="41"/>
      <c r="W955" s="41"/>
      <c r="X955" s="41"/>
      <c r="Y955" s="41"/>
      <c r="Z955" s="41"/>
      <c r="AA955" s="41"/>
      <c r="AB955" s="41"/>
      <c r="AC955" s="41"/>
      <c r="AD955" s="41"/>
      <c r="AE955" s="59">
        <v>93491.00721110843</v>
      </c>
      <c r="AF955" s="59">
        <v>95294.85314093536</v>
      </c>
      <c r="AG955" s="59" t="s">
        <v>99</v>
      </c>
      <c r="AH955" s="59" t="s">
        <v>1160</v>
      </c>
    </row>
    <row r="956" spans="1:34" x14ac:dyDescent="0.35">
      <c r="A956" s="58">
        <v>2025</v>
      </c>
      <c r="B956" s="58">
        <v>3</v>
      </c>
      <c r="C956">
        <v>3</v>
      </c>
      <c r="D956" s="58" t="s">
        <v>615</v>
      </c>
      <c r="E956" t="s">
        <v>320</v>
      </c>
      <c r="F956" s="58" t="s">
        <v>168</v>
      </c>
      <c r="G956" t="s">
        <v>700</v>
      </c>
      <c r="H956" s="58" t="s">
        <v>4</v>
      </c>
      <c r="I956" t="s">
        <v>4</v>
      </c>
      <c r="J956" s="58" t="s">
        <v>4</v>
      </c>
      <c r="K956" t="s">
        <v>1429</v>
      </c>
      <c r="L956" t="s">
        <v>20</v>
      </c>
      <c r="M956" t="s">
        <v>1591</v>
      </c>
      <c r="N956" s="59">
        <v>0</v>
      </c>
      <c r="O956" s="59">
        <v>-71268120</v>
      </c>
      <c r="P956" s="59">
        <v>0</v>
      </c>
      <c r="Q956" s="59">
        <v>0</v>
      </c>
      <c r="R956" s="59">
        <v>0</v>
      </c>
      <c r="S956" s="59">
        <v>-71268120</v>
      </c>
      <c r="T956" s="41"/>
      <c r="U956" s="41"/>
      <c r="V956" s="41"/>
      <c r="W956" s="41"/>
      <c r="X956" s="41"/>
      <c r="Y956" s="41"/>
      <c r="Z956" s="41"/>
      <c r="AA956" s="41"/>
      <c r="AB956" s="41"/>
      <c r="AC956" s="41"/>
      <c r="AD956" s="41"/>
      <c r="AE956" s="59">
        <v>-2808.6712426957674</v>
      </c>
      <c r="AF956" s="59">
        <v>-2808.6712426957674</v>
      </c>
      <c r="AG956" s="59" t="s">
        <v>99</v>
      </c>
      <c r="AH956" s="59" t="s">
        <v>1160</v>
      </c>
    </row>
    <row r="957" spans="1:34" x14ac:dyDescent="0.35">
      <c r="A957" s="58">
        <v>2025</v>
      </c>
      <c r="B957" s="58">
        <v>3</v>
      </c>
      <c r="C957">
        <v>3</v>
      </c>
      <c r="D957" s="58" t="s">
        <v>615</v>
      </c>
      <c r="E957" t="s">
        <v>320</v>
      </c>
      <c r="F957" s="58" t="s">
        <v>1590</v>
      </c>
      <c r="G957" t="s">
        <v>1590</v>
      </c>
      <c r="H957" s="58" t="s">
        <v>1012</v>
      </c>
      <c r="I957" t="s">
        <v>1012</v>
      </c>
      <c r="J957" s="58" t="s">
        <v>1012</v>
      </c>
      <c r="K957" t="s">
        <v>1429</v>
      </c>
      <c r="L957" t="s">
        <v>20</v>
      </c>
      <c r="M957" t="s">
        <v>1591</v>
      </c>
      <c r="N957" s="59">
        <v>0</v>
      </c>
      <c r="O957" s="59">
        <v>-94248000</v>
      </c>
      <c r="P957" s="59">
        <v>0</v>
      </c>
      <c r="Q957" s="59">
        <v>0</v>
      </c>
      <c r="R957" s="59">
        <v>0</v>
      </c>
      <c r="S957" s="59">
        <v>-94248000</v>
      </c>
      <c r="T957" s="41"/>
      <c r="U957" s="41"/>
      <c r="V957" s="41"/>
      <c r="W957" s="41"/>
      <c r="X957" s="41"/>
      <c r="Y957" s="41"/>
      <c r="Z957" s="41"/>
      <c r="AA957" s="41"/>
      <c r="AB957" s="41"/>
      <c r="AC957" s="41"/>
      <c r="AD957" s="41"/>
      <c r="AE957" s="59">
        <v>-3714.3065831060321</v>
      </c>
      <c r="AF957" s="59">
        <v>-3714.3065831060321</v>
      </c>
      <c r="AG957" s="59" t="s">
        <v>99</v>
      </c>
      <c r="AH957" s="59" t="s">
        <v>1592</v>
      </c>
    </row>
    <row r="958" spans="1:34" x14ac:dyDescent="0.35">
      <c r="A958" s="58">
        <v>2025</v>
      </c>
      <c r="B958" s="58">
        <v>3</v>
      </c>
      <c r="C958">
        <v>3</v>
      </c>
      <c r="D958" s="58" t="s">
        <v>605</v>
      </c>
      <c r="E958" t="s">
        <v>479</v>
      </c>
      <c r="F958" s="58" t="s">
        <v>184</v>
      </c>
      <c r="G958" t="s">
        <v>717</v>
      </c>
      <c r="H958" s="58" t="s">
        <v>1428</v>
      </c>
      <c r="I958" t="s">
        <v>75</v>
      </c>
      <c r="J958" s="58" t="s">
        <v>75</v>
      </c>
      <c r="K958" t="s">
        <v>1429</v>
      </c>
      <c r="L958" t="s">
        <v>20</v>
      </c>
      <c r="M958" t="s">
        <v>1430</v>
      </c>
      <c r="N958" s="59">
        <v>24750</v>
      </c>
      <c r="O958" s="59">
        <v>900108000</v>
      </c>
      <c r="P958" s="59">
        <v>0</v>
      </c>
      <c r="Q958" s="59">
        <v>0</v>
      </c>
      <c r="R958" s="59">
        <v>19444444.444444444</v>
      </c>
      <c r="S958" s="59">
        <v>880663555.55555558</v>
      </c>
      <c r="T958" s="41"/>
      <c r="U958" s="41"/>
      <c r="V958" s="41"/>
      <c r="W958" s="41"/>
      <c r="X958" s="41"/>
      <c r="Y958" s="41"/>
      <c r="Z958" s="41"/>
      <c r="AA958" s="41"/>
      <c r="AB958" s="41"/>
      <c r="AC958" s="41"/>
      <c r="AD958" s="41"/>
      <c r="AE958" s="59">
        <v>34706.884410295868</v>
      </c>
      <c r="AF958" s="59">
        <v>35473.188501680714</v>
      </c>
      <c r="AG958" s="59" t="s">
        <v>5</v>
      </c>
      <c r="AH958" s="59" t="s">
        <v>1198</v>
      </c>
    </row>
    <row r="959" spans="1:34" x14ac:dyDescent="0.35">
      <c r="A959" s="58">
        <v>2025</v>
      </c>
      <c r="B959" s="58">
        <v>3</v>
      </c>
      <c r="C959">
        <v>3</v>
      </c>
      <c r="D959" s="58" t="s">
        <v>1502</v>
      </c>
      <c r="E959" t="s">
        <v>1236</v>
      </c>
      <c r="F959" s="58" t="s">
        <v>879</v>
      </c>
      <c r="G959" t="s">
        <v>880</v>
      </c>
      <c r="H959" s="58" t="s">
        <v>1234</v>
      </c>
      <c r="I959" t="s">
        <v>1234</v>
      </c>
      <c r="J959" s="58" t="s">
        <v>1234</v>
      </c>
      <c r="K959" t="s">
        <v>1429</v>
      </c>
      <c r="L959" t="s">
        <v>20</v>
      </c>
      <c r="M959" t="s">
        <v>1430</v>
      </c>
      <c r="N959" s="59">
        <v>140000</v>
      </c>
      <c r="O959" s="59">
        <v>2755000000</v>
      </c>
      <c r="P959" s="59">
        <v>0</v>
      </c>
      <c r="Q959" s="59">
        <v>205500000</v>
      </c>
      <c r="R959" s="59">
        <v>0</v>
      </c>
      <c r="S959" s="59">
        <v>2549500000</v>
      </c>
      <c r="T959" s="41"/>
      <c r="U959" s="41"/>
      <c r="V959" s="41"/>
      <c r="W959" s="41"/>
      <c r="X959" s="41"/>
      <c r="Y959" s="41"/>
      <c r="Z959" s="41"/>
      <c r="AA959" s="41"/>
      <c r="AB959" s="41"/>
      <c r="AC959" s="41"/>
      <c r="AD959" s="41"/>
      <c r="AE959" s="59">
        <v>100475.60302212066</v>
      </c>
      <c r="AF959" s="59">
        <v>108574.342547928</v>
      </c>
      <c r="AG959" s="59" t="s">
        <v>1236</v>
      </c>
      <c r="AH959" s="59" t="s">
        <v>1235</v>
      </c>
    </row>
    <row r="960" spans="1:34" x14ac:dyDescent="0.35">
      <c r="A960" s="58">
        <v>2025</v>
      </c>
      <c r="B960" s="58">
        <v>3</v>
      </c>
      <c r="C960">
        <v>3</v>
      </c>
      <c r="D960" s="58" t="s">
        <v>1469</v>
      </c>
      <c r="E960" t="s">
        <v>1211</v>
      </c>
      <c r="F960" s="58" t="s">
        <v>1472</v>
      </c>
      <c r="G960" t="s">
        <v>1473</v>
      </c>
      <c r="H960" s="58" t="s">
        <v>1012</v>
      </c>
      <c r="I960" t="s">
        <v>86</v>
      </c>
      <c r="J960" s="58" t="s">
        <v>86</v>
      </c>
      <c r="K960" t="s">
        <v>1429</v>
      </c>
      <c r="L960" t="s">
        <v>20</v>
      </c>
      <c r="M960" t="s">
        <v>1430</v>
      </c>
      <c r="N960" s="59">
        <v>20980</v>
      </c>
      <c r="O960" s="59">
        <v>434286000</v>
      </c>
      <c r="P960" s="59">
        <v>0</v>
      </c>
      <c r="Q960" s="59">
        <v>0</v>
      </c>
      <c r="R960" s="59">
        <v>0</v>
      </c>
      <c r="S960" s="59">
        <v>434286000</v>
      </c>
      <c r="T960" s="41"/>
      <c r="U960" s="41"/>
      <c r="V960" s="41"/>
      <c r="W960" s="41"/>
      <c r="X960" s="41"/>
      <c r="Y960" s="41"/>
      <c r="Z960" s="41"/>
      <c r="AA960" s="41"/>
      <c r="AB960" s="41"/>
      <c r="AC960" s="41"/>
      <c r="AD960" s="41"/>
      <c r="AE960" s="59">
        <v>17115.178558174033</v>
      </c>
      <c r="AF960" s="59">
        <v>17115.178558174033</v>
      </c>
      <c r="AG960" s="59" t="s">
        <v>1211</v>
      </c>
      <c r="AH960" s="59" t="s">
        <v>1215</v>
      </c>
    </row>
    <row r="961" spans="1:34" x14ac:dyDescent="0.35">
      <c r="A961" s="58">
        <v>2025</v>
      </c>
      <c r="B961" s="58">
        <v>3</v>
      </c>
      <c r="C961">
        <v>3</v>
      </c>
      <c r="D961" s="58" t="s">
        <v>1469</v>
      </c>
      <c r="E961" t="s">
        <v>1211</v>
      </c>
      <c r="F961" s="58" t="s">
        <v>1550</v>
      </c>
      <c r="G961" t="s">
        <v>1551</v>
      </c>
      <c r="H961" s="58" t="s">
        <v>1012</v>
      </c>
      <c r="I961" t="s">
        <v>86</v>
      </c>
      <c r="J961" s="58" t="s">
        <v>86</v>
      </c>
      <c r="K961" t="s">
        <v>1429</v>
      </c>
      <c r="L961" t="s">
        <v>20</v>
      </c>
      <c r="M961" t="s">
        <v>1430</v>
      </c>
      <c r="N961" s="59">
        <v>20894</v>
      </c>
      <c r="O961" s="59">
        <v>396986000</v>
      </c>
      <c r="P961" s="59">
        <v>0</v>
      </c>
      <c r="Q961" s="59">
        <v>0</v>
      </c>
      <c r="R961" s="59">
        <v>0</v>
      </c>
      <c r="S961" s="59">
        <v>396986000</v>
      </c>
      <c r="T961" s="41"/>
      <c r="U961" s="41"/>
      <c r="V961" s="41"/>
      <c r="W961" s="41"/>
      <c r="X961" s="41"/>
      <c r="Y961" s="41"/>
      <c r="Z961" s="41"/>
      <c r="AA961" s="41"/>
      <c r="AB961" s="41"/>
      <c r="AC961" s="41"/>
      <c r="AD961" s="41"/>
      <c r="AE961" s="59">
        <v>15645.188366871776</v>
      </c>
      <c r="AF961" s="59">
        <v>15645.188366871776</v>
      </c>
      <c r="AG961" s="59" t="s">
        <v>1211</v>
      </c>
      <c r="AH961" s="59" t="s">
        <v>1227</v>
      </c>
    </row>
    <row r="962" spans="1:34" x14ac:dyDescent="0.35">
      <c r="A962" s="58">
        <v>2025</v>
      </c>
      <c r="B962" s="58">
        <v>3</v>
      </c>
      <c r="C962">
        <v>3</v>
      </c>
      <c r="D962" s="58" t="s">
        <v>1469</v>
      </c>
      <c r="E962" t="s">
        <v>1211</v>
      </c>
      <c r="F962" s="58" t="s">
        <v>1615</v>
      </c>
      <c r="G962" t="s">
        <v>1616</v>
      </c>
      <c r="H962" s="58" t="s">
        <v>1012</v>
      </c>
      <c r="I962" t="s">
        <v>86</v>
      </c>
      <c r="J962" s="58" t="s">
        <v>86</v>
      </c>
      <c r="K962" t="s">
        <v>1429</v>
      </c>
      <c r="L962" t="s">
        <v>20</v>
      </c>
      <c r="M962" t="s">
        <v>1430</v>
      </c>
      <c r="N962" s="59">
        <v>1494</v>
      </c>
      <c r="O962" s="59">
        <v>28386000</v>
      </c>
      <c r="P962" s="59">
        <v>0</v>
      </c>
      <c r="Q962" s="59">
        <v>0</v>
      </c>
      <c r="R962" s="59">
        <v>0</v>
      </c>
      <c r="S962" s="59">
        <v>28386000</v>
      </c>
      <c r="T962" s="41"/>
      <c r="U962" s="41"/>
      <c r="V962" s="41"/>
      <c r="W962" s="41"/>
      <c r="X962" s="41"/>
      <c r="Y962" s="41"/>
      <c r="Z962" s="41"/>
      <c r="AA962" s="41"/>
      <c r="AB962" s="41"/>
      <c r="AC962" s="41"/>
      <c r="AD962" s="41"/>
      <c r="AE962" s="59">
        <v>1118.6901225283063</v>
      </c>
      <c r="AF962" s="59">
        <v>1118.6901225283063</v>
      </c>
      <c r="AG962" s="59" t="s">
        <v>1211</v>
      </c>
      <c r="AH962" s="59" t="s">
        <v>1230</v>
      </c>
    </row>
    <row r="963" spans="1:34" x14ac:dyDescent="0.35">
      <c r="A963" s="58">
        <v>2025</v>
      </c>
      <c r="B963" s="58">
        <v>3</v>
      </c>
      <c r="C963">
        <v>3</v>
      </c>
      <c r="D963" s="58" t="s">
        <v>635</v>
      </c>
      <c r="E963" t="s">
        <v>62</v>
      </c>
      <c r="F963" s="58" t="s">
        <v>209</v>
      </c>
      <c r="G963" t="s">
        <v>822</v>
      </c>
      <c r="H963" s="58" t="s">
        <v>21</v>
      </c>
      <c r="I963" t="s">
        <v>21</v>
      </c>
      <c r="J963" s="58" t="s">
        <v>21</v>
      </c>
      <c r="K963" t="s">
        <v>1429</v>
      </c>
      <c r="L963" t="s">
        <v>20</v>
      </c>
      <c r="M963" t="s">
        <v>1430</v>
      </c>
      <c r="N963" s="59">
        <v>23625</v>
      </c>
      <c r="O963" s="59">
        <v>459374999</v>
      </c>
      <c r="P963" s="59">
        <v>0</v>
      </c>
      <c r="Q963" s="59">
        <v>0</v>
      </c>
      <c r="R963" s="59">
        <v>0</v>
      </c>
      <c r="S963" s="59">
        <v>459374999</v>
      </c>
      <c r="T963" s="41"/>
      <c r="U963" s="41"/>
      <c r="V963" s="41"/>
      <c r="W963" s="41"/>
      <c r="X963" s="41"/>
      <c r="Y963" s="41"/>
      <c r="Z963" s="41"/>
      <c r="AA963" s="41"/>
      <c r="AB963" s="41"/>
      <c r="AC963" s="41"/>
      <c r="AD963" s="41"/>
      <c r="AE963" s="59">
        <v>18103.934119557198</v>
      </c>
      <c r="AF963" s="59">
        <v>18103.934119557198</v>
      </c>
      <c r="AG963" s="59" t="s">
        <v>62</v>
      </c>
      <c r="AH963" s="59" t="s">
        <v>1353</v>
      </c>
    </row>
    <row r="964" spans="1:34" x14ac:dyDescent="0.35">
      <c r="A964" s="58">
        <v>2025</v>
      </c>
      <c r="B964" s="58">
        <v>3</v>
      </c>
      <c r="C964">
        <v>3</v>
      </c>
      <c r="D964" s="58" t="s">
        <v>635</v>
      </c>
      <c r="E964" t="s">
        <v>62</v>
      </c>
      <c r="F964" s="58" t="s">
        <v>212</v>
      </c>
      <c r="G964" t="s">
        <v>481</v>
      </c>
      <c r="H964" s="58" t="s">
        <v>21</v>
      </c>
      <c r="I964" t="s">
        <v>21</v>
      </c>
      <c r="J964" s="58" t="s">
        <v>21</v>
      </c>
      <c r="K964" t="s">
        <v>1429</v>
      </c>
      <c r="L964" t="s">
        <v>20</v>
      </c>
      <c r="M964" t="s">
        <v>1430</v>
      </c>
      <c r="N964" s="59">
        <v>5250</v>
      </c>
      <c r="O964" s="59">
        <v>97222221.999999985</v>
      </c>
      <c r="P964" s="59">
        <v>1196524.3736263737</v>
      </c>
      <c r="Q964" s="59">
        <v>0</v>
      </c>
      <c r="R964" s="59">
        <v>0</v>
      </c>
      <c r="S964" s="59">
        <v>96025697.626373619</v>
      </c>
      <c r="T964" s="41"/>
      <c r="U964" s="41"/>
      <c r="V964" s="41"/>
      <c r="W964" s="41"/>
      <c r="X964" s="41"/>
      <c r="Y964" s="41"/>
      <c r="Z964" s="41"/>
      <c r="AA964" s="41"/>
      <c r="AB964" s="41"/>
      <c r="AC964" s="41"/>
      <c r="AD964" s="41"/>
      <c r="AE964" s="59">
        <v>3784.3655127004158</v>
      </c>
      <c r="AF964" s="59">
        <v>3831.5204481664973</v>
      </c>
      <c r="AG964" s="59" t="s">
        <v>62</v>
      </c>
      <c r="AH964" s="59" t="s">
        <v>84</v>
      </c>
    </row>
    <row r="965" spans="1:34" x14ac:dyDescent="0.35">
      <c r="A965" s="58">
        <v>2025</v>
      </c>
      <c r="B965" s="58">
        <v>3</v>
      </c>
      <c r="C965">
        <v>3</v>
      </c>
      <c r="D965" s="58" t="s">
        <v>1505</v>
      </c>
      <c r="E965" t="s">
        <v>1216</v>
      </c>
      <c r="F965" s="58" t="s">
        <v>1472</v>
      </c>
      <c r="G965" t="s">
        <v>1473</v>
      </c>
      <c r="H965" s="58" t="s">
        <v>1012</v>
      </c>
      <c r="I965" t="s">
        <v>86</v>
      </c>
      <c r="J965" s="58" t="s">
        <v>86</v>
      </c>
      <c r="K965" t="s">
        <v>1429</v>
      </c>
      <c r="L965" t="s">
        <v>20</v>
      </c>
      <c r="M965" t="s">
        <v>1430</v>
      </c>
      <c r="N965" s="59">
        <v>18182</v>
      </c>
      <c r="O965" s="59">
        <v>374377900</v>
      </c>
      <c r="P965" s="59">
        <v>0</v>
      </c>
      <c r="Q965" s="59">
        <v>0</v>
      </c>
      <c r="R965" s="59">
        <v>0</v>
      </c>
      <c r="S965" s="59">
        <v>374377900</v>
      </c>
      <c r="T965" s="41"/>
      <c r="U965" s="41"/>
      <c r="V965" s="41"/>
      <c r="W965" s="41"/>
      <c r="X965" s="41"/>
      <c r="Y965" s="41"/>
      <c r="Z965" s="41"/>
      <c r="AA965" s="41"/>
      <c r="AB965" s="41"/>
      <c r="AC965" s="41"/>
      <c r="AD965" s="41"/>
      <c r="AE965" s="59">
        <v>14754.204848266401</v>
      </c>
      <c r="AF965" s="59">
        <v>14754.204848266401</v>
      </c>
      <c r="AG965" s="59" t="s">
        <v>1216</v>
      </c>
      <c r="AH965" s="59" t="s">
        <v>1215</v>
      </c>
    </row>
    <row r="966" spans="1:34" x14ac:dyDescent="0.35">
      <c r="A966" s="58">
        <v>2025</v>
      </c>
      <c r="B966" s="58">
        <v>3</v>
      </c>
      <c r="C966">
        <v>3</v>
      </c>
      <c r="D966" s="58" t="s">
        <v>1505</v>
      </c>
      <c r="E966" t="s">
        <v>1216</v>
      </c>
      <c r="F966" s="58" t="s">
        <v>1615</v>
      </c>
      <c r="G966" t="s">
        <v>1616</v>
      </c>
      <c r="H966" s="58" t="s">
        <v>1012</v>
      </c>
      <c r="I966" t="s">
        <v>86</v>
      </c>
      <c r="J966" s="58" t="s">
        <v>86</v>
      </c>
      <c r="K966" t="s">
        <v>1429</v>
      </c>
      <c r="L966" t="s">
        <v>20</v>
      </c>
      <c r="M966" t="s">
        <v>1430</v>
      </c>
      <c r="N966" s="59">
        <v>2738</v>
      </c>
      <c r="O966" s="59">
        <v>52022000</v>
      </c>
      <c r="P966" s="59">
        <v>0</v>
      </c>
      <c r="Q966" s="59">
        <v>0</v>
      </c>
      <c r="R966" s="59">
        <v>0</v>
      </c>
      <c r="S966" s="59">
        <v>52022000</v>
      </c>
      <c r="T966" s="41"/>
      <c r="U966" s="41"/>
      <c r="V966" s="41"/>
      <c r="W966" s="41"/>
      <c r="X966" s="41"/>
      <c r="Y966" s="41"/>
      <c r="Z966" s="41"/>
      <c r="AA966" s="41"/>
      <c r="AB966" s="41"/>
      <c r="AC966" s="41"/>
      <c r="AD966" s="41"/>
      <c r="AE966" s="59">
        <v>2050.1831027325989</v>
      </c>
      <c r="AF966" s="59">
        <v>2050.1831027325989</v>
      </c>
      <c r="AG966" s="59" t="s">
        <v>1216</v>
      </c>
      <c r="AH966" s="59" t="s">
        <v>1230</v>
      </c>
    </row>
    <row r="967" spans="1:34" x14ac:dyDescent="0.35">
      <c r="A967" s="58">
        <v>2025</v>
      </c>
      <c r="B967" s="58">
        <v>3</v>
      </c>
      <c r="C967">
        <v>3</v>
      </c>
      <c r="D967" s="58" t="s">
        <v>595</v>
      </c>
      <c r="E967" t="s">
        <v>478</v>
      </c>
      <c r="F967" s="58" t="s">
        <v>184</v>
      </c>
      <c r="G967" t="s">
        <v>717</v>
      </c>
      <c r="H967" s="58" t="s">
        <v>1428</v>
      </c>
      <c r="I967" t="s">
        <v>75</v>
      </c>
      <c r="J967" s="58" t="s">
        <v>75</v>
      </c>
      <c r="K967" t="s">
        <v>1429</v>
      </c>
      <c r="L967" t="s">
        <v>20</v>
      </c>
      <c r="M967" t="s">
        <v>1430</v>
      </c>
      <c r="N967" s="59">
        <v>88000</v>
      </c>
      <c r="O967" s="59">
        <v>3129280000</v>
      </c>
      <c r="P967" s="59">
        <v>0</v>
      </c>
      <c r="Q967" s="59">
        <v>0</v>
      </c>
      <c r="R967" s="59">
        <v>0</v>
      </c>
      <c r="S967" s="59">
        <v>3129280000</v>
      </c>
      <c r="T967" s="41"/>
      <c r="U967" s="41"/>
      <c r="V967" s="41"/>
      <c r="W967" s="41"/>
      <c r="X967" s="41"/>
      <c r="Y967" s="41"/>
      <c r="Z967" s="41"/>
      <c r="AA967" s="41"/>
      <c r="AB967" s="41"/>
      <c r="AC967" s="41"/>
      <c r="AD967" s="41"/>
      <c r="AE967" s="59">
        <v>123324.68916456631</v>
      </c>
      <c r="AF967" s="59">
        <v>123324.68916456631</v>
      </c>
      <c r="AG967" s="59" t="s">
        <v>5</v>
      </c>
      <c r="AH967" s="59" t="s">
        <v>1198</v>
      </c>
    </row>
    <row r="968" spans="1:34" x14ac:dyDescent="0.35">
      <c r="A968" s="58">
        <v>2025</v>
      </c>
      <c r="B968" s="58">
        <v>3</v>
      </c>
      <c r="C968">
        <v>3</v>
      </c>
      <c r="D968" s="58" t="s">
        <v>595</v>
      </c>
      <c r="E968" t="s">
        <v>478</v>
      </c>
      <c r="F968" s="58" t="s">
        <v>171</v>
      </c>
      <c r="G968" t="s">
        <v>731</v>
      </c>
      <c r="H968" s="58" t="s">
        <v>4</v>
      </c>
      <c r="I968" t="s">
        <v>4</v>
      </c>
      <c r="J968" s="58" t="s">
        <v>4</v>
      </c>
      <c r="K968" t="s">
        <v>1429</v>
      </c>
      <c r="L968" t="s">
        <v>20</v>
      </c>
      <c r="M968" t="s">
        <v>1430</v>
      </c>
      <c r="N968" s="59">
        <v>22000</v>
      </c>
      <c r="O968" s="59">
        <v>726440000</v>
      </c>
      <c r="P968" s="59">
        <v>3418641.0675039245</v>
      </c>
      <c r="Q968" s="59">
        <v>0</v>
      </c>
      <c r="R968" s="59">
        <v>0</v>
      </c>
      <c r="S968" s="59">
        <v>723021358.93249607</v>
      </c>
      <c r="T968" s="41"/>
      <c r="U968" s="41"/>
      <c r="V968" s="41"/>
      <c r="W968" s="41"/>
      <c r="X968" s="41"/>
      <c r="Y968" s="41"/>
      <c r="Z968" s="41"/>
      <c r="AA968" s="41"/>
      <c r="AB968" s="41"/>
      <c r="AC968" s="41"/>
      <c r="AD968" s="41"/>
      <c r="AE968" s="59">
        <v>28494.217311871227</v>
      </c>
      <c r="AF968" s="59">
        <v>28628.945698917174</v>
      </c>
      <c r="AG968" s="59" t="s">
        <v>5</v>
      </c>
      <c r="AH968" s="59" t="s">
        <v>1166</v>
      </c>
    </row>
    <row r="969" spans="1:34" x14ac:dyDescent="0.35">
      <c r="A969" s="58">
        <v>2025</v>
      </c>
      <c r="B969" s="58">
        <v>3</v>
      </c>
      <c r="C969">
        <v>3</v>
      </c>
      <c r="D969" s="58" t="s">
        <v>595</v>
      </c>
      <c r="E969" t="s">
        <v>478</v>
      </c>
      <c r="F969" s="58" t="s">
        <v>187</v>
      </c>
      <c r="G969" t="s">
        <v>869</v>
      </c>
      <c r="H969" s="58" t="s">
        <v>1428</v>
      </c>
      <c r="I969" t="s">
        <v>75</v>
      </c>
      <c r="J969" s="58" t="s">
        <v>75</v>
      </c>
      <c r="K969" t="s">
        <v>1429</v>
      </c>
      <c r="L969" t="s">
        <v>20</v>
      </c>
      <c r="M969" t="s">
        <v>1430</v>
      </c>
      <c r="N969" s="59">
        <v>5500</v>
      </c>
      <c r="O969" s="59">
        <v>188595000</v>
      </c>
      <c r="P969" s="59">
        <v>0</v>
      </c>
      <c r="Q969" s="59">
        <v>0</v>
      </c>
      <c r="R969" s="59">
        <v>0</v>
      </c>
      <c r="S969" s="59">
        <v>188595000</v>
      </c>
      <c r="T969" s="41"/>
      <c r="U969" s="41"/>
      <c r="V969" s="41"/>
      <c r="W969" s="41"/>
      <c r="X969" s="41"/>
      <c r="Y969" s="41"/>
      <c r="Z969" s="41"/>
      <c r="AA969" s="41"/>
      <c r="AB969" s="41"/>
      <c r="AC969" s="41"/>
      <c r="AD969" s="41"/>
      <c r="AE969" s="59">
        <v>7432.5147487573431</v>
      </c>
      <c r="AF969" s="59">
        <v>7432.5147487573431</v>
      </c>
      <c r="AG969" s="59" t="s">
        <v>5</v>
      </c>
      <c r="AH969" s="59" t="s">
        <v>1203</v>
      </c>
    </row>
    <row r="970" spans="1:34" x14ac:dyDescent="0.35">
      <c r="A970" s="58">
        <v>2025</v>
      </c>
      <c r="B970" s="58">
        <v>3</v>
      </c>
      <c r="C970">
        <v>3</v>
      </c>
      <c r="D970" s="58" t="s">
        <v>595</v>
      </c>
      <c r="E970" t="s">
        <v>478</v>
      </c>
      <c r="F970" s="58" t="s">
        <v>188</v>
      </c>
      <c r="G970" t="s">
        <v>872</v>
      </c>
      <c r="H970" s="58" t="s">
        <v>1428</v>
      </c>
      <c r="I970" t="s">
        <v>75</v>
      </c>
      <c r="J970" s="58" t="s">
        <v>75</v>
      </c>
      <c r="K970" t="s">
        <v>1429</v>
      </c>
      <c r="L970" t="s">
        <v>20</v>
      </c>
      <c r="M970" t="s">
        <v>1430</v>
      </c>
      <c r="N970" s="59">
        <v>44000</v>
      </c>
      <c r="O970" s="59">
        <v>1508760000</v>
      </c>
      <c r="P970" s="59">
        <v>0</v>
      </c>
      <c r="Q970" s="59">
        <v>0</v>
      </c>
      <c r="R970" s="59">
        <v>0</v>
      </c>
      <c r="S970" s="59">
        <v>1508760000</v>
      </c>
      <c r="T970" s="41"/>
      <c r="U970" s="41"/>
      <c r="V970" s="41"/>
      <c r="W970" s="41"/>
      <c r="X970" s="41"/>
      <c r="Y970" s="41"/>
      <c r="Z970" s="41"/>
      <c r="AA970" s="41"/>
      <c r="AB970" s="41"/>
      <c r="AC970" s="41"/>
      <c r="AD970" s="41"/>
      <c r="AE970" s="59">
        <v>59460.117990058745</v>
      </c>
      <c r="AF970" s="59">
        <v>59460.117990058745</v>
      </c>
      <c r="AG970" s="59" t="s">
        <v>5</v>
      </c>
      <c r="AH970" s="59" t="s">
        <v>1204</v>
      </c>
    </row>
    <row r="971" spans="1:34" x14ac:dyDescent="0.35">
      <c r="A971" s="58">
        <v>2025</v>
      </c>
      <c r="B971" s="58">
        <v>3</v>
      </c>
      <c r="C971">
        <v>3</v>
      </c>
      <c r="D971" s="58" t="s">
        <v>595</v>
      </c>
      <c r="E971" t="s">
        <v>478</v>
      </c>
      <c r="F971" s="58" t="s">
        <v>191</v>
      </c>
      <c r="G971" t="s">
        <v>941</v>
      </c>
      <c r="H971" s="58" t="s">
        <v>1428</v>
      </c>
      <c r="I971" t="s">
        <v>75</v>
      </c>
      <c r="J971" s="58" t="s">
        <v>75</v>
      </c>
      <c r="K971" t="s">
        <v>1429</v>
      </c>
      <c r="L971" t="s">
        <v>20</v>
      </c>
      <c r="M971" t="s">
        <v>1430</v>
      </c>
      <c r="N971" s="59">
        <v>44000</v>
      </c>
      <c r="O971" s="59">
        <v>1564640000</v>
      </c>
      <c r="P971" s="59">
        <v>0</v>
      </c>
      <c r="Q971" s="59">
        <v>0</v>
      </c>
      <c r="R971" s="59">
        <v>0</v>
      </c>
      <c r="S971" s="59">
        <v>1564640000</v>
      </c>
      <c r="T971" s="41"/>
      <c r="U971" s="41"/>
      <c r="V971" s="41"/>
      <c r="W971" s="41"/>
      <c r="X971" s="41"/>
      <c r="Y971" s="41"/>
      <c r="Z971" s="41"/>
      <c r="AA971" s="41"/>
      <c r="AB971" s="41"/>
      <c r="AC971" s="41"/>
      <c r="AD971" s="41"/>
      <c r="AE971" s="59">
        <v>61662.344582283142</v>
      </c>
      <c r="AF971" s="59">
        <v>61662.344582283142</v>
      </c>
      <c r="AG971" s="59" t="s">
        <v>5</v>
      </c>
      <c r="AH971" s="59" t="s">
        <v>1208</v>
      </c>
    </row>
    <row r="972" spans="1:34" x14ac:dyDescent="0.35">
      <c r="A972" s="58">
        <v>2025</v>
      </c>
      <c r="B972" s="58">
        <v>3</v>
      </c>
      <c r="C972">
        <v>3</v>
      </c>
      <c r="D972" s="58" t="s">
        <v>606</v>
      </c>
      <c r="E972" t="s">
        <v>325</v>
      </c>
      <c r="F972" s="58" t="s">
        <v>168</v>
      </c>
      <c r="G972" t="s">
        <v>700</v>
      </c>
      <c r="H972" s="58" t="s">
        <v>4</v>
      </c>
      <c r="I972" t="s">
        <v>4</v>
      </c>
      <c r="J972" s="58" t="s">
        <v>4</v>
      </c>
      <c r="K972" t="s">
        <v>1429</v>
      </c>
      <c r="L972" t="s">
        <v>20</v>
      </c>
      <c r="M972" t="s">
        <v>1431</v>
      </c>
      <c r="N972" s="59">
        <v>-5500</v>
      </c>
      <c r="O972" s="59">
        <v>0</v>
      </c>
      <c r="P972" s="59">
        <v>0</v>
      </c>
      <c r="Q972" s="59">
        <v>0</v>
      </c>
      <c r="R972" s="59">
        <v>0</v>
      </c>
      <c r="S972" s="59">
        <v>0</v>
      </c>
      <c r="T972" s="41"/>
      <c r="U972" s="41"/>
      <c r="V972" s="41"/>
      <c r="W972" s="41"/>
      <c r="X972" s="41"/>
      <c r="Y972" s="41"/>
      <c r="Z972" s="41"/>
      <c r="AA972" s="41"/>
      <c r="AB972" s="41"/>
      <c r="AC972" s="41"/>
      <c r="AD972" s="41"/>
      <c r="AE972" s="59">
        <v>0</v>
      </c>
      <c r="AF972" s="59">
        <v>0</v>
      </c>
      <c r="AG972" s="59" t="s">
        <v>8</v>
      </c>
      <c r="AH972" s="59" t="s">
        <v>1160</v>
      </c>
    </row>
    <row r="973" spans="1:34" x14ac:dyDescent="0.35">
      <c r="A973" s="58">
        <v>2025</v>
      </c>
      <c r="B973" s="58">
        <v>3</v>
      </c>
      <c r="C973">
        <v>3</v>
      </c>
      <c r="D973" s="58" t="s">
        <v>606</v>
      </c>
      <c r="E973" t="s">
        <v>325</v>
      </c>
      <c r="F973" s="58" t="s">
        <v>168</v>
      </c>
      <c r="G973" t="s">
        <v>700</v>
      </c>
      <c r="H973" s="58" t="s">
        <v>4</v>
      </c>
      <c r="I973" t="s">
        <v>4</v>
      </c>
      <c r="J973" s="58" t="s">
        <v>4</v>
      </c>
      <c r="K973" t="s">
        <v>1429</v>
      </c>
      <c r="L973" t="s">
        <v>20</v>
      </c>
      <c r="M973" t="s">
        <v>1430</v>
      </c>
      <c r="N973" s="59">
        <v>22000</v>
      </c>
      <c r="O973" s="59">
        <v>776600000</v>
      </c>
      <c r="P973" s="59">
        <v>3418641.0675039245</v>
      </c>
      <c r="Q973" s="59">
        <v>0</v>
      </c>
      <c r="R973" s="59">
        <v>3080000</v>
      </c>
      <c r="S973" s="59">
        <v>758536640.93249607</v>
      </c>
      <c r="T973" s="41"/>
      <c r="U973" s="41"/>
      <c r="V973" s="41"/>
      <c r="W973" s="41"/>
      <c r="X973" s="41"/>
      <c r="Y973" s="41"/>
      <c r="Z973" s="41"/>
      <c r="AA973" s="41"/>
      <c r="AB973" s="41"/>
      <c r="AC973" s="41"/>
      <c r="AD973" s="41"/>
      <c r="AE973" s="59">
        <v>29893.87190118312</v>
      </c>
      <c r="AF973" s="59">
        <v>30605.747521858761</v>
      </c>
      <c r="AG973" s="59" t="s">
        <v>8</v>
      </c>
      <c r="AH973" s="59" t="s">
        <v>1160</v>
      </c>
    </row>
    <row r="974" spans="1:34" x14ac:dyDescent="0.35">
      <c r="A974" s="58">
        <v>2025</v>
      </c>
      <c r="B974" s="58">
        <v>3</v>
      </c>
      <c r="C974">
        <v>3</v>
      </c>
      <c r="D974" s="58" t="s">
        <v>606</v>
      </c>
      <c r="E974" t="s">
        <v>325</v>
      </c>
      <c r="F974" s="58" t="s">
        <v>168</v>
      </c>
      <c r="G974" t="s">
        <v>700</v>
      </c>
      <c r="H974" s="58" t="s">
        <v>4</v>
      </c>
      <c r="I974" t="s">
        <v>4</v>
      </c>
      <c r="J974" s="58" t="s">
        <v>4</v>
      </c>
      <c r="K974" t="s">
        <v>1429</v>
      </c>
      <c r="L974" t="s">
        <v>20</v>
      </c>
      <c r="M974" t="s">
        <v>1591</v>
      </c>
      <c r="N974" s="59">
        <v>0</v>
      </c>
      <c r="O974" s="59">
        <v>-11564718</v>
      </c>
      <c r="P974" s="59">
        <v>0</v>
      </c>
      <c r="Q974" s="59">
        <v>0</v>
      </c>
      <c r="R974" s="59">
        <v>0</v>
      </c>
      <c r="S974" s="59">
        <v>-11564718</v>
      </c>
      <c r="T974" s="41"/>
      <c r="U974" s="41"/>
      <c r="V974" s="41"/>
      <c r="W974" s="41"/>
      <c r="X974" s="41"/>
      <c r="Y974" s="41"/>
      <c r="Z974" s="41"/>
      <c r="AA974" s="41"/>
      <c r="AB974" s="41"/>
      <c r="AC974" s="41"/>
      <c r="AD974" s="41"/>
      <c r="AE974" s="59">
        <v>-455.76466555433348</v>
      </c>
      <c r="AF974" s="59">
        <v>-455.76466555433348</v>
      </c>
      <c r="AG974" s="59" t="s">
        <v>8</v>
      </c>
      <c r="AH974" s="59" t="s">
        <v>1160</v>
      </c>
    </row>
    <row r="975" spans="1:34" x14ac:dyDescent="0.35">
      <c r="A975" s="58">
        <v>2025</v>
      </c>
      <c r="B975" s="58">
        <v>3</v>
      </c>
      <c r="C975">
        <v>3</v>
      </c>
      <c r="D975" s="58" t="s">
        <v>606</v>
      </c>
      <c r="E975" t="s">
        <v>325</v>
      </c>
      <c r="F975" s="58" t="s">
        <v>168</v>
      </c>
      <c r="G975" t="s">
        <v>700</v>
      </c>
      <c r="H975" s="58" t="s">
        <v>4</v>
      </c>
      <c r="I975" t="s">
        <v>4</v>
      </c>
      <c r="J975" s="58" t="s">
        <v>4</v>
      </c>
      <c r="K975" t="s">
        <v>1429</v>
      </c>
      <c r="L975" t="s">
        <v>20</v>
      </c>
      <c r="M975" t="s">
        <v>1432</v>
      </c>
      <c r="N975" s="59">
        <v>5500</v>
      </c>
      <c r="O975" s="59">
        <v>0</v>
      </c>
      <c r="P975" s="59">
        <v>854660.26687598112</v>
      </c>
      <c r="Q975" s="59">
        <v>0</v>
      </c>
      <c r="R975" s="59">
        <v>0</v>
      </c>
      <c r="S975" s="59">
        <v>-854660.26687598112</v>
      </c>
      <c r="T975" s="41"/>
      <c r="U975" s="41"/>
      <c r="V975" s="41"/>
      <c r="W975" s="41"/>
      <c r="X975" s="41"/>
      <c r="Y975" s="41"/>
      <c r="Z975" s="41"/>
      <c r="AA975" s="41"/>
      <c r="AB975" s="41"/>
      <c r="AC975" s="41"/>
      <c r="AD975" s="41"/>
      <c r="AE975" s="59">
        <v>-33.682096761486875</v>
      </c>
      <c r="AF975" s="59">
        <v>0</v>
      </c>
      <c r="AG975" s="59" t="s">
        <v>8</v>
      </c>
      <c r="AH975" s="59" t="s">
        <v>1160</v>
      </c>
    </row>
    <row r="976" spans="1:34" x14ac:dyDescent="0.35">
      <c r="A976" s="58">
        <v>2025</v>
      </c>
      <c r="B976" s="58">
        <v>3</v>
      </c>
      <c r="C976">
        <v>3</v>
      </c>
      <c r="D976" s="58" t="s">
        <v>606</v>
      </c>
      <c r="E976" t="s">
        <v>325</v>
      </c>
      <c r="F976" s="58" t="s">
        <v>1535</v>
      </c>
      <c r="G976" t="s">
        <v>1536</v>
      </c>
      <c r="H976" s="58" t="s">
        <v>1012</v>
      </c>
      <c r="I976" t="s">
        <v>1012</v>
      </c>
      <c r="J976" s="58" t="s">
        <v>1012</v>
      </c>
      <c r="K976" t="s">
        <v>1429</v>
      </c>
      <c r="L976" t="s">
        <v>20</v>
      </c>
      <c r="M976" t="s">
        <v>1430</v>
      </c>
      <c r="N976" s="59">
        <v>0</v>
      </c>
      <c r="O976" s="59">
        <v>0</v>
      </c>
      <c r="P976" s="59">
        <v>0</v>
      </c>
      <c r="Q976" s="59">
        <v>0</v>
      </c>
      <c r="R976" s="59">
        <v>0</v>
      </c>
      <c r="S976" s="59">
        <v>11564718</v>
      </c>
      <c r="T976" s="41"/>
      <c r="U976" s="41"/>
      <c r="V976" s="41"/>
      <c r="W976" s="41"/>
      <c r="X976" s="41"/>
      <c r="Y976" s="41"/>
      <c r="Z976" s="41"/>
      <c r="AA976" s="41"/>
      <c r="AB976" s="41"/>
      <c r="AC976" s="41"/>
      <c r="AD976" s="41"/>
      <c r="AE976" s="59">
        <v>455.76466555433348</v>
      </c>
      <c r="AF976" s="59">
        <v>0</v>
      </c>
      <c r="AG976" s="59" t="s">
        <v>8</v>
      </c>
      <c r="AH976" s="59" t="s">
        <v>1270</v>
      </c>
    </row>
    <row r="977" spans="1:34" x14ac:dyDescent="0.35">
      <c r="A977" s="58">
        <v>2025</v>
      </c>
      <c r="B977" s="58">
        <v>3</v>
      </c>
      <c r="C977">
        <v>3</v>
      </c>
      <c r="D977" s="58" t="s">
        <v>634</v>
      </c>
      <c r="E977" t="s">
        <v>148</v>
      </c>
      <c r="F977" s="58" t="s">
        <v>183</v>
      </c>
      <c r="G977" t="s">
        <v>924</v>
      </c>
      <c r="H977" s="58" t="s">
        <v>74</v>
      </c>
      <c r="I977" t="s">
        <v>74</v>
      </c>
      <c r="J977" s="58" t="s">
        <v>74</v>
      </c>
      <c r="K977" t="s">
        <v>1429</v>
      </c>
      <c r="L977" t="s">
        <v>20</v>
      </c>
      <c r="M977" t="s">
        <v>1430</v>
      </c>
      <c r="N977" s="59">
        <v>33000</v>
      </c>
      <c r="O977" s="59">
        <v>627000000</v>
      </c>
      <c r="P977" s="59">
        <v>5127961.6012558872</v>
      </c>
      <c r="Q977" s="59">
        <v>0</v>
      </c>
      <c r="R977" s="59">
        <v>0</v>
      </c>
      <c r="S977" s="59">
        <v>621872038.39874411</v>
      </c>
      <c r="T977" s="41"/>
      <c r="U977" s="41"/>
      <c r="V977" s="41"/>
      <c r="W977" s="41"/>
      <c r="X977" s="41"/>
      <c r="Y977" s="41"/>
      <c r="Z977" s="41"/>
      <c r="AA977" s="41"/>
      <c r="AB977" s="41"/>
      <c r="AC977" s="41"/>
      <c r="AD977" s="41"/>
      <c r="AE977" s="59">
        <v>24507.930206200897</v>
      </c>
      <c r="AF977" s="59">
        <v>24710.02278676982</v>
      </c>
      <c r="AG977" s="59" t="s">
        <v>148</v>
      </c>
      <c r="AH977" s="59" t="s">
        <v>1245</v>
      </c>
    </row>
    <row r="978" spans="1:34" x14ac:dyDescent="0.35">
      <c r="A978" s="58">
        <v>2025</v>
      </c>
      <c r="B978" s="58">
        <v>3</v>
      </c>
      <c r="C978">
        <v>3</v>
      </c>
      <c r="D978" s="58" t="s">
        <v>596</v>
      </c>
      <c r="E978" t="s">
        <v>266</v>
      </c>
      <c r="F978" s="58" t="s">
        <v>171</v>
      </c>
      <c r="G978" t="s">
        <v>731</v>
      </c>
      <c r="H978" s="58" t="s">
        <v>4</v>
      </c>
      <c r="I978" t="s">
        <v>4</v>
      </c>
      <c r="J978" s="58" t="s">
        <v>4</v>
      </c>
      <c r="K978" t="s">
        <v>1429</v>
      </c>
      <c r="L978" t="s">
        <v>20</v>
      </c>
      <c r="M978" t="s">
        <v>1430</v>
      </c>
      <c r="N978" s="59">
        <v>110000</v>
      </c>
      <c r="O978" s="59">
        <v>3434725800</v>
      </c>
      <c r="P978" s="59">
        <v>17093205.337519623</v>
      </c>
      <c r="Q978" s="59">
        <v>0</v>
      </c>
      <c r="R978" s="59">
        <v>0</v>
      </c>
      <c r="S978" s="59">
        <v>3417632594.6624804</v>
      </c>
      <c r="T978" s="41"/>
      <c r="U978" s="41"/>
      <c r="V978" s="41"/>
      <c r="W978" s="41"/>
      <c r="X978" s="41"/>
      <c r="Y978" s="41"/>
      <c r="Z978" s="41"/>
      <c r="AA978" s="41"/>
      <c r="AB978" s="41"/>
      <c r="AC978" s="41"/>
      <c r="AD978" s="41"/>
      <c r="AE978" s="59">
        <v>134688.64320720438</v>
      </c>
      <c r="AF978" s="59">
        <v>135362.28514243409</v>
      </c>
      <c r="AG978" s="59" t="s">
        <v>100</v>
      </c>
      <c r="AH978" s="59" t="s">
        <v>1166</v>
      </c>
    </row>
    <row r="979" spans="1:34" x14ac:dyDescent="0.35">
      <c r="A979" s="58">
        <v>2025</v>
      </c>
      <c r="B979" s="58">
        <v>3</v>
      </c>
      <c r="C979">
        <v>3</v>
      </c>
      <c r="D979" s="58" t="s">
        <v>610</v>
      </c>
      <c r="E979" t="s">
        <v>44</v>
      </c>
      <c r="F979" s="58" t="s">
        <v>186</v>
      </c>
      <c r="G979" t="s">
        <v>781</v>
      </c>
      <c r="H979" s="58" t="s">
        <v>1428</v>
      </c>
      <c r="I979" t="s">
        <v>75</v>
      </c>
      <c r="J979" s="58" t="s">
        <v>75</v>
      </c>
      <c r="K979" t="s">
        <v>1429</v>
      </c>
      <c r="L979" t="s">
        <v>20</v>
      </c>
      <c r="M979" t="s">
        <v>1431</v>
      </c>
      <c r="N979" s="59">
        <v>-1075</v>
      </c>
      <c r="O979" s="59">
        <v>0</v>
      </c>
      <c r="P979" s="59">
        <v>0</v>
      </c>
      <c r="Q979" s="59">
        <v>0</v>
      </c>
      <c r="R979" s="59">
        <v>0</v>
      </c>
      <c r="S979" s="59">
        <v>0</v>
      </c>
      <c r="T979" s="41"/>
      <c r="U979" s="41"/>
      <c r="V979" s="41"/>
      <c r="W979" s="41"/>
      <c r="X979" s="41"/>
      <c r="Y979" s="41"/>
      <c r="Z979" s="41"/>
      <c r="AA979" s="41"/>
      <c r="AB979" s="41"/>
      <c r="AC979" s="41"/>
      <c r="AD979" s="41"/>
      <c r="AE979" s="59">
        <v>0</v>
      </c>
      <c r="AF979" s="59">
        <v>0</v>
      </c>
      <c r="AG979" s="59" t="s">
        <v>44</v>
      </c>
      <c r="AH979" s="59" t="s">
        <v>1202</v>
      </c>
    </row>
    <row r="980" spans="1:34" x14ac:dyDescent="0.35">
      <c r="A980" s="58">
        <v>2025</v>
      </c>
      <c r="B980" s="58">
        <v>3</v>
      </c>
      <c r="C980">
        <v>3</v>
      </c>
      <c r="D980" s="58" t="s">
        <v>610</v>
      </c>
      <c r="E980" t="s">
        <v>44</v>
      </c>
      <c r="F980" s="58" t="s">
        <v>186</v>
      </c>
      <c r="G980" t="s">
        <v>781</v>
      </c>
      <c r="H980" s="58" t="s">
        <v>1428</v>
      </c>
      <c r="I980" t="s">
        <v>75</v>
      </c>
      <c r="J980" s="58" t="s">
        <v>75</v>
      </c>
      <c r="K980" t="s">
        <v>1429</v>
      </c>
      <c r="L980" t="s">
        <v>20</v>
      </c>
      <c r="M980" t="s">
        <v>1430</v>
      </c>
      <c r="N980" s="59">
        <v>33000</v>
      </c>
      <c r="O980" s="59">
        <v>1127115000</v>
      </c>
      <c r="P980" s="59">
        <v>0</v>
      </c>
      <c r="Q980" s="59">
        <v>0</v>
      </c>
      <c r="R980" s="59">
        <v>0</v>
      </c>
      <c r="S980" s="59">
        <v>1127115000</v>
      </c>
      <c r="T980" s="41"/>
      <c r="U980" s="41"/>
      <c r="V980" s="41"/>
      <c r="W980" s="41"/>
      <c r="X980" s="41"/>
      <c r="Y980" s="41"/>
      <c r="Z980" s="41"/>
      <c r="AA980" s="41"/>
      <c r="AB980" s="41"/>
      <c r="AC980" s="41"/>
      <c r="AD980" s="41"/>
      <c r="AE980" s="59">
        <v>44419.517278006482</v>
      </c>
      <c r="AF980" s="59">
        <v>44419.517278006482</v>
      </c>
      <c r="AG980" s="59" t="s">
        <v>44</v>
      </c>
      <c r="AH980" s="59" t="s">
        <v>1202</v>
      </c>
    </row>
    <row r="981" spans="1:34" x14ac:dyDescent="0.35">
      <c r="A981" s="58">
        <v>2025</v>
      </c>
      <c r="B981" s="58">
        <v>3</v>
      </c>
      <c r="C981">
        <v>3</v>
      </c>
      <c r="D981" s="58" t="s">
        <v>610</v>
      </c>
      <c r="E981" t="s">
        <v>44</v>
      </c>
      <c r="F981" s="58" t="s">
        <v>186</v>
      </c>
      <c r="G981" t="s">
        <v>781</v>
      </c>
      <c r="H981" s="58" t="s">
        <v>1428</v>
      </c>
      <c r="I981" t="s">
        <v>75</v>
      </c>
      <c r="J981" s="58" t="s">
        <v>75</v>
      </c>
      <c r="K981" t="s">
        <v>1429</v>
      </c>
      <c r="L981" t="s">
        <v>20</v>
      </c>
      <c r="M981" t="s">
        <v>1432</v>
      </c>
      <c r="N981" s="59">
        <v>1075</v>
      </c>
      <c r="O981" s="59">
        <v>0</v>
      </c>
      <c r="P981" s="59">
        <v>0</v>
      </c>
      <c r="Q981" s="59">
        <v>0</v>
      </c>
      <c r="R981" s="59">
        <v>0</v>
      </c>
      <c r="S981" s="59">
        <v>0</v>
      </c>
      <c r="T981" s="41"/>
      <c r="U981" s="41"/>
      <c r="V981" s="41"/>
      <c r="W981" s="41"/>
      <c r="X981" s="41"/>
      <c r="Y981" s="41"/>
      <c r="Z981" s="41"/>
      <c r="AA981" s="41"/>
      <c r="AB981" s="41"/>
      <c r="AC981" s="41"/>
      <c r="AD981" s="41"/>
      <c r="AE981" s="59">
        <v>0</v>
      </c>
      <c r="AF981" s="59">
        <v>0</v>
      </c>
      <c r="AG981" s="59" t="s">
        <v>44</v>
      </c>
      <c r="AH981" s="59" t="s">
        <v>1202</v>
      </c>
    </row>
    <row r="982" spans="1:34" x14ac:dyDescent="0.35">
      <c r="A982" s="58">
        <v>2025</v>
      </c>
      <c r="B982" s="58">
        <v>3</v>
      </c>
      <c r="C982">
        <v>3</v>
      </c>
      <c r="D982" s="58" t="s">
        <v>624</v>
      </c>
      <c r="E982" t="s">
        <v>272</v>
      </c>
      <c r="F982" s="58" t="s">
        <v>172</v>
      </c>
      <c r="G982" t="s">
        <v>734</v>
      </c>
      <c r="H982" s="58" t="s">
        <v>4</v>
      </c>
      <c r="I982" t="s">
        <v>4</v>
      </c>
      <c r="J982" s="58" t="s">
        <v>4</v>
      </c>
      <c r="K982" t="s">
        <v>1429</v>
      </c>
      <c r="L982" t="s">
        <v>20</v>
      </c>
      <c r="M982" t="s">
        <v>1430</v>
      </c>
      <c r="N982" s="59">
        <v>12100</v>
      </c>
      <c r="O982" s="59">
        <v>398950552</v>
      </c>
      <c r="P982" s="59">
        <v>1880252.5871271589</v>
      </c>
      <c r="Q982" s="59">
        <v>0</v>
      </c>
      <c r="R982" s="59">
        <v>0</v>
      </c>
      <c r="S982" s="59">
        <v>397070299.41287279</v>
      </c>
      <c r="T982" s="41"/>
      <c r="U982" s="41"/>
      <c r="V982" s="41"/>
      <c r="W982" s="41"/>
      <c r="X982" s="41"/>
      <c r="Y982" s="41"/>
      <c r="Z982" s="41"/>
      <c r="AA982" s="41"/>
      <c r="AB982" s="41"/>
      <c r="AC982" s="41"/>
      <c r="AD982" s="41"/>
      <c r="AE982" s="59">
        <v>15648.510600385329</v>
      </c>
      <c r="AF982" s="59">
        <v>15722.611213260603</v>
      </c>
      <c r="AG982" s="59" t="s">
        <v>103</v>
      </c>
      <c r="AH982" s="59" t="s">
        <v>1175</v>
      </c>
    </row>
    <row r="983" spans="1:34" x14ac:dyDescent="0.35">
      <c r="A983" s="58">
        <v>2025</v>
      </c>
      <c r="B983" s="58">
        <v>3</v>
      </c>
      <c r="C983">
        <v>3</v>
      </c>
      <c r="D983" s="58" t="s">
        <v>1558</v>
      </c>
      <c r="E983" t="s">
        <v>1223</v>
      </c>
      <c r="F983" s="58" t="s">
        <v>843</v>
      </c>
      <c r="G983" t="s">
        <v>844</v>
      </c>
      <c r="H983" s="58" t="s">
        <v>1012</v>
      </c>
      <c r="I983" t="s">
        <v>86</v>
      </c>
      <c r="J983" s="58" t="s">
        <v>86</v>
      </c>
      <c r="K983" t="s">
        <v>1429</v>
      </c>
      <c r="L983" t="s">
        <v>20</v>
      </c>
      <c r="M983" t="s">
        <v>1430</v>
      </c>
      <c r="N983" s="59">
        <v>25940</v>
      </c>
      <c r="O983" s="59">
        <v>129700000</v>
      </c>
      <c r="P983" s="59">
        <v>0</v>
      </c>
      <c r="Q983" s="59">
        <v>0</v>
      </c>
      <c r="R983" s="59">
        <v>0</v>
      </c>
      <c r="S983" s="59">
        <v>129700000</v>
      </c>
      <c r="T983" s="41"/>
      <c r="U983" s="41"/>
      <c r="V983" s="41"/>
      <c r="W983" s="41"/>
      <c r="X983" s="41"/>
      <c r="Y983" s="41"/>
      <c r="Z983" s="41"/>
      <c r="AA983" s="41"/>
      <c r="AB983" s="41"/>
      <c r="AC983" s="41"/>
      <c r="AD983" s="41"/>
      <c r="AE983" s="59">
        <v>5111.4672335630712</v>
      </c>
      <c r="AF983" s="59">
        <v>5111.4672335630712</v>
      </c>
      <c r="AG983" s="59" t="s">
        <v>1223</v>
      </c>
      <c r="AH983" s="59" t="s">
        <v>1224</v>
      </c>
    </row>
    <row r="984" spans="1:34" x14ac:dyDescent="0.35">
      <c r="A984" s="58">
        <v>2025</v>
      </c>
      <c r="B984" s="58">
        <v>3</v>
      </c>
      <c r="C984">
        <v>3</v>
      </c>
      <c r="D984" s="58" t="s">
        <v>1558</v>
      </c>
      <c r="E984" t="s">
        <v>1223</v>
      </c>
      <c r="F984" s="58" t="s">
        <v>845</v>
      </c>
      <c r="G984" t="s">
        <v>846</v>
      </c>
      <c r="H984" s="58" t="s">
        <v>1012</v>
      </c>
      <c r="I984" t="s">
        <v>86</v>
      </c>
      <c r="J984" s="58" t="s">
        <v>86</v>
      </c>
      <c r="K984" t="s">
        <v>1429</v>
      </c>
      <c r="L984" t="s">
        <v>20</v>
      </c>
      <c r="M984" t="s">
        <v>1430</v>
      </c>
      <c r="N984" s="59">
        <v>25230</v>
      </c>
      <c r="O984" s="59">
        <v>126150000</v>
      </c>
      <c r="P984" s="59">
        <v>0</v>
      </c>
      <c r="Q984" s="59">
        <v>0</v>
      </c>
      <c r="R984" s="59">
        <v>0</v>
      </c>
      <c r="S984" s="59">
        <v>126150000</v>
      </c>
      <c r="T984" s="41"/>
      <c r="U984" s="41"/>
      <c r="V984" s="41"/>
      <c r="W984" s="41"/>
      <c r="X984" s="41"/>
      <c r="Y984" s="41"/>
      <c r="Z984" s="41"/>
      <c r="AA984" s="41"/>
      <c r="AB984" s="41"/>
      <c r="AC984" s="41"/>
      <c r="AD984" s="41"/>
      <c r="AE984" s="59">
        <v>4971.5620008788082</v>
      </c>
      <c r="AF984" s="59">
        <v>4971.5620008788082</v>
      </c>
      <c r="AG984" s="59" t="s">
        <v>1223</v>
      </c>
      <c r="AH984" s="59" t="s">
        <v>1225</v>
      </c>
    </row>
    <row r="985" spans="1:34" x14ac:dyDescent="0.35">
      <c r="A985" s="58">
        <v>2025</v>
      </c>
      <c r="B985" s="58">
        <v>3</v>
      </c>
      <c r="C985">
        <v>3</v>
      </c>
      <c r="D985" s="58" t="s">
        <v>1558</v>
      </c>
      <c r="E985" t="s">
        <v>1223</v>
      </c>
      <c r="F985" s="58" t="s">
        <v>847</v>
      </c>
      <c r="G985" t="s">
        <v>848</v>
      </c>
      <c r="H985" s="58" t="s">
        <v>1012</v>
      </c>
      <c r="I985" t="s">
        <v>86</v>
      </c>
      <c r="J985" s="58" t="s">
        <v>86</v>
      </c>
      <c r="K985" t="s">
        <v>1429</v>
      </c>
      <c r="L985" t="s">
        <v>20</v>
      </c>
      <c r="M985" t="s">
        <v>1430</v>
      </c>
      <c r="N985" s="59">
        <v>32430</v>
      </c>
      <c r="O985" s="59">
        <v>162150000</v>
      </c>
      <c r="P985" s="59">
        <v>0</v>
      </c>
      <c r="Q985" s="59">
        <v>0</v>
      </c>
      <c r="R985" s="59">
        <v>0</v>
      </c>
      <c r="S985" s="59">
        <v>162150000</v>
      </c>
      <c r="T985" s="41"/>
      <c r="U985" s="41"/>
      <c r="V985" s="41"/>
      <c r="W985" s="41"/>
      <c r="X985" s="41"/>
      <c r="Y985" s="41"/>
      <c r="Z985" s="41"/>
      <c r="AA985" s="41"/>
      <c r="AB985" s="41"/>
      <c r="AC985" s="41"/>
      <c r="AD985" s="41"/>
      <c r="AE985" s="59">
        <v>6390.3192900713339</v>
      </c>
      <c r="AF985" s="59">
        <v>6390.3192900713339</v>
      </c>
      <c r="AG985" s="59" t="s">
        <v>1223</v>
      </c>
      <c r="AH985" s="59" t="s">
        <v>1226</v>
      </c>
    </row>
    <row r="986" spans="1:34" x14ac:dyDescent="0.35">
      <c r="A986" s="58">
        <v>2025</v>
      </c>
      <c r="B986" s="58">
        <v>3</v>
      </c>
      <c r="C986">
        <v>3</v>
      </c>
      <c r="D986" s="58" t="s">
        <v>1558</v>
      </c>
      <c r="E986" t="s">
        <v>1223</v>
      </c>
      <c r="F986" s="58" t="s">
        <v>948</v>
      </c>
      <c r="G986" t="s">
        <v>949</v>
      </c>
      <c r="H986" s="58" t="s">
        <v>1012</v>
      </c>
      <c r="I986" t="s">
        <v>86</v>
      </c>
      <c r="J986" s="58" t="s">
        <v>86</v>
      </c>
      <c r="K986" t="s">
        <v>1429</v>
      </c>
      <c r="L986" t="s">
        <v>20</v>
      </c>
      <c r="M986" t="s">
        <v>1430</v>
      </c>
      <c r="N986" s="59">
        <v>30396</v>
      </c>
      <c r="O986" s="59">
        <v>60792000</v>
      </c>
      <c r="P986" s="59">
        <v>0</v>
      </c>
      <c r="Q986" s="59">
        <v>0</v>
      </c>
      <c r="R986" s="59">
        <v>0</v>
      </c>
      <c r="S986" s="59">
        <v>60792000</v>
      </c>
      <c r="T986" s="41"/>
      <c r="U986" s="41"/>
      <c r="V986" s="41"/>
      <c r="W986" s="41"/>
      <c r="X986" s="41"/>
      <c r="Y986" s="41"/>
      <c r="Z986" s="41"/>
      <c r="AA986" s="41"/>
      <c r="AB986" s="41"/>
      <c r="AC986" s="41"/>
      <c r="AD986" s="41"/>
      <c r="AE986" s="59">
        <v>2395.8081423497783</v>
      </c>
      <c r="AF986" s="59">
        <v>2395.8081423497783</v>
      </c>
      <c r="AG986" s="59" t="s">
        <v>1223</v>
      </c>
      <c r="AH986" s="59" t="s">
        <v>1229</v>
      </c>
    </row>
    <row r="987" spans="1:34" x14ac:dyDescent="0.35">
      <c r="A987" s="58">
        <v>2025</v>
      </c>
      <c r="B987" s="58">
        <v>3</v>
      </c>
      <c r="C987">
        <v>3</v>
      </c>
      <c r="D987" s="58" t="s">
        <v>622</v>
      </c>
      <c r="E987" t="s">
        <v>53</v>
      </c>
      <c r="F987" s="58" t="s">
        <v>185</v>
      </c>
      <c r="G987" t="s">
        <v>720</v>
      </c>
      <c r="H987" s="58" t="s">
        <v>1428</v>
      </c>
      <c r="I987" t="s">
        <v>75</v>
      </c>
      <c r="J987" s="58" t="s">
        <v>75</v>
      </c>
      <c r="K987" t="s">
        <v>1429</v>
      </c>
      <c r="L987" t="s">
        <v>20</v>
      </c>
      <c r="M987" t="s">
        <v>1430</v>
      </c>
      <c r="N987" s="59">
        <v>11000</v>
      </c>
      <c r="O987" s="59">
        <v>187000000</v>
      </c>
      <c r="P987" s="59">
        <v>0</v>
      </c>
      <c r="Q987" s="59">
        <v>0</v>
      </c>
      <c r="R987" s="59">
        <v>0</v>
      </c>
      <c r="S987" s="59">
        <v>187000000</v>
      </c>
      <c r="T987" s="41"/>
      <c r="U987" s="41"/>
      <c r="V987" s="41"/>
      <c r="W987" s="41"/>
      <c r="X987" s="41"/>
      <c r="Y987" s="41"/>
      <c r="Z987" s="41"/>
      <c r="AA987" s="41"/>
      <c r="AB987" s="41"/>
      <c r="AC987" s="41"/>
      <c r="AD987" s="41"/>
      <c r="AE987" s="59">
        <v>7369.6559188611745</v>
      </c>
      <c r="AF987" s="59">
        <v>7369.6559188611745</v>
      </c>
      <c r="AG987" s="59" t="s">
        <v>53</v>
      </c>
      <c r="AH987" s="59" t="s">
        <v>1199</v>
      </c>
    </row>
    <row r="988" spans="1:34" x14ac:dyDescent="0.35">
      <c r="A988" s="58">
        <v>2025</v>
      </c>
      <c r="B988" s="58">
        <v>3</v>
      </c>
      <c r="C988">
        <v>3</v>
      </c>
      <c r="D988" s="58" t="s">
        <v>645</v>
      </c>
      <c r="E988" t="s">
        <v>117</v>
      </c>
      <c r="F988" s="58" t="s">
        <v>174</v>
      </c>
      <c r="G988" t="s">
        <v>740</v>
      </c>
      <c r="H988" s="58" t="s">
        <v>4</v>
      </c>
      <c r="I988" t="s">
        <v>4</v>
      </c>
      <c r="J988" s="58" t="s">
        <v>4</v>
      </c>
      <c r="K988" t="s">
        <v>1429</v>
      </c>
      <c r="L988" t="s">
        <v>20</v>
      </c>
      <c r="M988" t="s">
        <v>1430</v>
      </c>
      <c r="N988" s="59">
        <v>11000</v>
      </c>
      <c r="O988" s="59">
        <v>310486000</v>
      </c>
      <c r="P988" s="59">
        <v>1709320.5337519622</v>
      </c>
      <c r="Q988" s="59">
        <v>0</v>
      </c>
      <c r="R988" s="59">
        <v>0</v>
      </c>
      <c r="S988" s="59">
        <v>308776679.46624804</v>
      </c>
      <c r="T988" s="41"/>
      <c r="U988" s="41"/>
      <c r="V988" s="41"/>
      <c r="W988" s="41"/>
      <c r="X988" s="41"/>
      <c r="Y988" s="41"/>
      <c r="Z988" s="41"/>
      <c r="AA988" s="41"/>
      <c r="AB988" s="41"/>
      <c r="AC988" s="41"/>
      <c r="AD988" s="41"/>
      <c r="AE988" s="59">
        <v>12168.865686816762</v>
      </c>
      <c r="AF988" s="59">
        <v>12236.229880339735</v>
      </c>
      <c r="AG988" s="59" t="s">
        <v>117</v>
      </c>
      <c r="AH988" s="59" t="s">
        <v>1185</v>
      </c>
    </row>
    <row r="989" spans="1:34" x14ac:dyDescent="0.35">
      <c r="A989" s="58">
        <v>2025</v>
      </c>
      <c r="B989" s="58">
        <v>3</v>
      </c>
      <c r="C989">
        <v>3</v>
      </c>
      <c r="D989" s="58" t="s">
        <v>636</v>
      </c>
      <c r="E989" t="s">
        <v>270</v>
      </c>
      <c r="F989" s="58" t="s">
        <v>171</v>
      </c>
      <c r="G989" t="s">
        <v>731</v>
      </c>
      <c r="H989" s="58" t="s">
        <v>4</v>
      </c>
      <c r="I989" t="s">
        <v>4</v>
      </c>
      <c r="J989" s="58" t="s">
        <v>4</v>
      </c>
      <c r="K989" t="s">
        <v>1429</v>
      </c>
      <c r="L989" t="s">
        <v>20</v>
      </c>
      <c r="M989" t="s">
        <v>1430</v>
      </c>
      <c r="N989" s="59">
        <v>22000</v>
      </c>
      <c r="O989" s="59">
        <v>714225600</v>
      </c>
      <c r="P989" s="59">
        <v>3418641.0675039245</v>
      </c>
      <c r="Q989" s="59">
        <v>0</v>
      </c>
      <c r="R989" s="59">
        <v>0</v>
      </c>
      <c r="S989" s="59">
        <v>710806958.93249607</v>
      </c>
      <c r="T989" s="41"/>
      <c r="U989" s="41"/>
      <c r="V989" s="41"/>
      <c r="W989" s="41"/>
      <c r="X989" s="41"/>
      <c r="Y989" s="41"/>
      <c r="Z989" s="41"/>
      <c r="AA989" s="41"/>
      <c r="AB989" s="41"/>
      <c r="AC989" s="41"/>
      <c r="AD989" s="41"/>
      <c r="AE989" s="59">
        <v>28012.848727618082</v>
      </c>
      <c r="AF989" s="59">
        <v>28147.577114664029</v>
      </c>
      <c r="AG989" s="59" t="s">
        <v>102</v>
      </c>
      <c r="AH989" s="59" t="s">
        <v>1166</v>
      </c>
    </row>
    <row r="990" spans="1:34" x14ac:dyDescent="0.35">
      <c r="A990" s="58">
        <v>2025</v>
      </c>
      <c r="B990" s="58">
        <v>3</v>
      </c>
      <c r="C990">
        <v>3</v>
      </c>
      <c r="D990" s="58" t="s">
        <v>659</v>
      </c>
      <c r="E990" t="s">
        <v>487</v>
      </c>
      <c r="F990" s="58" t="s">
        <v>198</v>
      </c>
      <c r="G990" t="s">
        <v>755</v>
      </c>
      <c r="H990" s="58" t="s">
        <v>1428</v>
      </c>
      <c r="I990" t="s">
        <v>76</v>
      </c>
      <c r="J990" s="58" t="s">
        <v>76</v>
      </c>
      <c r="K990" t="s">
        <v>1429</v>
      </c>
      <c r="L990" t="s">
        <v>20</v>
      </c>
      <c r="M990" t="s">
        <v>1430</v>
      </c>
      <c r="N990" s="59">
        <v>5000</v>
      </c>
      <c r="O990" s="59">
        <v>134875000</v>
      </c>
      <c r="P990" s="59">
        <v>0</v>
      </c>
      <c r="Q990" s="59">
        <v>0</v>
      </c>
      <c r="R990" s="59">
        <v>0</v>
      </c>
      <c r="S990" s="59">
        <v>134875000</v>
      </c>
      <c r="T990" s="41"/>
      <c r="U990" s="41"/>
      <c r="V990" s="41"/>
      <c r="W990" s="41"/>
      <c r="X990" s="41"/>
      <c r="Y990" s="41"/>
      <c r="Z990" s="41"/>
      <c r="AA990" s="41"/>
      <c r="AB990" s="41"/>
      <c r="AC990" s="41"/>
      <c r="AD990" s="41"/>
      <c r="AE990" s="59">
        <v>5315.4135938844965</v>
      </c>
      <c r="AF990" s="59">
        <v>5315.4135938844965</v>
      </c>
      <c r="AG990" s="59" t="s">
        <v>99</v>
      </c>
      <c r="AH990" s="59" t="s">
        <v>1250</v>
      </c>
    </row>
    <row r="991" spans="1:34" x14ac:dyDescent="0.35">
      <c r="A991" s="58">
        <v>2025</v>
      </c>
      <c r="B991" s="58">
        <v>3</v>
      </c>
      <c r="C991">
        <v>3</v>
      </c>
      <c r="D991" s="58" t="s">
        <v>1612</v>
      </c>
      <c r="E991" t="s">
        <v>1213</v>
      </c>
      <c r="F991" s="58" t="s">
        <v>1472</v>
      </c>
      <c r="G991" t="s">
        <v>1473</v>
      </c>
      <c r="H991" s="58" t="s">
        <v>1012</v>
      </c>
      <c r="I991" t="s">
        <v>86</v>
      </c>
      <c r="J991" s="58" t="s">
        <v>86</v>
      </c>
      <c r="K991" t="s">
        <v>1429</v>
      </c>
      <c r="L991" t="s">
        <v>20</v>
      </c>
      <c r="M991" t="s">
        <v>1430</v>
      </c>
      <c r="N991" s="59">
        <v>506</v>
      </c>
      <c r="O991" s="59">
        <v>10474200</v>
      </c>
      <c r="P991" s="59">
        <v>0</v>
      </c>
      <c r="Q991" s="59">
        <v>0</v>
      </c>
      <c r="R991" s="59">
        <v>0</v>
      </c>
      <c r="S991" s="59">
        <v>10474200</v>
      </c>
      <c r="T991" s="41"/>
      <c r="U991" s="41"/>
      <c r="V991" s="41"/>
      <c r="W991" s="41"/>
      <c r="X991" s="41"/>
      <c r="Y991" s="41"/>
      <c r="Z991" s="41"/>
      <c r="AA991" s="41"/>
      <c r="AB991" s="41"/>
      <c r="AC991" s="41"/>
      <c r="AD991" s="41"/>
      <c r="AE991" s="59">
        <v>412.78743329056533</v>
      </c>
      <c r="AF991" s="59">
        <v>412.78743329056533</v>
      </c>
      <c r="AG991" s="59" t="s">
        <v>1213</v>
      </c>
      <c r="AH991" s="59" t="s">
        <v>1215</v>
      </c>
    </row>
    <row r="992" spans="1:34" x14ac:dyDescent="0.35">
      <c r="A992" s="58">
        <v>2025</v>
      </c>
      <c r="B992" s="58">
        <v>3</v>
      </c>
      <c r="C992">
        <v>3</v>
      </c>
      <c r="D992" s="58" t="s">
        <v>1612</v>
      </c>
      <c r="E992" t="s">
        <v>1213</v>
      </c>
      <c r="F992" s="58" t="s">
        <v>1615</v>
      </c>
      <c r="G992" t="s">
        <v>1616</v>
      </c>
      <c r="H992" s="58" t="s">
        <v>1012</v>
      </c>
      <c r="I992" t="s">
        <v>86</v>
      </c>
      <c r="J992" s="58" t="s">
        <v>86</v>
      </c>
      <c r="K992" t="s">
        <v>1429</v>
      </c>
      <c r="L992" t="s">
        <v>20</v>
      </c>
      <c r="M992" t="s">
        <v>1430</v>
      </c>
      <c r="N992" s="59">
        <v>258</v>
      </c>
      <c r="O992" s="59">
        <v>4695600</v>
      </c>
      <c r="P992" s="59">
        <v>0</v>
      </c>
      <c r="Q992" s="59">
        <v>0</v>
      </c>
      <c r="R992" s="59">
        <v>0</v>
      </c>
      <c r="S992" s="59">
        <v>4695600</v>
      </c>
      <c r="T992" s="41"/>
      <c r="U992" s="41"/>
      <c r="V992" s="41"/>
      <c r="W992" s="41"/>
      <c r="X992" s="41"/>
      <c r="Y992" s="41"/>
      <c r="Z992" s="41"/>
      <c r="AA992" s="41"/>
      <c r="AB992" s="41"/>
      <c r="AC992" s="41"/>
      <c r="AD992" s="41"/>
      <c r="AE992" s="59">
        <v>185.05324242034507</v>
      </c>
      <c r="AF992" s="59">
        <v>185.05324242034507</v>
      </c>
      <c r="AG992" s="59" t="s">
        <v>1213</v>
      </c>
      <c r="AH992" s="59" t="s">
        <v>1230</v>
      </c>
    </row>
    <row r="993" spans="1:34" x14ac:dyDescent="0.35">
      <c r="A993" s="58">
        <v>2025</v>
      </c>
      <c r="B993" s="58">
        <v>3</v>
      </c>
      <c r="C993">
        <v>3</v>
      </c>
      <c r="D993" s="58" t="s">
        <v>627</v>
      </c>
      <c r="E993" t="s">
        <v>58</v>
      </c>
      <c r="F993" s="58" t="s">
        <v>200</v>
      </c>
      <c r="G993" t="s">
        <v>470</v>
      </c>
      <c r="H993" s="58" t="s">
        <v>1428</v>
      </c>
      <c r="I993" t="s">
        <v>76</v>
      </c>
      <c r="J993" s="58" t="s">
        <v>76</v>
      </c>
      <c r="K993" t="s">
        <v>1429</v>
      </c>
      <c r="L993" t="s">
        <v>20</v>
      </c>
      <c r="M993" t="s">
        <v>1430</v>
      </c>
      <c r="N993" s="59">
        <v>14250</v>
      </c>
      <c r="O993" s="59">
        <v>224305555</v>
      </c>
      <c r="P993" s="59">
        <v>2804839.6031111744</v>
      </c>
      <c r="Q993" s="59">
        <v>0</v>
      </c>
      <c r="R993" s="59">
        <v>0</v>
      </c>
      <c r="S993" s="59">
        <v>221500715.39688882</v>
      </c>
      <c r="T993" s="41"/>
      <c r="U993" s="41"/>
      <c r="V993" s="41"/>
      <c r="W993" s="41"/>
      <c r="X993" s="41"/>
      <c r="Y993" s="41"/>
      <c r="Z993" s="41"/>
      <c r="AA993" s="41"/>
      <c r="AB993" s="41"/>
      <c r="AC993" s="41"/>
      <c r="AD993" s="41"/>
      <c r="AE993" s="59">
        <v>8729.3265147415314</v>
      </c>
      <c r="AF993" s="59">
        <v>8839.865032295138</v>
      </c>
      <c r="AG993" s="59" t="s">
        <v>58</v>
      </c>
      <c r="AH993" s="59" t="s">
        <v>79</v>
      </c>
    </row>
    <row r="994" spans="1:34" x14ac:dyDescent="0.35">
      <c r="A994" s="58">
        <v>2025</v>
      </c>
      <c r="B994" s="58">
        <v>3</v>
      </c>
      <c r="C994">
        <v>3</v>
      </c>
      <c r="D994" s="58" t="s">
        <v>627</v>
      </c>
      <c r="E994" t="s">
        <v>58</v>
      </c>
      <c r="F994" s="58" t="s">
        <v>202</v>
      </c>
      <c r="G994" t="s">
        <v>473</v>
      </c>
      <c r="H994" s="58" t="s">
        <v>1428</v>
      </c>
      <c r="I994" t="s">
        <v>76</v>
      </c>
      <c r="J994" s="58" t="s">
        <v>76</v>
      </c>
      <c r="K994" t="s">
        <v>1429</v>
      </c>
      <c r="L994" t="s">
        <v>20</v>
      </c>
      <c r="M994" t="s">
        <v>1430</v>
      </c>
      <c r="N994" s="59">
        <v>7500</v>
      </c>
      <c r="O994" s="59">
        <v>118055556</v>
      </c>
      <c r="P994" s="59">
        <v>442869.41101755382</v>
      </c>
      <c r="Q994" s="59">
        <v>0</v>
      </c>
      <c r="R994" s="59">
        <v>0</v>
      </c>
      <c r="S994" s="59">
        <v>117612686.58898245</v>
      </c>
      <c r="T994" s="41"/>
      <c r="U994" s="41"/>
      <c r="V994" s="41"/>
      <c r="W994" s="41"/>
      <c r="X994" s="41"/>
      <c r="Y994" s="41"/>
      <c r="Z994" s="41"/>
      <c r="AA994" s="41"/>
      <c r="AB994" s="41"/>
      <c r="AC994" s="41"/>
      <c r="AD994" s="41"/>
      <c r="AE994" s="59">
        <v>4635.107122212079</v>
      </c>
      <c r="AF994" s="59">
        <v>4652.5605723521221</v>
      </c>
      <c r="AG994" s="59" t="s">
        <v>58</v>
      </c>
      <c r="AH994" s="59" t="s">
        <v>80</v>
      </c>
    </row>
    <row r="995" spans="1:34" x14ac:dyDescent="0.35">
      <c r="A995" s="58">
        <v>2025</v>
      </c>
      <c r="B995" s="58">
        <v>3</v>
      </c>
      <c r="C995">
        <v>3</v>
      </c>
      <c r="D995" s="58" t="s">
        <v>627</v>
      </c>
      <c r="E995" t="s">
        <v>58</v>
      </c>
      <c r="F995" s="58" t="s">
        <v>205</v>
      </c>
      <c r="G995" t="s">
        <v>475</v>
      </c>
      <c r="H995" s="58" t="s">
        <v>1428</v>
      </c>
      <c r="I995" t="s">
        <v>76</v>
      </c>
      <c r="J995" s="58" t="s">
        <v>76</v>
      </c>
      <c r="K995" t="s">
        <v>1429</v>
      </c>
      <c r="L995" t="s">
        <v>20</v>
      </c>
      <c r="M995" t="s">
        <v>1430</v>
      </c>
      <c r="N995" s="59">
        <v>6000</v>
      </c>
      <c r="O995" s="59">
        <v>72222222</v>
      </c>
      <c r="P995" s="59">
        <v>1367456.4270015699</v>
      </c>
      <c r="Q995" s="59">
        <v>0</v>
      </c>
      <c r="R995" s="59">
        <v>0</v>
      </c>
      <c r="S995" s="59">
        <v>70854765.572998434</v>
      </c>
      <c r="T995" s="41"/>
      <c r="U995" s="41"/>
      <c r="V995" s="41"/>
      <c r="W995" s="41"/>
      <c r="X995" s="41"/>
      <c r="Y995" s="41"/>
      <c r="Z995" s="41"/>
      <c r="AA995" s="41"/>
      <c r="AB995" s="41"/>
      <c r="AC995" s="41"/>
      <c r="AD995" s="41"/>
      <c r="AE995" s="59">
        <v>2792.3809758533093</v>
      </c>
      <c r="AF995" s="59">
        <v>2846.2723306716885</v>
      </c>
      <c r="AG995" s="59" t="s">
        <v>58</v>
      </c>
      <c r="AH995" s="59" t="s">
        <v>82</v>
      </c>
    </row>
    <row r="996" spans="1:34" x14ac:dyDescent="0.35">
      <c r="A996" s="58">
        <v>2025</v>
      </c>
      <c r="B996" s="58">
        <v>3</v>
      </c>
      <c r="C996">
        <v>3</v>
      </c>
      <c r="D996" s="58" t="s">
        <v>1060</v>
      </c>
      <c r="E996" t="s">
        <v>1061</v>
      </c>
      <c r="F996" s="58" t="s">
        <v>1628</v>
      </c>
      <c r="G996" t="s">
        <v>1629</v>
      </c>
      <c r="H996" s="58" t="s">
        <v>1012</v>
      </c>
      <c r="I996" t="s">
        <v>86</v>
      </c>
      <c r="J996" s="58" t="s">
        <v>86</v>
      </c>
      <c r="K996" t="s">
        <v>1429</v>
      </c>
      <c r="L996" t="s">
        <v>20</v>
      </c>
      <c r="M996" t="s">
        <v>1430</v>
      </c>
      <c r="N996" s="59">
        <v>86440</v>
      </c>
      <c r="O996" s="59">
        <v>32014815</v>
      </c>
      <c r="P996" s="59">
        <v>0</v>
      </c>
      <c r="Q996" s="59">
        <v>0</v>
      </c>
      <c r="R996" s="59">
        <v>0</v>
      </c>
      <c r="S996" s="59">
        <v>32014815</v>
      </c>
      <c r="T996" s="41"/>
      <c r="U996" s="41"/>
      <c r="V996" s="41"/>
      <c r="W996" s="41"/>
      <c r="X996" s="41"/>
      <c r="Y996" s="41"/>
      <c r="Z996" s="41"/>
      <c r="AA996" s="41"/>
      <c r="AB996" s="41"/>
      <c r="AC996" s="41"/>
      <c r="AD996" s="41"/>
      <c r="AE996" s="59">
        <v>1261.7014484277834</v>
      </c>
      <c r="AF996" s="59">
        <v>1261.7014484277834</v>
      </c>
      <c r="AG996" s="59" t="s">
        <v>1061</v>
      </c>
      <c r="AH996" s="59" t="s">
        <v>1233</v>
      </c>
    </row>
    <row r="997" spans="1:34" x14ac:dyDescent="0.35">
      <c r="A997" s="58">
        <v>2025</v>
      </c>
      <c r="B997" s="58">
        <v>3</v>
      </c>
      <c r="C997">
        <v>3</v>
      </c>
      <c r="D997" s="58" t="s">
        <v>611</v>
      </c>
      <c r="E997" t="s">
        <v>269</v>
      </c>
      <c r="F997" s="58" t="s">
        <v>168</v>
      </c>
      <c r="G997" t="s">
        <v>700</v>
      </c>
      <c r="H997" s="58" t="s">
        <v>4</v>
      </c>
      <c r="I997" t="s">
        <v>4</v>
      </c>
      <c r="J997" s="58" t="s">
        <v>4</v>
      </c>
      <c r="K997" t="s">
        <v>1429</v>
      </c>
      <c r="L997" t="s">
        <v>20</v>
      </c>
      <c r="M997" t="s">
        <v>1430</v>
      </c>
      <c r="N997" s="59">
        <v>88000</v>
      </c>
      <c r="O997" s="59">
        <v>3183576000</v>
      </c>
      <c r="P997" s="59">
        <v>8546602.6687598117</v>
      </c>
      <c r="Q997" s="59">
        <v>0</v>
      </c>
      <c r="R997" s="59">
        <v>14080000</v>
      </c>
      <c r="S997" s="59">
        <v>3160949397.3312402</v>
      </c>
      <c r="T997" s="41"/>
      <c r="U997" s="41"/>
      <c r="V997" s="41"/>
      <c r="W997" s="41"/>
      <c r="X997" s="41"/>
      <c r="Y997" s="41"/>
      <c r="Z997" s="41"/>
      <c r="AA997" s="41"/>
      <c r="AB997" s="41"/>
      <c r="AC997" s="41"/>
      <c r="AD997" s="41"/>
      <c r="AE997" s="59">
        <v>124572.77772867827</v>
      </c>
      <c r="AF997" s="59">
        <v>125464.49043606623</v>
      </c>
      <c r="AG997" s="59" t="s">
        <v>99</v>
      </c>
      <c r="AH997" s="59" t="s">
        <v>1160</v>
      </c>
    </row>
    <row r="998" spans="1:34" x14ac:dyDescent="0.35">
      <c r="A998" s="58">
        <v>2025</v>
      </c>
      <c r="B998" s="58">
        <v>3</v>
      </c>
      <c r="C998">
        <v>3</v>
      </c>
      <c r="D998" s="58" t="s">
        <v>611</v>
      </c>
      <c r="E998" t="s">
        <v>269</v>
      </c>
      <c r="F998" s="58" t="s">
        <v>168</v>
      </c>
      <c r="G998" t="s">
        <v>700</v>
      </c>
      <c r="H998" s="58" t="s">
        <v>4</v>
      </c>
      <c r="I998" t="s">
        <v>4</v>
      </c>
      <c r="J998" s="58" t="s">
        <v>4</v>
      </c>
      <c r="K998" t="s">
        <v>1429</v>
      </c>
      <c r="L998" t="s">
        <v>20</v>
      </c>
      <c r="M998" t="s">
        <v>1591</v>
      </c>
      <c r="N998" s="59">
        <v>0</v>
      </c>
      <c r="O998" s="59">
        <v>-94442040</v>
      </c>
      <c r="P998" s="59">
        <v>0</v>
      </c>
      <c r="Q998" s="59">
        <v>0</v>
      </c>
      <c r="R998" s="59">
        <v>0</v>
      </c>
      <c r="S998" s="59">
        <v>-94442040</v>
      </c>
      <c r="T998" s="41"/>
      <c r="U998" s="41"/>
      <c r="V998" s="41"/>
      <c r="W998" s="41"/>
      <c r="X998" s="41"/>
      <c r="Y998" s="41"/>
      <c r="Z998" s="41"/>
      <c r="AA998" s="41"/>
      <c r="AB998" s="41"/>
      <c r="AC998" s="41"/>
      <c r="AD998" s="41"/>
      <c r="AE998" s="59">
        <v>-3721.9536848947801</v>
      </c>
      <c r="AF998" s="59">
        <v>-3721.9536848947801</v>
      </c>
      <c r="AG998" s="59" t="s">
        <v>99</v>
      </c>
      <c r="AH998" s="59" t="s">
        <v>1160</v>
      </c>
    </row>
    <row r="999" spans="1:34" x14ac:dyDescent="0.35">
      <c r="A999" s="58">
        <v>2025</v>
      </c>
      <c r="B999" s="58">
        <v>3</v>
      </c>
      <c r="C999">
        <v>3</v>
      </c>
      <c r="D999" s="58" t="s">
        <v>661</v>
      </c>
      <c r="E999" t="s">
        <v>106</v>
      </c>
      <c r="F999" s="58" t="s">
        <v>172</v>
      </c>
      <c r="G999" t="s">
        <v>734</v>
      </c>
      <c r="H999" s="58" t="s">
        <v>4</v>
      </c>
      <c r="I999" t="s">
        <v>4</v>
      </c>
      <c r="J999" s="58" t="s">
        <v>4</v>
      </c>
      <c r="K999" t="s">
        <v>1429</v>
      </c>
      <c r="L999" t="s">
        <v>20</v>
      </c>
      <c r="M999" t="s">
        <v>1430</v>
      </c>
      <c r="N999" s="59">
        <v>5500</v>
      </c>
      <c r="O999" s="59">
        <v>181341160</v>
      </c>
      <c r="P999" s="59">
        <v>854660.26687598112</v>
      </c>
      <c r="Q999" s="59">
        <v>0</v>
      </c>
      <c r="R999" s="59">
        <v>0</v>
      </c>
      <c r="S999" s="59">
        <v>180486499.73312402</v>
      </c>
      <c r="T999" s="41"/>
      <c r="U999" s="41"/>
      <c r="V999" s="41"/>
      <c r="W999" s="41"/>
      <c r="X999" s="41"/>
      <c r="Y999" s="41"/>
      <c r="Z999" s="41"/>
      <c r="AA999" s="41"/>
      <c r="AB999" s="41"/>
      <c r="AC999" s="41"/>
      <c r="AD999" s="41"/>
      <c r="AE999" s="59">
        <v>7112.9593638115148</v>
      </c>
      <c r="AF999" s="59">
        <v>7146.6414605730024</v>
      </c>
      <c r="AG999" s="59" t="s">
        <v>106</v>
      </c>
      <c r="AH999" s="59" t="s">
        <v>1175</v>
      </c>
    </row>
    <row r="1000" spans="1:34" x14ac:dyDescent="0.35">
      <c r="A1000" s="58">
        <v>2025</v>
      </c>
      <c r="B1000" s="58">
        <v>3</v>
      </c>
      <c r="C1000">
        <v>3</v>
      </c>
      <c r="D1000" s="58" t="s">
        <v>603</v>
      </c>
      <c r="E1000" t="s">
        <v>56</v>
      </c>
      <c r="F1000" s="58" t="s">
        <v>203</v>
      </c>
      <c r="G1000" t="s">
        <v>472</v>
      </c>
      <c r="H1000" s="58" t="s">
        <v>1428</v>
      </c>
      <c r="I1000" t="s">
        <v>76</v>
      </c>
      <c r="J1000" s="58" t="s">
        <v>76</v>
      </c>
      <c r="K1000" t="s">
        <v>1429</v>
      </c>
      <c r="L1000" t="s">
        <v>20</v>
      </c>
      <c r="M1000" t="s">
        <v>1430</v>
      </c>
      <c r="N1000" s="59">
        <v>24000</v>
      </c>
      <c r="O1000" s="59">
        <v>360000000</v>
      </c>
      <c r="P1000" s="59">
        <v>5469825.7080062795</v>
      </c>
      <c r="Q1000" s="59">
        <v>0</v>
      </c>
      <c r="R1000" s="59">
        <v>0</v>
      </c>
      <c r="S1000" s="59">
        <v>354530174.29199374</v>
      </c>
      <c r="T1000" s="41"/>
      <c r="U1000" s="41"/>
      <c r="V1000" s="41"/>
      <c r="W1000" s="41"/>
      <c r="X1000" s="41"/>
      <c r="Y1000" s="41"/>
      <c r="Z1000" s="41"/>
      <c r="AA1000" s="41"/>
      <c r="AB1000" s="41"/>
      <c r="AC1000" s="41"/>
      <c r="AD1000" s="41"/>
      <c r="AE1000" s="59">
        <v>13972.00747265174</v>
      </c>
      <c r="AF1000" s="59">
        <v>14187.572891925256</v>
      </c>
      <c r="AG1000" s="59" t="s">
        <v>56</v>
      </c>
      <c r="AH1000" s="59" t="s">
        <v>78</v>
      </c>
    </row>
    <row r="1001" spans="1:34" x14ac:dyDescent="0.35">
      <c r="A1001" s="58">
        <v>2025</v>
      </c>
      <c r="B1001" s="58">
        <v>3</v>
      </c>
      <c r="C1001">
        <v>3</v>
      </c>
      <c r="D1001" s="58" t="s">
        <v>626</v>
      </c>
      <c r="E1001" t="s">
        <v>152</v>
      </c>
      <c r="F1001" s="58" t="s">
        <v>185</v>
      </c>
      <c r="G1001" t="s">
        <v>720</v>
      </c>
      <c r="H1001" s="58" t="s">
        <v>1428</v>
      </c>
      <c r="I1001" t="s">
        <v>75</v>
      </c>
      <c r="J1001" s="58" t="s">
        <v>75</v>
      </c>
      <c r="K1001" t="s">
        <v>1429</v>
      </c>
      <c r="L1001" t="s">
        <v>20</v>
      </c>
      <c r="M1001" t="s">
        <v>1430</v>
      </c>
      <c r="N1001" s="59">
        <v>100</v>
      </c>
      <c r="O1001" s="59">
        <v>1700000</v>
      </c>
      <c r="P1001" s="59">
        <v>0</v>
      </c>
      <c r="Q1001" s="59">
        <v>0</v>
      </c>
      <c r="R1001" s="59">
        <v>0</v>
      </c>
      <c r="S1001" s="59">
        <v>1700000</v>
      </c>
      <c r="T1001" s="41"/>
      <c r="U1001" s="41"/>
      <c r="V1001" s="41"/>
      <c r="W1001" s="41"/>
      <c r="X1001" s="41"/>
      <c r="Y1001" s="41"/>
      <c r="Z1001" s="41"/>
      <c r="AA1001" s="41"/>
      <c r="AB1001" s="41"/>
      <c r="AC1001" s="41"/>
      <c r="AD1001" s="41"/>
      <c r="AE1001" s="59">
        <v>66.996871989647047</v>
      </c>
      <c r="AF1001" s="59">
        <v>66.996871989647047</v>
      </c>
      <c r="AG1001" s="59" t="s">
        <v>152</v>
      </c>
      <c r="AH1001" s="59" t="s">
        <v>1199</v>
      </c>
    </row>
    <row r="1002" spans="1:34" x14ac:dyDescent="0.35">
      <c r="A1002" s="58">
        <v>2025</v>
      </c>
      <c r="B1002" s="58">
        <v>3</v>
      </c>
      <c r="C1002">
        <v>3</v>
      </c>
      <c r="D1002" s="58" t="s">
        <v>628</v>
      </c>
      <c r="E1002" t="s">
        <v>57</v>
      </c>
      <c r="F1002" s="58" t="s">
        <v>200</v>
      </c>
      <c r="G1002" t="s">
        <v>470</v>
      </c>
      <c r="H1002" s="58" t="s">
        <v>1428</v>
      </c>
      <c r="I1002" t="s">
        <v>76</v>
      </c>
      <c r="J1002" s="58" t="s">
        <v>76</v>
      </c>
      <c r="K1002" t="s">
        <v>1429</v>
      </c>
      <c r="L1002" t="s">
        <v>20</v>
      </c>
      <c r="M1002" t="s">
        <v>1430</v>
      </c>
      <c r="N1002" s="59">
        <v>50</v>
      </c>
      <c r="O1002" s="59">
        <v>856482</v>
      </c>
      <c r="P1002" s="59">
        <v>0</v>
      </c>
      <c r="Q1002" s="59">
        <v>0</v>
      </c>
      <c r="R1002" s="59">
        <v>0</v>
      </c>
      <c r="S1002" s="59">
        <v>856482</v>
      </c>
      <c r="T1002" s="41"/>
      <c r="U1002" s="41"/>
      <c r="V1002" s="41"/>
      <c r="W1002" s="41"/>
      <c r="X1002" s="41"/>
      <c r="Y1002" s="41"/>
      <c r="Z1002" s="41"/>
      <c r="AA1002" s="41"/>
      <c r="AB1002" s="41"/>
      <c r="AC1002" s="41"/>
      <c r="AD1002" s="41"/>
      <c r="AE1002" s="59">
        <v>33.753891126727574</v>
      </c>
      <c r="AF1002" s="59">
        <v>33.753891126727574</v>
      </c>
      <c r="AG1002" s="59" t="s">
        <v>57</v>
      </c>
      <c r="AH1002" s="59" t="s">
        <v>79</v>
      </c>
    </row>
    <row r="1003" spans="1:34" x14ac:dyDescent="0.35">
      <c r="A1003" s="58">
        <v>2025</v>
      </c>
      <c r="B1003" s="58">
        <v>3</v>
      </c>
      <c r="C1003">
        <v>3</v>
      </c>
      <c r="D1003" s="58" t="s">
        <v>628</v>
      </c>
      <c r="E1003" t="s">
        <v>57</v>
      </c>
      <c r="F1003" s="58" t="s">
        <v>201</v>
      </c>
      <c r="G1003" t="s">
        <v>471</v>
      </c>
      <c r="H1003" s="58" t="s">
        <v>1428</v>
      </c>
      <c r="I1003" t="s">
        <v>76</v>
      </c>
      <c r="J1003" s="58" t="s">
        <v>76</v>
      </c>
      <c r="K1003" t="s">
        <v>1429</v>
      </c>
      <c r="L1003" t="s">
        <v>20</v>
      </c>
      <c r="M1003" t="s">
        <v>1430</v>
      </c>
      <c r="N1003" s="59">
        <v>50</v>
      </c>
      <c r="O1003" s="59">
        <v>856482</v>
      </c>
      <c r="P1003" s="59">
        <v>0</v>
      </c>
      <c r="Q1003" s="59">
        <v>0</v>
      </c>
      <c r="R1003" s="59">
        <v>0</v>
      </c>
      <c r="S1003" s="59">
        <v>856482</v>
      </c>
      <c r="T1003" s="41"/>
      <c r="U1003" s="41"/>
      <c r="V1003" s="41"/>
      <c r="W1003" s="41"/>
      <c r="X1003" s="41"/>
      <c r="Y1003" s="41"/>
      <c r="Z1003" s="41"/>
      <c r="AA1003" s="41"/>
      <c r="AB1003" s="41"/>
      <c r="AC1003" s="41"/>
      <c r="AD1003" s="41"/>
      <c r="AE1003" s="59">
        <v>33.753891126727574</v>
      </c>
      <c r="AF1003" s="59">
        <v>33.753891126727574</v>
      </c>
      <c r="AG1003" s="59" t="s">
        <v>57</v>
      </c>
      <c r="AH1003" s="59" t="s">
        <v>77</v>
      </c>
    </row>
    <row r="1004" spans="1:34" x14ac:dyDescent="0.35">
      <c r="A1004" s="58">
        <v>2025</v>
      </c>
      <c r="B1004" s="58">
        <v>3</v>
      </c>
      <c r="C1004">
        <v>3</v>
      </c>
      <c r="D1004" s="58" t="s">
        <v>628</v>
      </c>
      <c r="E1004" t="s">
        <v>57</v>
      </c>
      <c r="F1004" s="58" t="s">
        <v>202</v>
      </c>
      <c r="G1004" t="s">
        <v>473</v>
      </c>
      <c r="H1004" s="58" t="s">
        <v>1428</v>
      </c>
      <c r="I1004" t="s">
        <v>76</v>
      </c>
      <c r="J1004" s="58" t="s">
        <v>76</v>
      </c>
      <c r="K1004" t="s">
        <v>1429</v>
      </c>
      <c r="L1004" t="s">
        <v>20</v>
      </c>
      <c r="M1004" t="s">
        <v>1430</v>
      </c>
      <c r="N1004" s="59">
        <v>50</v>
      </c>
      <c r="O1004" s="59">
        <v>856482</v>
      </c>
      <c r="P1004" s="59">
        <v>0</v>
      </c>
      <c r="Q1004" s="59">
        <v>0</v>
      </c>
      <c r="R1004" s="59">
        <v>0</v>
      </c>
      <c r="S1004" s="59">
        <v>856482</v>
      </c>
      <c r="T1004" s="41"/>
      <c r="U1004" s="41"/>
      <c r="V1004" s="41"/>
      <c r="W1004" s="41"/>
      <c r="X1004" s="41"/>
      <c r="Y1004" s="41"/>
      <c r="Z1004" s="41"/>
      <c r="AA1004" s="41"/>
      <c r="AB1004" s="41"/>
      <c r="AC1004" s="41"/>
      <c r="AD1004" s="41"/>
      <c r="AE1004" s="59">
        <v>33.753891126727574</v>
      </c>
      <c r="AF1004" s="59">
        <v>33.753891126727574</v>
      </c>
      <c r="AG1004" s="59" t="s">
        <v>57</v>
      </c>
      <c r="AH1004" s="59" t="s">
        <v>80</v>
      </c>
    </row>
    <row r="1005" spans="1:34" x14ac:dyDescent="0.35">
      <c r="A1005" s="58">
        <v>2025</v>
      </c>
      <c r="B1005" s="58">
        <v>3</v>
      </c>
      <c r="C1005">
        <v>3</v>
      </c>
      <c r="D1005" s="58" t="s">
        <v>628</v>
      </c>
      <c r="E1005" t="s">
        <v>57</v>
      </c>
      <c r="F1005" s="58" t="s">
        <v>203</v>
      </c>
      <c r="G1005" t="s">
        <v>472</v>
      </c>
      <c r="H1005" s="58" t="s">
        <v>1428</v>
      </c>
      <c r="I1005" t="s">
        <v>76</v>
      </c>
      <c r="J1005" s="58" t="s">
        <v>76</v>
      </c>
      <c r="K1005" t="s">
        <v>1429</v>
      </c>
      <c r="L1005" t="s">
        <v>20</v>
      </c>
      <c r="M1005" t="s">
        <v>1430</v>
      </c>
      <c r="N1005" s="59">
        <v>50</v>
      </c>
      <c r="O1005" s="59">
        <v>856482</v>
      </c>
      <c r="P1005" s="59">
        <v>0</v>
      </c>
      <c r="Q1005" s="59">
        <v>0</v>
      </c>
      <c r="R1005" s="59">
        <v>0</v>
      </c>
      <c r="S1005" s="59">
        <v>856482</v>
      </c>
      <c r="T1005" s="41"/>
      <c r="U1005" s="41"/>
      <c r="V1005" s="41"/>
      <c r="W1005" s="41"/>
      <c r="X1005" s="41"/>
      <c r="Y1005" s="41"/>
      <c r="Z1005" s="41"/>
      <c r="AA1005" s="41"/>
      <c r="AB1005" s="41"/>
      <c r="AC1005" s="41"/>
      <c r="AD1005" s="41"/>
      <c r="AE1005" s="59">
        <v>33.753891126727574</v>
      </c>
      <c r="AF1005" s="59">
        <v>33.753891126727574</v>
      </c>
      <c r="AG1005" s="59" t="s">
        <v>57</v>
      </c>
      <c r="AH1005" s="59" t="s">
        <v>78</v>
      </c>
    </row>
    <row r="1006" spans="1:34" x14ac:dyDescent="0.35">
      <c r="A1006" s="58">
        <v>2025</v>
      </c>
      <c r="B1006" s="58">
        <v>3</v>
      </c>
      <c r="C1006">
        <v>3</v>
      </c>
      <c r="D1006" s="58" t="s">
        <v>628</v>
      </c>
      <c r="E1006" t="s">
        <v>57</v>
      </c>
      <c r="F1006" s="58" t="s">
        <v>204</v>
      </c>
      <c r="G1006" t="s">
        <v>474</v>
      </c>
      <c r="H1006" s="58" t="s">
        <v>1428</v>
      </c>
      <c r="I1006" t="s">
        <v>76</v>
      </c>
      <c r="J1006" s="58" t="s">
        <v>76</v>
      </c>
      <c r="K1006" t="s">
        <v>1429</v>
      </c>
      <c r="L1006" t="s">
        <v>20</v>
      </c>
      <c r="M1006" t="s">
        <v>1430</v>
      </c>
      <c r="N1006" s="59">
        <v>10550</v>
      </c>
      <c r="O1006" s="59">
        <v>180717593.00000003</v>
      </c>
      <c r="P1006" s="59">
        <v>2393048.7472527474</v>
      </c>
      <c r="Q1006" s="59">
        <v>9722222</v>
      </c>
      <c r="R1006" s="59">
        <v>0</v>
      </c>
      <c r="S1006" s="59">
        <v>168602322.2527473</v>
      </c>
      <c r="T1006" s="41"/>
      <c r="U1006" s="41"/>
      <c r="V1006" s="41"/>
      <c r="W1006" s="41"/>
      <c r="X1006" s="41"/>
      <c r="Y1006" s="41"/>
      <c r="Z1006" s="41"/>
      <c r="AA1006" s="41"/>
      <c r="AB1006" s="41"/>
      <c r="AC1006" s="41"/>
      <c r="AD1006" s="41"/>
      <c r="AE1006" s="59">
        <v>6644.6048241908993</v>
      </c>
      <c r="AF1006" s="59">
        <v>7122.0667320577268</v>
      </c>
      <c r="AG1006" s="59" t="s">
        <v>57</v>
      </c>
      <c r="AH1006" s="59" t="s">
        <v>81</v>
      </c>
    </row>
    <row r="1007" spans="1:34" x14ac:dyDescent="0.35">
      <c r="A1007" s="58">
        <v>2025</v>
      </c>
      <c r="B1007" s="58">
        <v>3</v>
      </c>
      <c r="C1007">
        <v>3</v>
      </c>
      <c r="D1007" s="58" t="s">
        <v>628</v>
      </c>
      <c r="E1007" t="s">
        <v>57</v>
      </c>
      <c r="F1007" s="58" t="s">
        <v>206</v>
      </c>
      <c r="G1007" t="s">
        <v>476</v>
      </c>
      <c r="H1007" s="58" t="s">
        <v>1428</v>
      </c>
      <c r="I1007" t="s">
        <v>76</v>
      </c>
      <c r="J1007" s="58" t="s">
        <v>76</v>
      </c>
      <c r="K1007" t="s">
        <v>1429</v>
      </c>
      <c r="L1007" t="s">
        <v>20</v>
      </c>
      <c r="M1007" t="s">
        <v>1430</v>
      </c>
      <c r="N1007" s="59">
        <v>50</v>
      </c>
      <c r="O1007" s="59">
        <v>833331</v>
      </c>
      <c r="P1007" s="59">
        <v>0</v>
      </c>
      <c r="Q1007" s="59">
        <v>0</v>
      </c>
      <c r="R1007" s="59">
        <v>0</v>
      </c>
      <c r="S1007" s="59">
        <v>833331</v>
      </c>
      <c r="T1007" s="41"/>
      <c r="U1007" s="41"/>
      <c r="V1007" s="41"/>
      <c r="W1007" s="41"/>
      <c r="X1007" s="41"/>
      <c r="Y1007" s="41"/>
      <c r="Z1007" s="41"/>
      <c r="AA1007" s="41"/>
      <c r="AB1007" s="41"/>
      <c r="AC1007" s="41"/>
      <c r="AD1007" s="41"/>
      <c r="AE1007" s="59">
        <v>32.841511960002684</v>
      </c>
      <c r="AF1007" s="59">
        <v>32.841511960002684</v>
      </c>
      <c r="AG1007" s="59" t="s">
        <v>57</v>
      </c>
      <c r="AH1007" s="59" t="s">
        <v>83</v>
      </c>
    </row>
    <row r="1008" spans="1:34" x14ac:dyDescent="0.35">
      <c r="A1008" s="58">
        <v>2025</v>
      </c>
      <c r="B1008" s="58">
        <v>3</v>
      </c>
      <c r="C1008">
        <v>3</v>
      </c>
      <c r="D1008" s="58" t="s">
        <v>628</v>
      </c>
      <c r="E1008" t="s">
        <v>57</v>
      </c>
      <c r="F1008" s="58" t="s">
        <v>1634</v>
      </c>
      <c r="G1008" t="s">
        <v>1635</v>
      </c>
      <c r="H1008" s="58" t="s">
        <v>1012</v>
      </c>
      <c r="I1008" t="s">
        <v>1012</v>
      </c>
      <c r="J1008" s="58" t="s">
        <v>1395</v>
      </c>
      <c r="K1008" t="s">
        <v>1429</v>
      </c>
      <c r="L1008" t="s">
        <v>20</v>
      </c>
      <c r="M1008" t="s">
        <v>1430</v>
      </c>
      <c r="N1008" s="59">
        <v>0</v>
      </c>
      <c r="O1008" s="59">
        <v>0</v>
      </c>
      <c r="P1008" s="59">
        <v>0</v>
      </c>
      <c r="Q1008" s="59">
        <v>-9722222</v>
      </c>
      <c r="R1008" s="59">
        <v>0</v>
      </c>
      <c r="S1008" s="59">
        <v>9722222</v>
      </c>
      <c r="T1008" s="41"/>
      <c r="U1008" s="41"/>
      <c r="V1008" s="41"/>
      <c r="W1008" s="41"/>
      <c r="X1008" s="41"/>
      <c r="Y1008" s="41"/>
      <c r="Z1008" s="41"/>
      <c r="AA1008" s="41"/>
      <c r="AB1008" s="41"/>
      <c r="AC1008" s="41"/>
      <c r="AD1008" s="41"/>
      <c r="AE1008" s="59">
        <v>383.15203693466481</v>
      </c>
      <c r="AF1008" s="59">
        <v>0</v>
      </c>
      <c r="AG1008" s="59" t="s">
        <v>57</v>
      </c>
      <c r="AH1008" s="59" t="s">
        <v>1396</v>
      </c>
    </row>
    <row r="1009" spans="1:34" x14ac:dyDescent="0.35">
      <c r="A1009" s="58">
        <v>2025</v>
      </c>
      <c r="B1009" s="58">
        <v>3</v>
      </c>
      <c r="C1009">
        <v>3</v>
      </c>
      <c r="D1009" s="58" t="s">
        <v>660</v>
      </c>
      <c r="E1009" t="s">
        <v>158</v>
      </c>
      <c r="F1009" s="58" t="s">
        <v>202</v>
      </c>
      <c r="G1009" t="s">
        <v>473</v>
      </c>
      <c r="H1009" s="58" t="s">
        <v>1428</v>
      </c>
      <c r="I1009" t="s">
        <v>76</v>
      </c>
      <c r="J1009" s="58" t="s">
        <v>76</v>
      </c>
      <c r="K1009" t="s">
        <v>1429</v>
      </c>
      <c r="L1009" t="s">
        <v>20</v>
      </c>
      <c r="M1009" t="s">
        <v>1430</v>
      </c>
      <c r="N1009" s="59">
        <v>10000</v>
      </c>
      <c r="O1009" s="59">
        <v>146000000</v>
      </c>
      <c r="P1009" s="59">
        <v>2393048.7472527474</v>
      </c>
      <c r="Q1009" s="59">
        <v>0</v>
      </c>
      <c r="R1009" s="59">
        <v>0</v>
      </c>
      <c r="S1009" s="59">
        <v>143606951.25274724</v>
      </c>
      <c r="T1009" s="41"/>
      <c r="U1009" s="41"/>
      <c r="V1009" s="41"/>
      <c r="W1009" s="41"/>
      <c r="X1009" s="41"/>
      <c r="Y1009" s="41"/>
      <c r="Z1009" s="41"/>
      <c r="AA1009" s="41"/>
      <c r="AB1009" s="41"/>
      <c r="AC1009" s="41"/>
      <c r="AD1009" s="41"/>
      <c r="AE1009" s="59">
        <v>5659.5391352375236</v>
      </c>
      <c r="AF1009" s="59">
        <v>5753.8490061696866</v>
      </c>
      <c r="AG1009" s="59" t="s">
        <v>158</v>
      </c>
      <c r="AH1009" s="59" t="s">
        <v>80</v>
      </c>
    </row>
    <row r="1010" spans="1:34" x14ac:dyDescent="0.35">
      <c r="A1010" s="58">
        <v>2025</v>
      </c>
      <c r="B1010" s="58">
        <v>3</v>
      </c>
      <c r="C1010">
        <v>3</v>
      </c>
      <c r="D1010" s="58" t="s">
        <v>660</v>
      </c>
      <c r="E1010" t="s">
        <v>158</v>
      </c>
      <c r="F1010" s="58" t="s">
        <v>204</v>
      </c>
      <c r="G1010" t="s">
        <v>474</v>
      </c>
      <c r="H1010" s="58" t="s">
        <v>1428</v>
      </c>
      <c r="I1010" t="s">
        <v>76</v>
      </c>
      <c r="J1010" s="58" t="s">
        <v>76</v>
      </c>
      <c r="K1010" t="s">
        <v>1429</v>
      </c>
      <c r="L1010" t="s">
        <v>20</v>
      </c>
      <c r="M1010" t="s">
        <v>1430</v>
      </c>
      <c r="N1010" s="59">
        <v>10000</v>
      </c>
      <c r="O1010" s="59">
        <v>146000000</v>
      </c>
      <c r="P1010" s="59">
        <v>2393048.7472527474</v>
      </c>
      <c r="Q1010" s="59">
        <v>0</v>
      </c>
      <c r="R1010" s="59">
        <v>0</v>
      </c>
      <c r="S1010" s="59">
        <v>143606951.25274724</v>
      </c>
      <c r="T1010" s="41"/>
      <c r="U1010" s="41"/>
      <c r="V1010" s="41"/>
      <c r="W1010" s="41"/>
      <c r="X1010" s="41"/>
      <c r="Y1010" s="41"/>
      <c r="Z1010" s="41"/>
      <c r="AA1010" s="41"/>
      <c r="AB1010" s="41"/>
      <c r="AC1010" s="41"/>
      <c r="AD1010" s="41"/>
      <c r="AE1010" s="59">
        <v>5659.5391352375236</v>
      </c>
      <c r="AF1010" s="59">
        <v>5753.8490061696866</v>
      </c>
      <c r="AG1010" s="59" t="s">
        <v>158</v>
      </c>
      <c r="AH1010" s="59" t="s">
        <v>81</v>
      </c>
    </row>
    <row r="1011" spans="1:34" x14ac:dyDescent="0.35">
      <c r="A1011" s="58">
        <v>2025</v>
      </c>
      <c r="B1011" s="58">
        <v>3</v>
      </c>
      <c r="C1011">
        <v>3</v>
      </c>
      <c r="D1011" s="58" t="s">
        <v>1641</v>
      </c>
      <c r="E1011" t="s">
        <v>1314</v>
      </c>
      <c r="F1011" s="58" t="s">
        <v>1466</v>
      </c>
      <c r="G1011" t="s">
        <v>1467</v>
      </c>
      <c r="H1011" s="58" t="s">
        <v>1012</v>
      </c>
      <c r="I1011" t="s">
        <v>1012</v>
      </c>
      <c r="J1011" s="58" t="s">
        <v>1012</v>
      </c>
      <c r="K1011" t="s">
        <v>1429</v>
      </c>
      <c r="L1011" t="s">
        <v>20</v>
      </c>
      <c r="M1011" t="s">
        <v>1430</v>
      </c>
      <c r="N1011" s="59">
        <v>0</v>
      </c>
      <c r="O1011" s="59">
        <v>161435342</v>
      </c>
      <c r="P1011" s="59">
        <v>0</v>
      </c>
      <c r="Q1011" s="59">
        <v>0</v>
      </c>
      <c r="R1011" s="59">
        <v>0</v>
      </c>
      <c r="S1011" s="59">
        <v>161435342</v>
      </c>
      <c r="T1011" s="41"/>
      <c r="U1011" s="41"/>
      <c r="V1011" s="41"/>
      <c r="W1011" s="41"/>
      <c r="X1011" s="41"/>
      <c r="Y1011" s="41"/>
      <c r="Z1011" s="41"/>
      <c r="AA1011" s="41"/>
      <c r="AB1011" s="41"/>
      <c r="AC1011" s="41"/>
      <c r="AD1011" s="41"/>
      <c r="AE1011" s="59">
        <v>6362.15467210523</v>
      </c>
      <c r="AF1011" s="59">
        <v>6362.15467210523</v>
      </c>
      <c r="AG1011" s="59" t="s">
        <v>1314</v>
      </c>
      <c r="AH1011" s="59" t="s">
        <v>1306</v>
      </c>
    </row>
    <row r="1012" spans="1:34" x14ac:dyDescent="0.35">
      <c r="A1012" s="58">
        <v>2025</v>
      </c>
      <c r="B1012" s="58">
        <v>3</v>
      </c>
      <c r="C1012">
        <v>3</v>
      </c>
      <c r="D1012" s="58" t="s">
        <v>1642</v>
      </c>
      <c r="E1012" t="s">
        <v>1313</v>
      </c>
      <c r="F1012" s="58" t="s">
        <v>1466</v>
      </c>
      <c r="G1012" t="s">
        <v>1467</v>
      </c>
      <c r="H1012" s="58" t="s">
        <v>1012</v>
      </c>
      <c r="I1012" t="s">
        <v>1012</v>
      </c>
      <c r="J1012" s="58" t="s">
        <v>1012</v>
      </c>
      <c r="K1012" t="s">
        <v>1429</v>
      </c>
      <c r="L1012" t="s">
        <v>20</v>
      </c>
      <c r="M1012" t="s">
        <v>1430</v>
      </c>
      <c r="N1012" s="59">
        <v>0</v>
      </c>
      <c r="O1012" s="59">
        <v>17937260</v>
      </c>
      <c r="P1012" s="59">
        <v>0</v>
      </c>
      <c r="Q1012" s="59">
        <v>0</v>
      </c>
      <c r="R1012" s="59">
        <v>0</v>
      </c>
      <c r="S1012" s="59">
        <v>17937260</v>
      </c>
      <c r="T1012" s="41"/>
      <c r="U1012" s="41"/>
      <c r="V1012" s="41"/>
      <c r="W1012" s="41"/>
      <c r="X1012" s="41"/>
      <c r="Y1012" s="41"/>
      <c r="Z1012" s="41"/>
      <c r="AA1012" s="41"/>
      <c r="AB1012" s="41"/>
      <c r="AC1012" s="41"/>
      <c r="AD1012" s="41"/>
      <c r="AE1012" s="59">
        <v>706.90606592059783</v>
      </c>
      <c r="AF1012" s="59">
        <v>706.90606592059783</v>
      </c>
      <c r="AG1012" s="59" t="s">
        <v>1313</v>
      </c>
      <c r="AH1012" s="59" t="s">
        <v>1306</v>
      </c>
    </row>
    <row r="1013" spans="1:34" x14ac:dyDescent="0.35">
      <c r="A1013" s="58">
        <v>2025</v>
      </c>
      <c r="B1013" s="58">
        <v>3</v>
      </c>
      <c r="C1013">
        <v>3</v>
      </c>
      <c r="D1013" s="58" t="s">
        <v>1643</v>
      </c>
      <c r="E1013" t="s">
        <v>1328</v>
      </c>
      <c r="F1013" s="58" t="s">
        <v>1597</v>
      </c>
      <c r="G1013" t="s">
        <v>1598</v>
      </c>
      <c r="H1013" s="58" t="s">
        <v>1012</v>
      </c>
      <c r="I1013" t="s">
        <v>1012</v>
      </c>
      <c r="J1013" s="58" t="s">
        <v>1012</v>
      </c>
      <c r="K1013" t="s">
        <v>1429</v>
      </c>
      <c r="L1013" t="s">
        <v>20</v>
      </c>
      <c r="M1013" t="s">
        <v>1430</v>
      </c>
      <c r="N1013" s="59">
        <v>0</v>
      </c>
      <c r="O1013" s="59">
        <v>0</v>
      </c>
      <c r="P1013" s="59">
        <v>0</v>
      </c>
      <c r="Q1013" s="59">
        <v>0</v>
      </c>
      <c r="R1013" s="59">
        <v>0</v>
      </c>
      <c r="S1013" s="59">
        <v>0</v>
      </c>
      <c r="T1013" s="41"/>
      <c r="U1013" s="41"/>
      <c r="V1013" s="41"/>
      <c r="W1013" s="41"/>
      <c r="X1013" s="41"/>
      <c r="Y1013" s="41"/>
      <c r="Z1013" s="41"/>
      <c r="AA1013" s="41"/>
      <c r="AB1013" s="41"/>
      <c r="AC1013" s="41"/>
      <c r="AD1013" s="41"/>
      <c r="AE1013" s="59">
        <v>0</v>
      </c>
      <c r="AF1013" s="59">
        <v>0</v>
      </c>
      <c r="AG1013" s="59" t="s">
        <v>1328</v>
      </c>
      <c r="AH1013" s="59" t="s">
        <v>1327</v>
      </c>
    </row>
    <row r="1014" spans="1:34" x14ac:dyDescent="0.35">
      <c r="A1014" s="58">
        <v>2025</v>
      </c>
      <c r="B1014" s="58">
        <v>3</v>
      </c>
      <c r="C1014">
        <v>3</v>
      </c>
      <c r="D1014" s="58" t="s">
        <v>1644</v>
      </c>
      <c r="E1014" t="s">
        <v>1347</v>
      </c>
      <c r="F1014" s="58" t="s">
        <v>1496</v>
      </c>
      <c r="G1014" t="s">
        <v>1497</v>
      </c>
      <c r="H1014" s="58" t="s">
        <v>1012</v>
      </c>
      <c r="I1014" t="s">
        <v>1012</v>
      </c>
      <c r="J1014" s="58" t="s">
        <v>1012</v>
      </c>
      <c r="K1014" t="s">
        <v>1429</v>
      </c>
      <c r="L1014" t="s">
        <v>20</v>
      </c>
      <c r="M1014" t="s">
        <v>1430</v>
      </c>
      <c r="N1014" s="59">
        <v>0</v>
      </c>
      <c r="O1014" s="59">
        <v>0</v>
      </c>
      <c r="P1014" s="59">
        <v>0</v>
      </c>
      <c r="Q1014" s="59">
        <v>0</v>
      </c>
      <c r="R1014" s="59">
        <v>0</v>
      </c>
      <c r="S1014" s="59">
        <v>0</v>
      </c>
      <c r="T1014" s="41"/>
      <c r="U1014" s="41"/>
      <c r="V1014" s="41"/>
      <c r="W1014" s="41"/>
      <c r="X1014" s="41"/>
      <c r="Y1014" s="41"/>
      <c r="Z1014" s="41"/>
      <c r="AA1014" s="41"/>
      <c r="AB1014" s="41"/>
      <c r="AC1014" s="41"/>
      <c r="AD1014" s="41"/>
      <c r="AE1014" s="59">
        <v>0</v>
      </c>
      <c r="AF1014" s="59">
        <v>0</v>
      </c>
      <c r="AG1014" s="59" t="s">
        <v>1347</v>
      </c>
      <c r="AH1014" s="59" t="s">
        <v>1329</v>
      </c>
    </row>
    <row r="1015" spans="1:34" x14ac:dyDescent="0.35">
      <c r="A1015" s="58">
        <v>2025</v>
      </c>
      <c r="B1015" s="58">
        <v>3</v>
      </c>
      <c r="C1015">
        <v>3</v>
      </c>
      <c r="D1015" s="58" t="s">
        <v>1617</v>
      </c>
      <c r="E1015" t="s">
        <v>1278</v>
      </c>
      <c r="F1015" s="58" t="s">
        <v>1496</v>
      </c>
      <c r="G1015" t="s">
        <v>1497</v>
      </c>
      <c r="H1015" s="58" t="s">
        <v>1012</v>
      </c>
      <c r="I1015" t="s">
        <v>1012</v>
      </c>
      <c r="J1015" s="58" t="s">
        <v>1012</v>
      </c>
      <c r="K1015" t="s">
        <v>1429</v>
      </c>
      <c r="L1015" t="s">
        <v>20</v>
      </c>
      <c r="M1015" t="s">
        <v>1430</v>
      </c>
      <c r="N1015" s="59">
        <v>0</v>
      </c>
      <c r="O1015" s="59">
        <v>0</v>
      </c>
      <c r="P1015" s="59">
        <v>0</v>
      </c>
      <c r="Q1015" s="59">
        <v>0</v>
      </c>
      <c r="R1015" s="59">
        <v>0</v>
      </c>
      <c r="S1015" s="59">
        <v>0</v>
      </c>
      <c r="T1015" s="41"/>
      <c r="U1015" s="41"/>
      <c r="V1015" s="41"/>
      <c r="W1015" s="41"/>
      <c r="X1015" s="41"/>
      <c r="Y1015" s="41"/>
      <c r="Z1015" s="41"/>
      <c r="AA1015" s="41"/>
      <c r="AB1015" s="41"/>
      <c r="AC1015" s="41"/>
      <c r="AD1015" s="41"/>
      <c r="AE1015" s="59">
        <v>0</v>
      </c>
      <c r="AF1015" s="59">
        <v>0</v>
      </c>
      <c r="AG1015" s="59" t="s">
        <v>1278</v>
      </c>
      <c r="AH1015" s="59" t="s">
        <v>1329</v>
      </c>
    </row>
    <row r="1016" spans="1:34" x14ac:dyDescent="0.35">
      <c r="A1016" s="58">
        <v>2025</v>
      </c>
      <c r="B1016" s="58">
        <v>3</v>
      </c>
      <c r="C1016">
        <v>3</v>
      </c>
      <c r="D1016" s="58" t="s">
        <v>1630</v>
      </c>
      <c r="E1016" t="s">
        <v>1272</v>
      </c>
      <c r="F1016" s="58" t="s">
        <v>1631</v>
      </c>
      <c r="G1016" t="s">
        <v>1632</v>
      </c>
      <c r="H1016" s="58" t="s">
        <v>1012</v>
      </c>
      <c r="I1016" t="s">
        <v>1012</v>
      </c>
      <c r="J1016" s="58" t="s">
        <v>1012</v>
      </c>
      <c r="K1016" t="s">
        <v>1429</v>
      </c>
      <c r="L1016" t="s">
        <v>20</v>
      </c>
      <c r="M1016" t="s">
        <v>1430</v>
      </c>
      <c r="N1016" s="59">
        <v>0</v>
      </c>
      <c r="O1016" s="59">
        <v>0</v>
      </c>
      <c r="P1016" s="59">
        <v>0</v>
      </c>
      <c r="Q1016" s="59">
        <v>0</v>
      </c>
      <c r="R1016" s="59">
        <v>0</v>
      </c>
      <c r="S1016" s="59">
        <v>0</v>
      </c>
      <c r="T1016" s="41"/>
      <c r="U1016" s="41"/>
      <c r="V1016" s="41"/>
      <c r="W1016" s="41"/>
      <c r="X1016" s="41"/>
      <c r="Y1016" s="41"/>
      <c r="Z1016" s="41"/>
      <c r="AA1016" s="41"/>
      <c r="AB1016" s="41"/>
      <c r="AC1016" s="41"/>
      <c r="AD1016" s="41"/>
      <c r="AE1016" s="59">
        <v>0</v>
      </c>
      <c r="AF1016" s="59">
        <v>0</v>
      </c>
      <c r="AG1016" s="59" t="s">
        <v>1272</v>
      </c>
      <c r="AH1016" s="59" t="s">
        <v>1271</v>
      </c>
    </row>
    <row r="1017" spans="1:34" x14ac:dyDescent="0.35">
      <c r="A1017" s="58">
        <v>2025</v>
      </c>
      <c r="B1017" s="58">
        <v>3</v>
      </c>
      <c r="C1017">
        <v>3</v>
      </c>
      <c r="D1017" s="58" t="s">
        <v>1645</v>
      </c>
      <c r="E1017" t="s">
        <v>1305</v>
      </c>
      <c r="F1017" s="58" t="s">
        <v>1496</v>
      </c>
      <c r="G1017" t="s">
        <v>1497</v>
      </c>
      <c r="H1017" s="58" t="s">
        <v>1012</v>
      </c>
      <c r="I1017" t="s">
        <v>1012</v>
      </c>
      <c r="J1017" s="58" t="s">
        <v>1012</v>
      </c>
      <c r="K1017" t="s">
        <v>1429</v>
      </c>
      <c r="L1017" t="s">
        <v>20</v>
      </c>
      <c r="M1017" t="s">
        <v>1430</v>
      </c>
      <c r="N1017" s="59">
        <v>0</v>
      </c>
      <c r="O1017" s="59">
        <v>0</v>
      </c>
      <c r="P1017" s="59">
        <v>0</v>
      </c>
      <c r="Q1017" s="59">
        <v>0</v>
      </c>
      <c r="R1017" s="59">
        <v>0</v>
      </c>
      <c r="S1017" s="59">
        <v>0</v>
      </c>
      <c r="T1017" s="41"/>
      <c r="U1017" s="41"/>
      <c r="V1017" s="41"/>
      <c r="W1017" s="41"/>
      <c r="X1017" s="41"/>
      <c r="Y1017" s="41"/>
      <c r="Z1017" s="41"/>
      <c r="AA1017" s="41"/>
      <c r="AB1017" s="41"/>
      <c r="AC1017" s="41"/>
      <c r="AD1017" s="41"/>
      <c r="AE1017" s="59">
        <v>0</v>
      </c>
      <c r="AF1017" s="59">
        <v>0</v>
      </c>
      <c r="AG1017" s="59" t="s">
        <v>1305</v>
      </c>
      <c r="AH1017" s="59" t="s">
        <v>1329</v>
      </c>
    </row>
    <row r="1018" spans="1:34" x14ac:dyDescent="0.35">
      <c r="A1018" s="58">
        <v>2025</v>
      </c>
      <c r="B1018" s="58">
        <v>3</v>
      </c>
      <c r="C1018">
        <v>3</v>
      </c>
      <c r="D1018" s="58" t="s">
        <v>602</v>
      </c>
      <c r="E1018" t="s">
        <v>122</v>
      </c>
      <c r="F1018" s="58" t="s">
        <v>171</v>
      </c>
      <c r="G1018" t="s">
        <v>731</v>
      </c>
      <c r="H1018" s="58" t="s">
        <v>4</v>
      </c>
      <c r="I1018" t="s">
        <v>4</v>
      </c>
      <c r="J1018" s="58" t="s">
        <v>4</v>
      </c>
      <c r="K1018" t="s">
        <v>1476</v>
      </c>
      <c r="L1018" t="s">
        <v>1477</v>
      </c>
      <c r="M1018" t="s">
        <v>1430</v>
      </c>
      <c r="N1018" s="59">
        <v>44000</v>
      </c>
      <c r="O1018" s="59">
        <v>1399346960</v>
      </c>
      <c r="P1018" s="59">
        <v>3300100</v>
      </c>
      <c r="Q1018" s="59">
        <v>0</v>
      </c>
      <c r="R1018" s="59">
        <v>22203202</v>
      </c>
      <c r="S1018" s="59">
        <v>1373843658</v>
      </c>
      <c r="T1018" s="41"/>
      <c r="U1018" s="41"/>
      <c r="V1018" s="41"/>
      <c r="W1018" s="41"/>
      <c r="X1018" s="41"/>
      <c r="Y1018" s="41"/>
      <c r="Z1018" s="41"/>
      <c r="AA1018" s="41"/>
      <c r="AB1018" s="41"/>
      <c r="AC1018" s="41"/>
      <c r="AD1018" s="41"/>
      <c r="AE1018" s="59">
        <v>54088.332992125986</v>
      </c>
      <c r="AF1018" s="59">
        <v>55092.4</v>
      </c>
      <c r="AG1018" s="59" t="s">
        <v>122</v>
      </c>
      <c r="AH1018" s="59" t="s">
        <v>1166</v>
      </c>
    </row>
    <row r="1019" spans="1:34" x14ac:dyDescent="0.35">
      <c r="A1019" s="58">
        <v>2025</v>
      </c>
      <c r="B1019" s="58">
        <v>3</v>
      </c>
      <c r="C1019">
        <v>3</v>
      </c>
      <c r="D1019" s="58" t="s">
        <v>602</v>
      </c>
      <c r="E1019" t="s">
        <v>122</v>
      </c>
      <c r="F1019" s="58" t="s">
        <v>1152</v>
      </c>
      <c r="G1019" t="s">
        <v>1153</v>
      </c>
      <c r="H1019" s="58" t="s">
        <v>1012</v>
      </c>
      <c r="I1019" t="s">
        <v>1012</v>
      </c>
      <c r="J1019" s="58" t="s">
        <v>1399</v>
      </c>
      <c r="K1019" t="s">
        <v>1429</v>
      </c>
      <c r="L1019" t="s">
        <v>20</v>
      </c>
      <c r="M1019" t="s">
        <v>1430</v>
      </c>
      <c r="N1019" s="59">
        <v>0</v>
      </c>
      <c r="O1019" s="59">
        <v>0</v>
      </c>
      <c r="P1019" s="59">
        <v>0</v>
      </c>
      <c r="Q1019" s="59">
        <v>0</v>
      </c>
      <c r="R1019" s="59">
        <v>-459962</v>
      </c>
      <c r="S1019" s="59">
        <v>459962</v>
      </c>
      <c r="T1019" s="41"/>
      <c r="U1019" s="41"/>
      <c r="V1019" s="41"/>
      <c r="W1019" s="41"/>
      <c r="X1019" s="41"/>
      <c r="Y1019" s="41"/>
      <c r="Z1019" s="41"/>
      <c r="AA1019" s="41"/>
      <c r="AB1019" s="41"/>
      <c r="AC1019" s="41"/>
      <c r="AD1019" s="41"/>
      <c r="AE1019" s="59">
        <v>18.127067784765902</v>
      </c>
      <c r="AF1019" s="59">
        <v>0</v>
      </c>
      <c r="AG1019" s="59" t="s">
        <v>122</v>
      </c>
      <c r="AH1019" s="59" t="s">
        <v>1400</v>
      </c>
    </row>
    <row r="1020" spans="1:34" x14ac:dyDescent="0.35">
      <c r="A1020" s="58">
        <v>2025</v>
      </c>
      <c r="B1020" s="58">
        <v>3</v>
      </c>
      <c r="C1020">
        <v>3</v>
      </c>
      <c r="D1020" s="58" t="s">
        <v>587</v>
      </c>
      <c r="E1020" t="s">
        <v>6</v>
      </c>
      <c r="F1020" s="58" t="s">
        <v>171</v>
      </c>
      <c r="G1020" t="s">
        <v>731</v>
      </c>
      <c r="H1020" s="58" t="s">
        <v>4</v>
      </c>
      <c r="I1020" t="s">
        <v>4</v>
      </c>
      <c r="J1020" s="58" t="s">
        <v>4</v>
      </c>
      <c r="K1020" t="s">
        <v>1476</v>
      </c>
      <c r="L1020" t="s">
        <v>1477</v>
      </c>
      <c r="M1020" t="s">
        <v>1430</v>
      </c>
      <c r="N1020" s="59">
        <v>1078000</v>
      </c>
      <c r="O1020" s="59">
        <v>34230245055</v>
      </c>
      <c r="P1020" s="59">
        <v>80852450</v>
      </c>
      <c r="Q1020" s="59">
        <v>513453675.82500011</v>
      </c>
      <c r="R1020" s="59">
        <v>414722958.29807729</v>
      </c>
      <c r="S1020" s="59">
        <v>33221215970.876911</v>
      </c>
      <c r="T1020" s="41"/>
      <c r="U1020" s="41"/>
      <c r="V1020" s="41"/>
      <c r="W1020" s="41"/>
      <c r="X1020" s="41"/>
      <c r="Y1020" s="41"/>
      <c r="Z1020" s="41"/>
      <c r="AA1020" s="41"/>
      <c r="AB1020" s="41"/>
      <c r="AC1020" s="41"/>
      <c r="AD1020" s="41"/>
      <c r="AE1020" s="59">
        <v>1309078.5586905417</v>
      </c>
      <c r="AF1020" s="59">
        <v>1348838.9200632663</v>
      </c>
      <c r="AG1020" s="59" t="s">
        <v>6</v>
      </c>
      <c r="AH1020" s="59" t="s">
        <v>1166</v>
      </c>
    </row>
    <row r="1021" spans="1:34" x14ac:dyDescent="0.35">
      <c r="A1021" s="58">
        <v>2025</v>
      </c>
      <c r="B1021" s="58">
        <v>3</v>
      </c>
      <c r="C1021">
        <v>3</v>
      </c>
      <c r="D1021" s="58" t="s">
        <v>587</v>
      </c>
      <c r="E1021" t="s">
        <v>6</v>
      </c>
      <c r="F1021" s="58" t="s">
        <v>1152</v>
      </c>
      <c r="G1021" t="s">
        <v>1153</v>
      </c>
      <c r="H1021" s="58" t="s">
        <v>1012</v>
      </c>
      <c r="I1021" t="s">
        <v>1012</v>
      </c>
      <c r="J1021" s="58" t="s">
        <v>1399</v>
      </c>
      <c r="K1021" t="s">
        <v>1429</v>
      </c>
      <c r="L1021" t="s">
        <v>20</v>
      </c>
      <c r="M1021" t="s">
        <v>1430</v>
      </c>
      <c r="N1021" s="59">
        <v>0</v>
      </c>
      <c r="O1021" s="59">
        <v>0</v>
      </c>
      <c r="P1021" s="59">
        <v>0</v>
      </c>
      <c r="Q1021" s="59">
        <v>0</v>
      </c>
      <c r="R1021" s="59">
        <v>-18571772.943076905</v>
      </c>
      <c r="S1021" s="59">
        <v>18571772.943076905</v>
      </c>
      <c r="T1021" s="41"/>
      <c r="U1021" s="41"/>
      <c r="V1021" s="41"/>
      <c r="W1021" s="41"/>
      <c r="X1021" s="41"/>
      <c r="Y1021" s="41"/>
      <c r="Z1021" s="41"/>
      <c r="AA1021" s="41"/>
      <c r="AB1021" s="41"/>
      <c r="AC1021" s="41"/>
      <c r="AD1021" s="41"/>
      <c r="AE1021" s="59">
        <v>731.91217322830244</v>
      </c>
      <c r="AF1021" s="59">
        <v>0</v>
      </c>
      <c r="AG1021" s="59" t="s">
        <v>6</v>
      </c>
      <c r="AH1021" s="59" t="s">
        <v>1400</v>
      </c>
    </row>
    <row r="1022" spans="1:34" x14ac:dyDescent="0.35">
      <c r="A1022" s="58">
        <v>2025</v>
      </c>
      <c r="B1022" s="58">
        <v>3</v>
      </c>
      <c r="C1022">
        <v>3</v>
      </c>
      <c r="D1022" s="58" t="s">
        <v>588</v>
      </c>
      <c r="E1022" t="s">
        <v>9</v>
      </c>
      <c r="F1022" s="58" t="s">
        <v>172</v>
      </c>
      <c r="G1022" t="s">
        <v>734</v>
      </c>
      <c r="H1022" s="58" t="s">
        <v>4</v>
      </c>
      <c r="I1022" t="s">
        <v>4</v>
      </c>
      <c r="J1022" s="58" t="s">
        <v>4</v>
      </c>
      <c r="K1022" t="s">
        <v>1476</v>
      </c>
      <c r="L1022" t="s">
        <v>1501</v>
      </c>
      <c r="M1022" t="s">
        <v>1430</v>
      </c>
      <c r="N1022" s="59">
        <v>880000</v>
      </c>
      <c r="O1022" s="59">
        <v>27864650000</v>
      </c>
      <c r="P1022" s="59">
        <v>66002000</v>
      </c>
      <c r="Q1022" s="59">
        <v>0</v>
      </c>
      <c r="R1022" s="59">
        <v>356687044.0000003</v>
      </c>
      <c r="S1022" s="59">
        <v>27441960956.000019</v>
      </c>
      <c r="T1022" s="41"/>
      <c r="U1022" s="41"/>
      <c r="V1022" s="41"/>
      <c r="W1022" s="41"/>
      <c r="X1022" s="41"/>
      <c r="Y1022" s="41"/>
      <c r="Z1022" s="41"/>
      <c r="AA1022" s="41"/>
      <c r="AB1022" s="41"/>
      <c r="AC1022" s="41"/>
      <c r="AD1022" s="41"/>
      <c r="AE1022" s="59">
        <v>1083313.8861055239</v>
      </c>
      <c r="AF1022" s="59">
        <v>1100000</v>
      </c>
      <c r="AG1022" s="59" t="s">
        <v>9</v>
      </c>
      <c r="AH1022" s="59" t="s">
        <v>1175</v>
      </c>
    </row>
    <row r="1023" spans="1:34" x14ac:dyDescent="0.35">
      <c r="A1023" s="58">
        <v>2025</v>
      </c>
      <c r="B1023" s="58">
        <v>3</v>
      </c>
      <c r="C1023">
        <v>3</v>
      </c>
      <c r="D1023" s="58" t="s">
        <v>588</v>
      </c>
      <c r="E1023" t="s">
        <v>9</v>
      </c>
      <c r="F1023" s="58" t="s">
        <v>1152</v>
      </c>
      <c r="G1023" t="s">
        <v>1153</v>
      </c>
      <c r="H1023" s="58" t="s">
        <v>1012</v>
      </c>
      <c r="I1023" t="s">
        <v>1012</v>
      </c>
      <c r="J1023" s="58" t="s">
        <v>1399</v>
      </c>
      <c r="K1023" t="s">
        <v>1429</v>
      </c>
      <c r="L1023" t="s">
        <v>20</v>
      </c>
      <c r="M1023" t="s">
        <v>1430</v>
      </c>
      <c r="N1023" s="59">
        <v>0</v>
      </c>
      <c r="O1023" s="59">
        <v>0</v>
      </c>
      <c r="P1023" s="59">
        <v>0</v>
      </c>
      <c r="Q1023" s="59">
        <v>0</v>
      </c>
      <c r="R1023" s="59">
        <v>80537171.999999955</v>
      </c>
      <c r="S1023" s="59">
        <v>-80537171.999999955</v>
      </c>
      <c r="T1023" s="41"/>
      <c r="U1023" s="41"/>
      <c r="V1023" s="41"/>
      <c r="W1023" s="41"/>
      <c r="X1023" s="41"/>
      <c r="Y1023" s="41"/>
      <c r="Z1023" s="41"/>
      <c r="AA1023" s="41"/>
      <c r="AB1023" s="41"/>
      <c r="AC1023" s="41"/>
      <c r="AD1023" s="41"/>
      <c r="AE1023" s="59">
        <v>-3173.9638840542279</v>
      </c>
      <c r="AF1023" s="59">
        <v>0</v>
      </c>
      <c r="AG1023" s="59" t="s">
        <v>9</v>
      </c>
      <c r="AH1023" s="59" t="s">
        <v>1400</v>
      </c>
    </row>
    <row r="1024" spans="1:34" x14ac:dyDescent="0.35">
      <c r="A1024" s="58">
        <v>2025</v>
      </c>
      <c r="B1024" s="58">
        <v>3</v>
      </c>
      <c r="C1024">
        <v>3</v>
      </c>
      <c r="D1024" s="58" t="s">
        <v>668</v>
      </c>
      <c r="E1024" t="s">
        <v>142</v>
      </c>
      <c r="F1024" s="58" t="s">
        <v>1152</v>
      </c>
      <c r="G1024" t="s">
        <v>1153</v>
      </c>
      <c r="H1024" s="58" t="s">
        <v>1012</v>
      </c>
      <c r="I1024" t="s">
        <v>1012</v>
      </c>
      <c r="J1024" s="58" t="s">
        <v>1399</v>
      </c>
      <c r="K1024" t="s">
        <v>1429</v>
      </c>
      <c r="L1024" t="s">
        <v>20</v>
      </c>
      <c r="M1024" t="s">
        <v>1430</v>
      </c>
      <c r="N1024" s="59">
        <v>0</v>
      </c>
      <c r="O1024" s="59">
        <v>0</v>
      </c>
      <c r="P1024" s="59">
        <v>0</v>
      </c>
      <c r="Q1024" s="59">
        <v>0</v>
      </c>
      <c r="R1024" s="59">
        <v>-944367</v>
      </c>
      <c r="S1024" s="59">
        <v>944367</v>
      </c>
      <c r="T1024" s="41"/>
      <c r="U1024" s="41"/>
      <c r="V1024" s="41"/>
      <c r="W1024" s="41"/>
      <c r="X1024" s="41"/>
      <c r="Y1024" s="41"/>
      <c r="Z1024" s="41"/>
      <c r="AA1024" s="41"/>
      <c r="AB1024" s="41"/>
      <c r="AC1024" s="41"/>
      <c r="AD1024" s="41"/>
      <c r="AE1024" s="59">
        <v>37.217432358968829</v>
      </c>
      <c r="AF1024" s="59">
        <v>0</v>
      </c>
      <c r="AG1024" s="59" t="s">
        <v>142</v>
      </c>
      <c r="AH1024" s="59" t="s">
        <v>1400</v>
      </c>
    </row>
    <row r="1025" spans="1:34" x14ac:dyDescent="0.35">
      <c r="A1025" s="58">
        <v>2025</v>
      </c>
      <c r="B1025" s="58">
        <v>3</v>
      </c>
      <c r="C1025">
        <v>3</v>
      </c>
      <c r="D1025" s="58" t="s">
        <v>618</v>
      </c>
      <c r="E1025" t="s">
        <v>143</v>
      </c>
      <c r="F1025" s="58" t="s">
        <v>174</v>
      </c>
      <c r="G1025" t="s">
        <v>740</v>
      </c>
      <c r="H1025" s="58" t="s">
        <v>4</v>
      </c>
      <c r="I1025" t="s">
        <v>4</v>
      </c>
      <c r="J1025" s="58" t="s">
        <v>4</v>
      </c>
      <c r="K1025" t="s">
        <v>1476</v>
      </c>
      <c r="L1025" t="s">
        <v>1477</v>
      </c>
      <c r="M1025" t="s">
        <v>1430</v>
      </c>
      <c r="N1025" s="59">
        <v>220000</v>
      </c>
      <c r="O1025" s="59">
        <v>6312552400</v>
      </c>
      <c r="P1025" s="59">
        <v>16500500</v>
      </c>
      <c r="Q1025" s="59">
        <v>0</v>
      </c>
      <c r="R1025" s="59">
        <v>88365322.000000015</v>
      </c>
      <c r="S1025" s="59">
        <v>6207686578.000001</v>
      </c>
      <c r="T1025" s="41"/>
      <c r="U1025" s="41"/>
      <c r="V1025" s="41"/>
      <c r="W1025" s="41"/>
      <c r="X1025" s="41"/>
      <c r="Y1025" s="41"/>
      <c r="Z1025" s="41"/>
      <c r="AA1025" s="41"/>
      <c r="AB1025" s="41"/>
      <c r="AC1025" s="41"/>
      <c r="AD1025" s="41"/>
      <c r="AE1025" s="59">
        <v>243821.15388845242</v>
      </c>
      <c r="AF1025" s="59">
        <v>247940</v>
      </c>
      <c r="AG1025" s="59" t="s">
        <v>143</v>
      </c>
      <c r="AH1025" s="59" t="s">
        <v>1185</v>
      </c>
    </row>
    <row r="1026" spans="1:34" x14ac:dyDescent="0.35">
      <c r="A1026" s="58">
        <v>2025</v>
      </c>
      <c r="B1026" s="58">
        <v>3</v>
      </c>
      <c r="C1026">
        <v>3</v>
      </c>
      <c r="D1026" s="58" t="s">
        <v>618</v>
      </c>
      <c r="E1026" t="s">
        <v>143</v>
      </c>
      <c r="F1026" s="58" t="s">
        <v>1152</v>
      </c>
      <c r="G1026" t="s">
        <v>1153</v>
      </c>
      <c r="H1026" s="58" t="s">
        <v>1012</v>
      </c>
      <c r="I1026" t="s">
        <v>1012</v>
      </c>
      <c r="J1026" s="58" t="s">
        <v>1399</v>
      </c>
      <c r="K1026" t="s">
        <v>1429</v>
      </c>
      <c r="L1026" t="s">
        <v>20</v>
      </c>
      <c r="M1026" t="s">
        <v>1430</v>
      </c>
      <c r="N1026" s="59">
        <v>0</v>
      </c>
      <c r="O1026" s="59">
        <v>0</v>
      </c>
      <c r="P1026" s="59">
        <v>0</v>
      </c>
      <c r="Q1026" s="59">
        <v>0</v>
      </c>
      <c r="R1026" s="59">
        <v>1577646</v>
      </c>
      <c r="S1026" s="59">
        <v>-1577646</v>
      </c>
      <c r="T1026" s="41"/>
      <c r="U1026" s="41"/>
      <c r="V1026" s="41"/>
      <c r="W1026" s="41"/>
      <c r="X1026" s="41"/>
      <c r="Y1026" s="41"/>
      <c r="Z1026" s="41"/>
      <c r="AA1026" s="41"/>
      <c r="AB1026" s="41"/>
      <c r="AC1026" s="41"/>
      <c r="AD1026" s="41"/>
      <c r="AE1026" s="59">
        <v>-62.174910062928632</v>
      </c>
      <c r="AF1026" s="59">
        <v>0</v>
      </c>
      <c r="AG1026" s="59" t="s">
        <v>143</v>
      </c>
      <c r="AH1026" s="59" t="s">
        <v>1400</v>
      </c>
    </row>
    <row r="1027" spans="1:34" x14ac:dyDescent="0.35">
      <c r="A1027" s="58">
        <v>2025</v>
      </c>
      <c r="B1027" s="58">
        <v>3</v>
      </c>
      <c r="C1027">
        <v>3</v>
      </c>
      <c r="D1027" s="58" t="s">
        <v>637</v>
      </c>
      <c r="E1027" t="s">
        <v>64</v>
      </c>
      <c r="F1027" s="58" t="s">
        <v>215</v>
      </c>
      <c r="G1027" t="s">
        <v>1079</v>
      </c>
      <c r="H1027" s="58" t="s">
        <v>21</v>
      </c>
      <c r="I1027" t="s">
        <v>21</v>
      </c>
      <c r="J1027" s="58" t="s">
        <v>21</v>
      </c>
      <c r="K1027" t="s">
        <v>1476</v>
      </c>
      <c r="L1027" t="s">
        <v>301</v>
      </c>
      <c r="M1027" t="s">
        <v>1430</v>
      </c>
      <c r="N1027" s="59">
        <v>50</v>
      </c>
      <c r="O1027" s="59">
        <v>1372680</v>
      </c>
      <c r="P1027" s="59">
        <v>0</v>
      </c>
      <c r="Q1027" s="59">
        <v>0</v>
      </c>
      <c r="R1027" s="59">
        <v>36543.151767151772</v>
      </c>
      <c r="S1027" s="59">
        <v>1336136.8482328483</v>
      </c>
      <c r="T1027" s="41"/>
      <c r="U1027" s="41"/>
      <c r="V1027" s="41"/>
      <c r="W1027" s="41"/>
      <c r="X1027" s="41"/>
      <c r="Y1027" s="41"/>
      <c r="Z1027" s="41"/>
      <c r="AA1027" s="41"/>
      <c r="AB1027" s="41"/>
      <c r="AC1027" s="41"/>
      <c r="AD1027" s="41"/>
      <c r="AE1027" s="59">
        <v>52.562425186186012</v>
      </c>
      <c r="AF1027" s="59">
        <v>54</v>
      </c>
      <c r="AG1027" s="59" t="s">
        <v>64</v>
      </c>
      <c r="AH1027" s="59" t="s">
        <v>1357</v>
      </c>
    </row>
    <row r="1028" spans="1:34" x14ac:dyDescent="0.35">
      <c r="A1028" s="58">
        <v>2025</v>
      </c>
      <c r="B1028" s="58">
        <v>3</v>
      </c>
      <c r="C1028">
        <v>3</v>
      </c>
      <c r="D1028" s="58" t="s">
        <v>637</v>
      </c>
      <c r="E1028" t="s">
        <v>64</v>
      </c>
      <c r="F1028" s="58" t="s">
        <v>216</v>
      </c>
      <c r="G1028" t="s">
        <v>935</v>
      </c>
      <c r="H1028" s="58" t="s">
        <v>21</v>
      </c>
      <c r="I1028" t="s">
        <v>21</v>
      </c>
      <c r="J1028" s="58" t="s">
        <v>21</v>
      </c>
      <c r="K1028" t="s">
        <v>1476</v>
      </c>
      <c r="L1028" t="s">
        <v>301</v>
      </c>
      <c r="M1028" t="s">
        <v>1430</v>
      </c>
      <c r="N1028" s="59">
        <v>19000</v>
      </c>
      <c r="O1028" s="59">
        <v>520797600</v>
      </c>
      <c r="P1028" s="59">
        <v>0</v>
      </c>
      <c r="Q1028" s="59">
        <v>0</v>
      </c>
      <c r="R1028" s="59">
        <v>13886397.671517672</v>
      </c>
      <c r="S1028" s="59">
        <v>506911202.32848233</v>
      </c>
      <c r="T1028" s="41"/>
      <c r="U1028" s="41"/>
      <c r="V1028" s="41"/>
      <c r="W1028" s="41"/>
      <c r="X1028" s="41"/>
      <c r="Y1028" s="41"/>
      <c r="Z1028" s="41"/>
      <c r="AA1028" s="41"/>
      <c r="AB1028" s="41"/>
      <c r="AC1028" s="41"/>
      <c r="AD1028" s="41"/>
      <c r="AE1028" s="59">
        <v>19972.860611839336</v>
      </c>
      <c r="AF1028" s="59">
        <v>20520</v>
      </c>
      <c r="AG1028" s="59" t="s">
        <v>64</v>
      </c>
      <c r="AH1028" s="59" t="s">
        <v>1358</v>
      </c>
    </row>
    <row r="1029" spans="1:34" x14ac:dyDescent="0.35">
      <c r="A1029" s="58">
        <v>2025</v>
      </c>
      <c r="B1029" s="58">
        <v>3</v>
      </c>
      <c r="C1029">
        <v>3</v>
      </c>
      <c r="D1029" s="58" t="s">
        <v>637</v>
      </c>
      <c r="E1029" t="s">
        <v>64</v>
      </c>
      <c r="F1029" s="58" t="s">
        <v>217</v>
      </c>
      <c r="G1029" t="s">
        <v>938</v>
      </c>
      <c r="H1029" s="58" t="s">
        <v>21</v>
      </c>
      <c r="I1029" t="s">
        <v>21</v>
      </c>
      <c r="J1029" s="58" t="s">
        <v>21</v>
      </c>
      <c r="K1029" t="s">
        <v>1476</v>
      </c>
      <c r="L1029" t="s">
        <v>301</v>
      </c>
      <c r="M1029" t="s">
        <v>1430</v>
      </c>
      <c r="N1029" s="59">
        <v>5000</v>
      </c>
      <c r="O1029" s="59">
        <v>137052000</v>
      </c>
      <c r="P1029" s="59">
        <v>0</v>
      </c>
      <c r="Q1029" s="59">
        <v>0</v>
      </c>
      <c r="R1029" s="59">
        <v>3654315.176715177</v>
      </c>
      <c r="S1029" s="59">
        <v>133397684.82328482</v>
      </c>
      <c r="T1029" s="41"/>
      <c r="U1029" s="41"/>
      <c r="V1029" s="41"/>
      <c r="W1029" s="41"/>
      <c r="X1029" s="41"/>
      <c r="Y1029" s="41"/>
      <c r="Z1029" s="41"/>
      <c r="AA1029" s="41"/>
      <c r="AB1029" s="41"/>
      <c r="AC1029" s="41"/>
      <c r="AD1029" s="41"/>
      <c r="AE1029" s="59">
        <v>5256.0159504840358</v>
      </c>
      <c r="AF1029" s="59">
        <v>5400</v>
      </c>
      <c r="AG1029" s="59" t="s">
        <v>64</v>
      </c>
      <c r="AH1029" s="59" t="s">
        <v>1359</v>
      </c>
    </row>
    <row r="1030" spans="1:34" x14ac:dyDescent="0.35">
      <c r="A1030" s="58">
        <v>2025</v>
      </c>
      <c r="B1030" s="58">
        <v>3</v>
      </c>
      <c r="C1030">
        <v>3</v>
      </c>
      <c r="D1030" s="58" t="s">
        <v>637</v>
      </c>
      <c r="E1030" t="s">
        <v>64</v>
      </c>
      <c r="F1030" s="58" t="s">
        <v>1152</v>
      </c>
      <c r="G1030" t="s">
        <v>1153</v>
      </c>
      <c r="H1030" s="58" t="s">
        <v>1012</v>
      </c>
      <c r="I1030" t="s">
        <v>1012</v>
      </c>
      <c r="J1030" s="58" t="s">
        <v>1399</v>
      </c>
      <c r="K1030" t="s">
        <v>1429</v>
      </c>
      <c r="L1030" t="s">
        <v>20</v>
      </c>
      <c r="M1030" t="s">
        <v>1430</v>
      </c>
      <c r="N1030" s="59">
        <v>0</v>
      </c>
      <c r="O1030" s="59">
        <v>0</v>
      </c>
      <c r="P1030" s="59">
        <v>0</v>
      </c>
      <c r="Q1030" s="59">
        <v>0</v>
      </c>
      <c r="R1030" s="59">
        <v>-2568163</v>
      </c>
      <c r="S1030" s="59">
        <v>2568163</v>
      </c>
      <c r="T1030" s="41"/>
      <c r="U1030" s="41"/>
      <c r="V1030" s="41"/>
      <c r="W1030" s="41"/>
      <c r="X1030" s="41"/>
      <c r="Y1030" s="41"/>
      <c r="Z1030" s="41"/>
      <c r="AA1030" s="41"/>
      <c r="AB1030" s="41"/>
      <c r="AC1030" s="41"/>
      <c r="AD1030" s="41"/>
      <c r="AE1030" s="59">
        <v>101.21111044679289</v>
      </c>
      <c r="AF1030" s="59">
        <v>0</v>
      </c>
      <c r="AG1030" s="59" t="s">
        <v>64</v>
      </c>
      <c r="AH1030" s="59" t="s">
        <v>1400</v>
      </c>
    </row>
    <row r="1031" spans="1:34" x14ac:dyDescent="0.35">
      <c r="A1031" s="58">
        <v>2025</v>
      </c>
      <c r="B1031" s="58">
        <v>3</v>
      </c>
      <c r="C1031">
        <v>3</v>
      </c>
      <c r="D1031" s="58" t="s">
        <v>591</v>
      </c>
      <c r="E1031" t="s">
        <v>121</v>
      </c>
      <c r="F1031" s="58" t="s">
        <v>172</v>
      </c>
      <c r="G1031" t="s">
        <v>734</v>
      </c>
      <c r="H1031" s="58" t="s">
        <v>4</v>
      </c>
      <c r="I1031" t="s">
        <v>4</v>
      </c>
      <c r="J1031" s="58" t="s">
        <v>4</v>
      </c>
      <c r="K1031" t="s">
        <v>1476</v>
      </c>
      <c r="L1031" t="s">
        <v>292</v>
      </c>
      <c r="M1031" t="s">
        <v>1430</v>
      </c>
      <c r="N1031" s="59">
        <v>66000</v>
      </c>
      <c r="O1031" s="59">
        <v>2087118000.0000005</v>
      </c>
      <c r="P1031" s="59">
        <v>6200160</v>
      </c>
      <c r="Q1031" s="59">
        <v>0</v>
      </c>
      <c r="R1031" s="59">
        <v>29828075.000000004</v>
      </c>
      <c r="S1031" s="59">
        <v>2051089765.0000005</v>
      </c>
      <c r="T1031" s="41"/>
      <c r="U1031" s="41"/>
      <c r="V1031" s="41"/>
      <c r="W1031" s="41"/>
      <c r="X1031" s="41"/>
      <c r="Y1031" s="41"/>
      <c r="Z1031" s="41"/>
      <c r="AA1031" s="41"/>
      <c r="AB1031" s="41"/>
      <c r="AC1031" s="41"/>
      <c r="AD1031" s="41"/>
      <c r="AE1031" s="59">
        <v>80751.56555118112</v>
      </c>
      <c r="AF1031" s="59">
        <v>82170.000000000015</v>
      </c>
      <c r="AG1031" s="59" t="s">
        <v>121</v>
      </c>
      <c r="AH1031" s="59" t="s">
        <v>1175</v>
      </c>
    </row>
    <row r="1032" spans="1:34" x14ac:dyDescent="0.35">
      <c r="A1032" s="58">
        <v>2025</v>
      </c>
      <c r="B1032" s="58">
        <v>3</v>
      </c>
      <c r="C1032">
        <v>3</v>
      </c>
      <c r="D1032" s="58" t="s">
        <v>591</v>
      </c>
      <c r="E1032" t="s">
        <v>121</v>
      </c>
      <c r="F1032" s="58" t="s">
        <v>172</v>
      </c>
      <c r="G1032" t="s">
        <v>734</v>
      </c>
      <c r="H1032" s="58" t="s">
        <v>4</v>
      </c>
      <c r="I1032" t="s">
        <v>4</v>
      </c>
      <c r="J1032" s="58" t="s">
        <v>4</v>
      </c>
      <c r="K1032" t="s">
        <v>1476</v>
      </c>
      <c r="L1032" t="s">
        <v>1479</v>
      </c>
      <c r="M1032" t="s">
        <v>1430</v>
      </c>
      <c r="N1032" s="59">
        <v>704000</v>
      </c>
      <c r="O1032" s="59">
        <v>22248897000</v>
      </c>
      <c r="P1032" s="59">
        <v>61968340</v>
      </c>
      <c r="Q1032" s="59">
        <v>0</v>
      </c>
      <c r="R1032" s="59">
        <v>279820429.625</v>
      </c>
      <c r="S1032" s="59">
        <v>21907108230.375</v>
      </c>
      <c r="T1032" s="41"/>
      <c r="U1032" s="41"/>
      <c r="V1032" s="41"/>
      <c r="W1032" s="41"/>
      <c r="X1032" s="41"/>
      <c r="Y1032" s="41"/>
      <c r="Z1032" s="41"/>
      <c r="AA1032" s="41"/>
      <c r="AB1032" s="41"/>
      <c r="AC1032" s="41"/>
      <c r="AD1032" s="41"/>
      <c r="AE1032" s="59">
        <v>863015.67980894994</v>
      </c>
      <c r="AF1032" s="59">
        <v>876480</v>
      </c>
      <c r="AG1032" s="59" t="s">
        <v>121</v>
      </c>
      <c r="AH1032" s="59" t="s">
        <v>1175</v>
      </c>
    </row>
    <row r="1033" spans="1:34" x14ac:dyDescent="0.35">
      <c r="A1033" s="58">
        <v>2025</v>
      </c>
      <c r="B1033" s="58">
        <v>3</v>
      </c>
      <c r="C1033">
        <v>3</v>
      </c>
      <c r="D1033" s="58" t="s">
        <v>591</v>
      </c>
      <c r="E1033" t="s">
        <v>121</v>
      </c>
      <c r="F1033" s="58" t="s">
        <v>1152</v>
      </c>
      <c r="G1033" t="s">
        <v>1153</v>
      </c>
      <c r="H1033" s="58" t="s">
        <v>1012</v>
      </c>
      <c r="I1033" t="s">
        <v>1012</v>
      </c>
      <c r="J1033" s="58" t="s">
        <v>1399</v>
      </c>
      <c r="K1033" t="s">
        <v>1429</v>
      </c>
      <c r="L1033" t="s">
        <v>20</v>
      </c>
      <c r="M1033" t="s">
        <v>1430</v>
      </c>
      <c r="N1033" s="59">
        <v>0</v>
      </c>
      <c r="O1033" s="59">
        <v>0</v>
      </c>
      <c r="P1033" s="59">
        <v>0</v>
      </c>
      <c r="Q1033" s="59">
        <v>0</v>
      </c>
      <c r="R1033" s="59">
        <v>-10660638.059999993</v>
      </c>
      <c r="S1033" s="59">
        <v>10660638.059999993</v>
      </c>
      <c r="T1033" s="41"/>
      <c r="U1033" s="41"/>
      <c r="V1033" s="41"/>
      <c r="W1033" s="41"/>
      <c r="X1033" s="41"/>
      <c r="Y1033" s="41"/>
      <c r="Z1033" s="41"/>
      <c r="AA1033" s="41"/>
      <c r="AB1033" s="41"/>
      <c r="AC1033" s="41"/>
      <c r="AD1033" s="41"/>
      <c r="AE1033" s="59">
        <v>420.13494319634049</v>
      </c>
      <c r="AF1033" s="59">
        <v>0</v>
      </c>
      <c r="AG1033" s="59" t="s">
        <v>121</v>
      </c>
      <c r="AH1033" s="59" t="s">
        <v>1400</v>
      </c>
    </row>
    <row r="1034" spans="1:34" x14ac:dyDescent="0.35">
      <c r="A1034" s="58">
        <v>2025</v>
      </c>
      <c r="B1034" s="58">
        <v>3</v>
      </c>
      <c r="C1034">
        <v>3</v>
      </c>
      <c r="D1034" s="58" t="s">
        <v>613</v>
      </c>
      <c r="E1034" t="s">
        <v>132</v>
      </c>
      <c r="F1034" s="58" t="s">
        <v>172</v>
      </c>
      <c r="G1034" t="s">
        <v>734</v>
      </c>
      <c r="H1034" s="58" t="s">
        <v>4</v>
      </c>
      <c r="I1034" t="s">
        <v>4</v>
      </c>
      <c r="J1034" s="58" t="s">
        <v>4</v>
      </c>
      <c r="K1034" t="s">
        <v>1476</v>
      </c>
      <c r="L1034" t="s">
        <v>1479</v>
      </c>
      <c r="M1034" t="s">
        <v>1430</v>
      </c>
      <c r="N1034" s="59">
        <v>44000</v>
      </c>
      <c r="O1034" s="59">
        <v>1592580000</v>
      </c>
      <c r="P1034" s="59">
        <v>3300100</v>
      </c>
      <c r="Q1034" s="59">
        <v>0</v>
      </c>
      <c r="R1034" s="59">
        <v>154820286</v>
      </c>
      <c r="S1034" s="59">
        <v>1434459614</v>
      </c>
      <c r="T1034" s="41"/>
      <c r="U1034" s="41"/>
      <c r="V1034" s="41"/>
      <c r="W1034" s="41"/>
      <c r="X1034" s="41"/>
      <c r="Y1034" s="41"/>
      <c r="Z1034" s="41"/>
      <c r="AA1034" s="41"/>
      <c r="AB1034" s="41"/>
      <c r="AC1034" s="41"/>
      <c r="AD1034" s="41"/>
      <c r="AE1034" s="59">
        <v>56474.787952755905</v>
      </c>
      <c r="AF1034" s="59">
        <v>62700</v>
      </c>
      <c r="AG1034" s="59" t="s">
        <v>132</v>
      </c>
      <c r="AH1034" s="59" t="s">
        <v>1175</v>
      </c>
    </row>
    <row r="1035" spans="1:34" x14ac:dyDescent="0.35">
      <c r="A1035" s="58">
        <v>2025</v>
      </c>
      <c r="B1035" s="58">
        <v>3</v>
      </c>
      <c r="C1035">
        <v>3</v>
      </c>
      <c r="D1035" s="58" t="s">
        <v>613</v>
      </c>
      <c r="E1035" t="s">
        <v>132</v>
      </c>
      <c r="F1035" s="58" t="s">
        <v>1152</v>
      </c>
      <c r="G1035" t="s">
        <v>1153</v>
      </c>
      <c r="H1035" s="58" t="s">
        <v>1012</v>
      </c>
      <c r="I1035" t="s">
        <v>1012</v>
      </c>
      <c r="J1035" s="58" t="s">
        <v>1399</v>
      </c>
      <c r="K1035" t="s">
        <v>1429</v>
      </c>
      <c r="L1035" t="s">
        <v>20</v>
      </c>
      <c r="M1035" t="s">
        <v>1430</v>
      </c>
      <c r="N1035" s="59">
        <v>0</v>
      </c>
      <c r="O1035" s="59">
        <v>0</v>
      </c>
      <c r="P1035" s="59">
        <v>0</v>
      </c>
      <c r="Q1035" s="59">
        <v>0</v>
      </c>
      <c r="R1035" s="59">
        <v>-480694</v>
      </c>
      <c r="S1035" s="59">
        <v>480694</v>
      </c>
      <c r="T1035" s="41"/>
      <c r="U1035" s="41"/>
      <c r="V1035" s="41"/>
      <c r="W1035" s="41"/>
      <c r="X1035" s="41"/>
      <c r="Y1035" s="41"/>
      <c r="Z1035" s="41"/>
      <c r="AA1035" s="41"/>
      <c r="AB1035" s="41"/>
      <c r="AC1035" s="41"/>
      <c r="AD1035" s="41"/>
      <c r="AE1035" s="59">
        <v>18.944114343641985</v>
      </c>
      <c r="AF1035" s="59">
        <v>0</v>
      </c>
      <c r="AG1035" s="59" t="s">
        <v>132</v>
      </c>
      <c r="AH1035" s="59" t="s">
        <v>1400</v>
      </c>
    </row>
    <row r="1036" spans="1:34" x14ac:dyDescent="0.35">
      <c r="A1036" s="58">
        <v>2025</v>
      </c>
      <c r="B1036" s="58">
        <v>3</v>
      </c>
      <c r="C1036">
        <v>3</v>
      </c>
      <c r="D1036" s="58" t="s">
        <v>599</v>
      </c>
      <c r="E1036" t="s">
        <v>127</v>
      </c>
      <c r="F1036" s="58" t="s">
        <v>1152</v>
      </c>
      <c r="G1036" t="s">
        <v>1153</v>
      </c>
      <c r="H1036" s="58" t="s">
        <v>1012</v>
      </c>
      <c r="I1036" t="s">
        <v>1012</v>
      </c>
      <c r="J1036" s="58" t="s">
        <v>1399</v>
      </c>
      <c r="K1036" t="s">
        <v>1429</v>
      </c>
      <c r="L1036" t="s">
        <v>20</v>
      </c>
      <c r="M1036" t="s">
        <v>1430</v>
      </c>
      <c r="N1036" s="59">
        <v>0</v>
      </c>
      <c r="O1036" s="59">
        <v>0</v>
      </c>
      <c r="P1036" s="59">
        <v>0</v>
      </c>
      <c r="Q1036" s="59">
        <v>0</v>
      </c>
      <c r="R1036" s="59">
        <v>4468334</v>
      </c>
      <c r="S1036" s="59">
        <v>-4468334</v>
      </c>
      <c r="T1036" s="41"/>
      <c r="U1036" s="41"/>
      <c r="V1036" s="41"/>
      <c r="W1036" s="41"/>
      <c r="X1036" s="41"/>
      <c r="Y1036" s="41"/>
      <c r="Z1036" s="41"/>
      <c r="AA1036" s="41"/>
      <c r="AB1036" s="41"/>
      <c r="AC1036" s="41"/>
      <c r="AD1036" s="41"/>
      <c r="AE1036" s="59">
        <v>-176.09670647352206</v>
      </c>
      <c r="AF1036" s="59">
        <v>0</v>
      </c>
      <c r="AG1036" s="59" t="s">
        <v>127</v>
      </c>
      <c r="AH1036" s="59" t="s">
        <v>1400</v>
      </c>
    </row>
    <row r="1037" spans="1:34" x14ac:dyDescent="0.35">
      <c r="A1037" s="58">
        <v>2025</v>
      </c>
      <c r="B1037" s="58">
        <v>3</v>
      </c>
      <c r="C1037">
        <v>3</v>
      </c>
      <c r="D1037" s="58" t="s">
        <v>593</v>
      </c>
      <c r="E1037" t="s">
        <v>46</v>
      </c>
      <c r="F1037" s="58" t="s">
        <v>172</v>
      </c>
      <c r="G1037" t="s">
        <v>734</v>
      </c>
      <c r="H1037" s="58" t="s">
        <v>4</v>
      </c>
      <c r="I1037" t="s">
        <v>4</v>
      </c>
      <c r="J1037" s="58" t="s">
        <v>4</v>
      </c>
      <c r="K1037" t="s">
        <v>1476</v>
      </c>
      <c r="L1037" t="s">
        <v>292</v>
      </c>
      <c r="M1037" t="s">
        <v>1430</v>
      </c>
      <c r="N1037" s="59">
        <v>66000</v>
      </c>
      <c r="O1037" s="59">
        <v>2429103600</v>
      </c>
      <c r="P1037" s="59">
        <v>6200160</v>
      </c>
      <c r="Q1037" s="59">
        <v>0</v>
      </c>
      <c r="R1037" s="59">
        <v>255407667</v>
      </c>
      <c r="S1037" s="59">
        <v>2167495773</v>
      </c>
      <c r="T1037" s="41"/>
      <c r="U1037" s="41"/>
      <c r="V1037" s="41"/>
      <c r="W1037" s="41"/>
      <c r="X1037" s="41"/>
      <c r="Y1037" s="41"/>
      <c r="Z1037" s="41"/>
      <c r="AA1037" s="41"/>
      <c r="AB1037" s="41"/>
      <c r="AC1037" s="41"/>
      <c r="AD1037" s="41"/>
      <c r="AE1037" s="59">
        <v>85334.4792519685</v>
      </c>
      <c r="AF1037" s="59">
        <v>95634</v>
      </c>
      <c r="AG1037" s="59" t="s">
        <v>46</v>
      </c>
      <c r="AH1037" s="59" t="s">
        <v>1175</v>
      </c>
    </row>
    <row r="1038" spans="1:34" x14ac:dyDescent="0.35">
      <c r="A1038" s="58">
        <v>2025</v>
      </c>
      <c r="B1038" s="58">
        <v>3</v>
      </c>
      <c r="C1038">
        <v>3</v>
      </c>
      <c r="D1038" s="58" t="s">
        <v>593</v>
      </c>
      <c r="E1038" t="s">
        <v>46</v>
      </c>
      <c r="F1038" s="58" t="s">
        <v>190</v>
      </c>
      <c r="G1038" t="s">
        <v>1066</v>
      </c>
      <c r="H1038" s="58" t="s">
        <v>1428</v>
      </c>
      <c r="I1038" t="s">
        <v>75</v>
      </c>
      <c r="J1038" s="58" t="s">
        <v>75</v>
      </c>
      <c r="K1038" t="s">
        <v>1476</v>
      </c>
      <c r="L1038" t="s">
        <v>1637</v>
      </c>
      <c r="M1038" t="s">
        <v>1430</v>
      </c>
      <c r="N1038" s="59">
        <v>99000</v>
      </c>
      <c r="O1038" s="59">
        <v>3734181000</v>
      </c>
      <c r="P1038" s="59">
        <v>0</v>
      </c>
      <c r="Q1038" s="59">
        <v>0</v>
      </c>
      <c r="R1038" s="59">
        <v>253682191</v>
      </c>
      <c r="S1038" s="59">
        <v>3480498809</v>
      </c>
      <c r="T1038" s="41"/>
      <c r="U1038" s="41"/>
      <c r="V1038" s="41"/>
      <c r="W1038" s="41"/>
      <c r="X1038" s="41"/>
      <c r="Y1038" s="41"/>
      <c r="Z1038" s="41"/>
      <c r="AA1038" s="41"/>
      <c r="AB1038" s="41"/>
      <c r="AC1038" s="41"/>
      <c r="AD1038" s="41"/>
      <c r="AE1038" s="59">
        <v>137027.51216535433</v>
      </c>
      <c r="AF1038" s="59">
        <v>147015</v>
      </c>
      <c r="AG1038" s="59" t="s">
        <v>46</v>
      </c>
      <c r="AH1038" s="59" t="s">
        <v>1206</v>
      </c>
    </row>
    <row r="1039" spans="1:34" x14ac:dyDescent="0.35">
      <c r="A1039" s="58">
        <v>2025</v>
      </c>
      <c r="B1039" s="58">
        <v>3</v>
      </c>
      <c r="C1039">
        <v>3</v>
      </c>
      <c r="D1039" s="58" t="s">
        <v>593</v>
      </c>
      <c r="E1039" t="s">
        <v>46</v>
      </c>
      <c r="F1039" s="58" t="s">
        <v>1522</v>
      </c>
      <c r="G1039" t="s">
        <v>1523</v>
      </c>
      <c r="H1039" s="58" t="s">
        <v>1012</v>
      </c>
      <c r="I1039" t="s">
        <v>1012</v>
      </c>
      <c r="J1039" s="58" t="s">
        <v>1389</v>
      </c>
      <c r="K1039" t="s">
        <v>1429</v>
      </c>
      <c r="L1039" t="s">
        <v>20</v>
      </c>
      <c r="M1039" t="s">
        <v>1430</v>
      </c>
      <c r="N1039" s="59">
        <v>0</v>
      </c>
      <c r="O1039" s="59">
        <v>0</v>
      </c>
      <c r="P1039" s="59">
        <v>0</v>
      </c>
      <c r="Q1039" s="59">
        <v>0</v>
      </c>
      <c r="R1039" s="59">
        <v>-759524</v>
      </c>
      <c r="S1039" s="59">
        <v>759524</v>
      </c>
      <c r="T1039" s="41"/>
      <c r="U1039" s="41"/>
      <c r="V1039" s="41"/>
      <c r="W1039" s="41"/>
      <c r="X1039" s="41"/>
      <c r="Y1039" s="41"/>
      <c r="Z1039" s="41"/>
      <c r="AA1039" s="41"/>
      <c r="AB1039" s="41"/>
      <c r="AC1039" s="41"/>
      <c r="AD1039" s="41"/>
      <c r="AE1039" s="59">
        <v>29.932783647685106</v>
      </c>
      <c r="AF1039" s="59">
        <v>0</v>
      </c>
      <c r="AG1039" s="59" t="s">
        <v>46</v>
      </c>
      <c r="AH1039" s="59" t="s">
        <v>1390</v>
      </c>
    </row>
    <row r="1040" spans="1:34" x14ac:dyDescent="0.35">
      <c r="A1040" s="58">
        <v>2025</v>
      </c>
      <c r="B1040" s="58">
        <v>3</v>
      </c>
      <c r="C1040">
        <v>3</v>
      </c>
      <c r="D1040" s="58" t="s">
        <v>593</v>
      </c>
      <c r="E1040" t="s">
        <v>46</v>
      </c>
      <c r="F1040" s="58" t="s">
        <v>1152</v>
      </c>
      <c r="G1040" t="s">
        <v>1153</v>
      </c>
      <c r="H1040" s="58" t="s">
        <v>1012</v>
      </c>
      <c r="I1040" t="s">
        <v>1012</v>
      </c>
      <c r="J1040" s="58" t="s">
        <v>1399</v>
      </c>
      <c r="K1040" t="s">
        <v>1429</v>
      </c>
      <c r="L1040" t="s">
        <v>20</v>
      </c>
      <c r="M1040" t="s">
        <v>1430</v>
      </c>
      <c r="N1040" s="59">
        <v>0</v>
      </c>
      <c r="O1040" s="59">
        <v>0</v>
      </c>
      <c r="P1040" s="59">
        <v>0</v>
      </c>
      <c r="Q1040" s="59">
        <v>0</v>
      </c>
      <c r="R1040" s="59">
        <v>-14482669</v>
      </c>
      <c r="S1040" s="59">
        <v>14482669</v>
      </c>
      <c r="T1040" s="41"/>
      <c r="U1040" s="41"/>
      <c r="V1040" s="41"/>
      <c r="W1040" s="41"/>
      <c r="X1040" s="41"/>
      <c r="Y1040" s="41"/>
      <c r="Z1040" s="41"/>
      <c r="AA1040" s="41"/>
      <c r="AB1040" s="41"/>
      <c r="AC1040" s="41"/>
      <c r="AD1040" s="41"/>
      <c r="AE1040" s="59">
        <v>570.76089474201751</v>
      </c>
      <c r="AF1040" s="59">
        <v>0</v>
      </c>
      <c r="AG1040" s="59" t="s">
        <v>46</v>
      </c>
      <c r="AH1040" s="59" t="s">
        <v>1400</v>
      </c>
    </row>
    <row r="1041" spans="1:34" x14ac:dyDescent="0.35">
      <c r="A1041" s="58">
        <v>2025</v>
      </c>
      <c r="B1041" s="58">
        <v>3</v>
      </c>
      <c r="C1041">
        <v>3</v>
      </c>
      <c r="D1041" s="58" t="s">
        <v>658</v>
      </c>
      <c r="E1041" t="s">
        <v>147</v>
      </c>
      <c r="F1041" s="58" t="s">
        <v>171</v>
      </c>
      <c r="G1041" t="s">
        <v>731</v>
      </c>
      <c r="H1041" s="58" t="s">
        <v>4</v>
      </c>
      <c r="I1041" t="s">
        <v>4</v>
      </c>
      <c r="J1041" s="58" t="s">
        <v>4</v>
      </c>
      <c r="K1041" t="s">
        <v>1476</v>
      </c>
      <c r="L1041" t="s">
        <v>1520</v>
      </c>
      <c r="M1041" t="s">
        <v>1430</v>
      </c>
      <c r="N1041" s="59">
        <v>11000</v>
      </c>
      <c r="O1041" s="59">
        <v>364284800.00000006</v>
      </c>
      <c r="P1041" s="59">
        <v>1650050</v>
      </c>
      <c r="Q1041" s="59">
        <v>0</v>
      </c>
      <c r="R1041" s="59">
        <v>45104542</v>
      </c>
      <c r="S1041" s="59">
        <v>317530208.00000006</v>
      </c>
      <c r="T1041" s="41"/>
      <c r="U1041" s="41"/>
      <c r="V1041" s="41"/>
      <c r="W1041" s="41"/>
      <c r="X1041" s="41"/>
      <c r="Y1041" s="41"/>
      <c r="Z1041" s="41"/>
      <c r="AA1041" s="41"/>
      <c r="AB1041" s="41"/>
      <c r="AC1041" s="41"/>
      <c r="AD1041" s="41"/>
      <c r="AE1041" s="59">
        <v>12560.530379746839</v>
      </c>
      <c r="AF1041" s="59">
        <v>14410.000000000002</v>
      </c>
      <c r="AG1041" s="59" t="s">
        <v>147</v>
      </c>
      <c r="AH1041" s="59" t="s">
        <v>1166</v>
      </c>
    </row>
    <row r="1042" spans="1:34" x14ac:dyDescent="0.35">
      <c r="A1042" s="58">
        <v>2025</v>
      </c>
      <c r="B1042" s="58">
        <v>3</v>
      </c>
      <c r="C1042">
        <v>3</v>
      </c>
      <c r="D1042" s="58" t="s">
        <v>658</v>
      </c>
      <c r="E1042" t="s">
        <v>147</v>
      </c>
      <c r="F1042" s="58" t="s">
        <v>1152</v>
      </c>
      <c r="G1042" t="s">
        <v>1153</v>
      </c>
      <c r="H1042" s="58" t="s">
        <v>1012</v>
      </c>
      <c r="I1042" t="s">
        <v>1012</v>
      </c>
      <c r="J1042" s="58" t="s">
        <v>1399</v>
      </c>
      <c r="K1042" t="s">
        <v>1429</v>
      </c>
      <c r="L1042" t="s">
        <v>20</v>
      </c>
      <c r="M1042" t="s">
        <v>1430</v>
      </c>
      <c r="N1042" s="59">
        <v>0</v>
      </c>
      <c r="O1042" s="59">
        <v>0</v>
      </c>
      <c r="P1042" s="59">
        <v>0</v>
      </c>
      <c r="Q1042" s="59">
        <v>0</v>
      </c>
      <c r="R1042" s="59">
        <v>-14625889</v>
      </c>
      <c r="S1042" s="59">
        <v>14625889</v>
      </c>
      <c r="T1042" s="41"/>
      <c r="U1042" s="41"/>
      <c r="V1042" s="41"/>
      <c r="W1042" s="41"/>
      <c r="X1042" s="41"/>
      <c r="Y1042" s="41"/>
      <c r="Z1042" s="41"/>
      <c r="AA1042" s="41"/>
      <c r="AB1042" s="41"/>
      <c r="AC1042" s="41"/>
      <c r="AD1042" s="41"/>
      <c r="AE1042" s="59">
        <v>576.4051841575216</v>
      </c>
      <c r="AF1042" s="59">
        <v>0</v>
      </c>
      <c r="AG1042" s="59" t="s">
        <v>147</v>
      </c>
      <c r="AH1042" s="59" t="s">
        <v>1400</v>
      </c>
    </row>
    <row r="1043" spans="1:34" x14ac:dyDescent="0.35">
      <c r="A1043" s="58">
        <v>2025</v>
      </c>
      <c r="B1043" s="58">
        <v>3</v>
      </c>
      <c r="C1043">
        <v>3</v>
      </c>
      <c r="D1043" s="58" t="s">
        <v>656</v>
      </c>
      <c r="E1043" t="s">
        <v>141</v>
      </c>
      <c r="F1043" s="58" t="s">
        <v>168</v>
      </c>
      <c r="G1043" t="s">
        <v>700</v>
      </c>
      <c r="H1043" s="58" t="s">
        <v>4</v>
      </c>
      <c r="I1043" t="s">
        <v>4</v>
      </c>
      <c r="J1043" s="58" t="s">
        <v>4</v>
      </c>
      <c r="K1043" t="s">
        <v>1476</v>
      </c>
      <c r="L1043" t="s">
        <v>1510</v>
      </c>
      <c r="M1043" t="s">
        <v>1430</v>
      </c>
      <c r="N1043" s="59">
        <v>1100</v>
      </c>
      <c r="O1043" s="59">
        <v>37528040</v>
      </c>
      <c r="P1043" s="59">
        <v>165005</v>
      </c>
      <c r="Q1043" s="59">
        <v>0</v>
      </c>
      <c r="R1043" s="59">
        <v>763363.6</v>
      </c>
      <c r="S1043" s="59">
        <v>36599671.399999999</v>
      </c>
      <c r="T1043" s="41"/>
      <c r="U1043" s="41"/>
      <c r="V1043" s="41"/>
      <c r="W1043" s="41"/>
      <c r="X1043" s="41"/>
      <c r="Y1043" s="41"/>
      <c r="Z1043" s="41"/>
      <c r="AA1043" s="41"/>
      <c r="AB1043" s="41"/>
      <c r="AC1043" s="41"/>
      <c r="AD1043" s="41"/>
      <c r="AE1043" s="59">
        <v>1437.5361901021208</v>
      </c>
      <c r="AF1043" s="59">
        <v>1474</v>
      </c>
      <c r="AG1043" s="59" t="s">
        <v>141</v>
      </c>
      <c r="AH1043" s="59" t="s">
        <v>1160</v>
      </c>
    </row>
    <row r="1044" spans="1:34" x14ac:dyDescent="0.35">
      <c r="A1044" s="58">
        <v>2025</v>
      </c>
      <c r="B1044" s="58">
        <v>3</v>
      </c>
      <c r="C1044">
        <v>3</v>
      </c>
      <c r="D1044" s="58" t="s">
        <v>656</v>
      </c>
      <c r="E1044" t="s">
        <v>141</v>
      </c>
      <c r="F1044" s="58" t="s">
        <v>171</v>
      </c>
      <c r="G1044" t="s">
        <v>731</v>
      </c>
      <c r="H1044" s="58" t="s">
        <v>4</v>
      </c>
      <c r="I1044" t="s">
        <v>4</v>
      </c>
      <c r="J1044" s="58" t="s">
        <v>4</v>
      </c>
      <c r="K1044" t="s">
        <v>1476</v>
      </c>
      <c r="L1044" t="s">
        <v>1510</v>
      </c>
      <c r="M1044" t="s">
        <v>1430</v>
      </c>
      <c r="N1044" s="59">
        <v>11000</v>
      </c>
      <c r="O1044" s="59">
        <v>350075000</v>
      </c>
      <c r="P1044" s="59">
        <v>1650050</v>
      </c>
      <c r="Q1044" s="59">
        <v>0</v>
      </c>
      <c r="R1044" s="59">
        <v>7633636</v>
      </c>
      <c r="S1044" s="59">
        <v>340791314</v>
      </c>
      <c r="T1044" s="41"/>
      <c r="U1044" s="41"/>
      <c r="V1044" s="41"/>
      <c r="W1044" s="41"/>
      <c r="X1044" s="41"/>
      <c r="Y1044" s="41"/>
      <c r="Z1044" s="41"/>
      <c r="AA1044" s="41"/>
      <c r="AB1044" s="41"/>
      <c r="AC1044" s="41"/>
      <c r="AD1044" s="41"/>
      <c r="AE1044" s="59">
        <v>13385.36190102121</v>
      </c>
      <c r="AF1044" s="59">
        <v>13750</v>
      </c>
      <c r="AG1044" s="59" t="s">
        <v>141</v>
      </c>
      <c r="AH1044" s="59" t="s">
        <v>1166</v>
      </c>
    </row>
    <row r="1045" spans="1:34" x14ac:dyDescent="0.35">
      <c r="A1045" s="58">
        <v>2025</v>
      </c>
      <c r="B1045" s="58">
        <v>3</v>
      </c>
      <c r="C1045">
        <v>3</v>
      </c>
      <c r="D1045" s="58" t="s">
        <v>656</v>
      </c>
      <c r="E1045" t="s">
        <v>141</v>
      </c>
      <c r="F1045" s="58" t="s">
        <v>172</v>
      </c>
      <c r="G1045" t="s">
        <v>734</v>
      </c>
      <c r="H1045" s="58" t="s">
        <v>4</v>
      </c>
      <c r="I1045" t="s">
        <v>4</v>
      </c>
      <c r="J1045" s="58" t="s">
        <v>4</v>
      </c>
      <c r="K1045" t="s">
        <v>1476</v>
      </c>
      <c r="L1045" t="s">
        <v>1510</v>
      </c>
      <c r="M1045" t="s">
        <v>1430</v>
      </c>
      <c r="N1045" s="59">
        <v>9900</v>
      </c>
      <c r="O1045" s="59">
        <v>325149660</v>
      </c>
      <c r="P1045" s="59">
        <v>1485045</v>
      </c>
      <c r="Q1045" s="59">
        <v>0</v>
      </c>
      <c r="R1045" s="59">
        <v>6870272.4000000004</v>
      </c>
      <c r="S1045" s="59">
        <v>316794342.60000002</v>
      </c>
      <c r="T1045" s="41"/>
      <c r="U1045" s="41"/>
      <c r="V1045" s="41"/>
      <c r="W1045" s="41"/>
      <c r="X1045" s="41"/>
      <c r="Y1045" s="41"/>
      <c r="Z1045" s="41"/>
      <c r="AA1045" s="41"/>
      <c r="AB1045" s="41"/>
      <c r="AC1045" s="41"/>
      <c r="AD1045" s="41"/>
      <c r="AE1045" s="59">
        <v>12442.825710919089</v>
      </c>
      <c r="AF1045" s="59">
        <v>12771</v>
      </c>
      <c r="AG1045" s="59" t="s">
        <v>141</v>
      </c>
      <c r="AH1045" s="59" t="s">
        <v>1175</v>
      </c>
    </row>
    <row r="1046" spans="1:34" x14ac:dyDescent="0.35">
      <c r="A1046" s="58">
        <v>2025</v>
      </c>
      <c r="B1046" s="58">
        <v>3</v>
      </c>
      <c r="C1046">
        <v>3</v>
      </c>
      <c r="D1046" s="58" t="s">
        <v>656</v>
      </c>
      <c r="E1046" t="s">
        <v>141</v>
      </c>
      <c r="F1046" s="58" t="s">
        <v>1152</v>
      </c>
      <c r="G1046" t="s">
        <v>1153</v>
      </c>
      <c r="H1046" s="58" t="s">
        <v>1012</v>
      </c>
      <c r="I1046" t="s">
        <v>1012</v>
      </c>
      <c r="J1046" s="58" t="s">
        <v>1399</v>
      </c>
      <c r="K1046" t="s">
        <v>1429</v>
      </c>
      <c r="L1046" t="s">
        <v>20</v>
      </c>
      <c r="M1046" t="s">
        <v>1430</v>
      </c>
      <c r="N1046" s="59">
        <v>0</v>
      </c>
      <c r="O1046" s="59">
        <v>0</v>
      </c>
      <c r="P1046" s="59">
        <v>0</v>
      </c>
      <c r="Q1046" s="59">
        <v>0</v>
      </c>
      <c r="R1046" s="59">
        <v>67833</v>
      </c>
      <c r="S1046" s="59">
        <v>-67833</v>
      </c>
      <c r="T1046" s="41"/>
      <c r="U1046" s="41"/>
      <c r="V1046" s="41"/>
      <c r="W1046" s="41"/>
      <c r="X1046" s="41"/>
      <c r="Y1046" s="41"/>
      <c r="Z1046" s="41"/>
      <c r="AA1046" s="41"/>
      <c r="AB1046" s="41"/>
      <c r="AC1046" s="41"/>
      <c r="AD1046" s="41"/>
      <c r="AE1046" s="59">
        <v>-2.6732934221610165</v>
      </c>
      <c r="AF1046" s="59">
        <v>0</v>
      </c>
      <c r="AG1046" s="59" t="s">
        <v>141</v>
      </c>
      <c r="AH1046" s="59" t="s">
        <v>1400</v>
      </c>
    </row>
    <row r="1047" spans="1:34" x14ac:dyDescent="0.35">
      <c r="A1047" s="58">
        <v>2025</v>
      </c>
      <c r="B1047" s="58">
        <v>3</v>
      </c>
      <c r="C1047">
        <v>3</v>
      </c>
      <c r="D1047" s="58" t="s">
        <v>619</v>
      </c>
      <c r="E1047" t="s">
        <v>146</v>
      </c>
      <c r="F1047" s="58" t="s">
        <v>177</v>
      </c>
      <c r="G1047" t="s">
        <v>976</v>
      </c>
      <c r="H1047" s="58" t="s">
        <v>4</v>
      </c>
      <c r="I1047" t="s">
        <v>4</v>
      </c>
      <c r="J1047" s="58" t="s">
        <v>4</v>
      </c>
      <c r="K1047" t="s">
        <v>1476</v>
      </c>
      <c r="L1047" t="s">
        <v>1068</v>
      </c>
      <c r="M1047" t="s">
        <v>1430</v>
      </c>
      <c r="N1047" s="59">
        <v>1100</v>
      </c>
      <c r="O1047" s="59">
        <v>33047080</v>
      </c>
      <c r="P1047" s="59">
        <v>330010</v>
      </c>
      <c r="Q1047" s="59">
        <v>0</v>
      </c>
      <c r="R1047" s="59">
        <v>6052388</v>
      </c>
      <c r="S1047" s="59">
        <v>26664682</v>
      </c>
      <c r="T1047" s="41"/>
      <c r="U1047" s="41"/>
      <c r="V1047" s="41"/>
      <c r="W1047" s="41"/>
      <c r="X1047" s="41"/>
      <c r="Y1047" s="41"/>
      <c r="Z1047" s="41"/>
      <c r="AA1047" s="41"/>
      <c r="AB1047" s="41"/>
      <c r="AC1047" s="41"/>
      <c r="AD1047" s="41"/>
      <c r="AE1047" s="59">
        <v>1047.3166535742341</v>
      </c>
      <c r="AF1047" s="59">
        <v>1298</v>
      </c>
      <c r="AG1047" s="59" t="s">
        <v>146</v>
      </c>
      <c r="AH1047" s="59" t="s">
        <v>1192</v>
      </c>
    </row>
    <row r="1048" spans="1:34" x14ac:dyDescent="0.35">
      <c r="A1048" s="58">
        <v>2025</v>
      </c>
      <c r="B1048" s="58">
        <v>3</v>
      </c>
      <c r="C1048">
        <v>3</v>
      </c>
      <c r="D1048" s="58" t="s">
        <v>619</v>
      </c>
      <c r="E1048" t="s">
        <v>146</v>
      </c>
      <c r="F1048" s="58" t="s">
        <v>1152</v>
      </c>
      <c r="G1048" t="s">
        <v>1153</v>
      </c>
      <c r="H1048" s="58" t="s">
        <v>1012</v>
      </c>
      <c r="I1048" t="s">
        <v>1012</v>
      </c>
      <c r="J1048" s="58" t="s">
        <v>1399</v>
      </c>
      <c r="K1048" t="s">
        <v>1429</v>
      </c>
      <c r="L1048" t="s">
        <v>20</v>
      </c>
      <c r="M1048" t="s">
        <v>1430</v>
      </c>
      <c r="N1048" s="59">
        <v>0</v>
      </c>
      <c r="O1048" s="59">
        <v>0</v>
      </c>
      <c r="P1048" s="59">
        <v>0</v>
      </c>
      <c r="Q1048" s="59">
        <v>0</v>
      </c>
      <c r="R1048" s="59">
        <v>540000</v>
      </c>
      <c r="S1048" s="59">
        <v>-540000</v>
      </c>
      <c r="T1048" s="41"/>
      <c r="U1048" s="41"/>
      <c r="V1048" s="41"/>
      <c r="W1048" s="41"/>
      <c r="X1048" s="41"/>
      <c r="Y1048" s="41"/>
      <c r="Z1048" s="41"/>
      <c r="AA1048" s="41"/>
      <c r="AB1048" s="41"/>
      <c r="AC1048" s="41"/>
      <c r="AD1048" s="41"/>
      <c r="AE1048" s="59">
        <v>-21.281359337887885</v>
      </c>
      <c r="AF1048" s="59">
        <v>0</v>
      </c>
      <c r="AG1048" s="59" t="s">
        <v>146</v>
      </c>
      <c r="AH1048" s="59" t="s">
        <v>1400</v>
      </c>
    </row>
    <row r="1049" spans="1:34" x14ac:dyDescent="0.35">
      <c r="A1049" s="58">
        <v>2025</v>
      </c>
      <c r="B1049" s="58">
        <v>3</v>
      </c>
      <c r="C1049">
        <v>3</v>
      </c>
      <c r="D1049" s="58" t="s">
        <v>1555</v>
      </c>
      <c r="E1049" t="s">
        <v>1289</v>
      </c>
      <c r="F1049" s="58" t="s">
        <v>1468</v>
      </c>
      <c r="G1049" t="s">
        <v>1012</v>
      </c>
      <c r="H1049" s="58" t="s">
        <v>1012</v>
      </c>
      <c r="I1049" t="s">
        <v>1012</v>
      </c>
      <c r="J1049" s="58" t="s">
        <v>1012</v>
      </c>
      <c r="K1049" t="s">
        <v>1429</v>
      </c>
      <c r="L1049" t="s">
        <v>20</v>
      </c>
      <c r="M1049" t="s">
        <v>1430</v>
      </c>
      <c r="N1049" s="59">
        <v>0</v>
      </c>
      <c r="O1049" s="59">
        <v>0</v>
      </c>
      <c r="P1049" s="59">
        <v>0</v>
      </c>
      <c r="Q1049" s="59">
        <v>0</v>
      </c>
      <c r="R1049" s="59">
        <v>0</v>
      </c>
      <c r="S1049" s="59">
        <v>0</v>
      </c>
      <c r="T1049" s="41"/>
      <c r="U1049" s="41"/>
      <c r="V1049" s="41"/>
      <c r="W1049" s="41"/>
      <c r="X1049" s="41"/>
      <c r="Y1049" s="41"/>
      <c r="Z1049" s="41"/>
      <c r="AA1049" s="41"/>
      <c r="AB1049" s="41"/>
      <c r="AC1049" s="41"/>
      <c r="AD1049" s="41"/>
      <c r="AE1049" s="59">
        <v>0</v>
      </c>
      <c r="AF1049" s="59">
        <v>0</v>
      </c>
      <c r="AG1049" s="59" t="s">
        <v>1289</v>
      </c>
      <c r="AH1049" s="59" t="s">
        <v>1284</v>
      </c>
    </row>
    <row r="1050" spans="1:34" x14ac:dyDescent="0.35">
      <c r="A1050" s="58">
        <v>2025</v>
      </c>
      <c r="B1050" s="58">
        <v>3</v>
      </c>
      <c r="C1050">
        <v>3</v>
      </c>
      <c r="D1050" s="58" t="s">
        <v>1620</v>
      </c>
      <c r="E1050" t="s">
        <v>1295</v>
      </c>
      <c r="F1050" s="58" t="s">
        <v>1597</v>
      </c>
      <c r="G1050" t="s">
        <v>1598</v>
      </c>
      <c r="H1050" s="58" t="s">
        <v>1012</v>
      </c>
      <c r="I1050" t="s">
        <v>1012</v>
      </c>
      <c r="J1050" s="58" t="s">
        <v>1012</v>
      </c>
      <c r="K1050" t="s">
        <v>1429</v>
      </c>
      <c r="L1050" t="s">
        <v>20</v>
      </c>
      <c r="M1050" t="s">
        <v>1430</v>
      </c>
      <c r="N1050" s="59">
        <v>0</v>
      </c>
      <c r="O1050" s="59">
        <v>0</v>
      </c>
      <c r="P1050" s="59">
        <v>0</v>
      </c>
      <c r="Q1050" s="59">
        <v>0</v>
      </c>
      <c r="R1050" s="59">
        <v>0</v>
      </c>
      <c r="S1050" s="59">
        <v>0</v>
      </c>
      <c r="T1050" s="41"/>
      <c r="U1050" s="41"/>
      <c r="V1050" s="41"/>
      <c r="W1050" s="41"/>
      <c r="X1050" s="41"/>
      <c r="Y1050" s="41"/>
      <c r="Z1050" s="41"/>
      <c r="AA1050" s="41"/>
      <c r="AB1050" s="41"/>
      <c r="AC1050" s="41"/>
      <c r="AD1050" s="41"/>
      <c r="AE1050" s="59">
        <v>0</v>
      </c>
      <c r="AF1050" s="59">
        <v>0</v>
      </c>
      <c r="AG1050" s="59" t="s">
        <v>1295</v>
      </c>
      <c r="AH1050" s="59" t="s">
        <v>1327</v>
      </c>
    </row>
    <row r="1051" spans="1:34" x14ac:dyDescent="0.35">
      <c r="A1051" s="58">
        <v>2025</v>
      </c>
      <c r="B1051" s="58">
        <v>3</v>
      </c>
      <c r="C1051">
        <v>3</v>
      </c>
      <c r="D1051" s="58" t="s">
        <v>1484</v>
      </c>
      <c r="E1051" t="s">
        <v>1298</v>
      </c>
      <c r="F1051" s="58" t="s">
        <v>1468</v>
      </c>
      <c r="G1051" t="s">
        <v>1012</v>
      </c>
      <c r="H1051" s="58" t="s">
        <v>1012</v>
      </c>
      <c r="I1051" t="s">
        <v>1012</v>
      </c>
      <c r="J1051" s="58" t="s">
        <v>1012</v>
      </c>
      <c r="K1051" t="s">
        <v>1429</v>
      </c>
      <c r="L1051" t="s">
        <v>20</v>
      </c>
      <c r="M1051" t="s">
        <v>1430</v>
      </c>
      <c r="N1051" s="59">
        <v>0</v>
      </c>
      <c r="O1051" s="59">
        <v>27000000</v>
      </c>
      <c r="P1051" s="59">
        <v>0</v>
      </c>
      <c r="Q1051" s="59">
        <v>0</v>
      </c>
      <c r="R1051" s="59">
        <v>0</v>
      </c>
      <c r="S1051" s="59">
        <v>27000000</v>
      </c>
      <c r="T1051" s="41"/>
      <c r="U1051" s="41"/>
      <c r="V1051" s="41"/>
      <c r="W1051" s="41"/>
      <c r="X1051" s="41"/>
      <c r="Y1051" s="41"/>
      <c r="Z1051" s="41"/>
      <c r="AA1051" s="41"/>
      <c r="AB1051" s="41"/>
      <c r="AC1051" s="41"/>
      <c r="AD1051" s="41"/>
      <c r="AE1051" s="59">
        <v>1064.0679668943942</v>
      </c>
      <c r="AF1051" s="59">
        <v>1064.0679668943942</v>
      </c>
      <c r="AG1051" s="59" t="s">
        <v>1298</v>
      </c>
      <c r="AH1051" s="59" t="s">
        <v>1284</v>
      </c>
    </row>
    <row r="1052" spans="1:34" x14ac:dyDescent="0.35">
      <c r="A1052" s="58">
        <v>2025</v>
      </c>
      <c r="B1052" s="58">
        <v>3</v>
      </c>
      <c r="C1052">
        <v>3</v>
      </c>
      <c r="D1052" s="58" t="s">
        <v>1623</v>
      </c>
      <c r="E1052" t="s">
        <v>1301</v>
      </c>
      <c r="F1052" s="58" t="s">
        <v>1468</v>
      </c>
      <c r="G1052" t="s">
        <v>1012</v>
      </c>
      <c r="H1052" s="58" t="s">
        <v>1012</v>
      </c>
      <c r="I1052" t="s">
        <v>1012</v>
      </c>
      <c r="J1052" s="58" t="s">
        <v>1012</v>
      </c>
      <c r="K1052" t="s">
        <v>1429</v>
      </c>
      <c r="L1052" t="s">
        <v>20</v>
      </c>
      <c r="M1052" t="s">
        <v>1430</v>
      </c>
      <c r="N1052" s="59">
        <v>0</v>
      </c>
      <c r="O1052" s="59">
        <v>0</v>
      </c>
      <c r="P1052" s="59">
        <v>0</v>
      </c>
      <c r="Q1052" s="59">
        <v>0</v>
      </c>
      <c r="R1052" s="59">
        <v>0</v>
      </c>
      <c r="S1052" s="59">
        <v>0</v>
      </c>
      <c r="T1052" s="41"/>
      <c r="U1052" s="41"/>
      <c r="V1052" s="41"/>
      <c r="W1052" s="41"/>
      <c r="X1052" s="41"/>
      <c r="Y1052" s="41"/>
      <c r="Z1052" s="41"/>
      <c r="AA1052" s="41"/>
      <c r="AB1052" s="41"/>
      <c r="AC1052" s="41"/>
      <c r="AD1052" s="41"/>
      <c r="AE1052" s="59">
        <v>0</v>
      </c>
      <c r="AF1052" s="59">
        <v>0</v>
      </c>
      <c r="AG1052" s="59" t="s">
        <v>1301</v>
      </c>
      <c r="AH1052" s="59" t="s">
        <v>1284</v>
      </c>
    </row>
    <row r="1053" spans="1:34" x14ac:dyDescent="0.35">
      <c r="A1053" s="58">
        <v>2025</v>
      </c>
      <c r="B1053" s="58">
        <v>3</v>
      </c>
      <c r="C1053">
        <v>3</v>
      </c>
      <c r="D1053" s="58" t="s">
        <v>1623</v>
      </c>
      <c r="E1053" t="s">
        <v>1301</v>
      </c>
      <c r="F1053" s="58" t="s">
        <v>1496</v>
      </c>
      <c r="G1053" t="s">
        <v>1497</v>
      </c>
      <c r="H1053" s="58" t="s">
        <v>1012</v>
      </c>
      <c r="I1053" t="s">
        <v>1012</v>
      </c>
      <c r="J1053" s="58" t="s">
        <v>1012</v>
      </c>
      <c r="K1053" t="s">
        <v>1429</v>
      </c>
      <c r="L1053" t="s">
        <v>20</v>
      </c>
      <c r="M1053" t="s">
        <v>1430</v>
      </c>
      <c r="N1053" s="59">
        <v>0</v>
      </c>
      <c r="O1053" s="59">
        <v>0</v>
      </c>
      <c r="P1053" s="59">
        <v>0</v>
      </c>
      <c r="Q1053" s="59">
        <v>0</v>
      </c>
      <c r="R1053" s="59">
        <v>0</v>
      </c>
      <c r="S1053" s="59">
        <v>0</v>
      </c>
      <c r="T1053" s="41"/>
      <c r="U1053" s="41"/>
      <c r="V1053" s="41"/>
      <c r="W1053" s="41"/>
      <c r="X1053" s="41"/>
      <c r="Y1053" s="41"/>
      <c r="Z1053" s="41"/>
      <c r="AA1053" s="41"/>
      <c r="AB1053" s="41"/>
      <c r="AC1053" s="41"/>
      <c r="AD1053" s="41"/>
      <c r="AE1053" s="59">
        <v>0</v>
      </c>
      <c r="AF1053" s="59">
        <v>0</v>
      </c>
      <c r="AG1053" s="59" t="s">
        <v>1301</v>
      </c>
      <c r="AH1053" s="59" t="s">
        <v>1329</v>
      </c>
    </row>
    <row r="1054" spans="1:34" x14ac:dyDescent="0.35">
      <c r="A1054" s="58">
        <v>2025</v>
      </c>
      <c r="B1054" s="58">
        <v>3</v>
      </c>
      <c r="C1054">
        <v>3</v>
      </c>
      <c r="D1054" s="58" t="s">
        <v>1624</v>
      </c>
      <c r="E1054" t="s">
        <v>1286</v>
      </c>
      <c r="F1054" s="58" t="s">
        <v>1496</v>
      </c>
      <c r="G1054" t="s">
        <v>1497</v>
      </c>
      <c r="H1054" s="58" t="s">
        <v>1012</v>
      </c>
      <c r="I1054" t="s">
        <v>1012</v>
      </c>
      <c r="J1054" s="58" t="s">
        <v>1012</v>
      </c>
      <c r="K1054" t="s">
        <v>1429</v>
      </c>
      <c r="L1054" t="s">
        <v>20</v>
      </c>
      <c r="M1054" t="s">
        <v>1430</v>
      </c>
      <c r="N1054" s="59">
        <v>0</v>
      </c>
      <c r="O1054" s="59">
        <v>0</v>
      </c>
      <c r="P1054" s="59">
        <v>0</v>
      </c>
      <c r="Q1054" s="59">
        <v>0</v>
      </c>
      <c r="R1054" s="59">
        <v>0</v>
      </c>
      <c r="S1054" s="59">
        <v>0</v>
      </c>
      <c r="T1054" s="41"/>
      <c r="U1054" s="41"/>
      <c r="V1054" s="41"/>
      <c r="W1054" s="41"/>
      <c r="X1054" s="41"/>
      <c r="Y1054" s="41"/>
      <c r="Z1054" s="41"/>
      <c r="AA1054" s="41"/>
      <c r="AB1054" s="41"/>
      <c r="AC1054" s="41"/>
      <c r="AD1054" s="41"/>
      <c r="AE1054" s="59">
        <v>0</v>
      </c>
      <c r="AF1054" s="59">
        <v>0</v>
      </c>
      <c r="AG1054" s="59" t="s">
        <v>1286</v>
      </c>
      <c r="AH1054" s="59" t="s">
        <v>1329</v>
      </c>
    </row>
    <row r="1055" spans="1:34" x14ac:dyDescent="0.35">
      <c r="A1055" s="58">
        <v>2025</v>
      </c>
      <c r="B1055" s="58">
        <v>3</v>
      </c>
      <c r="C1055">
        <v>3</v>
      </c>
      <c r="D1055" s="58" t="s">
        <v>1625</v>
      </c>
      <c r="E1055" t="s">
        <v>1340</v>
      </c>
      <c r="F1055" s="58" t="s">
        <v>1496</v>
      </c>
      <c r="G1055" t="s">
        <v>1497</v>
      </c>
      <c r="H1055" s="58" t="s">
        <v>1012</v>
      </c>
      <c r="I1055" t="s">
        <v>1012</v>
      </c>
      <c r="J1055" s="58" t="s">
        <v>1012</v>
      </c>
      <c r="K1055" t="s">
        <v>1429</v>
      </c>
      <c r="L1055" t="s">
        <v>20</v>
      </c>
      <c r="M1055" t="s">
        <v>1430</v>
      </c>
      <c r="N1055" s="59">
        <v>0</v>
      </c>
      <c r="O1055" s="59">
        <v>0</v>
      </c>
      <c r="P1055" s="59">
        <v>0</v>
      </c>
      <c r="Q1055" s="59">
        <v>0</v>
      </c>
      <c r="R1055" s="59">
        <v>0</v>
      </c>
      <c r="S1055" s="59">
        <v>0</v>
      </c>
      <c r="T1055" s="41"/>
      <c r="U1055" s="41"/>
      <c r="V1055" s="41"/>
      <c r="W1055" s="41"/>
      <c r="X1055" s="41"/>
      <c r="Y1055" s="41"/>
      <c r="Z1055" s="41"/>
      <c r="AA1055" s="41"/>
      <c r="AB1055" s="41"/>
      <c r="AC1055" s="41"/>
      <c r="AD1055" s="41"/>
      <c r="AE1055" s="59">
        <v>0</v>
      </c>
      <c r="AF1055" s="59">
        <v>0</v>
      </c>
      <c r="AG1055" s="59" t="s">
        <v>1340</v>
      </c>
      <c r="AH1055" s="59" t="s">
        <v>1329</v>
      </c>
    </row>
    <row r="1056" spans="1:34" x14ac:dyDescent="0.35">
      <c r="A1056" s="58">
        <v>2025</v>
      </c>
      <c r="B1056" s="58">
        <v>3</v>
      </c>
      <c r="C1056">
        <v>3</v>
      </c>
      <c r="D1056" s="58" t="s">
        <v>1646</v>
      </c>
      <c r="E1056" t="s">
        <v>1290</v>
      </c>
      <c r="F1056" s="58" t="s">
        <v>1468</v>
      </c>
      <c r="G1056" t="s">
        <v>1012</v>
      </c>
      <c r="H1056" s="58" t="s">
        <v>1012</v>
      </c>
      <c r="I1056" t="s">
        <v>1012</v>
      </c>
      <c r="J1056" s="58" t="s">
        <v>1012</v>
      </c>
      <c r="K1056" t="s">
        <v>1429</v>
      </c>
      <c r="L1056" t="s">
        <v>20</v>
      </c>
      <c r="M1056" t="s">
        <v>1430</v>
      </c>
      <c r="N1056" s="59">
        <v>0</v>
      </c>
      <c r="O1056" s="59">
        <v>0</v>
      </c>
      <c r="P1056" s="59">
        <v>0</v>
      </c>
      <c r="Q1056" s="59">
        <v>0</v>
      </c>
      <c r="R1056" s="59">
        <v>0</v>
      </c>
      <c r="S1056" s="59">
        <v>0</v>
      </c>
      <c r="T1056" s="41"/>
      <c r="U1056" s="41"/>
      <c r="V1056" s="41"/>
      <c r="W1056" s="41"/>
      <c r="X1056" s="41"/>
      <c r="Y1056" s="41"/>
      <c r="Z1056" s="41"/>
      <c r="AA1056" s="41"/>
      <c r="AB1056" s="41"/>
      <c r="AC1056" s="41"/>
      <c r="AD1056" s="41"/>
      <c r="AE1056" s="59">
        <v>0</v>
      </c>
      <c r="AF1056" s="59">
        <v>0</v>
      </c>
      <c r="AG1056" s="59" t="s">
        <v>1290</v>
      </c>
      <c r="AH1056" s="59" t="s">
        <v>1284</v>
      </c>
    </row>
    <row r="1057" spans="1:34" x14ac:dyDescent="0.35">
      <c r="A1057" s="58">
        <v>2025</v>
      </c>
      <c r="B1057" s="58">
        <v>3</v>
      </c>
      <c r="C1057">
        <v>3</v>
      </c>
      <c r="D1057" s="58" t="s">
        <v>1570</v>
      </c>
      <c r="E1057" t="s">
        <v>1282</v>
      </c>
      <c r="F1057" s="58" t="s">
        <v>1496</v>
      </c>
      <c r="G1057" t="s">
        <v>1497</v>
      </c>
      <c r="H1057" s="58" t="s">
        <v>1012</v>
      </c>
      <c r="I1057" t="s">
        <v>1012</v>
      </c>
      <c r="J1057" s="58" t="s">
        <v>1012</v>
      </c>
      <c r="K1057" t="s">
        <v>1429</v>
      </c>
      <c r="L1057" t="s">
        <v>20</v>
      </c>
      <c r="M1057" t="s">
        <v>1430</v>
      </c>
      <c r="N1057" s="59">
        <v>0</v>
      </c>
      <c r="O1057" s="59">
        <v>0</v>
      </c>
      <c r="P1057" s="59">
        <v>0</v>
      </c>
      <c r="Q1057" s="59">
        <v>0</v>
      </c>
      <c r="R1057" s="59">
        <v>0</v>
      </c>
      <c r="S1057" s="59">
        <v>0</v>
      </c>
      <c r="T1057" s="41"/>
      <c r="U1057" s="41"/>
      <c r="V1057" s="41"/>
      <c r="W1057" s="41"/>
      <c r="X1057" s="41"/>
      <c r="Y1057" s="41"/>
      <c r="Z1057" s="41"/>
      <c r="AA1057" s="41"/>
      <c r="AB1057" s="41"/>
      <c r="AC1057" s="41"/>
      <c r="AD1057" s="41"/>
      <c r="AE1057" s="59">
        <v>0</v>
      </c>
      <c r="AF1057" s="59">
        <v>0</v>
      </c>
      <c r="AG1057" s="59" t="s">
        <v>1282</v>
      </c>
      <c r="AH1057" s="59" t="s">
        <v>1329</v>
      </c>
    </row>
    <row r="1058" spans="1:34" x14ac:dyDescent="0.35">
      <c r="A1058" s="58">
        <v>2025</v>
      </c>
      <c r="B1058" s="58">
        <v>3</v>
      </c>
      <c r="C1058">
        <v>3</v>
      </c>
      <c r="D1058" s="58" t="s">
        <v>1571</v>
      </c>
      <c r="E1058" t="s">
        <v>1283</v>
      </c>
      <c r="F1058" s="58" t="s">
        <v>1496</v>
      </c>
      <c r="G1058" t="s">
        <v>1497</v>
      </c>
      <c r="H1058" s="58" t="s">
        <v>1012</v>
      </c>
      <c r="I1058" t="s">
        <v>1012</v>
      </c>
      <c r="J1058" s="58" t="s">
        <v>1012</v>
      </c>
      <c r="K1058" t="s">
        <v>1429</v>
      </c>
      <c r="L1058" t="s">
        <v>20</v>
      </c>
      <c r="M1058" t="s">
        <v>1430</v>
      </c>
      <c r="N1058" s="59">
        <v>0</v>
      </c>
      <c r="O1058" s="59">
        <v>0</v>
      </c>
      <c r="P1058" s="59">
        <v>0</v>
      </c>
      <c r="Q1058" s="59">
        <v>0</v>
      </c>
      <c r="R1058" s="59">
        <v>0</v>
      </c>
      <c r="S1058" s="59">
        <v>0</v>
      </c>
      <c r="T1058" s="41"/>
      <c r="U1058" s="41"/>
      <c r="V1058" s="41"/>
      <c r="W1058" s="41"/>
      <c r="X1058" s="41"/>
      <c r="Y1058" s="41"/>
      <c r="Z1058" s="41"/>
      <c r="AA1058" s="41"/>
      <c r="AB1058" s="41"/>
      <c r="AC1058" s="41"/>
      <c r="AD1058" s="41"/>
      <c r="AE1058" s="59">
        <v>0</v>
      </c>
      <c r="AF1058" s="59">
        <v>0</v>
      </c>
      <c r="AG1058" s="59" t="s">
        <v>1283</v>
      </c>
      <c r="AH1058" s="59" t="s">
        <v>1329</v>
      </c>
    </row>
    <row r="1059" spans="1:34" x14ac:dyDescent="0.35">
      <c r="A1059" s="58">
        <v>2025</v>
      </c>
      <c r="B1059" s="58">
        <v>3</v>
      </c>
      <c r="C1059">
        <v>3</v>
      </c>
      <c r="D1059" s="58" t="s">
        <v>1488</v>
      </c>
      <c r="E1059" t="s">
        <v>1275</v>
      </c>
      <c r="F1059" s="58" t="s">
        <v>1468</v>
      </c>
      <c r="G1059" t="s">
        <v>1012</v>
      </c>
      <c r="H1059" s="58" t="s">
        <v>1012</v>
      </c>
      <c r="I1059" t="s">
        <v>1012</v>
      </c>
      <c r="J1059" s="58" t="s">
        <v>1012</v>
      </c>
      <c r="K1059" t="s">
        <v>1429</v>
      </c>
      <c r="L1059" t="s">
        <v>20</v>
      </c>
      <c r="M1059" t="s">
        <v>1430</v>
      </c>
      <c r="N1059" s="59">
        <v>0</v>
      </c>
      <c r="O1059" s="59">
        <v>0</v>
      </c>
      <c r="P1059" s="59">
        <v>0</v>
      </c>
      <c r="Q1059" s="59">
        <v>0</v>
      </c>
      <c r="R1059" s="59">
        <v>0</v>
      </c>
      <c r="S1059" s="59">
        <v>0</v>
      </c>
      <c r="T1059" s="41"/>
      <c r="U1059" s="41"/>
      <c r="V1059" s="41"/>
      <c r="W1059" s="41"/>
      <c r="X1059" s="41"/>
      <c r="Y1059" s="41"/>
      <c r="Z1059" s="41"/>
      <c r="AA1059" s="41"/>
      <c r="AB1059" s="41"/>
      <c r="AC1059" s="41"/>
      <c r="AD1059" s="41"/>
      <c r="AE1059" s="59">
        <v>0</v>
      </c>
      <c r="AF1059" s="59">
        <v>0</v>
      </c>
      <c r="AG1059" s="59" t="s">
        <v>1275</v>
      </c>
      <c r="AH1059" s="59" t="s">
        <v>1284</v>
      </c>
    </row>
    <row r="1060" spans="1:34" x14ac:dyDescent="0.35">
      <c r="A1060" s="58">
        <v>2025</v>
      </c>
      <c r="B1060" s="58">
        <v>3</v>
      </c>
      <c r="C1060">
        <v>3</v>
      </c>
      <c r="D1060" s="58" t="s">
        <v>1647</v>
      </c>
      <c r="E1060" t="s">
        <v>1320</v>
      </c>
      <c r="F1060" s="58" t="s">
        <v>1434</v>
      </c>
      <c r="G1060" t="s">
        <v>1435</v>
      </c>
      <c r="H1060" s="58" t="s">
        <v>1012</v>
      </c>
      <c r="I1060" t="s">
        <v>1012</v>
      </c>
      <c r="J1060" s="58" t="s">
        <v>1012</v>
      </c>
      <c r="K1060" t="s">
        <v>1429</v>
      </c>
      <c r="L1060" t="s">
        <v>20</v>
      </c>
      <c r="M1060" t="s">
        <v>1430</v>
      </c>
      <c r="N1060" s="59">
        <v>0</v>
      </c>
      <c r="O1060" s="59">
        <v>0</v>
      </c>
      <c r="P1060" s="59">
        <v>0</v>
      </c>
      <c r="Q1060" s="59">
        <v>0</v>
      </c>
      <c r="R1060" s="59">
        <v>0</v>
      </c>
      <c r="S1060" s="59">
        <v>0</v>
      </c>
      <c r="T1060" s="41"/>
      <c r="U1060" s="41"/>
      <c r="V1060" s="41"/>
      <c r="W1060" s="41"/>
      <c r="X1060" s="41"/>
      <c r="Y1060" s="41"/>
      <c r="Z1060" s="41"/>
      <c r="AA1060" s="41"/>
      <c r="AB1060" s="41"/>
      <c r="AC1060" s="41"/>
      <c r="AD1060" s="41"/>
      <c r="AE1060" s="59">
        <v>0</v>
      </c>
      <c r="AF1060" s="59">
        <v>0</v>
      </c>
      <c r="AG1060" s="59" t="s">
        <v>1320</v>
      </c>
      <c r="AH1060" s="59" t="s">
        <v>1319</v>
      </c>
    </row>
    <row r="1061" spans="1:34" x14ac:dyDescent="0.35">
      <c r="A1061" s="58">
        <v>2025</v>
      </c>
      <c r="B1061" s="58">
        <v>3</v>
      </c>
      <c r="C1061">
        <v>3</v>
      </c>
      <c r="D1061" s="58" t="s">
        <v>1639</v>
      </c>
      <c r="E1061" t="s">
        <v>1291</v>
      </c>
      <c r="F1061" s="58" t="s">
        <v>1468</v>
      </c>
      <c r="G1061" t="s">
        <v>1012</v>
      </c>
      <c r="H1061" s="58" t="s">
        <v>1012</v>
      </c>
      <c r="I1061" t="s">
        <v>1012</v>
      </c>
      <c r="J1061" s="58" t="s">
        <v>1012</v>
      </c>
      <c r="K1061" t="s">
        <v>1429</v>
      </c>
      <c r="L1061" t="s">
        <v>20</v>
      </c>
      <c r="M1061" t="s">
        <v>1430</v>
      </c>
      <c r="N1061" s="59">
        <v>0</v>
      </c>
      <c r="O1061" s="59">
        <v>0</v>
      </c>
      <c r="P1061" s="59">
        <v>0</v>
      </c>
      <c r="Q1061" s="59">
        <v>0</v>
      </c>
      <c r="R1061" s="59">
        <v>0</v>
      </c>
      <c r="S1061" s="59">
        <v>0</v>
      </c>
      <c r="T1061" s="41"/>
      <c r="U1061" s="41"/>
      <c r="V1061" s="41"/>
      <c r="W1061" s="41"/>
      <c r="X1061" s="41"/>
      <c r="Y1061" s="41"/>
      <c r="Z1061" s="41"/>
      <c r="AA1061" s="41"/>
      <c r="AB1061" s="41"/>
      <c r="AC1061" s="41"/>
      <c r="AD1061" s="41"/>
      <c r="AE1061" s="59">
        <v>0</v>
      </c>
      <c r="AF1061" s="59">
        <v>0</v>
      </c>
      <c r="AG1061" s="59" t="s">
        <v>1291</v>
      </c>
      <c r="AH1061" s="59" t="s">
        <v>1284</v>
      </c>
    </row>
    <row r="1062" spans="1:34" x14ac:dyDescent="0.35">
      <c r="A1062" s="58">
        <v>2025</v>
      </c>
      <c r="B1062" s="58">
        <v>3</v>
      </c>
      <c r="C1062">
        <v>3</v>
      </c>
      <c r="D1062" s="58" t="s">
        <v>1648</v>
      </c>
      <c r="E1062" t="s">
        <v>1287</v>
      </c>
      <c r="F1062" s="58" t="s">
        <v>1468</v>
      </c>
      <c r="G1062" t="s">
        <v>1012</v>
      </c>
      <c r="H1062" s="58" t="s">
        <v>1012</v>
      </c>
      <c r="I1062" t="s">
        <v>1012</v>
      </c>
      <c r="J1062" s="58" t="s">
        <v>1012</v>
      </c>
      <c r="K1062" t="s">
        <v>1429</v>
      </c>
      <c r="L1062" t="s">
        <v>20</v>
      </c>
      <c r="M1062" t="s">
        <v>1430</v>
      </c>
      <c r="N1062" s="59">
        <v>0</v>
      </c>
      <c r="O1062" s="59">
        <v>-5068405</v>
      </c>
      <c r="P1062" s="59">
        <v>0</v>
      </c>
      <c r="Q1062" s="59">
        <v>0</v>
      </c>
      <c r="R1062" s="59">
        <v>0</v>
      </c>
      <c r="S1062" s="59">
        <v>-5068405</v>
      </c>
      <c r="T1062" s="41"/>
      <c r="U1062" s="41"/>
      <c r="V1062" s="41"/>
      <c r="W1062" s="41"/>
      <c r="X1062" s="41"/>
      <c r="Y1062" s="41"/>
      <c r="Z1062" s="41"/>
      <c r="AA1062" s="41"/>
      <c r="AB1062" s="41"/>
      <c r="AC1062" s="41"/>
      <c r="AD1062" s="41"/>
      <c r="AE1062" s="59">
        <v>-199.7454593980512</v>
      </c>
      <c r="AF1062" s="59">
        <v>-199.7454593980512</v>
      </c>
      <c r="AG1062" s="59" t="s">
        <v>1287</v>
      </c>
      <c r="AH1062" s="59" t="s">
        <v>1284</v>
      </c>
    </row>
    <row r="1063" spans="1:34" x14ac:dyDescent="0.35">
      <c r="A1063" s="58">
        <v>2025</v>
      </c>
      <c r="B1063" s="58">
        <v>3</v>
      </c>
      <c r="C1063">
        <v>3</v>
      </c>
      <c r="D1063" s="58" t="s">
        <v>1491</v>
      </c>
      <c r="E1063" t="s">
        <v>1264</v>
      </c>
      <c r="F1063" s="58" t="s">
        <v>1492</v>
      </c>
      <c r="G1063" t="s">
        <v>1493</v>
      </c>
      <c r="H1063" s="58" t="s">
        <v>1012</v>
      </c>
      <c r="I1063" t="s">
        <v>1012</v>
      </c>
      <c r="J1063" s="58" t="s">
        <v>1012</v>
      </c>
      <c r="K1063" t="s">
        <v>1429</v>
      </c>
      <c r="L1063" t="s">
        <v>20</v>
      </c>
      <c r="M1063" t="s">
        <v>1430</v>
      </c>
      <c r="N1063" s="59">
        <v>0</v>
      </c>
      <c r="O1063" s="59">
        <v>0</v>
      </c>
      <c r="P1063" s="59">
        <v>0</v>
      </c>
      <c r="Q1063" s="59">
        <v>0</v>
      </c>
      <c r="R1063" s="59">
        <v>6681816.3762957454</v>
      </c>
      <c r="S1063" s="59">
        <v>-6681816.3762957454</v>
      </c>
      <c r="T1063" s="41"/>
      <c r="U1063" s="41"/>
      <c r="V1063" s="41"/>
      <c r="W1063" s="41"/>
      <c r="X1063" s="41"/>
      <c r="Y1063" s="41"/>
      <c r="Z1063" s="41"/>
      <c r="AA1063" s="41"/>
      <c r="AB1063" s="41"/>
      <c r="AC1063" s="41"/>
      <c r="AD1063" s="41"/>
      <c r="AE1063" s="59">
        <v>-263.3298802476549</v>
      </c>
      <c r="AF1063" s="59">
        <v>0</v>
      </c>
      <c r="AG1063" s="59" t="s">
        <v>1264</v>
      </c>
      <c r="AH1063" s="59" t="s">
        <v>1269</v>
      </c>
    </row>
    <row r="1064" spans="1:34" x14ac:dyDescent="0.35">
      <c r="A1064" s="58">
        <v>2025</v>
      </c>
      <c r="B1064" s="58">
        <v>3</v>
      </c>
      <c r="C1064">
        <v>3</v>
      </c>
      <c r="D1064" s="58" t="s">
        <v>1491</v>
      </c>
      <c r="E1064" t="s">
        <v>1264</v>
      </c>
      <c r="F1064" s="58" t="s">
        <v>1152</v>
      </c>
      <c r="G1064" t="s">
        <v>1153</v>
      </c>
      <c r="H1064" s="58" t="s">
        <v>1012</v>
      </c>
      <c r="I1064" t="s">
        <v>1012</v>
      </c>
      <c r="J1064" s="58" t="s">
        <v>1399</v>
      </c>
      <c r="K1064" t="s">
        <v>1429</v>
      </c>
      <c r="L1064" t="s">
        <v>20</v>
      </c>
      <c r="M1064" t="s">
        <v>1430</v>
      </c>
      <c r="N1064" s="59">
        <v>0</v>
      </c>
      <c r="O1064" s="59">
        <v>0</v>
      </c>
      <c r="P1064" s="59">
        <v>0</v>
      </c>
      <c r="Q1064" s="59">
        <v>-14835.825000107288</v>
      </c>
      <c r="R1064" s="59">
        <v>0</v>
      </c>
      <c r="S1064" s="59">
        <v>14835.825000107288</v>
      </c>
      <c r="T1064" s="41"/>
      <c r="U1064" s="41"/>
      <c r="V1064" s="41"/>
      <c r="W1064" s="41"/>
      <c r="X1064" s="41"/>
      <c r="Y1064" s="41"/>
      <c r="Z1064" s="41"/>
      <c r="AA1064" s="41"/>
      <c r="AB1064" s="41"/>
      <c r="AC1064" s="41"/>
      <c r="AD1064" s="41"/>
      <c r="AE1064" s="59">
        <v>0.58467874611352544</v>
      </c>
      <c r="AF1064" s="59">
        <v>0</v>
      </c>
      <c r="AG1064" s="59" t="s">
        <v>1264</v>
      </c>
      <c r="AH1064" s="59" t="s">
        <v>1400</v>
      </c>
    </row>
    <row r="1065" spans="1:34" x14ac:dyDescent="0.35">
      <c r="A1065" s="58">
        <v>2025</v>
      </c>
      <c r="B1065" s="58">
        <v>3</v>
      </c>
      <c r="C1065">
        <v>3</v>
      </c>
      <c r="D1065" s="58" t="s">
        <v>1491</v>
      </c>
      <c r="E1065" t="s">
        <v>1264</v>
      </c>
      <c r="F1065" s="58" t="s">
        <v>1496</v>
      </c>
      <c r="G1065" t="s">
        <v>1497</v>
      </c>
      <c r="H1065" s="58" t="s">
        <v>1012</v>
      </c>
      <c r="I1065" t="s">
        <v>1012</v>
      </c>
      <c r="J1065" s="58" t="s">
        <v>1012</v>
      </c>
      <c r="K1065" t="s">
        <v>1429</v>
      </c>
      <c r="L1065" t="s">
        <v>20</v>
      </c>
      <c r="M1065" t="s">
        <v>1430</v>
      </c>
      <c r="N1065" s="59">
        <v>0</v>
      </c>
      <c r="O1065" s="59">
        <v>0</v>
      </c>
      <c r="P1065" s="59">
        <v>0</v>
      </c>
      <c r="Q1065" s="59">
        <v>0</v>
      </c>
      <c r="R1065" s="59">
        <v>0</v>
      </c>
      <c r="S1065" s="59">
        <v>0</v>
      </c>
      <c r="T1065" s="41"/>
      <c r="U1065" s="41"/>
      <c r="V1065" s="41"/>
      <c r="W1065" s="41"/>
      <c r="X1065" s="41"/>
      <c r="Y1065" s="41"/>
      <c r="Z1065" s="41"/>
      <c r="AA1065" s="41"/>
      <c r="AB1065" s="41"/>
      <c r="AC1065" s="41"/>
      <c r="AD1065" s="41"/>
      <c r="AE1065" s="59">
        <v>0</v>
      </c>
      <c r="AF1065" s="59">
        <v>0</v>
      </c>
      <c r="AG1065" s="59" t="s">
        <v>1264</v>
      </c>
      <c r="AH1065" s="59" t="s">
        <v>1329</v>
      </c>
    </row>
    <row r="1066" spans="1:34" x14ac:dyDescent="0.35">
      <c r="A1066" s="58">
        <v>2025</v>
      </c>
      <c r="B1066" s="58">
        <v>4</v>
      </c>
      <c r="C1066">
        <v>4</v>
      </c>
      <c r="D1066" s="58" t="s">
        <v>625</v>
      </c>
      <c r="E1066" t="s">
        <v>271</v>
      </c>
      <c r="F1066" s="58" t="s">
        <v>194</v>
      </c>
      <c r="G1066" t="s">
        <v>743</v>
      </c>
      <c r="H1066" s="58" t="s">
        <v>1428</v>
      </c>
      <c r="I1066" t="s">
        <v>76</v>
      </c>
      <c r="J1066" s="58" t="s">
        <v>76</v>
      </c>
      <c r="K1066" t="s">
        <v>1429</v>
      </c>
      <c r="L1066" t="s">
        <v>20</v>
      </c>
      <c r="M1066" t="s">
        <v>1430</v>
      </c>
      <c r="N1066" s="59">
        <v>16500</v>
      </c>
      <c r="O1066" s="59">
        <v>330000000</v>
      </c>
      <c r="P1066" s="59">
        <v>0</v>
      </c>
      <c r="Q1066" s="59">
        <v>0</v>
      </c>
      <c r="R1066" s="59">
        <v>0</v>
      </c>
      <c r="S1066" s="59">
        <v>330000000</v>
      </c>
      <c r="T1066" s="41"/>
      <c r="U1066" s="41"/>
      <c r="V1066" s="41"/>
      <c r="W1066" s="41"/>
      <c r="X1066" s="41"/>
      <c r="Y1066" s="41"/>
      <c r="Z1066" s="41"/>
      <c r="AA1066" s="41"/>
      <c r="AB1066" s="41"/>
      <c r="AC1066" s="41"/>
      <c r="AD1066" s="41"/>
      <c r="AE1066" s="59">
        <v>12854.914766594131</v>
      </c>
      <c r="AF1066" s="59">
        <v>12854.914766594131</v>
      </c>
      <c r="AG1066" s="59" t="s">
        <v>47</v>
      </c>
      <c r="AH1066" s="59" t="s">
        <v>1246</v>
      </c>
    </row>
    <row r="1067" spans="1:34" x14ac:dyDescent="0.35">
      <c r="A1067" s="58">
        <v>2025</v>
      </c>
      <c r="B1067" s="58">
        <v>4</v>
      </c>
      <c r="C1067">
        <v>4</v>
      </c>
      <c r="D1067" s="58" t="s">
        <v>625</v>
      </c>
      <c r="E1067" t="s">
        <v>271</v>
      </c>
      <c r="F1067" s="58" t="s">
        <v>195</v>
      </c>
      <c r="G1067" t="s">
        <v>746</v>
      </c>
      <c r="H1067" s="58" t="s">
        <v>1428</v>
      </c>
      <c r="I1067" t="s">
        <v>76</v>
      </c>
      <c r="J1067" s="58" t="s">
        <v>76</v>
      </c>
      <c r="K1067" t="s">
        <v>1429</v>
      </c>
      <c r="L1067" t="s">
        <v>20</v>
      </c>
      <c r="M1067" t="s">
        <v>1430</v>
      </c>
      <c r="N1067" s="59">
        <v>11000</v>
      </c>
      <c r="O1067" s="59">
        <v>220000000</v>
      </c>
      <c r="P1067" s="59">
        <v>0</v>
      </c>
      <c r="Q1067" s="59">
        <v>0</v>
      </c>
      <c r="R1067" s="59">
        <v>0</v>
      </c>
      <c r="S1067" s="59">
        <v>220000000</v>
      </c>
      <c r="T1067" s="41"/>
      <c r="U1067" s="41"/>
      <c r="V1067" s="41"/>
      <c r="W1067" s="41"/>
      <c r="X1067" s="41"/>
      <c r="Y1067" s="41"/>
      <c r="Z1067" s="41"/>
      <c r="AA1067" s="41"/>
      <c r="AB1067" s="41"/>
      <c r="AC1067" s="41"/>
      <c r="AD1067" s="41"/>
      <c r="AE1067" s="59">
        <v>8569.9431777294212</v>
      </c>
      <c r="AF1067" s="59">
        <v>8569.9431777294212</v>
      </c>
      <c r="AG1067" s="59" t="s">
        <v>47</v>
      </c>
      <c r="AH1067" s="59" t="s">
        <v>1247</v>
      </c>
    </row>
    <row r="1068" spans="1:34" x14ac:dyDescent="0.35">
      <c r="A1068" s="58">
        <v>2025</v>
      </c>
      <c r="B1068" s="58">
        <v>4</v>
      </c>
      <c r="C1068">
        <v>4</v>
      </c>
      <c r="D1068" s="58" t="s">
        <v>625</v>
      </c>
      <c r="E1068" t="s">
        <v>271</v>
      </c>
      <c r="F1068" s="58" t="s">
        <v>192</v>
      </c>
      <c r="G1068" t="s">
        <v>973</v>
      </c>
      <c r="H1068" s="58" t="s">
        <v>1428</v>
      </c>
      <c r="I1068" t="s">
        <v>75</v>
      </c>
      <c r="J1068" s="58" t="s">
        <v>75</v>
      </c>
      <c r="K1068" t="s">
        <v>1429</v>
      </c>
      <c r="L1068" t="s">
        <v>20</v>
      </c>
      <c r="M1068" t="s">
        <v>1431</v>
      </c>
      <c r="N1068" s="59">
        <v>-500</v>
      </c>
      <c r="O1068" s="59">
        <v>0</v>
      </c>
      <c r="P1068" s="59">
        <v>0</v>
      </c>
      <c r="Q1068" s="59">
        <v>0</v>
      </c>
      <c r="R1068" s="59">
        <v>0</v>
      </c>
      <c r="S1068" s="59">
        <v>0</v>
      </c>
      <c r="T1068" s="41"/>
      <c r="U1068" s="41"/>
      <c r="V1068" s="41"/>
      <c r="W1068" s="41"/>
      <c r="X1068" s="41"/>
      <c r="Y1068" s="41"/>
      <c r="Z1068" s="41"/>
      <c r="AA1068" s="41"/>
      <c r="AB1068" s="41"/>
      <c r="AC1068" s="41"/>
      <c r="AD1068" s="41"/>
      <c r="AE1068" s="59">
        <v>0</v>
      </c>
      <c r="AF1068" s="59">
        <v>0</v>
      </c>
      <c r="AG1068" s="59" t="s">
        <v>47</v>
      </c>
      <c r="AH1068" s="59" t="s">
        <v>1209</v>
      </c>
    </row>
    <row r="1069" spans="1:34" x14ac:dyDescent="0.35">
      <c r="A1069" s="58">
        <v>2025</v>
      </c>
      <c r="B1069" s="58">
        <v>4</v>
      </c>
      <c r="C1069">
        <v>4</v>
      </c>
      <c r="D1069" s="58" t="s">
        <v>625</v>
      </c>
      <c r="E1069" t="s">
        <v>271</v>
      </c>
      <c r="F1069" s="58" t="s">
        <v>192</v>
      </c>
      <c r="G1069" t="s">
        <v>973</v>
      </c>
      <c r="H1069" s="58" t="s">
        <v>1428</v>
      </c>
      <c r="I1069" t="s">
        <v>75</v>
      </c>
      <c r="J1069" s="58" t="s">
        <v>75</v>
      </c>
      <c r="K1069" t="s">
        <v>1429</v>
      </c>
      <c r="L1069" t="s">
        <v>20</v>
      </c>
      <c r="M1069" t="s">
        <v>1432</v>
      </c>
      <c r="N1069" s="59">
        <v>500</v>
      </c>
      <c r="O1069" s="59">
        <v>0</v>
      </c>
      <c r="P1069" s="59">
        <v>0</v>
      </c>
      <c r="Q1069" s="59">
        <v>0</v>
      </c>
      <c r="R1069" s="59">
        <v>0</v>
      </c>
      <c r="S1069" s="59">
        <v>0</v>
      </c>
      <c r="T1069" s="41"/>
      <c r="U1069" s="41"/>
      <c r="V1069" s="41"/>
      <c r="W1069" s="41"/>
      <c r="X1069" s="41"/>
      <c r="Y1069" s="41"/>
      <c r="Z1069" s="41"/>
      <c r="AA1069" s="41"/>
      <c r="AB1069" s="41"/>
      <c r="AC1069" s="41"/>
      <c r="AD1069" s="41"/>
      <c r="AE1069" s="59">
        <v>0</v>
      </c>
      <c r="AF1069" s="59">
        <v>0</v>
      </c>
      <c r="AG1069" s="59" t="s">
        <v>47</v>
      </c>
      <c r="AH1069" s="59" t="s">
        <v>1209</v>
      </c>
    </row>
    <row r="1070" spans="1:34" x14ac:dyDescent="0.35">
      <c r="A1070" s="58">
        <v>2025</v>
      </c>
      <c r="B1070" s="58">
        <v>4</v>
      </c>
      <c r="C1070">
        <v>4</v>
      </c>
      <c r="D1070" s="58" t="s">
        <v>1433</v>
      </c>
      <c r="E1070" t="s">
        <v>1276</v>
      </c>
      <c r="F1070" s="58" t="s">
        <v>1434</v>
      </c>
      <c r="G1070" t="s">
        <v>1435</v>
      </c>
      <c r="H1070" s="58" t="s">
        <v>1012</v>
      </c>
      <c r="I1070" t="s">
        <v>1012</v>
      </c>
      <c r="J1070" s="58" t="s">
        <v>1012</v>
      </c>
      <c r="K1070" t="s">
        <v>1429</v>
      </c>
      <c r="L1070" t="s">
        <v>20</v>
      </c>
      <c r="M1070" t="s">
        <v>1430</v>
      </c>
      <c r="N1070" s="59">
        <v>0</v>
      </c>
      <c r="O1070" s="59">
        <v>0</v>
      </c>
      <c r="P1070" s="59">
        <v>0</v>
      </c>
      <c r="Q1070" s="59">
        <v>0</v>
      </c>
      <c r="R1070" s="59">
        <v>0</v>
      </c>
      <c r="S1070" s="59">
        <v>0</v>
      </c>
      <c r="T1070" s="41"/>
      <c r="U1070" s="41"/>
      <c r="V1070" s="41"/>
      <c r="W1070" s="41"/>
      <c r="X1070" s="41"/>
      <c r="Y1070" s="41"/>
      <c r="Z1070" s="41"/>
      <c r="AA1070" s="41"/>
      <c r="AB1070" s="41"/>
      <c r="AC1070" s="41"/>
      <c r="AD1070" s="41"/>
      <c r="AE1070" s="59">
        <v>0</v>
      </c>
      <c r="AF1070" s="59">
        <v>0</v>
      </c>
      <c r="AG1070" s="59" t="s">
        <v>1276</v>
      </c>
      <c r="AH1070" s="59" t="s">
        <v>1319</v>
      </c>
    </row>
    <row r="1071" spans="1:34" x14ac:dyDescent="0.35">
      <c r="A1071" s="58">
        <v>2025</v>
      </c>
      <c r="B1071" s="58">
        <v>4</v>
      </c>
      <c r="C1071">
        <v>4</v>
      </c>
      <c r="D1071" s="58" t="s">
        <v>1649</v>
      </c>
      <c r="E1071" t="s">
        <v>23</v>
      </c>
      <c r="F1071" s="58" t="s">
        <v>1496</v>
      </c>
      <c r="G1071" t="s">
        <v>1497</v>
      </c>
      <c r="H1071" s="58" t="s">
        <v>1012</v>
      </c>
      <c r="I1071" t="s">
        <v>1012</v>
      </c>
      <c r="J1071" s="58" t="s">
        <v>1012</v>
      </c>
      <c r="K1071" t="s">
        <v>1429</v>
      </c>
      <c r="L1071" t="s">
        <v>20</v>
      </c>
      <c r="M1071" t="s">
        <v>1430</v>
      </c>
      <c r="N1071" s="59">
        <v>0</v>
      </c>
      <c r="O1071" s="59">
        <v>0</v>
      </c>
      <c r="P1071" s="59">
        <v>0</v>
      </c>
      <c r="Q1071" s="59">
        <v>0</v>
      </c>
      <c r="R1071" s="59">
        <v>0</v>
      </c>
      <c r="S1071" s="59">
        <v>0</v>
      </c>
      <c r="T1071" s="41"/>
      <c r="U1071" s="41"/>
      <c r="V1071" s="41"/>
      <c r="W1071" s="41"/>
      <c r="X1071" s="41"/>
      <c r="Y1071" s="41"/>
      <c r="Z1071" s="41"/>
      <c r="AA1071" s="41"/>
      <c r="AB1071" s="41"/>
      <c r="AC1071" s="41"/>
      <c r="AD1071" s="41"/>
      <c r="AE1071" s="59">
        <v>0</v>
      </c>
      <c r="AF1071" s="59">
        <v>0</v>
      </c>
      <c r="AG1071" s="59" t="s">
        <v>23</v>
      </c>
      <c r="AH1071" s="59" t="s">
        <v>1329</v>
      </c>
    </row>
    <row r="1072" spans="1:34" x14ac:dyDescent="0.35">
      <c r="A1072" s="58">
        <v>2025</v>
      </c>
      <c r="B1072" s="58">
        <v>4</v>
      </c>
      <c r="C1072">
        <v>4</v>
      </c>
      <c r="D1072" s="58" t="s">
        <v>1650</v>
      </c>
      <c r="E1072" t="s">
        <v>1345</v>
      </c>
      <c r="F1072" s="58" t="s">
        <v>1496</v>
      </c>
      <c r="G1072" t="s">
        <v>1497</v>
      </c>
      <c r="H1072" s="58" t="s">
        <v>1012</v>
      </c>
      <c r="I1072" t="s">
        <v>1012</v>
      </c>
      <c r="J1072" s="58" t="s">
        <v>1012</v>
      </c>
      <c r="K1072" t="s">
        <v>1429</v>
      </c>
      <c r="L1072" t="s">
        <v>20</v>
      </c>
      <c r="M1072" t="s">
        <v>1430</v>
      </c>
      <c r="N1072" s="59">
        <v>0</v>
      </c>
      <c r="O1072" s="59">
        <v>0</v>
      </c>
      <c r="P1072" s="59">
        <v>0</v>
      </c>
      <c r="Q1072" s="59">
        <v>0</v>
      </c>
      <c r="R1072" s="59">
        <v>0</v>
      </c>
      <c r="S1072" s="59">
        <v>0</v>
      </c>
      <c r="T1072" s="41"/>
      <c r="U1072" s="41"/>
      <c r="V1072" s="41"/>
      <c r="W1072" s="41"/>
      <c r="X1072" s="41"/>
      <c r="Y1072" s="41"/>
      <c r="Z1072" s="41"/>
      <c r="AA1072" s="41"/>
      <c r="AB1072" s="41"/>
      <c r="AC1072" s="41"/>
      <c r="AD1072" s="41"/>
      <c r="AE1072" s="59">
        <v>0</v>
      </c>
      <c r="AF1072" s="59">
        <v>0</v>
      </c>
      <c r="AG1072" s="59" t="s">
        <v>1345</v>
      </c>
      <c r="AH1072" s="59" t="s">
        <v>1329</v>
      </c>
    </row>
    <row r="1073" spans="1:34" x14ac:dyDescent="0.35">
      <c r="A1073" s="58">
        <v>2025</v>
      </c>
      <c r="B1073" s="58">
        <v>4</v>
      </c>
      <c r="C1073">
        <v>4</v>
      </c>
      <c r="D1073" s="58" t="s">
        <v>589</v>
      </c>
      <c r="E1073" t="s">
        <v>322</v>
      </c>
      <c r="F1073" s="58" t="s">
        <v>171</v>
      </c>
      <c r="G1073" t="s">
        <v>731</v>
      </c>
      <c r="H1073" s="58" t="s">
        <v>4</v>
      </c>
      <c r="I1073" t="s">
        <v>4</v>
      </c>
      <c r="J1073" s="58" t="s">
        <v>4</v>
      </c>
      <c r="K1073" t="s">
        <v>1429</v>
      </c>
      <c r="L1073" t="s">
        <v>20</v>
      </c>
      <c r="M1073" t="s">
        <v>1431</v>
      </c>
      <c r="N1073" s="59">
        <v>-85100</v>
      </c>
      <c r="O1073" s="59">
        <v>0</v>
      </c>
      <c r="P1073" s="59">
        <v>-9604398.4646924827</v>
      </c>
      <c r="Q1073" s="59">
        <v>0</v>
      </c>
      <c r="R1073" s="59">
        <v>4620000</v>
      </c>
      <c r="S1073" s="59">
        <v>4984398.4646924837</v>
      </c>
      <c r="T1073" s="41"/>
      <c r="U1073" s="41"/>
      <c r="V1073" s="41"/>
      <c r="W1073" s="41"/>
      <c r="X1073" s="41"/>
      <c r="Y1073" s="41"/>
      <c r="Z1073" s="41"/>
      <c r="AA1073" s="41"/>
      <c r="AB1073" s="41"/>
      <c r="AC1073" s="41"/>
      <c r="AD1073" s="41"/>
      <c r="AE1073" s="59">
        <v>194.1636891708016</v>
      </c>
      <c r="AF1073" s="59">
        <v>0</v>
      </c>
      <c r="AG1073" s="59" t="s">
        <v>5</v>
      </c>
      <c r="AH1073" s="59" t="s">
        <v>1166</v>
      </c>
    </row>
    <row r="1074" spans="1:34" x14ac:dyDescent="0.35">
      <c r="A1074" s="58">
        <v>2025</v>
      </c>
      <c r="B1074" s="58">
        <v>4</v>
      </c>
      <c r="C1074">
        <v>4</v>
      </c>
      <c r="D1074" s="58" t="s">
        <v>589</v>
      </c>
      <c r="E1074" t="s">
        <v>322</v>
      </c>
      <c r="F1074" s="58" t="s">
        <v>171</v>
      </c>
      <c r="G1074" t="s">
        <v>731</v>
      </c>
      <c r="H1074" s="58" t="s">
        <v>4</v>
      </c>
      <c r="I1074" t="s">
        <v>4</v>
      </c>
      <c r="J1074" s="58" t="s">
        <v>4</v>
      </c>
      <c r="K1074" t="s">
        <v>1429</v>
      </c>
      <c r="L1074" t="s">
        <v>20</v>
      </c>
      <c r="M1074" t="s">
        <v>1430</v>
      </c>
      <c r="N1074" s="59">
        <v>176000</v>
      </c>
      <c r="O1074" s="59">
        <v>5643088000</v>
      </c>
      <c r="P1074" s="59">
        <v>26959714.988610484</v>
      </c>
      <c r="Q1074" s="59">
        <v>0</v>
      </c>
      <c r="R1074" s="59">
        <v>21560000</v>
      </c>
      <c r="S1074" s="59">
        <v>5594568285.0113888</v>
      </c>
      <c r="T1074" s="41"/>
      <c r="U1074" s="41"/>
      <c r="V1074" s="41"/>
      <c r="W1074" s="41"/>
      <c r="X1074" s="41"/>
      <c r="Y1074" s="41"/>
      <c r="Z1074" s="41"/>
      <c r="AA1074" s="41"/>
      <c r="AB1074" s="41"/>
      <c r="AC1074" s="41"/>
      <c r="AD1074" s="41"/>
      <c r="AE1074" s="59">
        <v>217932.41957488516</v>
      </c>
      <c r="AF1074" s="59">
        <v>219822.47048603074</v>
      </c>
      <c r="AG1074" s="59" t="s">
        <v>5</v>
      </c>
      <c r="AH1074" s="59" t="s">
        <v>1166</v>
      </c>
    </row>
    <row r="1075" spans="1:34" x14ac:dyDescent="0.35">
      <c r="A1075" s="58">
        <v>2025</v>
      </c>
      <c r="B1075" s="58">
        <v>4</v>
      </c>
      <c r="C1075">
        <v>4</v>
      </c>
      <c r="D1075" s="58" t="s">
        <v>589</v>
      </c>
      <c r="E1075" t="s">
        <v>322</v>
      </c>
      <c r="F1075" s="58" t="s">
        <v>171</v>
      </c>
      <c r="G1075" t="s">
        <v>731</v>
      </c>
      <c r="H1075" s="58" t="s">
        <v>4</v>
      </c>
      <c r="I1075" t="s">
        <v>4</v>
      </c>
      <c r="J1075" s="58" t="s">
        <v>4</v>
      </c>
      <c r="K1075" t="s">
        <v>1429</v>
      </c>
      <c r="L1075" t="s">
        <v>20</v>
      </c>
      <c r="M1075" t="s">
        <v>1432</v>
      </c>
      <c r="N1075" s="59">
        <v>85100</v>
      </c>
      <c r="O1075" s="59">
        <v>0</v>
      </c>
      <c r="P1075" s="59">
        <v>11289380.651480637</v>
      </c>
      <c r="Q1075" s="59">
        <v>0</v>
      </c>
      <c r="R1075" s="59">
        <v>9240000</v>
      </c>
      <c r="S1075" s="59">
        <v>-20529380.651480637</v>
      </c>
      <c r="T1075" s="41"/>
      <c r="U1075" s="41"/>
      <c r="V1075" s="41"/>
      <c r="W1075" s="41"/>
      <c r="X1075" s="41"/>
      <c r="Y1075" s="41"/>
      <c r="Z1075" s="41"/>
      <c r="AA1075" s="41"/>
      <c r="AB1075" s="41"/>
      <c r="AC1075" s="41"/>
      <c r="AD1075" s="41"/>
      <c r="AE1075" s="59">
        <v>-799.70738935075849</v>
      </c>
      <c r="AF1075" s="59">
        <v>0</v>
      </c>
      <c r="AG1075" s="59" t="s">
        <v>5</v>
      </c>
      <c r="AH1075" s="59" t="s">
        <v>1166</v>
      </c>
    </row>
    <row r="1076" spans="1:34" x14ac:dyDescent="0.35">
      <c r="A1076" s="58">
        <v>2025</v>
      </c>
      <c r="B1076" s="58">
        <v>4</v>
      </c>
      <c r="C1076">
        <v>4</v>
      </c>
      <c r="D1076" s="58" t="s">
        <v>589</v>
      </c>
      <c r="E1076" t="s">
        <v>322</v>
      </c>
      <c r="F1076" s="58" t="s">
        <v>1152</v>
      </c>
      <c r="G1076" t="s">
        <v>1153</v>
      </c>
      <c r="H1076" s="58" t="s">
        <v>1012</v>
      </c>
      <c r="I1076" t="s">
        <v>1012</v>
      </c>
      <c r="J1076" s="58" t="s">
        <v>1399</v>
      </c>
      <c r="K1076" t="s">
        <v>1429</v>
      </c>
      <c r="L1076" t="s">
        <v>20</v>
      </c>
      <c r="M1076" t="s">
        <v>1430</v>
      </c>
      <c r="N1076" s="59">
        <v>0</v>
      </c>
      <c r="O1076" s="59">
        <v>0</v>
      </c>
      <c r="P1076" s="59">
        <v>0</v>
      </c>
      <c r="Q1076" s="59">
        <v>0</v>
      </c>
      <c r="R1076" s="59">
        <v>0</v>
      </c>
      <c r="S1076" s="59">
        <v>0</v>
      </c>
      <c r="T1076" s="41"/>
      <c r="U1076" s="41"/>
      <c r="V1076" s="41"/>
      <c r="W1076" s="41"/>
      <c r="X1076" s="41"/>
      <c r="Y1076" s="41"/>
      <c r="Z1076" s="41"/>
      <c r="AA1076" s="41"/>
      <c r="AB1076" s="41"/>
      <c r="AC1076" s="41"/>
      <c r="AD1076" s="41"/>
      <c r="AE1076" s="59">
        <v>0</v>
      </c>
      <c r="AF1076" s="59">
        <v>0</v>
      </c>
      <c r="AG1076" s="59" t="s">
        <v>5</v>
      </c>
      <c r="AH1076" s="59" t="s">
        <v>1400</v>
      </c>
    </row>
    <row r="1077" spans="1:34" x14ac:dyDescent="0.35">
      <c r="A1077" s="58">
        <v>2025</v>
      </c>
      <c r="B1077" s="58">
        <v>4</v>
      </c>
      <c r="C1077">
        <v>4</v>
      </c>
      <c r="D1077" s="58" t="s">
        <v>590</v>
      </c>
      <c r="E1077" t="s">
        <v>500</v>
      </c>
      <c r="F1077" s="58" t="s">
        <v>168</v>
      </c>
      <c r="G1077" t="s">
        <v>700</v>
      </c>
      <c r="H1077" s="58" t="s">
        <v>4</v>
      </c>
      <c r="I1077" t="s">
        <v>4</v>
      </c>
      <c r="J1077" s="58" t="s">
        <v>4</v>
      </c>
      <c r="K1077" t="s">
        <v>1429</v>
      </c>
      <c r="L1077" t="s">
        <v>20</v>
      </c>
      <c r="M1077" t="s">
        <v>1430</v>
      </c>
      <c r="N1077" s="59">
        <v>374000</v>
      </c>
      <c r="O1077" s="59">
        <v>13360028000</v>
      </c>
      <c r="P1077" s="59">
        <v>26385063.893442616</v>
      </c>
      <c r="Q1077" s="59">
        <v>0</v>
      </c>
      <c r="R1077" s="59">
        <v>236111112.99999997</v>
      </c>
      <c r="S1077" s="59">
        <v>12900931617.106562</v>
      </c>
      <c r="T1077" s="41"/>
      <c r="U1077" s="41"/>
      <c r="V1077" s="41"/>
      <c r="W1077" s="41"/>
      <c r="X1077" s="41"/>
      <c r="Y1077" s="41"/>
      <c r="Z1077" s="41"/>
      <c r="AA1077" s="41"/>
      <c r="AB1077" s="41"/>
      <c r="AC1077" s="41"/>
      <c r="AD1077" s="41"/>
      <c r="AE1077" s="59">
        <v>502546.5949926186</v>
      </c>
      <c r="AF1077" s="59">
        <v>520430.3673312458</v>
      </c>
      <c r="AG1077" s="59" t="s">
        <v>8</v>
      </c>
      <c r="AH1077" s="59" t="s">
        <v>1160</v>
      </c>
    </row>
    <row r="1078" spans="1:34" x14ac:dyDescent="0.35">
      <c r="A1078" s="58">
        <v>2025</v>
      </c>
      <c r="B1078" s="58">
        <v>4</v>
      </c>
      <c r="C1078">
        <v>4</v>
      </c>
      <c r="D1078" s="58" t="s">
        <v>590</v>
      </c>
      <c r="E1078" t="s">
        <v>500</v>
      </c>
      <c r="F1078" s="58" t="s">
        <v>1535</v>
      </c>
      <c r="G1078" t="s">
        <v>1536</v>
      </c>
      <c r="H1078" s="58" t="s">
        <v>1012</v>
      </c>
      <c r="I1078" t="s">
        <v>1012</v>
      </c>
      <c r="J1078" s="58" t="s">
        <v>1012</v>
      </c>
      <c r="K1078" t="s">
        <v>1429</v>
      </c>
      <c r="L1078" t="s">
        <v>20</v>
      </c>
      <c r="M1078" t="s">
        <v>1430</v>
      </c>
      <c r="N1078" s="59">
        <v>0</v>
      </c>
      <c r="O1078" s="59">
        <v>0</v>
      </c>
      <c r="P1078" s="59">
        <v>0</v>
      </c>
      <c r="Q1078" s="59">
        <v>0</v>
      </c>
      <c r="R1078" s="59">
        <v>0</v>
      </c>
      <c r="S1078" s="59">
        <v>196600206</v>
      </c>
      <c r="T1078" s="41"/>
      <c r="U1078" s="41"/>
      <c r="V1078" s="41"/>
      <c r="W1078" s="41"/>
      <c r="X1078" s="41"/>
      <c r="Y1078" s="41"/>
      <c r="Z1078" s="41"/>
      <c r="AA1078" s="41"/>
      <c r="AB1078" s="41"/>
      <c r="AC1078" s="41"/>
      <c r="AD1078" s="41"/>
      <c r="AE1078" s="59">
        <v>7658.4208824995394</v>
      </c>
      <c r="AF1078" s="59">
        <v>0</v>
      </c>
      <c r="AG1078" s="59" t="s">
        <v>8</v>
      </c>
      <c r="AH1078" s="59" t="s">
        <v>1270</v>
      </c>
    </row>
    <row r="1079" spans="1:34" x14ac:dyDescent="0.35">
      <c r="A1079" s="58">
        <v>2025</v>
      </c>
      <c r="B1079" s="58">
        <v>4</v>
      </c>
      <c r="C1079">
        <v>4</v>
      </c>
      <c r="D1079" s="58" t="s">
        <v>590</v>
      </c>
      <c r="E1079" t="s">
        <v>500</v>
      </c>
      <c r="F1079" s="58" t="s">
        <v>1590</v>
      </c>
      <c r="G1079" t="s">
        <v>1590</v>
      </c>
      <c r="H1079" s="58" t="s">
        <v>1012</v>
      </c>
      <c r="I1079" t="s">
        <v>1012</v>
      </c>
      <c r="J1079" s="58" t="s">
        <v>1012</v>
      </c>
      <c r="K1079" t="s">
        <v>1429</v>
      </c>
      <c r="L1079" t="s">
        <v>20</v>
      </c>
      <c r="M1079" t="s">
        <v>1591</v>
      </c>
      <c r="N1079" s="59">
        <v>0</v>
      </c>
      <c r="O1079" s="59">
        <v>-196600206</v>
      </c>
      <c r="P1079" s="59">
        <v>0</v>
      </c>
      <c r="Q1079" s="59">
        <v>0</v>
      </c>
      <c r="R1079" s="59">
        <v>0</v>
      </c>
      <c r="S1079" s="59">
        <v>-196600206</v>
      </c>
      <c r="T1079" s="41"/>
      <c r="U1079" s="41"/>
      <c r="V1079" s="41"/>
      <c r="W1079" s="41"/>
      <c r="X1079" s="41"/>
      <c r="Y1079" s="41"/>
      <c r="Z1079" s="41"/>
      <c r="AA1079" s="41"/>
      <c r="AB1079" s="41"/>
      <c r="AC1079" s="41"/>
      <c r="AD1079" s="41"/>
      <c r="AE1079" s="59">
        <v>-7658.4208824995385</v>
      </c>
      <c r="AF1079" s="59">
        <v>-7658.4208824995385</v>
      </c>
      <c r="AG1079" s="59" t="s">
        <v>8</v>
      </c>
      <c r="AH1079" s="59" t="s">
        <v>1592</v>
      </c>
    </row>
    <row r="1080" spans="1:34" x14ac:dyDescent="0.35">
      <c r="A1080" s="58">
        <v>2025</v>
      </c>
      <c r="B1080" s="58">
        <v>4</v>
      </c>
      <c r="C1080">
        <v>4</v>
      </c>
      <c r="D1080" s="58" t="s">
        <v>601</v>
      </c>
      <c r="E1080" t="s">
        <v>501</v>
      </c>
      <c r="F1080" s="58" t="s">
        <v>171</v>
      </c>
      <c r="G1080" t="s">
        <v>731</v>
      </c>
      <c r="H1080" s="58" t="s">
        <v>4</v>
      </c>
      <c r="I1080" t="s">
        <v>4</v>
      </c>
      <c r="J1080" s="58" t="s">
        <v>4</v>
      </c>
      <c r="K1080" t="s">
        <v>1429</v>
      </c>
      <c r="L1080" t="s">
        <v>20</v>
      </c>
      <c r="M1080" t="s">
        <v>1430</v>
      </c>
      <c r="N1080" s="59">
        <v>11000</v>
      </c>
      <c r="O1080" s="59">
        <v>352693000</v>
      </c>
      <c r="P1080" s="59">
        <v>1684982.186788155</v>
      </c>
      <c r="Q1080" s="59">
        <v>0</v>
      </c>
      <c r="R1080" s="59">
        <v>0</v>
      </c>
      <c r="S1080" s="59">
        <v>351008017.81321186</v>
      </c>
      <c r="T1080" s="41"/>
      <c r="U1080" s="41"/>
      <c r="V1080" s="41"/>
      <c r="W1080" s="41"/>
      <c r="X1080" s="41"/>
      <c r="Y1080" s="41"/>
      <c r="Z1080" s="41"/>
      <c r="AA1080" s="41"/>
      <c r="AB1080" s="41"/>
      <c r="AC1080" s="41"/>
      <c r="AD1080" s="41"/>
      <c r="AE1080" s="59">
        <v>13673.267125393917</v>
      </c>
      <c r="AF1080" s="59">
        <v>13738.904405376921</v>
      </c>
      <c r="AG1080" s="59" t="s">
        <v>109</v>
      </c>
      <c r="AH1080" s="59" t="s">
        <v>1166</v>
      </c>
    </row>
    <row r="1081" spans="1:34" x14ac:dyDescent="0.35">
      <c r="A1081" s="58">
        <v>2025</v>
      </c>
      <c r="B1081" s="58">
        <v>4</v>
      </c>
      <c r="C1081">
        <v>4</v>
      </c>
      <c r="D1081" s="58" t="s">
        <v>601</v>
      </c>
      <c r="E1081" t="s">
        <v>501</v>
      </c>
      <c r="F1081" s="58" t="s">
        <v>1152</v>
      </c>
      <c r="G1081" t="s">
        <v>1153</v>
      </c>
      <c r="H1081" s="58" t="s">
        <v>1012</v>
      </c>
      <c r="I1081" t="s">
        <v>1012</v>
      </c>
      <c r="J1081" s="58" t="s">
        <v>1399</v>
      </c>
      <c r="K1081" t="s">
        <v>1429</v>
      </c>
      <c r="L1081" t="s">
        <v>20</v>
      </c>
      <c r="M1081" t="s">
        <v>1430</v>
      </c>
      <c r="N1081" s="59">
        <v>0</v>
      </c>
      <c r="O1081" s="59">
        <v>0</v>
      </c>
      <c r="P1081" s="59">
        <v>0</v>
      </c>
      <c r="Q1081" s="59">
        <v>0</v>
      </c>
      <c r="R1081" s="59">
        <v>3080000</v>
      </c>
      <c r="S1081" s="59">
        <v>-3080000</v>
      </c>
      <c r="T1081" s="41"/>
      <c r="U1081" s="41"/>
      <c r="V1081" s="41"/>
      <c r="W1081" s="41"/>
      <c r="X1081" s="41"/>
      <c r="Y1081" s="41"/>
      <c r="Z1081" s="41"/>
      <c r="AA1081" s="41"/>
      <c r="AB1081" s="41"/>
      <c r="AC1081" s="41"/>
      <c r="AD1081" s="41"/>
      <c r="AE1081" s="59">
        <v>-119.97920448821189</v>
      </c>
      <c r="AF1081" s="59">
        <v>0</v>
      </c>
      <c r="AG1081" s="59" t="s">
        <v>109</v>
      </c>
      <c r="AH1081" s="59" t="s">
        <v>1400</v>
      </c>
    </row>
    <row r="1082" spans="1:34" x14ac:dyDescent="0.35">
      <c r="A1082" s="58">
        <v>2025</v>
      </c>
      <c r="B1082" s="58">
        <v>4</v>
      </c>
      <c r="C1082">
        <v>4</v>
      </c>
      <c r="D1082" s="58" t="s">
        <v>620</v>
      </c>
      <c r="E1082" t="s">
        <v>324</v>
      </c>
      <c r="F1082" s="58" t="s">
        <v>168</v>
      </c>
      <c r="G1082" t="s">
        <v>700</v>
      </c>
      <c r="H1082" s="58" t="s">
        <v>4</v>
      </c>
      <c r="I1082" t="s">
        <v>4</v>
      </c>
      <c r="J1082" s="58" t="s">
        <v>4</v>
      </c>
      <c r="K1082" t="s">
        <v>1429</v>
      </c>
      <c r="L1082" t="s">
        <v>20</v>
      </c>
      <c r="M1082" t="s">
        <v>1431</v>
      </c>
      <c r="N1082" s="59">
        <v>-730.9</v>
      </c>
      <c r="O1082" s="59">
        <v>0</v>
      </c>
      <c r="P1082" s="59">
        <v>0</v>
      </c>
      <c r="Q1082" s="59">
        <v>0</v>
      </c>
      <c r="R1082" s="59">
        <v>0</v>
      </c>
      <c r="S1082" s="59">
        <v>0</v>
      </c>
      <c r="T1082" s="41"/>
      <c r="U1082" s="41"/>
      <c r="V1082" s="41"/>
      <c r="W1082" s="41"/>
      <c r="X1082" s="41"/>
      <c r="Y1082" s="41"/>
      <c r="Z1082" s="41"/>
      <c r="AA1082" s="41"/>
      <c r="AB1082" s="41"/>
      <c r="AC1082" s="41"/>
      <c r="AD1082" s="41"/>
      <c r="AE1082" s="59">
        <v>0</v>
      </c>
      <c r="AF1082" s="59">
        <v>0</v>
      </c>
      <c r="AG1082" s="59" t="s">
        <v>8</v>
      </c>
      <c r="AH1082" s="59" t="s">
        <v>1160</v>
      </c>
    </row>
    <row r="1083" spans="1:34" x14ac:dyDescent="0.35">
      <c r="A1083" s="58">
        <v>2025</v>
      </c>
      <c r="B1083" s="58">
        <v>4</v>
      </c>
      <c r="C1083">
        <v>4</v>
      </c>
      <c r="D1083" s="58" t="s">
        <v>620</v>
      </c>
      <c r="E1083" t="s">
        <v>324</v>
      </c>
      <c r="F1083" s="58" t="s">
        <v>168</v>
      </c>
      <c r="G1083" t="s">
        <v>700</v>
      </c>
      <c r="H1083" s="58" t="s">
        <v>4</v>
      </c>
      <c r="I1083" t="s">
        <v>4</v>
      </c>
      <c r="J1083" s="58" t="s">
        <v>4</v>
      </c>
      <c r="K1083" t="s">
        <v>1429</v>
      </c>
      <c r="L1083" t="s">
        <v>20</v>
      </c>
      <c r="M1083" t="s">
        <v>1430</v>
      </c>
      <c r="N1083" s="59">
        <v>44000</v>
      </c>
      <c r="O1083" s="59">
        <v>1566767400</v>
      </c>
      <c r="P1083" s="59">
        <v>6739928.74715262</v>
      </c>
      <c r="Q1083" s="59">
        <v>0</v>
      </c>
      <c r="R1083" s="59">
        <v>7040000</v>
      </c>
      <c r="S1083" s="59">
        <v>1529655646.2528474</v>
      </c>
      <c r="T1083" s="41"/>
      <c r="U1083" s="41"/>
      <c r="V1083" s="41"/>
      <c r="W1083" s="41"/>
      <c r="X1083" s="41"/>
      <c r="Y1083" s="41"/>
      <c r="Z1083" s="41"/>
      <c r="AA1083" s="41"/>
      <c r="AB1083" s="41"/>
      <c r="AC1083" s="41"/>
      <c r="AD1083" s="41"/>
      <c r="AE1083" s="59">
        <v>59586.645317635812</v>
      </c>
      <c r="AF1083" s="59">
        <v>61032.307230540282</v>
      </c>
      <c r="AG1083" s="59" t="s">
        <v>8</v>
      </c>
      <c r="AH1083" s="59" t="s">
        <v>1160</v>
      </c>
    </row>
    <row r="1084" spans="1:34" x14ac:dyDescent="0.35">
      <c r="A1084" s="58">
        <v>2025</v>
      </c>
      <c r="B1084" s="58">
        <v>4</v>
      </c>
      <c r="C1084">
        <v>4</v>
      </c>
      <c r="D1084" s="58" t="s">
        <v>620</v>
      </c>
      <c r="E1084" t="s">
        <v>324</v>
      </c>
      <c r="F1084" s="58" t="s">
        <v>168</v>
      </c>
      <c r="G1084" t="s">
        <v>700</v>
      </c>
      <c r="H1084" s="58" t="s">
        <v>4</v>
      </c>
      <c r="I1084" t="s">
        <v>4</v>
      </c>
      <c r="J1084" s="58" t="s">
        <v>4</v>
      </c>
      <c r="K1084" t="s">
        <v>1429</v>
      </c>
      <c r="L1084" t="s">
        <v>20</v>
      </c>
      <c r="M1084" t="s">
        <v>1432</v>
      </c>
      <c r="N1084" s="59">
        <v>730.9</v>
      </c>
      <c r="O1084" s="59">
        <v>0</v>
      </c>
      <c r="P1084" s="59">
        <v>168498.21867881549</v>
      </c>
      <c r="Q1084" s="59">
        <v>0</v>
      </c>
      <c r="R1084" s="59">
        <v>0</v>
      </c>
      <c r="S1084" s="59">
        <v>-168498.21867881549</v>
      </c>
      <c r="T1084" s="41"/>
      <c r="U1084" s="41"/>
      <c r="V1084" s="41"/>
      <c r="W1084" s="41"/>
      <c r="X1084" s="41"/>
      <c r="Y1084" s="41"/>
      <c r="Z1084" s="41"/>
      <c r="AA1084" s="41"/>
      <c r="AB1084" s="41"/>
      <c r="AC1084" s="41"/>
      <c r="AD1084" s="41"/>
      <c r="AE1084" s="59">
        <v>-6.5637279983003403</v>
      </c>
      <c r="AF1084" s="59">
        <v>0</v>
      </c>
      <c r="AG1084" s="59" t="s">
        <v>8</v>
      </c>
      <c r="AH1084" s="59" t="s">
        <v>1160</v>
      </c>
    </row>
    <row r="1085" spans="1:34" x14ac:dyDescent="0.35">
      <c r="A1085" s="58">
        <v>2025</v>
      </c>
      <c r="B1085" s="58">
        <v>4</v>
      </c>
      <c r="C1085">
        <v>4</v>
      </c>
      <c r="D1085" s="58" t="s">
        <v>620</v>
      </c>
      <c r="E1085" t="s">
        <v>324</v>
      </c>
      <c r="F1085" s="58" t="s">
        <v>1535</v>
      </c>
      <c r="G1085" t="s">
        <v>1536</v>
      </c>
      <c r="H1085" s="58" t="s">
        <v>1012</v>
      </c>
      <c r="I1085" t="s">
        <v>1012</v>
      </c>
      <c r="J1085" s="58" t="s">
        <v>1012</v>
      </c>
      <c r="K1085" t="s">
        <v>1429</v>
      </c>
      <c r="L1085" t="s">
        <v>20</v>
      </c>
      <c r="M1085" t="s">
        <v>1430</v>
      </c>
      <c r="N1085" s="59">
        <v>0</v>
      </c>
      <c r="O1085" s="59">
        <v>0</v>
      </c>
      <c r="P1085" s="59">
        <v>0</v>
      </c>
      <c r="Q1085" s="59">
        <v>0</v>
      </c>
      <c r="R1085" s="59">
        <v>0</v>
      </c>
      <c r="S1085" s="59">
        <v>23331825</v>
      </c>
      <c r="T1085" s="41"/>
      <c r="U1085" s="41"/>
      <c r="V1085" s="41"/>
      <c r="W1085" s="41"/>
      <c r="X1085" s="41"/>
      <c r="Y1085" s="41"/>
      <c r="Z1085" s="41"/>
      <c r="AA1085" s="41"/>
      <c r="AB1085" s="41"/>
      <c r="AC1085" s="41"/>
      <c r="AD1085" s="41"/>
      <c r="AE1085" s="59">
        <v>908.87461128512155</v>
      </c>
      <c r="AF1085" s="59">
        <v>0</v>
      </c>
      <c r="AG1085" s="59" t="s">
        <v>8</v>
      </c>
      <c r="AH1085" s="59" t="s">
        <v>1270</v>
      </c>
    </row>
    <row r="1086" spans="1:34" x14ac:dyDescent="0.35">
      <c r="A1086" s="58">
        <v>2025</v>
      </c>
      <c r="B1086" s="58">
        <v>4</v>
      </c>
      <c r="C1086">
        <v>4</v>
      </c>
      <c r="D1086" s="58" t="s">
        <v>620</v>
      </c>
      <c r="E1086" t="s">
        <v>324</v>
      </c>
      <c r="F1086" s="58" t="s">
        <v>1590</v>
      </c>
      <c r="G1086" t="s">
        <v>1590</v>
      </c>
      <c r="H1086" s="58" t="s">
        <v>1012</v>
      </c>
      <c r="I1086" t="s">
        <v>1012</v>
      </c>
      <c r="J1086" s="58" t="s">
        <v>1012</v>
      </c>
      <c r="K1086" t="s">
        <v>1429</v>
      </c>
      <c r="L1086" t="s">
        <v>20</v>
      </c>
      <c r="M1086" t="s">
        <v>1591</v>
      </c>
      <c r="N1086" s="59">
        <v>0</v>
      </c>
      <c r="O1086" s="59">
        <v>-23331825</v>
      </c>
      <c r="P1086" s="59">
        <v>0</v>
      </c>
      <c r="Q1086" s="59">
        <v>0</v>
      </c>
      <c r="R1086" s="59">
        <v>0</v>
      </c>
      <c r="S1086" s="59">
        <v>-23331825</v>
      </c>
      <c r="T1086" s="41"/>
      <c r="U1086" s="41"/>
      <c r="V1086" s="41"/>
      <c r="W1086" s="41"/>
      <c r="X1086" s="41"/>
      <c r="Y1086" s="41"/>
      <c r="Z1086" s="41"/>
      <c r="AA1086" s="41"/>
      <c r="AB1086" s="41"/>
      <c r="AC1086" s="41"/>
      <c r="AD1086" s="41"/>
      <c r="AE1086" s="59">
        <v>-908.87461128512155</v>
      </c>
      <c r="AF1086" s="59">
        <v>-908.87461128512155</v>
      </c>
      <c r="AG1086" s="59" t="s">
        <v>8</v>
      </c>
      <c r="AH1086" s="59" t="s">
        <v>1592</v>
      </c>
    </row>
    <row r="1087" spans="1:34" x14ac:dyDescent="0.35">
      <c r="A1087" s="58">
        <v>2025</v>
      </c>
      <c r="B1087" s="58">
        <v>4</v>
      </c>
      <c r="C1087">
        <v>4</v>
      </c>
      <c r="D1087" s="58" t="s">
        <v>1531</v>
      </c>
      <c r="E1087" t="s">
        <v>1296</v>
      </c>
      <c r="F1087" s="58" t="s">
        <v>1482</v>
      </c>
      <c r="G1087" t="s">
        <v>1483</v>
      </c>
      <c r="H1087" s="58" t="s">
        <v>1012</v>
      </c>
      <c r="I1087" t="s">
        <v>1012</v>
      </c>
      <c r="J1087" s="58" t="s">
        <v>1012</v>
      </c>
      <c r="K1087" t="s">
        <v>1429</v>
      </c>
      <c r="L1087" t="s">
        <v>20</v>
      </c>
      <c r="M1087" t="s">
        <v>1430</v>
      </c>
      <c r="N1087" s="59">
        <v>0</v>
      </c>
      <c r="O1087" s="59">
        <v>20000000</v>
      </c>
      <c r="P1087" s="59">
        <v>0</v>
      </c>
      <c r="Q1087" s="59">
        <v>0</v>
      </c>
      <c r="R1087" s="59">
        <v>0</v>
      </c>
      <c r="S1087" s="59">
        <v>20000000</v>
      </c>
      <c r="T1087" s="41"/>
      <c r="U1087" s="41"/>
      <c r="V1087" s="41"/>
      <c r="W1087" s="41"/>
      <c r="X1087" s="41"/>
      <c r="Y1087" s="41"/>
      <c r="Z1087" s="41"/>
      <c r="AA1087" s="41"/>
      <c r="AB1087" s="41"/>
      <c r="AC1087" s="41"/>
      <c r="AD1087" s="41"/>
      <c r="AE1087" s="59">
        <v>779.08574342994734</v>
      </c>
      <c r="AF1087" s="59">
        <v>779.08574342994734</v>
      </c>
      <c r="AG1087" s="59" t="s">
        <v>1296</v>
      </c>
      <c r="AH1087" s="59" t="s">
        <v>1325</v>
      </c>
    </row>
    <row r="1088" spans="1:34" x14ac:dyDescent="0.35">
      <c r="A1088" s="58">
        <v>2025</v>
      </c>
      <c r="B1088" s="58">
        <v>4</v>
      </c>
      <c r="C1088">
        <v>4</v>
      </c>
      <c r="D1088" s="58" t="s">
        <v>682</v>
      </c>
      <c r="E1088" t="s">
        <v>156</v>
      </c>
      <c r="F1088" s="58" t="s">
        <v>200</v>
      </c>
      <c r="G1088" t="s">
        <v>470</v>
      </c>
      <c r="H1088" s="58" t="s">
        <v>1428</v>
      </c>
      <c r="I1088" t="s">
        <v>76</v>
      </c>
      <c r="J1088" s="58" t="s">
        <v>76</v>
      </c>
      <c r="K1088" t="s">
        <v>1429</v>
      </c>
      <c r="L1088" t="s">
        <v>20</v>
      </c>
      <c r="M1088" t="s">
        <v>1430</v>
      </c>
      <c r="N1088" s="59">
        <v>25</v>
      </c>
      <c r="O1088" s="59">
        <v>375000</v>
      </c>
      <c r="P1088" s="59">
        <v>0</v>
      </c>
      <c r="Q1088" s="59">
        <v>0</v>
      </c>
      <c r="R1088" s="59">
        <v>0</v>
      </c>
      <c r="S1088" s="59">
        <v>375000</v>
      </c>
      <c r="T1088" s="41"/>
      <c r="U1088" s="41"/>
      <c r="V1088" s="41"/>
      <c r="W1088" s="41"/>
      <c r="X1088" s="41"/>
      <c r="Y1088" s="41"/>
      <c r="Z1088" s="41"/>
      <c r="AA1088" s="41"/>
      <c r="AB1088" s="41"/>
      <c r="AC1088" s="41"/>
      <c r="AD1088" s="41"/>
      <c r="AE1088" s="59">
        <v>14.607857689311512</v>
      </c>
      <c r="AF1088" s="59">
        <v>14.607857689311512</v>
      </c>
      <c r="AG1088" s="59" t="s">
        <v>156</v>
      </c>
      <c r="AH1088" s="59" t="s">
        <v>79</v>
      </c>
    </row>
    <row r="1089" spans="1:34" x14ac:dyDescent="0.35">
      <c r="A1089" s="58">
        <v>2025</v>
      </c>
      <c r="B1089" s="58">
        <v>4</v>
      </c>
      <c r="C1089">
        <v>4</v>
      </c>
      <c r="D1089" s="58" t="s">
        <v>682</v>
      </c>
      <c r="E1089" t="s">
        <v>156</v>
      </c>
      <c r="F1089" s="58" t="s">
        <v>201</v>
      </c>
      <c r="G1089" t="s">
        <v>471</v>
      </c>
      <c r="H1089" s="58" t="s">
        <v>1428</v>
      </c>
      <c r="I1089" t="s">
        <v>76</v>
      </c>
      <c r="J1089" s="58" t="s">
        <v>76</v>
      </c>
      <c r="K1089" t="s">
        <v>1429</v>
      </c>
      <c r="L1089" t="s">
        <v>20</v>
      </c>
      <c r="M1089" t="s">
        <v>1430</v>
      </c>
      <c r="N1089" s="59">
        <v>25</v>
      </c>
      <c r="O1089" s="59">
        <v>375000</v>
      </c>
      <c r="P1089" s="59">
        <v>0</v>
      </c>
      <c r="Q1089" s="59">
        <v>0</v>
      </c>
      <c r="R1089" s="59">
        <v>0</v>
      </c>
      <c r="S1089" s="59">
        <v>375000</v>
      </c>
      <c r="T1089" s="41"/>
      <c r="U1089" s="41"/>
      <c r="V1089" s="41"/>
      <c r="W1089" s="41"/>
      <c r="X1089" s="41"/>
      <c r="Y1089" s="41"/>
      <c r="Z1089" s="41"/>
      <c r="AA1089" s="41"/>
      <c r="AB1089" s="41"/>
      <c r="AC1089" s="41"/>
      <c r="AD1089" s="41"/>
      <c r="AE1089" s="59">
        <v>14.607857689311512</v>
      </c>
      <c r="AF1089" s="59">
        <v>14.607857689311512</v>
      </c>
      <c r="AG1089" s="59" t="s">
        <v>156</v>
      </c>
      <c r="AH1089" s="59" t="s">
        <v>77</v>
      </c>
    </row>
    <row r="1090" spans="1:34" x14ac:dyDescent="0.35">
      <c r="A1090" s="58">
        <v>2025</v>
      </c>
      <c r="B1090" s="58">
        <v>4</v>
      </c>
      <c r="C1090">
        <v>4</v>
      </c>
      <c r="D1090" s="58" t="s">
        <v>682</v>
      </c>
      <c r="E1090" t="s">
        <v>156</v>
      </c>
      <c r="F1090" s="58" t="s">
        <v>202</v>
      </c>
      <c r="G1090" t="s">
        <v>473</v>
      </c>
      <c r="H1090" s="58" t="s">
        <v>1428</v>
      </c>
      <c r="I1090" t="s">
        <v>76</v>
      </c>
      <c r="J1090" s="58" t="s">
        <v>76</v>
      </c>
      <c r="K1090" t="s">
        <v>1429</v>
      </c>
      <c r="L1090" t="s">
        <v>20</v>
      </c>
      <c r="M1090" t="s">
        <v>1430</v>
      </c>
      <c r="N1090" s="59">
        <v>25</v>
      </c>
      <c r="O1090" s="59">
        <v>375000</v>
      </c>
      <c r="P1090" s="59">
        <v>0</v>
      </c>
      <c r="Q1090" s="59">
        <v>0</v>
      </c>
      <c r="R1090" s="59">
        <v>0</v>
      </c>
      <c r="S1090" s="59">
        <v>375000</v>
      </c>
      <c r="T1090" s="41"/>
      <c r="U1090" s="41"/>
      <c r="V1090" s="41"/>
      <c r="W1090" s="41"/>
      <c r="X1090" s="41"/>
      <c r="Y1090" s="41"/>
      <c r="Z1090" s="41"/>
      <c r="AA1090" s="41"/>
      <c r="AB1090" s="41"/>
      <c r="AC1090" s="41"/>
      <c r="AD1090" s="41"/>
      <c r="AE1090" s="59">
        <v>14.607857689311512</v>
      </c>
      <c r="AF1090" s="59">
        <v>14.607857689311512</v>
      </c>
      <c r="AG1090" s="59" t="s">
        <v>156</v>
      </c>
      <c r="AH1090" s="59" t="s">
        <v>80</v>
      </c>
    </row>
    <row r="1091" spans="1:34" x14ac:dyDescent="0.35">
      <c r="A1091" s="58">
        <v>2025</v>
      </c>
      <c r="B1091" s="58">
        <v>4</v>
      </c>
      <c r="C1091">
        <v>4</v>
      </c>
      <c r="D1091" s="58" t="s">
        <v>682</v>
      </c>
      <c r="E1091" t="s">
        <v>156</v>
      </c>
      <c r="F1091" s="58" t="s">
        <v>203</v>
      </c>
      <c r="G1091" t="s">
        <v>472</v>
      </c>
      <c r="H1091" s="58" t="s">
        <v>1428</v>
      </c>
      <c r="I1091" t="s">
        <v>76</v>
      </c>
      <c r="J1091" s="58" t="s">
        <v>76</v>
      </c>
      <c r="K1091" t="s">
        <v>1429</v>
      </c>
      <c r="L1091" t="s">
        <v>20</v>
      </c>
      <c r="M1091" t="s">
        <v>1430</v>
      </c>
      <c r="N1091" s="59">
        <v>25</v>
      </c>
      <c r="O1091" s="59">
        <v>375000</v>
      </c>
      <c r="P1091" s="59">
        <v>0</v>
      </c>
      <c r="Q1091" s="59">
        <v>0</v>
      </c>
      <c r="R1091" s="59">
        <v>0</v>
      </c>
      <c r="S1091" s="59">
        <v>375000</v>
      </c>
      <c r="T1091" s="41"/>
      <c r="U1091" s="41"/>
      <c r="V1091" s="41"/>
      <c r="W1091" s="41"/>
      <c r="X1091" s="41"/>
      <c r="Y1091" s="41"/>
      <c r="Z1091" s="41"/>
      <c r="AA1091" s="41"/>
      <c r="AB1091" s="41"/>
      <c r="AC1091" s="41"/>
      <c r="AD1091" s="41"/>
      <c r="AE1091" s="59">
        <v>14.607857689311512</v>
      </c>
      <c r="AF1091" s="59">
        <v>14.607857689311512</v>
      </c>
      <c r="AG1091" s="59" t="s">
        <v>156</v>
      </c>
      <c r="AH1091" s="59" t="s">
        <v>78</v>
      </c>
    </row>
    <row r="1092" spans="1:34" x14ac:dyDescent="0.35">
      <c r="A1092" s="58">
        <v>2025</v>
      </c>
      <c r="B1092" s="58">
        <v>4</v>
      </c>
      <c r="C1092">
        <v>4</v>
      </c>
      <c r="D1092" s="58" t="s">
        <v>682</v>
      </c>
      <c r="E1092" t="s">
        <v>156</v>
      </c>
      <c r="F1092" s="58" t="s">
        <v>204</v>
      </c>
      <c r="G1092" t="s">
        <v>474</v>
      </c>
      <c r="H1092" s="58" t="s">
        <v>1428</v>
      </c>
      <c r="I1092" t="s">
        <v>76</v>
      </c>
      <c r="J1092" s="58" t="s">
        <v>76</v>
      </c>
      <c r="K1092" t="s">
        <v>1429</v>
      </c>
      <c r="L1092" t="s">
        <v>20</v>
      </c>
      <c r="M1092" t="s">
        <v>1430</v>
      </c>
      <c r="N1092" s="59">
        <v>25</v>
      </c>
      <c r="O1092" s="59">
        <v>375000</v>
      </c>
      <c r="P1092" s="59">
        <v>0</v>
      </c>
      <c r="Q1092" s="59">
        <v>0</v>
      </c>
      <c r="R1092" s="59">
        <v>0</v>
      </c>
      <c r="S1092" s="59">
        <v>375000</v>
      </c>
      <c r="T1092" s="41"/>
      <c r="U1092" s="41"/>
      <c r="V1092" s="41"/>
      <c r="W1092" s="41"/>
      <c r="X1092" s="41"/>
      <c r="Y1092" s="41"/>
      <c r="Z1092" s="41"/>
      <c r="AA1092" s="41"/>
      <c r="AB1092" s="41"/>
      <c r="AC1092" s="41"/>
      <c r="AD1092" s="41"/>
      <c r="AE1092" s="59">
        <v>14.607857689311512</v>
      </c>
      <c r="AF1092" s="59">
        <v>14.607857689311512</v>
      </c>
      <c r="AG1092" s="59" t="s">
        <v>156</v>
      </c>
      <c r="AH1092" s="59" t="s">
        <v>81</v>
      </c>
    </row>
    <row r="1093" spans="1:34" x14ac:dyDescent="0.35">
      <c r="A1093" s="58">
        <v>2025</v>
      </c>
      <c r="B1093" s="58">
        <v>4</v>
      </c>
      <c r="C1093">
        <v>4</v>
      </c>
      <c r="D1093" s="58" t="s">
        <v>682</v>
      </c>
      <c r="E1093" t="s">
        <v>156</v>
      </c>
      <c r="F1093" s="58" t="s">
        <v>205</v>
      </c>
      <c r="G1093" t="s">
        <v>475</v>
      </c>
      <c r="H1093" s="58" t="s">
        <v>1428</v>
      </c>
      <c r="I1093" t="s">
        <v>76</v>
      </c>
      <c r="J1093" s="58" t="s">
        <v>76</v>
      </c>
      <c r="K1093" t="s">
        <v>1429</v>
      </c>
      <c r="L1093" t="s">
        <v>20</v>
      </c>
      <c r="M1093" t="s">
        <v>1430</v>
      </c>
      <c r="N1093" s="59">
        <v>25</v>
      </c>
      <c r="O1093" s="59">
        <v>375000</v>
      </c>
      <c r="P1093" s="59">
        <v>0</v>
      </c>
      <c r="Q1093" s="59">
        <v>0</v>
      </c>
      <c r="R1093" s="59">
        <v>0</v>
      </c>
      <c r="S1093" s="59">
        <v>375000</v>
      </c>
      <c r="T1093" s="41"/>
      <c r="U1093" s="41"/>
      <c r="V1093" s="41"/>
      <c r="W1093" s="41"/>
      <c r="X1093" s="41"/>
      <c r="Y1093" s="41"/>
      <c r="Z1093" s="41"/>
      <c r="AA1093" s="41"/>
      <c r="AB1093" s="41"/>
      <c r="AC1093" s="41"/>
      <c r="AD1093" s="41"/>
      <c r="AE1093" s="59">
        <v>14.607857689311512</v>
      </c>
      <c r="AF1093" s="59">
        <v>14.607857689311512</v>
      </c>
      <c r="AG1093" s="59" t="s">
        <v>156</v>
      </c>
      <c r="AH1093" s="59" t="s">
        <v>82</v>
      </c>
    </row>
    <row r="1094" spans="1:34" x14ac:dyDescent="0.35">
      <c r="A1094" s="58">
        <v>2025</v>
      </c>
      <c r="B1094" s="58">
        <v>4</v>
      </c>
      <c r="C1094">
        <v>4</v>
      </c>
      <c r="D1094" s="58" t="s">
        <v>682</v>
      </c>
      <c r="E1094" t="s">
        <v>156</v>
      </c>
      <c r="F1094" s="58" t="s">
        <v>206</v>
      </c>
      <c r="G1094" t="s">
        <v>476</v>
      </c>
      <c r="H1094" s="58" t="s">
        <v>1428</v>
      </c>
      <c r="I1094" t="s">
        <v>76</v>
      </c>
      <c r="J1094" s="58" t="s">
        <v>76</v>
      </c>
      <c r="K1094" t="s">
        <v>1429</v>
      </c>
      <c r="L1094" t="s">
        <v>20</v>
      </c>
      <c r="M1094" t="s">
        <v>1430</v>
      </c>
      <c r="N1094" s="59">
        <v>25</v>
      </c>
      <c r="O1094" s="59">
        <v>375000</v>
      </c>
      <c r="P1094" s="59">
        <v>0</v>
      </c>
      <c r="Q1094" s="59">
        <v>0</v>
      </c>
      <c r="R1094" s="59">
        <v>0</v>
      </c>
      <c r="S1094" s="59">
        <v>375000</v>
      </c>
      <c r="T1094" s="41"/>
      <c r="U1094" s="41"/>
      <c r="V1094" s="41"/>
      <c r="W1094" s="41"/>
      <c r="X1094" s="41"/>
      <c r="Y1094" s="41"/>
      <c r="Z1094" s="41"/>
      <c r="AA1094" s="41"/>
      <c r="AB1094" s="41"/>
      <c r="AC1094" s="41"/>
      <c r="AD1094" s="41"/>
      <c r="AE1094" s="59">
        <v>14.607857689311512</v>
      </c>
      <c r="AF1094" s="59">
        <v>14.607857689311512</v>
      </c>
      <c r="AG1094" s="59" t="s">
        <v>156</v>
      </c>
      <c r="AH1094" s="59" t="s">
        <v>83</v>
      </c>
    </row>
    <row r="1095" spans="1:34" x14ac:dyDescent="0.35">
      <c r="A1095" s="58">
        <v>2025</v>
      </c>
      <c r="B1095" s="58">
        <v>4</v>
      </c>
      <c r="C1095">
        <v>4</v>
      </c>
      <c r="D1095" s="58" t="s">
        <v>682</v>
      </c>
      <c r="E1095" t="s">
        <v>156</v>
      </c>
      <c r="F1095" s="58" t="s">
        <v>1468</v>
      </c>
      <c r="G1095" t="s">
        <v>1012</v>
      </c>
      <c r="H1095" s="58" t="s">
        <v>1012</v>
      </c>
      <c r="I1095" t="s">
        <v>1012</v>
      </c>
      <c r="J1095" s="58" t="s">
        <v>1012</v>
      </c>
      <c r="K1095" t="s">
        <v>1429</v>
      </c>
      <c r="L1095" t="s">
        <v>20</v>
      </c>
      <c r="M1095" t="s">
        <v>1430</v>
      </c>
      <c r="N1095" s="59">
        <v>0</v>
      </c>
      <c r="O1095" s="59">
        <v>5842454</v>
      </c>
      <c r="P1095" s="59">
        <v>0</v>
      </c>
      <c r="Q1095" s="59">
        <v>0</v>
      </c>
      <c r="R1095" s="59">
        <v>0</v>
      </c>
      <c r="S1095" s="59">
        <v>5842454</v>
      </c>
      <c r="T1095" s="41"/>
      <c r="U1095" s="41"/>
      <c r="V1095" s="41"/>
      <c r="W1095" s="41"/>
      <c r="X1095" s="41"/>
      <c r="Y1095" s="41"/>
      <c r="Z1095" s="41"/>
      <c r="AA1095" s="41"/>
      <c r="AB1095" s="41"/>
      <c r="AC1095" s="41"/>
      <c r="AD1095" s="41"/>
      <c r="AE1095" s="59">
        <v>227.58863090226347</v>
      </c>
      <c r="AF1095" s="59">
        <v>227.58863090226347</v>
      </c>
      <c r="AG1095" s="59" t="s">
        <v>156</v>
      </c>
      <c r="AH1095" s="59" t="s">
        <v>1284</v>
      </c>
    </row>
    <row r="1096" spans="1:34" x14ac:dyDescent="0.35">
      <c r="A1096" s="58">
        <v>2025</v>
      </c>
      <c r="B1096" s="58">
        <v>4</v>
      </c>
      <c r="C1096">
        <v>4</v>
      </c>
      <c r="D1096" s="58" t="s">
        <v>605</v>
      </c>
      <c r="E1096" t="s">
        <v>479</v>
      </c>
      <c r="F1096" s="58" t="s">
        <v>184</v>
      </c>
      <c r="G1096" t="s">
        <v>717</v>
      </c>
      <c r="H1096" s="58" t="s">
        <v>1428</v>
      </c>
      <c r="I1096" t="s">
        <v>75</v>
      </c>
      <c r="J1096" s="58" t="s">
        <v>75</v>
      </c>
      <c r="K1096" t="s">
        <v>1429</v>
      </c>
      <c r="L1096" t="s">
        <v>20</v>
      </c>
      <c r="M1096" t="s">
        <v>1430</v>
      </c>
      <c r="N1096" s="59">
        <v>24750</v>
      </c>
      <c r="O1096" s="59">
        <v>900108000</v>
      </c>
      <c r="P1096" s="59">
        <v>0</v>
      </c>
      <c r="Q1096" s="59">
        <v>0</v>
      </c>
      <c r="R1096" s="59">
        <v>19444444</v>
      </c>
      <c r="S1096" s="59">
        <v>880663556</v>
      </c>
      <c r="T1096" s="41"/>
      <c r="U1096" s="41"/>
      <c r="V1096" s="41"/>
      <c r="W1096" s="41"/>
      <c r="X1096" s="41"/>
      <c r="Y1096" s="41"/>
      <c r="Z1096" s="41"/>
      <c r="AA1096" s="41"/>
      <c r="AB1096" s="41"/>
      <c r="AC1096" s="41"/>
      <c r="AD1096" s="41"/>
      <c r="AE1096" s="59">
        <v>34305.621061896054</v>
      </c>
      <c r="AF1096" s="59">
        <v>35063.065517362149</v>
      </c>
      <c r="AG1096" s="59" t="s">
        <v>5</v>
      </c>
      <c r="AH1096" s="59" t="s">
        <v>1198</v>
      </c>
    </row>
    <row r="1097" spans="1:34" x14ac:dyDescent="0.35">
      <c r="A1097" s="58">
        <v>2025</v>
      </c>
      <c r="B1097" s="58">
        <v>4</v>
      </c>
      <c r="C1097">
        <v>4</v>
      </c>
      <c r="D1097" s="58" t="s">
        <v>1502</v>
      </c>
      <c r="E1097" t="s">
        <v>1236</v>
      </c>
      <c r="F1097" s="58" t="s">
        <v>879</v>
      </c>
      <c r="G1097" t="s">
        <v>880</v>
      </c>
      <c r="H1097" s="58" t="s">
        <v>1234</v>
      </c>
      <c r="I1097" t="s">
        <v>1234</v>
      </c>
      <c r="J1097" s="58" t="s">
        <v>1234</v>
      </c>
      <c r="K1097" t="s">
        <v>1429</v>
      </c>
      <c r="L1097" t="s">
        <v>20</v>
      </c>
      <c r="M1097" t="s">
        <v>1430</v>
      </c>
      <c r="N1097" s="59">
        <v>120000</v>
      </c>
      <c r="O1097" s="59">
        <v>2242500000</v>
      </c>
      <c r="P1097" s="59">
        <v>0</v>
      </c>
      <c r="Q1097" s="59">
        <v>164250000</v>
      </c>
      <c r="R1097" s="59">
        <v>0</v>
      </c>
      <c r="S1097" s="59">
        <v>2078250000</v>
      </c>
      <c r="T1097" s="41"/>
      <c r="U1097" s="41"/>
      <c r="V1097" s="41"/>
      <c r="W1097" s="41"/>
      <c r="X1097" s="41"/>
      <c r="Y1097" s="41"/>
      <c r="Z1097" s="41"/>
      <c r="AA1097" s="41"/>
      <c r="AB1097" s="41"/>
      <c r="AC1097" s="41"/>
      <c r="AD1097" s="41"/>
      <c r="AE1097" s="59">
        <v>80956.7473141644</v>
      </c>
      <c r="AF1097" s="59">
        <v>87354.988982082839</v>
      </c>
      <c r="AG1097" s="59" t="s">
        <v>1236</v>
      </c>
      <c r="AH1097" s="59" t="s">
        <v>1235</v>
      </c>
    </row>
    <row r="1098" spans="1:34" x14ac:dyDescent="0.35">
      <c r="A1098" s="58">
        <v>2025</v>
      </c>
      <c r="B1098" s="58">
        <v>4</v>
      </c>
      <c r="C1098">
        <v>4</v>
      </c>
      <c r="D1098" s="58" t="s">
        <v>635</v>
      </c>
      <c r="E1098" t="s">
        <v>62</v>
      </c>
      <c r="F1098" s="58" t="s">
        <v>209</v>
      </c>
      <c r="G1098" t="s">
        <v>822</v>
      </c>
      <c r="H1098" s="58" t="s">
        <v>21</v>
      </c>
      <c r="I1098" t="s">
        <v>21</v>
      </c>
      <c r="J1098" s="58" t="s">
        <v>21</v>
      </c>
      <c r="K1098" t="s">
        <v>1429</v>
      </c>
      <c r="L1098" t="s">
        <v>20</v>
      </c>
      <c r="M1098" t="s">
        <v>1430</v>
      </c>
      <c r="N1098" s="59">
        <v>6375</v>
      </c>
      <c r="O1098" s="59">
        <v>123958333</v>
      </c>
      <c r="P1098" s="59">
        <v>0</v>
      </c>
      <c r="Q1098" s="59">
        <v>0</v>
      </c>
      <c r="R1098" s="59">
        <v>0</v>
      </c>
      <c r="S1098" s="59">
        <v>123958333</v>
      </c>
      <c r="T1098" s="41"/>
      <c r="U1098" s="41"/>
      <c r="V1098" s="41"/>
      <c r="W1098" s="41"/>
      <c r="X1098" s="41"/>
      <c r="Y1098" s="41"/>
      <c r="Z1098" s="41"/>
      <c r="AA1098" s="41"/>
      <c r="AB1098" s="41"/>
      <c r="AC1098" s="41"/>
      <c r="AD1098" s="41"/>
      <c r="AE1098" s="59">
        <v>4828.7085009820985</v>
      </c>
      <c r="AF1098" s="59">
        <v>4828.7085009820985</v>
      </c>
      <c r="AG1098" s="59" t="s">
        <v>62</v>
      </c>
      <c r="AH1098" s="59" t="s">
        <v>1353</v>
      </c>
    </row>
    <row r="1099" spans="1:34" x14ac:dyDescent="0.35">
      <c r="A1099" s="58">
        <v>2025</v>
      </c>
      <c r="B1099" s="58">
        <v>4</v>
      </c>
      <c r="C1099">
        <v>4</v>
      </c>
      <c r="D1099" s="58" t="s">
        <v>595</v>
      </c>
      <c r="E1099" t="s">
        <v>478</v>
      </c>
      <c r="F1099" s="58" t="s">
        <v>184</v>
      </c>
      <c r="G1099" t="s">
        <v>717</v>
      </c>
      <c r="H1099" s="58" t="s">
        <v>1428</v>
      </c>
      <c r="I1099" t="s">
        <v>75</v>
      </c>
      <c r="J1099" s="58" t="s">
        <v>75</v>
      </c>
      <c r="K1099" t="s">
        <v>1429</v>
      </c>
      <c r="L1099" t="s">
        <v>20</v>
      </c>
      <c r="M1099" t="s">
        <v>1430</v>
      </c>
      <c r="N1099" s="59">
        <v>22000</v>
      </c>
      <c r="O1099" s="59">
        <v>761805000</v>
      </c>
      <c r="P1099" s="59">
        <v>0</v>
      </c>
      <c r="Q1099" s="59">
        <v>0</v>
      </c>
      <c r="R1099" s="59">
        <v>0</v>
      </c>
      <c r="S1099" s="59">
        <v>761805000</v>
      </c>
      <c r="T1099" s="41"/>
      <c r="U1099" s="41"/>
      <c r="V1099" s="41"/>
      <c r="W1099" s="41"/>
      <c r="X1099" s="41"/>
      <c r="Y1099" s="41"/>
      <c r="Z1099" s="41"/>
      <c r="AA1099" s="41"/>
      <c r="AB1099" s="41"/>
      <c r="AC1099" s="41"/>
      <c r="AD1099" s="41"/>
      <c r="AE1099" s="59">
        <v>29675.570738682552</v>
      </c>
      <c r="AF1099" s="59">
        <v>29675.570738682552</v>
      </c>
      <c r="AG1099" s="59" t="s">
        <v>5</v>
      </c>
      <c r="AH1099" s="59" t="s">
        <v>1198</v>
      </c>
    </row>
    <row r="1100" spans="1:34" x14ac:dyDescent="0.35">
      <c r="A1100" s="58">
        <v>2025</v>
      </c>
      <c r="B1100" s="58">
        <v>4</v>
      </c>
      <c r="C1100">
        <v>4</v>
      </c>
      <c r="D1100" s="58" t="s">
        <v>595</v>
      </c>
      <c r="E1100" t="s">
        <v>478</v>
      </c>
      <c r="F1100" s="58" t="s">
        <v>188</v>
      </c>
      <c r="G1100" t="s">
        <v>872</v>
      </c>
      <c r="H1100" s="58" t="s">
        <v>1428</v>
      </c>
      <c r="I1100" t="s">
        <v>75</v>
      </c>
      <c r="J1100" s="58" t="s">
        <v>75</v>
      </c>
      <c r="K1100" t="s">
        <v>1429</v>
      </c>
      <c r="L1100" t="s">
        <v>20</v>
      </c>
      <c r="M1100" t="s">
        <v>1430</v>
      </c>
      <c r="N1100" s="59">
        <v>22000</v>
      </c>
      <c r="O1100" s="59">
        <v>733590000</v>
      </c>
      <c r="P1100" s="59">
        <v>0</v>
      </c>
      <c r="Q1100" s="59">
        <v>0</v>
      </c>
      <c r="R1100" s="59">
        <v>0</v>
      </c>
      <c r="S1100" s="59">
        <v>733590000</v>
      </c>
      <c r="T1100" s="41"/>
      <c r="U1100" s="41"/>
      <c r="V1100" s="41"/>
      <c r="W1100" s="41"/>
      <c r="X1100" s="41"/>
      <c r="Y1100" s="41"/>
      <c r="Z1100" s="41"/>
      <c r="AA1100" s="41"/>
      <c r="AB1100" s="41"/>
      <c r="AC1100" s="41"/>
      <c r="AD1100" s="41"/>
      <c r="AE1100" s="59">
        <v>28576.475526138755</v>
      </c>
      <c r="AF1100" s="59">
        <v>28576.475526138755</v>
      </c>
      <c r="AG1100" s="59" t="s">
        <v>5</v>
      </c>
      <c r="AH1100" s="59" t="s">
        <v>1204</v>
      </c>
    </row>
    <row r="1101" spans="1:34" x14ac:dyDescent="0.35">
      <c r="A1101" s="58">
        <v>2025</v>
      </c>
      <c r="B1101" s="58">
        <v>4</v>
      </c>
      <c r="C1101">
        <v>4</v>
      </c>
      <c r="D1101" s="58" t="s">
        <v>595</v>
      </c>
      <c r="E1101" t="s">
        <v>478</v>
      </c>
      <c r="F1101" s="58" t="s">
        <v>191</v>
      </c>
      <c r="G1101" t="s">
        <v>941</v>
      </c>
      <c r="H1101" s="58" t="s">
        <v>1428</v>
      </c>
      <c r="I1101" t="s">
        <v>75</v>
      </c>
      <c r="J1101" s="58" t="s">
        <v>75</v>
      </c>
      <c r="K1101" t="s">
        <v>1429</v>
      </c>
      <c r="L1101" t="s">
        <v>20</v>
      </c>
      <c r="M1101" t="s">
        <v>1430</v>
      </c>
      <c r="N1101" s="59">
        <v>22000</v>
      </c>
      <c r="O1101" s="59">
        <v>761805000</v>
      </c>
      <c r="P1101" s="59">
        <v>0</v>
      </c>
      <c r="Q1101" s="59">
        <v>0</v>
      </c>
      <c r="R1101" s="59">
        <v>0</v>
      </c>
      <c r="S1101" s="59">
        <v>761805000</v>
      </c>
      <c r="T1101" s="41"/>
      <c r="U1101" s="41"/>
      <c r="V1101" s="41"/>
      <c r="W1101" s="41"/>
      <c r="X1101" s="41"/>
      <c r="Y1101" s="41"/>
      <c r="Z1101" s="41"/>
      <c r="AA1101" s="41"/>
      <c r="AB1101" s="41"/>
      <c r="AC1101" s="41"/>
      <c r="AD1101" s="41"/>
      <c r="AE1101" s="59">
        <v>29675.570738682552</v>
      </c>
      <c r="AF1101" s="59">
        <v>29675.570738682552</v>
      </c>
      <c r="AG1101" s="59" t="s">
        <v>5</v>
      </c>
      <c r="AH1101" s="59" t="s">
        <v>1208</v>
      </c>
    </row>
    <row r="1102" spans="1:34" x14ac:dyDescent="0.35">
      <c r="A1102" s="58">
        <v>2025</v>
      </c>
      <c r="B1102" s="58">
        <v>4</v>
      </c>
      <c r="C1102">
        <v>4</v>
      </c>
      <c r="D1102" s="58" t="s">
        <v>606</v>
      </c>
      <c r="E1102" t="s">
        <v>325</v>
      </c>
      <c r="F1102" s="58" t="s">
        <v>168</v>
      </c>
      <c r="G1102" t="s">
        <v>700</v>
      </c>
      <c r="H1102" s="58" t="s">
        <v>4</v>
      </c>
      <c r="I1102" t="s">
        <v>4</v>
      </c>
      <c r="J1102" s="58" t="s">
        <v>4</v>
      </c>
      <c r="K1102" t="s">
        <v>1429</v>
      </c>
      <c r="L1102" t="s">
        <v>20</v>
      </c>
      <c r="M1102" t="s">
        <v>1430</v>
      </c>
      <c r="N1102" s="59">
        <v>22000</v>
      </c>
      <c r="O1102" s="59">
        <v>783376000</v>
      </c>
      <c r="P1102" s="59">
        <v>3369964.37357631</v>
      </c>
      <c r="Q1102" s="59">
        <v>0</v>
      </c>
      <c r="R1102" s="59">
        <v>3080000</v>
      </c>
      <c r="S1102" s="59">
        <v>765260123.12642372</v>
      </c>
      <c r="T1102" s="41"/>
      <c r="U1102" s="41"/>
      <c r="V1102" s="41"/>
      <c r="W1102" s="41"/>
      <c r="X1102" s="41"/>
      <c r="Y1102" s="41"/>
      <c r="Z1102" s="41"/>
      <c r="AA1102" s="41"/>
      <c r="AB1102" s="41"/>
      <c r="AC1102" s="41"/>
      <c r="AD1102" s="41"/>
      <c r="AE1102" s="59">
        <v>29810.162597162143</v>
      </c>
      <c r="AF1102" s="59">
        <v>30515.853667258922</v>
      </c>
      <c r="AG1102" s="59" t="s">
        <v>8</v>
      </c>
      <c r="AH1102" s="59" t="s">
        <v>1160</v>
      </c>
    </row>
    <row r="1103" spans="1:34" x14ac:dyDescent="0.35">
      <c r="A1103" s="58">
        <v>2025</v>
      </c>
      <c r="B1103" s="58">
        <v>4</v>
      </c>
      <c r="C1103">
        <v>4</v>
      </c>
      <c r="D1103" s="58" t="s">
        <v>606</v>
      </c>
      <c r="E1103" t="s">
        <v>325</v>
      </c>
      <c r="F1103" s="58" t="s">
        <v>1535</v>
      </c>
      <c r="G1103" t="s">
        <v>1536</v>
      </c>
      <c r="H1103" s="58" t="s">
        <v>1012</v>
      </c>
      <c r="I1103" t="s">
        <v>1012</v>
      </c>
      <c r="J1103" s="58" t="s">
        <v>1012</v>
      </c>
      <c r="K1103" t="s">
        <v>1429</v>
      </c>
      <c r="L1103" t="s">
        <v>20</v>
      </c>
      <c r="M1103" t="s">
        <v>1430</v>
      </c>
      <c r="N1103" s="59">
        <v>0</v>
      </c>
      <c r="O1103" s="59">
        <v>0</v>
      </c>
      <c r="P1103" s="59">
        <v>0</v>
      </c>
      <c r="Q1103" s="59">
        <v>0</v>
      </c>
      <c r="R1103" s="59">
        <v>0</v>
      </c>
      <c r="S1103" s="59">
        <v>11665912.5</v>
      </c>
      <c r="T1103" s="41"/>
      <c r="U1103" s="41"/>
      <c r="V1103" s="41"/>
      <c r="W1103" s="41"/>
      <c r="X1103" s="41"/>
      <c r="Y1103" s="41"/>
      <c r="Z1103" s="41"/>
      <c r="AA1103" s="41"/>
      <c r="AB1103" s="41"/>
      <c r="AC1103" s="41"/>
      <c r="AD1103" s="41"/>
      <c r="AE1103" s="59">
        <v>454.43730564256077</v>
      </c>
      <c r="AF1103" s="59">
        <v>0</v>
      </c>
      <c r="AG1103" s="59" t="s">
        <v>8</v>
      </c>
      <c r="AH1103" s="59" t="s">
        <v>1270</v>
      </c>
    </row>
    <row r="1104" spans="1:34" x14ac:dyDescent="0.35">
      <c r="A1104" s="58">
        <v>2025</v>
      </c>
      <c r="B1104" s="58">
        <v>4</v>
      </c>
      <c r="C1104">
        <v>4</v>
      </c>
      <c r="D1104" s="58" t="s">
        <v>606</v>
      </c>
      <c r="E1104" t="s">
        <v>325</v>
      </c>
      <c r="F1104" s="58" t="s">
        <v>1590</v>
      </c>
      <c r="G1104" t="s">
        <v>1590</v>
      </c>
      <c r="H1104" s="58" t="s">
        <v>1012</v>
      </c>
      <c r="I1104" t="s">
        <v>1012</v>
      </c>
      <c r="J1104" s="58" t="s">
        <v>1012</v>
      </c>
      <c r="K1104" t="s">
        <v>1429</v>
      </c>
      <c r="L1104" t="s">
        <v>20</v>
      </c>
      <c r="M1104" t="s">
        <v>1591</v>
      </c>
      <c r="N1104" s="59">
        <v>0</v>
      </c>
      <c r="O1104" s="59">
        <v>-11665913</v>
      </c>
      <c r="P1104" s="59">
        <v>0</v>
      </c>
      <c r="Q1104" s="59">
        <v>0</v>
      </c>
      <c r="R1104" s="59">
        <v>0</v>
      </c>
      <c r="S1104" s="59">
        <v>-11665913</v>
      </c>
      <c r="T1104" s="41"/>
      <c r="U1104" s="41"/>
      <c r="V1104" s="41"/>
      <c r="W1104" s="41"/>
      <c r="X1104" s="41"/>
      <c r="Y1104" s="41"/>
      <c r="Z1104" s="41"/>
      <c r="AA1104" s="41"/>
      <c r="AB1104" s="41"/>
      <c r="AC1104" s="41"/>
      <c r="AD1104" s="41"/>
      <c r="AE1104" s="59">
        <v>-454.43732511970438</v>
      </c>
      <c r="AF1104" s="59">
        <v>-454.43732511970438</v>
      </c>
      <c r="AG1104" s="59" t="s">
        <v>8</v>
      </c>
      <c r="AH1104" s="59" t="s">
        <v>1592</v>
      </c>
    </row>
    <row r="1105" spans="1:34" x14ac:dyDescent="0.35">
      <c r="A1105" s="58">
        <v>2025</v>
      </c>
      <c r="B1105" s="58">
        <v>4</v>
      </c>
      <c r="C1105">
        <v>4</v>
      </c>
      <c r="D1105" s="58" t="s">
        <v>596</v>
      </c>
      <c r="E1105" t="s">
        <v>266</v>
      </c>
      <c r="F1105" s="58" t="s">
        <v>171</v>
      </c>
      <c r="G1105" t="s">
        <v>731</v>
      </c>
      <c r="H1105" s="58" t="s">
        <v>4</v>
      </c>
      <c r="I1105" t="s">
        <v>4</v>
      </c>
      <c r="J1105" s="58" t="s">
        <v>4</v>
      </c>
      <c r="K1105" t="s">
        <v>1429</v>
      </c>
      <c r="L1105" t="s">
        <v>20</v>
      </c>
      <c r="M1105" t="s">
        <v>1430</v>
      </c>
      <c r="N1105" s="59">
        <v>56100</v>
      </c>
      <c r="O1105" s="59">
        <v>1806420000</v>
      </c>
      <c r="P1105" s="59">
        <v>8761907.3712984044</v>
      </c>
      <c r="Q1105" s="59">
        <v>0</v>
      </c>
      <c r="R1105" s="59">
        <v>0</v>
      </c>
      <c r="S1105" s="59">
        <v>1797658092.6287017</v>
      </c>
      <c r="T1105" s="41"/>
      <c r="U1105" s="41"/>
      <c r="V1105" s="41"/>
      <c r="W1105" s="41"/>
      <c r="X1105" s="41"/>
      <c r="Y1105" s="41"/>
      <c r="Z1105" s="41"/>
      <c r="AA1105" s="41"/>
      <c r="AB1105" s="41"/>
      <c r="AC1105" s="41"/>
      <c r="AD1105" s="41"/>
      <c r="AE1105" s="59">
        <v>70026.489576424647</v>
      </c>
      <c r="AF1105" s="59">
        <v>70367.803432336281</v>
      </c>
      <c r="AG1105" s="59" t="s">
        <v>100</v>
      </c>
      <c r="AH1105" s="59" t="s">
        <v>1166</v>
      </c>
    </row>
    <row r="1106" spans="1:34" x14ac:dyDescent="0.35">
      <c r="A1106" s="58">
        <v>2025</v>
      </c>
      <c r="B1106" s="58">
        <v>4</v>
      </c>
      <c r="C1106">
        <v>4</v>
      </c>
      <c r="D1106" s="58" t="s">
        <v>610</v>
      </c>
      <c r="E1106" t="s">
        <v>44</v>
      </c>
      <c r="F1106" s="58" t="s">
        <v>186</v>
      </c>
      <c r="G1106" t="s">
        <v>781</v>
      </c>
      <c r="H1106" s="58" t="s">
        <v>1428</v>
      </c>
      <c r="I1106" t="s">
        <v>75</v>
      </c>
      <c r="J1106" s="58" t="s">
        <v>75</v>
      </c>
      <c r="K1106" t="s">
        <v>1429</v>
      </c>
      <c r="L1106" t="s">
        <v>20</v>
      </c>
      <c r="M1106" t="s">
        <v>1430</v>
      </c>
      <c r="N1106" s="59">
        <v>33000</v>
      </c>
      <c r="O1106" s="59">
        <v>1062187500</v>
      </c>
      <c r="P1106" s="59">
        <v>0</v>
      </c>
      <c r="Q1106" s="59">
        <v>0</v>
      </c>
      <c r="R1106" s="59">
        <v>0</v>
      </c>
      <c r="S1106" s="59">
        <v>1062187500</v>
      </c>
      <c r="T1106" s="41"/>
      <c r="U1106" s="41"/>
      <c r="V1106" s="41"/>
      <c r="W1106" s="41"/>
      <c r="X1106" s="41"/>
      <c r="Y1106" s="41"/>
      <c r="Z1106" s="41"/>
      <c r="AA1106" s="41"/>
      <c r="AB1106" s="41"/>
      <c r="AC1106" s="41"/>
      <c r="AD1106" s="41"/>
      <c r="AE1106" s="59">
        <v>41376.756904974864</v>
      </c>
      <c r="AF1106" s="59">
        <v>41376.756904974864</v>
      </c>
      <c r="AG1106" s="59" t="s">
        <v>44</v>
      </c>
      <c r="AH1106" s="59" t="s">
        <v>1202</v>
      </c>
    </row>
    <row r="1107" spans="1:34" x14ac:dyDescent="0.35">
      <c r="A1107" s="58">
        <v>2025</v>
      </c>
      <c r="B1107" s="58">
        <v>4</v>
      </c>
      <c r="C1107">
        <v>4</v>
      </c>
      <c r="D1107" s="58" t="s">
        <v>624</v>
      </c>
      <c r="E1107" t="s">
        <v>272</v>
      </c>
      <c r="F1107" s="58" t="s">
        <v>172</v>
      </c>
      <c r="G1107" t="s">
        <v>734</v>
      </c>
      <c r="H1107" s="58" t="s">
        <v>4</v>
      </c>
      <c r="I1107" t="s">
        <v>4</v>
      </c>
      <c r="J1107" s="58" t="s">
        <v>4</v>
      </c>
      <c r="K1107" t="s">
        <v>1429</v>
      </c>
      <c r="L1107" t="s">
        <v>20</v>
      </c>
      <c r="M1107" t="s">
        <v>1430</v>
      </c>
      <c r="N1107" s="59">
        <v>6600</v>
      </c>
      <c r="O1107" s="59">
        <v>220882772</v>
      </c>
      <c r="P1107" s="59">
        <v>1010989.3120728929</v>
      </c>
      <c r="Q1107" s="59">
        <v>0</v>
      </c>
      <c r="R1107" s="59">
        <v>0</v>
      </c>
      <c r="S1107" s="59">
        <v>219871782.68792707</v>
      </c>
      <c r="T1107" s="41"/>
      <c r="U1107" s="41"/>
      <c r="V1107" s="41"/>
      <c r="W1107" s="41"/>
      <c r="X1107" s="41"/>
      <c r="Y1107" s="41"/>
      <c r="Z1107" s="41"/>
      <c r="AA1107" s="41"/>
      <c r="AB1107" s="41"/>
      <c r="AC1107" s="41"/>
      <c r="AD1107" s="41"/>
      <c r="AE1107" s="59">
        <v>8564.948563734577</v>
      </c>
      <c r="AF1107" s="59">
        <v>8604.3309317243784</v>
      </c>
      <c r="AG1107" s="59" t="s">
        <v>103</v>
      </c>
      <c r="AH1107" s="59" t="s">
        <v>1175</v>
      </c>
    </row>
    <row r="1108" spans="1:34" x14ac:dyDescent="0.35">
      <c r="A1108" s="58">
        <v>2025</v>
      </c>
      <c r="B1108" s="58">
        <v>4</v>
      </c>
      <c r="C1108">
        <v>4</v>
      </c>
      <c r="D1108" s="58" t="s">
        <v>1558</v>
      </c>
      <c r="E1108" t="s">
        <v>1223</v>
      </c>
      <c r="F1108" s="58" t="s">
        <v>841</v>
      </c>
      <c r="G1108" t="s">
        <v>842</v>
      </c>
      <c r="H1108" s="58" t="s">
        <v>1012</v>
      </c>
      <c r="I1108" t="s">
        <v>86</v>
      </c>
      <c r="J1108" s="58" t="s">
        <v>86</v>
      </c>
      <c r="K1108" t="s">
        <v>1429</v>
      </c>
      <c r="L1108" t="s">
        <v>20</v>
      </c>
      <c r="M1108" t="s">
        <v>1430</v>
      </c>
      <c r="N1108" s="59">
        <v>6590</v>
      </c>
      <c r="O1108" s="59">
        <v>32950000</v>
      </c>
      <c r="P1108" s="59">
        <v>0</v>
      </c>
      <c r="Q1108" s="59">
        <v>0</v>
      </c>
      <c r="R1108" s="59">
        <v>0</v>
      </c>
      <c r="S1108" s="59">
        <v>32950000</v>
      </c>
      <c r="T1108" s="41"/>
      <c r="U1108" s="41"/>
      <c r="V1108" s="41"/>
      <c r="W1108" s="41"/>
      <c r="X1108" s="41"/>
      <c r="Y1108" s="41"/>
      <c r="Z1108" s="41"/>
      <c r="AA1108" s="41"/>
      <c r="AB1108" s="41"/>
      <c r="AC1108" s="41"/>
      <c r="AD1108" s="41"/>
      <c r="AE1108" s="59">
        <v>1283.5437623008384</v>
      </c>
      <c r="AF1108" s="59">
        <v>1283.5437623008384</v>
      </c>
      <c r="AG1108" s="59" t="s">
        <v>1223</v>
      </c>
      <c r="AH1108" s="59" t="s">
        <v>1222</v>
      </c>
    </row>
    <row r="1109" spans="1:34" x14ac:dyDescent="0.35">
      <c r="A1109" s="58">
        <v>2025</v>
      </c>
      <c r="B1109" s="58">
        <v>4</v>
      </c>
      <c r="C1109">
        <v>4</v>
      </c>
      <c r="D1109" s="58" t="s">
        <v>1558</v>
      </c>
      <c r="E1109" t="s">
        <v>1223</v>
      </c>
      <c r="F1109" s="58" t="s">
        <v>843</v>
      </c>
      <c r="G1109" t="s">
        <v>844</v>
      </c>
      <c r="H1109" s="58" t="s">
        <v>1012</v>
      </c>
      <c r="I1109" t="s">
        <v>86</v>
      </c>
      <c r="J1109" s="58" t="s">
        <v>86</v>
      </c>
      <c r="K1109" t="s">
        <v>1429</v>
      </c>
      <c r="L1109" t="s">
        <v>20</v>
      </c>
      <c r="M1109" t="s">
        <v>1430</v>
      </c>
      <c r="N1109" s="59">
        <v>3832</v>
      </c>
      <c r="O1109" s="59">
        <v>19160000</v>
      </c>
      <c r="P1109" s="59">
        <v>0</v>
      </c>
      <c r="Q1109" s="59">
        <v>0</v>
      </c>
      <c r="R1109" s="59">
        <v>0</v>
      </c>
      <c r="S1109" s="59">
        <v>19160000</v>
      </c>
      <c r="T1109" s="41"/>
      <c r="U1109" s="41"/>
      <c r="V1109" s="41"/>
      <c r="W1109" s="41"/>
      <c r="X1109" s="41"/>
      <c r="Y1109" s="41"/>
      <c r="Z1109" s="41"/>
      <c r="AA1109" s="41"/>
      <c r="AB1109" s="41"/>
      <c r="AC1109" s="41"/>
      <c r="AD1109" s="41"/>
      <c r="AE1109" s="59">
        <v>746.36414220588949</v>
      </c>
      <c r="AF1109" s="59">
        <v>746.36414220588949</v>
      </c>
      <c r="AG1109" s="59" t="s">
        <v>1223</v>
      </c>
      <c r="AH1109" s="59" t="s">
        <v>1224</v>
      </c>
    </row>
    <row r="1110" spans="1:34" x14ac:dyDescent="0.35">
      <c r="A1110" s="58">
        <v>2025</v>
      </c>
      <c r="B1110" s="58">
        <v>4</v>
      </c>
      <c r="C1110">
        <v>4</v>
      </c>
      <c r="D1110" s="58" t="s">
        <v>1558</v>
      </c>
      <c r="E1110" t="s">
        <v>1223</v>
      </c>
      <c r="F1110" s="58" t="s">
        <v>845</v>
      </c>
      <c r="G1110" t="s">
        <v>846</v>
      </c>
      <c r="H1110" s="58" t="s">
        <v>1012</v>
      </c>
      <c r="I1110" t="s">
        <v>86</v>
      </c>
      <c r="J1110" s="58" t="s">
        <v>86</v>
      </c>
      <c r="K1110" t="s">
        <v>1429</v>
      </c>
      <c r="L1110" t="s">
        <v>20</v>
      </c>
      <c r="M1110" t="s">
        <v>1430</v>
      </c>
      <c r="N1110" s="59">
        <v>10716</v>
      </c>
      <c r="O1110" s="59">
        <v>53580000</v>
      </c>
      <c r="P1110" s="59">
        <v>0</v>
      </c>
      <c r="Q1110" s="59">
        <v>0</v>
      </c>
      <c r="R1110" s="59">
        <v>0</v>
      </c>
      <c r="S1110" s="59">
        <v>53580000</v>
      </c>
      <c r="T1110" s="41"/>
      <c r="U1110" s="41"/>
      <c r="V1110" s="41"/>
      <c r="W1110" s="41"/>
      <c r="X1110" s="41"/>
      <c r="Y1110" s="41"/>
      <c r="Z1110" s="41"/>
      <c r="AA1110" s="41"/>
      <c r="AB1110" s="41"/>
      <c r="AC1110" s="41"/>
      <c r="AD1110" s="41"/>
      <c r="AE1110" s="59">
        <v>2087.1707066488289</v>
      </c>
      <c r="AF1110" s="59">
        <v>2087.1707066488289</v>
      </c>
      <c r="AG1110" s="59" t="s">
        <v>1223</v>
      </c>
      <c r="AH1110" s="59" t="s">
        <v>1225</v>
      </c>
    </row>
    <row r="1111" spans="1:34" x14ac:dyDescent="0.35">
      <c r="A1111" s="58">
        <v>2025</v>
      </c>
      <c r="B1111" s="58">
        <v>4</v>
      </c>
      <c r="C1111">
        <v>4</v>
      </c>
      <c r="D1111" s="58" t="s">
        <v>1558</v>
      </c>
      <c r="E1111" t="s">
        <v>1223</v>
      </c>
      <c r="F1111" s="58" t="s">
        <v>847</v>
      </c>
      <c r="G1111" t="s">
        <v>848</v>
      </c>
      <c r="H1111" s="58" t="s">
        <v>1012</v>
      </c>
      <c r="I1111" t="s">
        <v>86</v>
      </c>
      <c r="J1111" s="58" t="s">
        <v>86</v>
      </c>
      <c r="K1111" t="s">
        <v>1429</v>
      </c>
      <c r="L1111" t="s">
        <v>20</v>
      </c>
      <c r="M1111" t="s">
        <v>1430</v>
      </c>
      <c r="N1111" s="59">
        <v>30806</v>
      </c>
      <c r="O1111" s="59">
        <v>154030000</v>
      </c>
      <c r="P1111" s="59">
        <v>0</v>
      </c>
      <c r="Q1111" s="59">
        <v>0</v>
      </c>
      <c r="R1111" s="59">
        <v>0</v>
      </c>
      <c r="S1111" s="59">
        <v>154030000</v>
      </c>
      <c r="T1111" s="41"/>
      <c r="U1111" s="41"/>
      <c r="V1111" s="41"/>
      <c r="W1111" s="41"/>
      <c r="X1111" s="41"/>
      <c r="Y1111" s="41"/>
      <c r="Z1111" s="41"/>
      <c r="AA1111" s="41"/>
      <c r="AB1111" s="41"/>
      <c r="AC1111" s="41"/>
      <c r="AD1111" s="41"/>
      <c r="AE1111" s="59">
        <v>6000.1288530257398</v>
      </c>
      <c r="AF1111" s="59">
        <v>6000.1288530257398</v>
      </c>
      <c r="AG1111" s="59" t="s">
        <v>1223</v>
      </c>
      <c r="AH1111" s="59" t="s">
        <v>1226</v>
      </c>
    </row>
    <row r="1112" spans="1:34" x14ac:dyDescent="0.35">
      <c r="A1112" s="58">
        <v>2025</v>
      </c>
      <c r="B1112" s="58">
        <v>4</v>
      </c>
      <c r="C1112">
        <v>4</v>
      </c>
      <c r="D1112" s="58" t="s">
        <v>1558</v>
      </c>
      <c r="E1112" t="s">
        <v>1223</v>
      </c>
      <c r="F1112" s="58" t="s">
        <v>948</v>
      </c>
      <c r="G1112" t="s">
        <v>949</v>
      </c>
      <c r="H1112" s="58" t="s">
        <v>1012</v>
      </c>
      <c r="I1112" t="s">
        <v>86</v>
      </c>
      <c r="J1112" s="58" t="s">
        <v>86</v>
      </c>
      <c r="K1112" t="s">
        <v>1429</v>
      </c>
      <c r="L1112" t="s">
        <v>20</v>
      </c>
      <c r="M1112" t="s">
        <v>1430</v>
      </c>
      <c r="N1112" s="59">
        <v>31366</v>
      </c>
      <c r="O1112" s="59">
        <v>62732000</v>
      </c>
      <c r="P1112" s="59">
        <v>0</v>
      </c>
      <c r="Q1112" s="59">
        <v>0</v>
      </c>
      <c r="R1112" s="59">
        <v>0</v>
      </c>
      <c r="S1112" s="59">
        <v>62732000</v>
      </c>
      <c r="T1112" s="41"/>
      <c r="U1112" s="41"/>
      <c r="V1112" s="41"/>
      <c r="W1112" s="41"/>
      <c r="X1112" s="41"/>
      <c r="Y1112" s="41"/>
      <c r="Z1112" s="41"/>
      <c r="AA1112" s="41"/>
      <c r="AB1112" s="41"/>
      <c r="AC1112" s="41"/>
      <c r="AD1112" s="41"/>
      <c r="AE1112" s="59">
        <v>2443.6803428423727</v>
      </c>
      <c r="AF1112" s="59">
        <v>2443.6803428423727</v>
      </c>
      <c r="AG1112" s="59" t="s">
        <v>1223</v>
      </c>
      <c r="AH1112" s="59" t="s">
        <v>1229</v>
      </c>
    </row>
    <row r="1113" spans="1:34" x14ac:dyDescent="0.35">
      <c r="A1113" s="58">
        <v>2025</v>
      </c>
      <c r="B1113" s="58">
        <v>4</v>
      </c>
      <c r="C1113">
        <v>4</v>
      </c>
      <c r="D1113" s="58" t="s">
        <v>652</v>
      </c>
      <c r="E1113" t="s">
        <v>71</v>
      </c>
      <c r="F1113" s="58" t="s">
        <v>171</v>
      </c>
      <c r="G1113" t="s">
        <v>731</v>
      </c>
      <c r="H1113" s="58" t="s">
        <v>4</v>
      </c>
      <c r="I1113" t="s">
        <v>4</v>
      </c>
      <c r="J1113" s="58" t="s">
        <v>4</v>
      </c>
      <c r="K1113" t="s">
        <v>1429</v>
      </c>
      <c r="L1113" t="s">
        <v>20</v>
      </c>
      <c r="M1113" t="s">
        <v>1430</v>
      </c>
      <c r="N1113" s="59">
        <v>4400</v>
      </c>
      <c r="O1113" s="59">
        <v>142805320</v>
      </c>
      <c r="P1113" s="59">
        <v>673992.87471526198</v>
      </c>
      <c r="Q1113" s="59">
        <v>0</v>
      </c>
      <c r="R1113" s="59">
        <v>0</v>
      </c>
      <c r="S1113" s="59">
        <v>142131327.12528473</v>
      </c>
      <c r="T1113" s="41"/>
      <c r="U1113" s="41"/>
      <c r="V1113" s="41"/>
      <c r="W1113" s="41"/>
      <c r="X1113" s="41"/>
      <c r="Y1113" s="41"/>
      <c r="Z1113" s="41"/>
      <c r="AA1113" s="41"/>
      <c r="AB1113" s="41"/>
      <c r="AC1113" s="41"/>
      <c r="AD1113" s="41"/>
      <c r="AE1113" s="59">
        <v>5536.624532904375</v>
      </c>
      <c r="AF1113" s="59">
        <v>5562.8794448975759</v>
      </c>
      <c r="AG1113" s="59" t="s">
        <v>71</v>
      </c>
      <c r="AH1113" s="59" t="s">
        <v>1166</v>
      </c>
    </row>
    <row r="1114" spans="1:34" x14ac:dyDescent="0.35">
      <c r="A1114" s="58">
        <v>2025</v>
      </c>
      <c r="B1114" s="58">
        <v>4</v>
      </c>
      <c r="C1114">
        <v>4</v>
      </c>
      <c r="D1114" s="58" t="s">
        <v>622</v>
      </c>
      <c r="E1114" t="s">
        <v>53</v>
      </c>
      <c r="F1114" s="58" t="s">
        <v>185</v>
      </c>
      <c r="G1114" t="s">
        <v>720</v>
      </c>
      <c r="H1114" s="58" t="s">
        <v>1428</v>
      </c>
      <c r="I1114" t="s">
        <v>75</v>
      </c>
      <c r="J1114" s="58" t="s">
        <v>75</v>
      </c>
      <c r="K1114" t="s">
        <v>1429</v>
      </c>
      <c r="L1114" t="s">
        <v>20</v>
      </c>
      <c r="M1114" t="s">
        <v>1430</v>
      </c>
      <c r="N1114" s="59">
        <v>28000</v>
      </c>
      <c r="O1114" s="59">
        <v>476000000</v>
      </c>
      <c r="P1114" s="59">
        <v>0</v>
      </c>
      <c r="Q1114" s="59">
        <v>0</v>
      </c>
      <c r="R1114" s="59">
        <v>0</v>
      </c>
      <c r="S1114" s="59">
        <v>476000000</v>
      </c>
      <c r="T1114" s="41"/>
      <c r="U1114" s="41"/>
      <c r="V1114" s="41"/>
      <c r="W1114" s="41"/>
      <c r="X1114" s="41"/>
      <c r="Y1114" s="41"/>
      <c r="Z1114" s="41"/>
      <c r="AA1114" s="41"/>
      <c r="AB1114" s="41"/>
      <c r="AC1114" s="41"/>
      <c r="AD1114" s="41"/>
      <c r="AE1114" s="59">
        <v>18542.240693632746</v>
      </c>
      <c r="AF1114" s="59">
        <v>18542.240693632746</v>
      </c>
      <c r="AG1114" s="59" t="s">
        <v>53</v>
      </c>
      <c r="AH1114" s="59" t="s">
        <v>1199</v>
      </c>
    </row>
    <row r="1115" spans="1:34" x14ac:dyDescent="0.35">
      <c r="A1115" s="58">
        <v>2025</v>
      </c>
      <c r="B1115" s="58">
        <v>4</v>
      </c>
      <c r="C1115">
        <v>4</v>
      </c>
      <c r="D1115" s="58" t="s">
        <v>1612</v>
      </c>
      <c r="E1115" t="s">
        <v>1213</v>
      </c>
      <c r="F1115" s="58" t="s">
        <v>1472</v>
      </c>
      <c r="G1115" t="s">
        <v>1473</v>
      </c>
      <c r="H1115" s="58" t="s">
        <v>1012</v>
      </c>
      <c r="I1115" t="s">
        <v>86</v>
      </c>
      <c r="J1115" s="58" t="s">
        <v>86</v>
      </c>
      <c r="K1115" t="s">
        <v>1429</v>
      </c>
      <c r="L1115" t="s">
        <v>20</v>
      </c>
      <c r="M1115" t="s">
        <v>1430</v>
      </c>
      <c r="N1115" s="59">
        <v>3134</v>
      </c>
      <c r="O1115" s="59">
        <v>62274300</v>
      </c>
      <c r="P1115" s="59">
        <v>0</v>
      </c>
      <c r="Q1115" s="59">
        <v>0</v>
      </c>
      <c r="R1115" s="59">
        <v>0</v>
      </c>
      <c r="S1115" s="59">
        <v>62274300</v>
      </c>
      <c r="T1115" s="41"/>
      <c r="U1115" s="41"/>
      <c r="V1115" s="41"/>
      <c r="W1115" s="41"/>
      <c r="X1115" s="41"/>
      <c r="Y1115" s="41"/>
      <c r="Z1115" s="41"/>
      <c r="AA1115" s="41"/>
      <c r="AB1115" s="41"/>
      <c r="AC1115" s="41"/>
      <c r="AD1115" s="41"/>
      <c r="AE1115" s="59">
        <v>2425.8509656039782</v>
      </c>
      <c r="AF1115" s="59">
        <v>2425.8509656039782</v>
      </c>
      <c r="AG1115" s="59" t="s">
        <v>1213</v>
      </c>
      <c r="AH1115" s="59" t="s">
        <v>1215</v>
      </c>
    </row>
    <row r="1116" spans="1:34" x14ac:dyDescent="0.35">
      <c r="A1116" s="58">
        <v>2025</v>
      </c>
      <c r="B1116" s="58">
        <v>4</v>
      </c>
      <c r="C1116">
        <v>4</v>
      </c>
      <c r="D1116" s="58" t="s">
        <v>1612</v>
      </c>
      <c r="E1116" t="s">
        <v>1213</v>
      </c>
      <c r="F1116" s="58" t="s">
        <v>1615</v>
      </c>
      <c r="G1116" t="s">
        <v>1616</v>
      </c>
      <c r="H1116" s="58" t="s">
        <v>1012</v>
      </c>
      <c r="I1116" t="s">
        <v>86</v>
      </c>
      <c r="J1116" s="58" t="s">
        <v>86</v>
      </c>
      <c r="K1116" t="s">
        <v>1429</v>
      </c>
      <c r="L1116" t="s">
        <v>20</v>
      </c>
      <c r="M1116" t="s">
        <v>1430</v>
      </c>
      <c r="N1116" s="59">
        <v>398</v>
      </c>
      <c r="O1116" s="59">
        <v>7562000</v>
      </c>
      <c r="P1116" s="59">
        <v>0</v>
      </c>
      <c r="Q1116" s="59">
        <v>0</v>
      </c>
      <c r="R1116" s="59">
        <v>0</v>
      </c>
      <c r="S1116" s="59">
        <v>7562000</v>
      </c>
      <c r="T1116" s="41"/>
      <c r="U1116" s="41"/>
      <c r="V1116" s="41"/>
      <c r="W1116" s="41"/>
      <c r="X1116" s="41"/>
      <c r="Y1116" s="41"/>
      <c r="Z1116" s="41"/>
      <c r="AA1116" s="41"/>
      <c r="AB1116" s="41"/>
      <c r="AC1116" s="41"/>
      <c r="AD1116" s="41"/>
      <c r="AE1116" s="59">
        <v>294.57231959086306</v>
      </c>
      <c r="AF1116" s="59">
        <v>294.57231959086306</v>
      </c>
      <c r="AG1116" s="59" t="s">
        <v>1213</v>
      </c>
      <c r="AH1116" s="59" t="s">
        <v>1230</v>
      </c>
    </row>
    <row r="1117" spans="1:34" x14ac:dyDescent="0.35">
      <c r="A1117" s="58">
        <v>2025</v>
      </c>
      <c r="B1117" s="58">
        <v>4</v>
      </c>
      <c r="C1117">
        <v>4</v>
      </c>
      <c r="D1117" s="58" t="s">
        <v>627</v>
      </c>
      <c r="E1117" t="s">
        <v>58</v>
      </c>
      <c r="F1117" s="58" t="s">
        <v>200</v>
      </c>
      <c r="G1117" t="s">
        <v>470</v>
      </c>
      <c r="H1117" s="58" t="s">
        <v>1428</v>
      </c>
      <c r="I1117" t="s">
        <v>76</v>
      </c>
      <c r="J1117" s="58" t="s">
        <v>76</v>
      </c>
      <c r="K1117" t="s">
        <v>1429</v>
      </c>
      <c r="L1117" t="s">
        <v>20</v>
      </c>
      <c r="M1117" t="s">
        <v>1430</v>
      </c>
      <c r="N1117" s="59">
        <v>23250</v>
      </c>
      <c r="O1117" s="59">
        <v>362777779</v>
      </c>
      <c r="P1117" s="59">
        <v>5223444.7790432805</v>
      </c>
      <c r="Q1117" s="59">
        <v>0</v>
      </c>
      <c r="R1117" s="59">
        <v>0</v>
      </c>
      <c r="S1117" s="59">
        <v>357554334.22095674</v>
      </c>
      <c r="T1117" s="41"/>
      <c r="U1117" s="41"/>
      <c r="V1117" s="41"/>
      <c r="W1117" s="41"/>
      <c r="X1117" s="41"/>
      <c r="Y1117" s="41"/>
      <c r="Z1117" s="41"/>
      <c r="AA1117" s="41"/>
      <c r="AB1117" s="41"/>
      <c r="AC1117" s="41"/>
      <c r="AD1117" s="41"/>
      <c r="AE1117" s="59">
        <v>13928.274214656698</v>
      </c>
      <c r="AF1117" s="59">
        <v>14131.749782604007</v>
      </c>
      <c r="AG1117" s="59" t="s">
        <v>58</v>
      </c>
      <c r="AH1117" s="59" t="s">
        <v>79</v>
      </c>
    </row>
    <row r="1118" spans="1:34" x14ac:dyDescent="0.35">
      <c r="A1118" s="58">
        <v>2025</v>
      </c>
      <c r="B1118" s="58">
        <v>4</v>
      </c>
      <c r="C1118">
        <v>4</v>
      </c>
      <c r="D1118" s="58" t="s">
        <v>627</v>
      </c>
      <c r="E1118" t="s">
        <v>58</v>
      </c>
      <c r="F1118" s="58" t="s">
        <v>201</v>
      </c>
      <c r="G1118" t="s">
        <v>471</v>
      </c>
      <c r="H1118" s="58" t="s">
        <v>1428</v>
      </c>
      <c r="I1118" t="s">
        <v>76</v>
      </c>
      <c r="J1118" s="58" t="s">
        <v>76</v>
      </c>
      <c r="K1118" t="s">
        <v>1429</v>
      </c>
      <c r="L1118" t="s">
        <v>20</v>
      </c>
      <c r="M1118" t="s">
        <v>1430</v>
      </c>
      <c r="N1118" s="59">
        <v>4500</v>
      </c>
      <c r="O1118" s="59">
        <v>69166668</v>
      </c>
      <c r="P1118" s="59">
        <v>997697.35159079893</v>
      </c>
      <c r="Q1118" s="59">
        <v>0</v>
      </c>
      <c r="R1118" s="59">
        <v>0</v>
      </c>
      <c r="S1118" s="59">
        <v>68168970.648409203</v>
      </c>
      <c r="T1118" s="41"/>
      <c r="U1118" s="41"/>
      <c r="V1118" s="41"/>
      <c r="W1118" s="41"/>
      <c r="X1118" s="41"/>
      <c r="Y1118" s="41"/>
      <c r="Z1118" s="41"/>
      <c r="AA1118" s="41"/>
      <c r="AB1118" s="41"/>
      <c r="AC1118" s="41"/>
      <c r="AD1118" s="41"/>
      <c r="AE1118" s="59">
        <v>2655.4736588235073</v>
      </c>
      <c r="AF1118" s="59">
        <v>2694.3382479676175</v>
      </c>
      <c r="AG1118" s="59" t="s">
        <v>58</v>
      </c>
      <c r="AH1118" s="59" t="s">
        <v>77</v>
      </c>
    </row>
    <row r="1119" spans="1:34" x14ac:dyDescent="0.35">
      <c r="A1119" s="58">
        <v>2025</v>
      </c>
      <c r="B1119" s="58">
        <v>4</v>
      </c>
      <c r="C1119">
        <v>4</v>
      </c>
      <c r="D1119" s="58" t="s">
        <v>627</v>
      </c>
      <c r="E1119" t="s">
        <v>58</v>
      </c>
      <c r="F1119" s="58" t="s">
        <v>202</v>
      </c>
      <c r="G1119" t="s">
        <v>473</v>
      </c>
      <c r="H1119" s="58" t="s">
        <v>1428</v>
      </c>
      <c r="I1119" t="s">
        <v>76</v>
      </c>
      <c r="J1119" s="58" t="s">
        <v>76</v>
      </c>
      <c r="K1119" t="s">
        <v>1429</v>
      </c>
      <c r="L1119" t="s">
        <v>20</v>
      </c>
      <c r="M1119" t="s">
        <v>1430</v>
      </c>
      <c r="N1119" s="59">
        <v>9750</v>
      </c>
      <c r="O1119" s="59">
        <v>149598148</v>
      </c>
      <c r="P1119" s="59">
        <v>2190476.8428246016</v>
      </c>
      <c r="Q1119" s="59">
        <v>0</v>
      </c>
      <c r="R1119" s="59">
        <v>0</v>
      </c>
      <c r="S1119" s="59">
        <v>147407671.15717539</v>
      </c>
      <c r="T1119" s="41"/>
      <c r="U1119" s="41"/>
      <c r="V1119" s="41"/>
      <c r="W1119" s="41"/>
      <c r="X1119" s="41"/>
      <c r="Y1119" s="41"/>
      <c r="Z1119" s="41"/>
      <c r="AA1119" s="41"/>
      <c r="AB1119" s="41"/>
      <c r="AC1119" s="41"/>
      <c r="AD1119" s="41"/>
      <c r="AE1119" s="59">
        <v>5742.16075353826</v>
      </c>
      <c r="AF1119" s="59">
        <v>5827.489217516164</v>
      </c>
      <c r="AG1119" s="59" t="s">
        <v>58</v>
      </c>
      <c r="AH1119" s="59" t="s">
        <v>80</v>
      </c>
    </row>
    <row r="1120" spans="1:34" x14ac:dyDescent="0.35">
      <c r="A1120" s="58">
        <v>2025</v>
      </c>
      <c r="B1120" s="58">
        <v>4</v>
      </c>
      <c r="C1120">
        <v>4</v>
      </c>
      <c r="D1120" s="58" t="s">
        <v>1060</v>
      </c>
      <c r="E1120" t="s">
        <v>1061</v>
      </c>
      <c r="F1120" s="58" t="s">
        <v>1628</v>
      </c>
      <c r="G1120" t="s">
        <v>1629</v>
      </c>
      <c r="H1120" s="58" t="s">
        <v>1012</v>
      </c>
      <c r="I1120" t="s">
        <v>86</v>
      </c>
      <c r="J1120" s="58" t="s">
        <v>86</v>
      </c>
      <c r="K1120" t="s">
        <v>1429</v>
      </c>
      <c r="L1120" t="s">
        <v>20</v>
      </c>
      <c r="M1120" t="s">
        <v>1430</v>
      </c>
      <c r="N1120" s="59">
        <v>2594</v>
      </c>
      <c r="O1120" s="59">
        <v>960741</v>
      </c>
      <c r="P1120" s="59">
        <v>0</v>
      </c>
      <c r="Q1120" s="59">
        <v>0</v>
      </c>
      <c r="R1120" s="59">
        <v>0</v>
      </c>
      <c r="S1120" s="59">
        <v>960741</v>
      </c>
      <c r="T1120" s="41"/>
      <c r="U1120" s="41"/>
      <c r="V1120" s="41"/>
      <c r="W1120" s="41"/>
      <c r="X1120" s="41"/>
      <c r="Y1120" s="41"/>
      <c r="Z1120" s="41"/>
      <c r="AA1120" s="41"/>
      <c r="AB1120" s="41"/>
      <c r="AC1120" s="41"/>
      <c r="AD1120" s="41"/>
      <c r="AE1120" s="59">
        <v>37.424980811431553</v>
      </c>
      <c r="AF1120" s="59">
        <v>37.424980811431553</v>
      </c>
      <c r="AG1120" s="59" t="s">
        <v>1061</v>
      </c>
      <c r="AH1120" s="59" t="s">
        <v>1233</v>
      </c>
    </row>
    <row r="1121" spans="1:34" x14ac:dyDescent="0.35">
      <c r="A1121" s="58">
        <v>2025</v>
      </c>
      <c r="B1121" s="58">
        <v>4</v>
      </c>
      <c r="C1121">
        <v>4</v>
      </c>
      <c r="D1121" s="58" t="s">
        <v>611</v>
      </c>
      <c r="E1121" t="s">
        <v>269</v>
      </c>
      <c r="F1121" s="58" t="s">
        <v>168</v>
      </c>
      <c r="G1121" t="s">
        <v>700</v>
      </c>
      <c r="H1121" s="58" t="s">
        <v>4</v>
      </c>
      <c r="I1121" t="s">
        <v>4</v>
      </c>
      <c r="J1121" s="58" t="s">
        <v>4</v>
      </c>
      <c r="K1121" t="s">
        <v>1429</v>
      </c>
      <c r="L1121" t="s">
        <v>20</v>
      </c>
      <c r="M1121" t="s">
        <v>1430</v>
      </c>
      <c r="N1121" s="59">
        <v>66000</v>
      </c>
      <c r="O1121" s="59">
        <v>2392566000</v>
      </c>
      <c r="P1121" s="59">
        <v>10109893.12072893</v>
      </c>
      <c r="Q1121" s="59">
        <v>0</v>
      </c>
      <c r="R1121" s="59">
        <v>13200000</v>
      </c>
      <c r="S1121" s="59">
        <v>2369256106.879271</v>
      </c>
      <c r="T1121" s="41"/>
      <c r="U1121" s="41"/>
      <c r="V1121" s="41"/>
      <c r="W1121" s="41"/>
      <c r="X1121" s="41"/>
      <c r="Y1121" s="41"/>
      <c r="Z1121" s="41"/>
      <c r="AA1121" s="41"/>
      <c r="AB1121" s="41"/>
      <c r="AC1121" s="41"/>
      <c r="AD1121" s="41"/>
      <c r="AE1121" s="59">
        <v>92292.682770198997</v>
      </c>
      <c r="AF1121" s="59">
        <v>93200.703040760767</v>
      </c>
      <c r="AG1121" s="59" t="s">
        <v>99</v>
      </c>
      <c r="AH1121" s="59" t="s">
        <v>1160</v>
      </c>
    </row>
    <row r="1122" spans="1:34" x14ac:dyDescent="0.35">
      <c r="A1122" s="58">
        <v>2025</v>
      </c>
      <c r="B1122" s="58">
        <v>4</v>
      </c>
      <c r="C1122">
        <v>4</v>
      </c>
      <c r="D1122" s="58" t="s">
        <v>611</v>
      </c>
      <c r="E1122" t="s">
        <v>269</v>
      </c>
      <c r="F1122" s="58" t="s">
        <v>168</v>
      </c>
      <c r="G1122" t="s">
        <v>700</v>
      </c>
      <c r="H1122" s="58" t="s">
        <v>4</v>
      </c>
      <c r="I1122" t="s">
        <v>4</v>
      </c>
      <c r="J1122" s="58" t="s">
        <v>4</v>
      </c>
      <c r="K1122" t="s">
        <v>1429</v>
      </c>
      <c r="L1122" t="s">
        <v>20</v>
      </c>
      <c r="M1122" t="s">
        <v>1591</v>
      </c>
      <c r="N1122" s="59">
        <v>0</v>
      </c>
      <c r="O1122" s="59">
        <v>-71268120</v>
      </c>
      <c r="P1122" s="59">
        <v>0</v>
      </c>
      <c r="Q1122" s="59">
        <v>0</v>
      </c>
      <c r="R1122" s="59">
        <v>0</v>
      </c>
      <c r="S1122" s="59">
        <v>-71268120</v>
      </c>
      <c r="T1122" s="41"/>
      <c r="U1122" s="41"/>
      <c r="V1122" s="41"/>
      <c r="W1122" s="41"/>
      <c r="X1122" s="41"/>
      <c r="Y1122" s="41"/>
      <c r="Z1122" s="41"/>
      <c r="AA1122" s="41"/>
      <c r="AB1122" s="41"/>
      <c r="AC1122" s="41"/>
      <c r="AD1122" s="41"/>
      <c r="AE1122" s="59">
        <v>-2776.1988126527349</v>
      </c>
      <c r="AF1122" s="59">
        <v>-2776.1988126527349</v>
      </c>
      <c r="AG1122" s="59" t="s">
        <v>99</v>
      </c>
      <c r="AH1122" s="59" t="s">
        <v>1160</v>
      </c>
    </row>
    <row r="1123" spans="1:34" x14ac:dyDescent="0.35">
      <c r="A1123" s="58">
        <v>2025</v>
      </c>
      <c r="B1123" s="58">
        <v>4</v>
      </c>
      <c r="C1123">
        <v>4</v>
      </c>
      <c r="D1123" s="58" t="s">
        <v>603</v>
      </c>
      <c r="E1123" t="s">
        <v>56</v>
      </c>
      <c r="F1123" s="58" t="s">
        <v>203</v>
      </c>
      <c r="G1123" t="s">
        <v>472</v>
      </c>
      <c r="H1123" s="58" t="s">
        <v>1428</v>
      </c>
      <c r="I1123" t="s">
        <v>76</v>
      </c>
      <c r="J1123" s="58" t="s">
        <v>76</v>
      </c>
      <c r="K1123" t="s">
        <v>1429</v>
      </c>
      <c r="L1123" t="s">
        <v>20</v>
      </c>
      <c r="M1123" t="s">
        <v>1430</v>
      </c>
      <c r="N1123" s="59">
        <v>9000</v>
      </c>
      <c r="O1123" s="59">
        <v>139500000</v>
      </c>
      <c r="P1123" s="59">
        <v>2021978.6241457858</v>
      </c>
      <c r="Q1123" s="59">
        <v>0</v>
      </c>
      <c r="R1123" s="59">
        <v>0</v>
      </c>
      <c r="S1123" s="59">
        <v>137478021.37585422</v>
      </c>
      <c r="T1123" s="41"/>
      <c r="U1123" s="41"/>
      <c r="V1123" s="41"/>
      <c r="W1123" s="41"/>
      <c r="X1123" s="41"/>
      <c r="Y1123" s="41"/>
      <c r="Z1123" s="41"/>
      <c r="AA1123" s="41"/>
      <c r="AB1123" s="41"/>
      <c r="AC1123" s="41"/>
      <c r="AD1123" s="41"/>
      <c r="AE1123" s="59">
        <v>5355.3583244442789</v>
      </c>
      <c r="AF1123" s="59">
        <v>5434.1230604238826</v>
      </c>
      <c r="AG1123" s="59" t="s">
        <v>56</v>
      </c>
      <c r="AH1123" s="59" t="s">
        <v>78</v>
      </c>
    </row>
    <row r="1124" spans="1:34" x14ac:dyDescent="0.35">
      <c r="A1124" s="58">
        <v>2025</v>
      </c>
      <c r="B1124" s="58">
        <v>4</v>
      </c>
      <c r="C1124">
        <v>4</v>
      </c>
      <c r="D1124" s="58" t="s">
        <v>603</v>
      </c>
      <c r="E1124" t="s">
        <v>56</v>
      </c>
      <c r="F1124" s="58" t="s">
        <v>204</v>
      </c>
      <c r="G1124" t="s">
        <v>474</v>
      </c>
      <c r="H1124" s="58" t="s">
        <v>1428</v>
      </c>
      <c r="I1124" t="s">
        <v>76</v>
      </c>
      <c r="J1124" s="58" t="s">
        <v>76</v>
      </c>
      <c r="K1124" t="s">
        <v>1429</v>
      </c>
      <c r="L1124" t="s">
        <v>20</v>
      </c>
      <c r="M1124" t="s">
        <v>1430</v>
      </c>
      <c r="N1124" s="59">
        <v>3000</v>
      </c>
      <c r="O1124" s="59">
        <v>46500000</v>
      </c>
      <c r="P1124" s="59">
        <v>673992.87471526198</v>
      </c>
      <c r="Q1124" s="59">
        <v>0</v>
      </c>
      <c r="R1124" s="59">
        <v>0</v>
      </c>
      <c r="S1124" s="59">
        <v>45826007.125284739</v>
      </c>
      <c r="T1124" s="41"/>
      <c r="U1124" s="41"/>
      <c r="V1124" s="41"/>
      <c r="W1124" s="41"/>
      <c r="X1124" s="41"/>
      <c r="Y1124" s="41"/>
      <c r="Z1124" s="41"/>
      <c r="AA1124" s="41"/>
      <c r="AB1124" s="41"/>
      <c r="AC1124" s="41"/>
      <c r="AD1124" s="41"/>
      <c r="AE1124" s="59">
        <v>1785.1194414814263</v>
      </c>
      <c r="AF1124" s="59">
        <v>1811.3743534746275</v>
      </c>
      <c r="AG1124" s="59" t="s">
        <v>56</v>
      </c>
      <c r="AH1124" s="59" t="s">
        <v>81</v>
      </c>
    </row>
    <row r="1125" spans="1:34" x14ac:dyDescent="0.35">
      <c r="A1125" s="58">
        <v>2025</v>
      </c>
      <c r="B1125" s="58">
        <v>4</v>
      </c>
      <c r="C1125">
        <v>4</v>
      </c>
      <c r="D1125" s="58" t="s">
        <v>626</v>
      </c>
      <c r="E1125" t="s">
        <v>152</v>
      </c>
      <c r="F1125" s="58" t="s">
        <v>185</v>
      </c>
      <c r="G1125" t="s">
        <v>720</v>
      </c>
      <c r="H1125" s="58" t="s">
        <v>1428</v>
      </c>
      <c r="I1125" t="s">
        <v>75</v>
      </c>
      <c r="J1125" s="58" t="s">
        <v>75</v>
      </c>
      <c r="K1125" t="s">
        <v>1429</v>
      </c>
      <c r="L1125" t="s">
        <v>20</v>
      </c>
      <c r="M1125" t="s">
        <v>1430</v>
      </c>
      <c r="N1125" s="59">
        <v>1000</v>
      </c>
      <c r="O1125" s="59">
        <v>17000000</v>
      </c>
      <c r="P1125" s="59">
        <v>0</v>
      </c>
      <c r="Q1125" s="59">
        <v>0</v>
      </c>
      <c r="R1125" s="59">
        <v>0</v>
      </c>
      <c r="S1125" s="59">
        <v>17000000</v>
      </c>
      <c r="T1125" s="41"/>
      <c r="U1125" s="41"/>
      <c r="V1125" s="41"/>
      <c r="W1125" s="41"/>
      <c r="X1125" s="41"/>
      <c r="Y1125" s="41"/>
      <c r="Z1125" s="41"/>
      <c r="AA1125" s="41"/>
      <c r="AB1125" s="41"/>
      <c r="AC1125" s="41"/>
      <c r="AD1125" s="41"/>
      <c r="AE1125" s="59">
        <v>662.22288191545522</v>
      </c>
      <c r="AF1125" s="59">
        <v>662.22288191545522</v>
      </c>
      <c r="AG1125" s="59" t="s">
        <v>152</v>
      </c>
      <c r="AH1125" s="59" t="s">
        <v>1199</v>
      </c>
    </row>
    <row r="1126" spans="1:34" x14ac:dyDescent="0.35">
      <c r="A1126" s="58">
        <v>2025</v>
      </c>
      <c r="B1126" s="58">
        <v>4</v>
      </c>
      <c r="C1126">
        <v>4</v>
      </c>
      <c r="D1126" s="58" t="s">
        <v>669</v>
      </c>
      <c r="E1126" t="s">
        <v>149</v>
      </c>
      <c r="F1126" s="58" t="s">
        <v>181</v>
      </c>
      <c r="G1126" t="s">
        <v>800</v>
      </c>
      <c r="H1126" s="58" t="s">
        <v>74</v>
      </c>
      <c r="I1126" t="s">
        <v>74</v>
      </c>
      <c r="J1126" s="58" t="s">
        <v>74</v>
      </c>
      <c r="K1126" t="s">
        <v>1476</v>
      </c>
      <c r="L1126" t="s">
        <v>1651</v>
      </c>
      <c r="M1126" t="s">
        <v>1430</v>
      </c>
      <c r="N1126" s="59">
        <v>1000</v>
      </c>
      <c r="O1126" s="59">
        <v>29187899.999999996</v>
      </c>
      <c r="P1126" s="59">
        <v>168498.21867881549</v>
      </c>
      <c r="Q1126" s="59">
        <v>0</v>
      </c>
      <c r="R1126" s="59">
        <v>2200000</v>
      </c>
      <c r="S1126" s="59">
        <v>26819401.781321179</v>
      </c>
      <c r="T1126" s="41"/>
      <c r="U1126" s="41"/>
      <c r="V1126" s="41"/>
      <c r="W1126" s="41"/>
      <c r="X1126" s="41"/>
      <c r="Y1126" s="41"/>
      <c r="Z1126" s="41"/>
      <c r="AA1126" s="41"/>
      <c r="AB1126" s="41"/>
      <c r="AC1126" s="41"/>
      <c r="AD1126" s="41"/>
      <c r="AE1126" s="59">
        <v>1038.3043662919542</v>
      </c>
      <c r="AF1126" s="59">
        <v>1129.9999999999998</v>
      </c>
      <c r="AG1126" s="59" t="s">
        <v>149</v>
      </c>
      <c r="AH1126" s="59" t="s">
        <v>1240</v>
      </c>
    </row>
    <row r="1127" spans="1:34" x14ac:dyDescent="0.35">
      <c r="A1127" s="58">
        <v>2025</v>
      </c>
      <c r="B1127" s="58">
        <v>4</v>
      </c>
      <c r="C1127">
        <v>4</v>
      </c>
      <c r="D1127" s="58" t="s">
        <v>669</v>
      </c>
      <c r="E1127" t="s">
        <v>149</v>
      </c>
      <c r="F1127" s="58" t="s">
        <v>1152</v>
      </c>
      <c r="G1127" t="s">
        <v>1153</v>
      </c>
      <c r="H1127" s="58" t="s">
        <v>1012</v>
      </c>
      <c r="I1127" t="s">
        <v>1012</v>
      </c>
      <c r="J1127" s="58" t="s">
        <v>1399</v>
      </c>
      <c r="K1127" t="s">
        <v>1429</v>
      </c>
      <c r="L1127" t="s">
        <v>20</v>
      </c>
      <c r="M1127" t="s">
        <v>1430</v>
      </c>
      <c r="N1127" s="59">
        <v>0</v>
      </c>
      <c r="O1127" s="59">
        <v>0</v>
      </c>
      <c r="P1127" s="59">
        <v>0</v>
      </c>
      <c r="Q1127" s="59">
        <v>0</v>
      </c>
      <c r="R1127" s="59">
        <v>-2200000</v>
      </c>
      <c r="S1127" s="59">
        <v>2200000</v>
      </c>
      <c r="T1127" s="41"/>
      <c r="U1127" s="41"/>
      <c r="V1127" s="41"/>
      <c r="W1127" s="41"/>
      <c r="X1127" s="41"/>
      <c r="Y1127" s="41"/>
      <c r="Z1127" s="41"/>
      <c r="AA1127" s="41"/>
      <c r="AB1127" s="41"/>
      <c r="AC1127" s="41"/>
      <c r="AD1127" s="41"/>
      <c r="AE1127" s="59">
        <v>85.699431777294208</v>
      </c>
      <c r="AF1127" s="59">
        <v>0</v>
      </c>
      <c r="AG1127" s="59" t="s">
        <v>149</v>
      </c>
      <c r="AH1127" s="59" t="s">
        <v>1400</v>
      </c>
    </row>
    <row r="1128" spans="1:34" x14ac:dyDescent="0.35">
      <c r="A1128" s="58">
        <v>2025</v>
      </c>
      <c r="B1128" s="58">
        <v>4</v>
      </c>
      <c r="C1128">
        <v>4</v>
      </c>
      <c r="D1128" s="58" t="s">
        <v>628</v>
      </c>
      <c r="E1128" t="s">
        <v>57</v>
      </c>
      <c r="F1128" s="58" t="s">
        <v>195</v>
      </c>
      <c r="G1128" t="s">
        <v>746</v>
      </c>
      <c r="H1128" s="58" t="s">
        <v>1428</v>
      </c>
      <c r="I1128" t="s">
        <v>76</v>
      </c>
      <c r="J1128" s="58" t="s">
        <v>76</v>
      </c>
      <c r="K1128" t="s">
        <v>1429</v>
      </c>
      <c r="L1128" t="s">
        <v>20</v>
      </c>
      <c r="M1128" t="s">
        <v>1430</v>
      </c>
      <c r="N1128" s="59">
        <v>1500</v>
      </c>
      <c r="O1128" s="59">
        <v>28472222</v>
      </c>
      <c r="P1128" s="59">
        <v>0</v>
      </c>
      <c r="Q1128" s="59">
        <v>1388889</v>
      </c>
      <c r="R1128" s="59">
        <v>0</v>
      </c>
      <c r="S1128" s="59">
        <v>27083333</v>
      </c>
      <c r="T1128" s="41"/>
      <c r="U1128" s="41"/>
      <c r="V1128" s="41"/>
      <c r="W1128" s="41"/>
      <c r="X1128" s="41"/>
      <c r="Y1128" s="41"/>
      <c r="Z1128" s="41"/>
      <c r="AA1128" s="41"/>
      <c r="AB1128" s="41"/>
      <c r="AC1128" s="41"/>
      <c r="AD1128" s="41"/>
      <c r="AE1128" s="59">
        <v>1055.0119312432912</v>
      </c>
      <c r="AF1128" s="59">
        <v>1109.1151121986252</v>
      </c>
      <c r="AG1128" s="59" t="s">
        <v>57</v>
      </c>
      <c r="AH1128" s="59" t="s">
        <v>1247</v>
      </c>
    </row>
    <row r="1129" spans="1:34" x14ac:dyDescent="0.35">
      <c r="A1129" s="58">
        <v>2025</v>
      </c>
      <c r="B1129" s="58">
        <v>4</v>
      </c>
      <c r="C1129">
        <v>4</v>
      </c>
      <c r="D1129" s="58" t="s">
        <v>628</v>
      </c>
      <c r="E1129" t="s">
        <v>57</v>
      </c>
      <c r="F1129" s="58" t="s">
        <v>197</v>
      </c>
      <c r="G1129" t="s">
        <v>752</v>
      </c>
      <c r="H1129" s="58" t="s">
        <v>1428</v>
      </c>
      <c r="I1129" t="s">
        <v>76</v>
      </c>
      <c r="J1129" s="58" t="s">
        <v>76</v>
      </c>
      <c r="K1129" t="s">
        <v>1429</v>
      </c>
      <c r="L1129" t="s">
        <v>20</v>
      </c>
      <c r="M1129" t="s">
        <v>1430</v>
      </c>
      <c r="N1129" s="59">
        <v>1500</v>
      </c>
      <c r="O1129" s="59">
        <v>28472222</v>
      </c>
      <c r="P1129" s="59">
        <v>0</v>
      </c>
      <c r="Q1129" s="59">
        <v>1388889</v>
      </c>
      <c r="R1129" s="59">
        <v>0</v>
      </c>
      <c r="S1129" s="59">
        <v>27083333</v>
      </c>
      <c r="T1129" s="41"/>
      <c r="U1129" s="41"/>
      <c r="V1129" s="41"/>
      <c r="W1129" s="41"/>
      <c r="X1129" s="41"/>
      <c r="Y1129" s="41"/>
      <c r="Z1129" s="41"/>
      <c r="AA1129" s="41"/>
      <c r="AB1129" s="41"/>
      <c r="AC1129" s="41"/>
      <c r="AD1129" s="41"/>
      <c r="AE1129" s="59">
        <v>1055.0119312432912</v>
      </c>
      <c r="AF1129" s="59">
        <v>1109.1151121986252</v>
      </c>
      <c r="AG1129" s="59" t="s">
        <v>57</v>
      </c>
      <c r="AH1129" s="59" t="s">
        <v>1249</v>
      </c>
    </row>
    <row r="1130" spans="1:34" x14ac:dyDescent="0.35">
      <c r="A1130" s="58">
        <v>2025</v>
      </c>
      <c r="B1130" s="58">
        <v>4</v>
      </c>
      <c r="C1130">
        <v>4</v>
      </c>
      <c r="D1130" s="58" t="s">
        <v>628</v>
      </c>
      <c r="E1130" t="s">
        <v>57</v>
      </c>
      <c r="F1130" s="58" t="s">
        <v>199</v>
      </c>
      <c r="G1130" t="s">
        <v>758</v>
      </c>
      <c r="H1130" s="58" t="s">
        <v>1428</v>
      </c>
      <c r="I1130" t="s">
        <v>76</v>
      </c>
      <c r="J1130" s="58" t="s">
        <v>76</v>
      </c>
      <c r="K1130" t="s">
        <v>1429</v>
      </c>
      <c r="L1130" t="s">
        <v>20</v>
      </c>
      <c r="M1130" t="s">
        <v>1430</v>
      </c>
      <c r="N1130" s="59">
        <v>26875</v>
      </c>
      <c r="O1130" s="59">
        <v>512118055</v>
      </c>
      <c r="P1130" s="59">
        <v>0</v>
      </c>
      <c r="Q1130" s="59">
        <v>26875000</v>
      </c>
      <c r="R1130" s="59">
        <v>0</v>
      </c>
      <c r="S1130" s="59">
        <v>485243055</v>
      </c>
      <c r="T1130" s="41"/>
      <c r="U1130" s="41"/>
      <c r="V1130" s="41"/>
      <c r="W1130" s="41"/>
      <c r="X1130" s="41"/>
      <c r="Y1130" s="41"/>
      <c r="Z1130" s="41"/>
      <c r="AA1130" s="41"/>
      <c r="AB1130" s="41"/>
      <c r="AC1130" s="41"/>
      <c r="AD1130" s="41"/>
      <c r="AE1130" s="59">
        <v>18902.297312444687</v>
      </c>
      <c r="AF1130" s="59">
        <v>19949.193780178681</v>
      </c>
      <c r="AG1130" s="59" t="s">
        <v>57</v>
      </c>
      <c r="AH1130" s="59" t="s">
        <v>1254</v>
      </c>
    </row>
    <row r="1131" spans="1:34" x14ac:dyDescent="0.35">
      <c r="A1131" s="58">
        <v>2025</v>
      </c>
      <c r="B1131" s="58">
        <v>4</v>
      </c>
      <c r="C1131">
        <v>4</v>
      </c>
      <c r="D1131" s="58" t="s">
        <v>628</v>
      </c>
      <c r="E1131" t="s">
        <v>57</v>
      </c>
      <c r="F1131" s="58" t="s">
        <v>200</v>
      </c>
      <c r="G1131" t="s">
        <v>470</v>
      </c>
      <c r="H1131" s="58" t="s">
        <v>1428</v>
      </c>
      <c r="I1131" t="s">
        <v>76</v>
      </c>
      <c r="J1131" s="58" t="s">
        <v>76</v>
      </c>
      <c r="K1131" t="s">
        <v>1429</v>
      </c>
      <c r="L1131" t="s">
        <v>20</v>
      </c>
      <c r="M1131" t="s">
        <v>1430</v>
      </c>
      <c r="N1131" s="59">
        <v>6000</v>
      </c>
      <c r="O1131" s="59">
        <v>103822222.00000001</v>
      </c>
      <c r="P1131" s="59">
        <v>1347985.749430524</v>
      </c>
      <c r="Q1131" s="59">
        <v>6600000</v>
      </c>
      <c r="R1131" s="59">
        <v>0</v>
      </c>
      <c r="S1131" s="59">
        <v>95874236.250569493</v>
      </c>
      <c r="T1131" s="41"/>
      <c r="U1131" s="41"/>
      <c r="V1131" s="41"/>
      <c r="W1131" s="41"/>
      <c r="X1131" s="41"/>
      <c r="Y1131" s="41"/>
      <c r="Z1131" s="41"/>
      <c r="AA1131" s="41"/>
      <c r="AB1131" s="41"/>
      <c r="AC1131" s="41"/>
      <c r="AD1131" s="41"/>
      <c r="AE1131" s="59">
        <v>3734.7125312526668</v>
      </c>
      <c r="AF1131" s="59">
        <v>4044.3206505709522</v>
      </c>
      <c r="AG1131" s="59" t="s">
        <v>57</v>
      </c>
      <c r="AH1131" s="59" t="s">
        <v>79</v>
      </c>
    </row>
    <row r="1132" spans="1:34" x14ac:dyDescent="0.35">
      <c r="A1132" s="58">
        <v>2025</v>
      </c>
      <c r="B1132" s="58">
        <v>4</v>
      </c>
      <c r="C1132">
        <v>4</v>
      </c>
      <c r="D1132" s="58" t="s">
        <v>628</v>
      </c>
      <c r="E1132" t="s">
        <v>57</v>
      </c>
      <c r="F1132" s="58" t="s">
        <v>1634</v>
      </c>
      <c r="G1132" t="s">
        <v>1635</v>
      </c>
      <c r="H1132" s="58" t="s">
        <v>1012</v>
      </c>
      <c r="I1132" t="s">
        <v>1012</v>
      </c>
      <c r="J1132" s="58" t="s">
        <v>1395</v>
      </c>
      <c r="K1132" t="s">
        <v>1429</v>
      </c>
      <c r="L1132" t="s">
        <v>20</v>
      </c>
      <c r="M1132" t="s">
        <v>1430</v>
      </c>
      <c r="N1132" s="59">
        <v>0</v>
      </c>
      <c r="O1132" s="59">
        <v>0</v>
      </c>
      <c r="P1132" s="59">
        <v>0</v>
      </c>
      <c r="Q1132" s="59">
        <v>10022222</v>
      </c>
      <c r="R1132" s="59">
        <v>0</v>
      </c>
      <c r="S1132" s="59">
        <v>-10022222</v>
      </c>
      <c r="T1132" s="41"/>
      <c r="U1132" s="41"/>
      <c r="V1132" s="41"/>
      <c r="W1132" s="41"/>
      <c r="X1132" s="41"/>
      <c r="Y1132" s="41"/>
      <c r="Z1132" s="41"/>
      <c r="AA1132" s="41"/>
      <c r="AB1132" s="41"/>
      <c r="AC1132" s="41"/>
      <c r="AD1132" s="41"/>
      <c r="AE1132" s="59">
        <v>-390.40851388449869</v>
      </c>
      <c r="AF1132" s="59">
        <v>0</v>
      </c>
      <c r="AG1132" s="59" t="s">
        <v>57</v>
      </c>
      <c r="AH1132" s="59" t="s">
        <v>1396</v>
      </c>
    </row>
    <row r="1133" spans="1:34" x14ac:dyDescent="0.35">
      <c r="A1133" s="58">
        <v>2025</v>
      </c>
      <c r="B1133" s="58">
        <v>4</v>
      </c>
      <c r="C1133">
        <v>4</v>
      </c>
      <c r="D1133" s="58" t="s">
        <v>672</v>
      </c>
      <c r="E1133" t="s">
        <v>155</v>
      </c>
      <c r="F1133" s="58" t="s">
        <v>202</v>
      </c>
      <c r="G1133" t="s">
        <v>473</v>
      </c>
      <c r="H1133" s="58" t="s">
        <v>1428</v>
      </c>
      <c r="I1133" t="s">
        <v>76</v>
      </c>
      <c r="J1133" s="58" t="s">
        <v>76</v>
      </c>
      <c r="K1133" t="s">
        <v>1429</v>
      </c>
      <c r="L1133" t="s">
        <v>20</v>
      </c>
      <c r="M1133" t="s">
        <v>1430</v>
      </c>
      <c r="N1133" s="59">
        <v>750</v>
      </c>
      <c r="O1133" s="59">
        <v>11805556</v>
      </c>
      <c r="P1133" s="59">
        <v>168498.21867881549</v>
      </c>
      <c r="Q1133" s="59">
        <v>0</v>
      </c>
      <c r="R1133" s="59">
        <v>0</v>
      </c>
      <c r="S1133" s="59">
        <v>11637057.781321185</v>
      </c>
      <c r="T1133" s="41"/>
      <c r="U1133" s="41"/>
      <c r="V1133" s="41"/>
      <c r="W1133" s="41"/>
      <c r="X1133" s="41"/>
      <c r="Y1133" s="41"/>
      <c r="Z1133" s="41"/>
      <c r="AA1133" s="41"/>
      <c r="AB1133" s="41"/>
      <c r="AC1133" s="41"/>
      <c r="AD1133" s="41"/>
      <c r="AE1133" s="59">
        <v>453.31329064489341</v>
      </c>
      <c r="AF1133" s="59">
        <v>459.87701864319376</v>
      </c>
      <c r="AG1133" s="59" t="s">
        <v>155</v>
      </c>
      <c r="AH1133" s="59" t="s">
        <v>80</v>
      </c>
    </row>
    <row r="1134" spans="1:34" x14ac:dyDescent="0.35">
      <c r="A1134" s="58">
        <v>2025</v>
      </c>
      <c r="B1134" s="58">
        <v>4</v>
      </c>
      <c r="C1134">
        <v>4</v>
      </c>
      <c r="D1134" s="58" t="s">
        <v>672</v>
      </c>
      <c r="E1134" t="s">
        <v>155</v>
      </c>
      <c r="F1134" s="58" t="s">
        <v>203</v>
      </c>
      <c r="G1134" t="s">
        <v>472</v>
      </c>
      <c r="H1134" s="58" t="s">
        <v>1428</v>
      </c>
      <c r="I1134" t="s">
        <v>76</v>
      </c>
      <c r="J1134" s="58" t="s">
        <v>76</v>
      </c>
      <c r="K1134" t="s">
        <v>1429</v>
      </c>
      <c r="L1134" t="s">
        <v>20</v>
      </c>
      <c r="M1134" t="s">
        <v>1430</v>
      </c>
      <c r="N1134" s="59">
        <v>750</v>
      </c>
      <c r="O1134" s="59">
        <v>11805556</v>
      </c>
      <c r="P1134" s="59">
        <v>168498.21867881549</v>
      </c>
      <c r="Q1134" s="59">
        <v>0</v>
      </c>
      <c r="R1134" s="59">
        <v>0</v>
      </c>
      <c r="S1134" s="59">
        <v>11637057.781321185</v>
      </c>
      <c r="T1134" s="41"/>
      <c r="U1134" s="41"/>
      <c r="V1134" s="41"/>
      <c r="W1134" s="41"/>
      <c r="X1134" s="41"/>
      <c r="Y1134" s="41"/>
      <c r="Z1134" s="41"/>
      <c r="AA1134" s="41"/>
      <c r="AB1134" s="41"/>
      <c r="AC1134" s="41"/>
      <c r="AD1134" s="41"/>
      <c r="AE1134" s="59">
        <v>453.31329064489341</v>
      </c>
      <c r="AF1134" s="59">
        <v>459.87701864319376</v>
      </c>
      <c r="AG1134" s="59" t="s">
        <v>155</v>
      </c>
      <c r="AH1134" s="59" t="s">
        <v>78</v>
      </c>
    </row>
    <row r="1135" spans="1:34" x14ac:dyDescent="0.35">
      <c r="A1135" s="58">
        <v>2025</v>
      </c>
      <c r="B1135" s="58">
        <v>4</v>
      </c>
      <c r="C1135">
        <v>4</v>
      </c>
      <c r="D1135" s="58" t="s">
        <v>677</v>
      </c>
      <c r="E1135" t="s">
        <v>70</v>
      </c>
      <c r="F1135" s="58" t="s">
        <v>210</v>
      </c>
      <c r="G1135" t="s">
        <v>833</v>
      </c>
      <c r="H1135" s="58" t="s">
        <v>21</v>
      </c>
      <c r="I1135" t="s">
        <v>21</v>
      </c>
      <c r="J1135" s="58" t="s">
        <v>21</v>
      </c>
      <c r="K1135" t="s">
        <v>1429</v>
      </c>
      <c r="L1135" t="s">
        <v>20</v>
      </c>
      <c r="M1135" t="s">
        <v>1430</v>
      </c>
      <c r="N1135" s="59">
        <v>100</v>
      </c>
      <c r="O1135" s="59">
        <v>1906240.0000000002</v>
      </c>
      <c r="P1135" s="59">
        <v>0</v>
      </c>
      <c r="Q1135" s="59">
        <v>0</v>
      </c>
      <c r="R1135" s="59">
        <v>0</v>
      </c>
      <c r="S1135" s="59">
        <v>1906240.0000000002</v>
      </c>
      <c r="T1135" s="41"/>
      <c r="U1135" s="41"/>
      <c r="V1135" s="41"/>
      <c r="W1135" s="41"/>
      <c r="X1135" s="41"/>
      <c r="Y1135" s="41"/>
      <c r="Z1135" s="41"/>
      <c r="AA1135" s="41"/>
      <c r="AB1135" s="41"/>
      <c r="AC1135" s="41"/>
      <c r="AD1135" s="41"/>
      <c r="AE1135" s="59">
        <v>74.256220377795145</v>
      </c>
      <c r="AF1135" s="59">
        <v>74.256220377795145</v>
      </c>
      <c r="AG1135" s="59" t="s">
        <v>70</v>
      </c>
      <c r="AH1135" s="59" t="s">
        <v>1354</v>
      </c>
    </row>
    <row r="1136" spans="1:34" x14ac:dyDescent="0.35">
      <c r="A1136" s="58">
        <v>2025</v>
      </c>
      <c r="B1136" s="58">
        <v>4</v>
      </c>
      <c r="C1136">
        <v>4</v>
      </c>
      <c r="D1136" s="58" t="s">
        <v>677</v>
      </c>
      <c r="E1136" t="s">
        <v>70</v>
      </c>
      <c r="F1136" s="58" t="s">
        <v>212</v>
      </c>
      <c r="G1136" t="s">
        <v>481</v>
      </c>
      <c r="H1136" s="58" t="s">
        <v>21</v>
      </c>
      <c r="I1136" t="s">
        <v>21</v>
      </c>
      <c r="J1136" s="58" t="s">
        <v>21</v>
      </c>
      <c r="K1136" t="s">
        <v>1429</v>
      </c>
      <c r="L1136" t="s">
        <v>20</v>
      </c>
      <c r="M1136" t="s">
        <v>1430</v>
      </c>
      <c r="N1136" s="59">
        <v>100</v>
      </c>
      <c r="O1136" s="59">
        <v>2022159.9999999998</v>
      </c>
      <c r="P1136" s="59">
        <v>0</v>
      </c>
      <c r="Q1136" s="59">
        <v>0</v>
      </c>
      <c r="R1136" s="59">
        <v>0</v>
      </c>
      <c r="S1136" s="59">
        <v>2022159.9999999998</v>
      </c>
      <c r="T1136" s="41"/>
      <c r="U1136" s="41"/>
      <c r="V1136" s="41"/>
      <c r="W1136" s="41"/>
      <c r="X1136" s="41"/>
      <c r="Y1136" s="41"/>
      <c r="Z1136" s="41"/>
      <c r="AA1136" s="41"/>
      <c r="AB1136" s="41"/>
      <c r="AC1136" s="41"/>
      <c r="AD1136" s="41"/>
      <c r="AE1136" s="59">
        <v>78.771801346715108</v>
      </c>
      <c r="AF1136" s="59">
        <v>78.771801346715108</v>
      </c>
      <c r="AG1136" s="59" t="s">
        <v>70</v>
      </c>
      <c r="AH1136" s="59" t="s">
        <v>84</v>
      </c>
    </row>
    <row r="1137" spans="1:34" x14ac:dyDescent="0.35">
      <c r="A1137" s="58">
        <v>2025</v>
      </c>
      <c r="B1137" s="58">
        <v>4</v>
      </c>
      <c r="C1137">
        <v>4</v>
      </c>
      <c r="D1137" s="58" t="s">
        <v>677</v>
      </c>
      <c r="E1137" t="s">
        <v>70</v>
      </c>
      <c r="F1137" s="58" t="s">
        <v>213</v>
      </c>
      <c r="G1137" t="s">
        <v>493</v>
      </c>
      <c r="H1137" s="58" t="s">
        <v>21</v>
      </c>
      <c r="I1137" t="s">
        <v>21</v>
      </c>
      <c r="J1137" s="58" t="s">
        <v>21</v>
      </c>
      <c r="K1137" t="s">
        <v>1429</v>
      </c>
      <c r="L1137" t="s">
        <v>20</v>
      </c>
      <c r="M1137" t="s">
        <v>1430</v>
      </c>
      <c r="N1137" s="59">
        <v>100</v>
      </c>
      <c r="O1137" s="59">
        <v>2022159.9999999998</v>
      </c>
      <c r="P1137" s="59">
        <v>0</v>
      </c>
      <c r="Q1137" s="59">
        <v>0</v>
      </c>
      <c r="R1137" s="59">
        <v>0</v>
      </c>
      <c r="S1137" s="59">
        <v>2022159.9999999998</v>
      </c>
      <c r="T1137" s="41"/>
      <c r="U1137" s="41"/>
      <c r="V1137" s="41"/>
      <c r="W1137" s="41"/>
      <c r="X1137" s="41"/>
      <c r="Y1137" s="41"/>
      <c r="Z1137" s="41"/>
      <c r="AA1137" s="41"/>
      <c r="AB1137" s="41"/>
      <c r="AC1137" s="41"/>
      <c r="AD1137" s="41"/>
      <c r="AE1137" s="59">
        <v>78.771801346715108</v>
      </c>
      <c r="AF1137" s="59">
        <v>78.771801346715108</v>
      </c>
      <c r="AG1137" s="59" t="s">
        <v>70</v>
      </c>
      <c r="AH1137" s="59" t="s">
        <v>85</v>
      </c>
    </row>
    <row r="1138" spans="1:34" x14ac:dyDescent="0.35">
      <c r="A1138" s="58">
        <v>2025</v>
      </c>
      <c r="B1138" s="58">
        <v>4</v>
      </c>
      <c r="C1138">
        <v>4</v>
      </c>
      <c r="D1138" s="58" t="s">
        <v>678</v>
      </c>
      <c r="E1138" t="s">
        <v>157</v>
      </c>
      <c r="F1138" s="58" t="s">
        <v>203</v>
      </c>
      <c r="G1138" t="s">
        <v>472</v>
      </c>
      <c r="H1138" s="58" t="s">
        <v>1428</v>
      </c>
      <c r="I1138" t="s">
        <v>76</v>
      </c>
      <c r="J1138" s="58" t="s">
        <v>76</v>
      </c>
      <c r="K1138" t="s">
        <v>1429</v>
      </c>
      <c r="L1138" t="s">
        <v>20</v>
      </c>
      <c r="M1138" t="s">
        <v>1430</v>
      </c>
      <c r="N1138" s="59">
        <v>50</v>
      </c>
      <c r="O1138" s="59">
        <v>750000</v>
      </c>
      <c r="P1138" s="59">
        <v>0</v>
      </c>
      <c r="Q1138" s="59">
        <v>0</v>
      </c>
      <c r="R1138" s="59">
        <v>0</v>
      </c>
      <c r="S1138" s="59">
        <v>750000</v>
      </c>
      <c r="T1138" s="41"/>
      <c r="U1138" s="41"/>
      <c r="V1138" s="41"/>
      <c r="W1138" s="41"/>
      <c r="X1138" s="41"/>
      <c r="Y1138" s="41"/>
      <c r="Z1138" s="41"/>
      <c r="AA1138" s="41"/>
      <c r="AB1138" s="41"/>
      <c r="AC1138" s="41"/>
      <c r="AD1138" s="41"/>
      <c r="AE1138" s="59">
        <v>29.215715378623024</v>
      </c>
      <c r="AF1138" s="59">
        <v>29.215715378623024</v>
      </c>
      <c r="AG1138" s="59" t="s">
        <v>157</v>
      </c>
      <c r="AH1138" s="59" t="s">
        <v>78</v>
      </c>
    </row>
    <row r="1139" spans="1:34" x14ac:dyDescent="0.35">
      <c r="A1139" s="58">
        <v>2025</v>
      </c>
      <c r="B1139" s="58">
        <v>4</v>
      </c>
      <c r="C1139">
        <v>4</v>
      </c>
      <c r="D1139" s="58" t="s">
        <v>673</v>
      </c>
      <c r="E1139" t="s">
        <v>151</v>
      </c>
      <c r="F1139" s="58" t="s">
        <v>190</v>
      </c>
      <c r="G1139" t="s">
        <v>1066</v>
      </c>
      <c r="H1139" s="58" t="s">
        <v>1428</v>
      </c>
      <c r="I1139" t="s">
        <v>75</v>
      </c>
      <c r="J1139" s="58" t="s">
        <v>75</v>
      </c>
      <c r="K1139" t="s">
        <v>1429</v>
      </c>
      <c r="L1139" t="s">
        <v>20</v>
      </c>
      <c r="M1139" t="s">
        <v>1430</v>
      </c>
      <c r="N1139" s="59">
        <v>500</v>
      </c>
      <c r="O1139" s="59">
        <v>17303300</v>
      </c>
      <c r="P1139" s="59">
        <v>0</v>
      </c>
      <c r="Q1139" s="59">
        <v>0</v>
      </c>
      <c r="R1139" s="59">
        <v>0</v>
      </c>
      <c r="S1139" s="59">
        <v>17303300</v>
      </c>
      <c r="T1139" s="41"/>
      <c r="U1139" s="41"/>
      <c r="V1139" s="41"/>
      <c r="W1139" s="41"/>
      <c r="X1139" s="41"/>
      <c r="Y1139" s="41"/>
      <c r="Z1139" s="41"/>
      <c r="AA1139" s="41"/>
      <c r="AB1139" s="41"/>
      <c r="AC1139" s="41"/>
      <c r="AD1139" s="41"/>
      <c r="AE1139" s="59">
        <v>674.03771721457042</v>
      </c>
      <c r="AF1139" s="59">
        <v>674.03771721457042</v>
      </c>
      <c r="AG1139" s="59" t="s">
        <v>151</v>
      </c>
      <c r="AH1139" s="59" t="s">
        <v>1206</v>
      </c>
    </row>
    <row r="1140" spans="1:34" x14ac:dyDescent="0.35">
      <c r="A1140" s="58">
        <v>2025</v>
      </c>
      <c r="B1140" s="58">
        <v>4</v>
      </c>
      <c r="C1140">
        <v>4</v>
      </c>
      <c r="D1140" s="58" t="s">
        <v>638</v>
      </c>
      <c r="E1140" t="s">
        <v>52</v>
      </c>
      <c r="F1140" s="58" t="s">
        <v>185</v>
      </c>
      <c r="G1140" t="s">
        <v>720</v>
      </c>
      <c r="H1140" s="58" t="s">
        <v>1428</v>
      </c>
      <c r="I1140" t="s">
        <v>75</v>
      </c>
      <c r="J1140" s="58" t="s">
        <v>75</v>
      </c>
      <c r="K1140" t="s">
        <v>1429</v>
      </c>
      <c r="L1140" t="s">
        <v>20</v>
      </c>
      <c r="M1140" t="s">
        <v>1430</v>
      </c>
      <c r="N1140" s="59">
        <v>1000</v>
      </c>
      <c r="O1140" s="59">
        <v>16700000</v>
      </c>
      <c r="P1140" s="59">
        <v>0</v>
      </c>
      <c r="Q1140" s="59">
        <v>0</v>
      </c>
      <c r="R1140" s="59">
        <v>0</v>
      </c>
      <c r="S1140" s="59">
        <v>16700000</v>
      </c>
      <c r="T1140" s="41"/>
      <c r="U1140" s="41"/>
      <c r="V1140" s="41"/>
      <c r="W1140" s="41"/>
      <c r="X1140" s="41"/>
      <c r="Y1140" s="41"/>
      <c r="Z1140" s="41"/>
      <c r="AA1140" s="41"/>
      <c r="AB1140" s="41"/>
      <c r="AC1140" s="41"/>
      <c r="AD1140" s="41"/>
      <c r="AE1140" s="59">
        <v>650.53659576400605</v>
      </c>
      <c r="AF1140" s="59">
        <v>650.53659576400605</v>
      </c>
      <c r="AG1140" s="59" t="s">
        <v>52</v>
      </c>
      <c r="AH1140" s="59" t="s">
        <v>1199</v>
      </c>
    </row>
    <row r="1141" spans="1:34" x14ac:dyDescent="0.35">
      <c r="A1141" s="58">
        <v>2025</v>
      </c>
      <c r="B1141" s="58">
        <v>4</v>
      </c>
      <c r="C1141">
        <v>4</v>
      </c>
      <c r="D1141" s="58" t="s">
        <v>664</v>
      </c>
      <c r="E1141" t="s">
        <v>326</v>
      </c>
      <c r="F1141" s="58" t="s">
        <v>168</v>
      </c>
      <c r="G1141" t="s">
        <v>700</v>
      </c>
      <c r="H1141" s="58" t="s">
        <v>4</v>
      </c>
      <c r="I1141" t="s">
        <v>4</v>
      </c>
      <c r="J1141" s="58" t="s">
        <v>4</v>
      </c>
      <c r="K1141" t="s">
        <v>1429</v>
      </c>
      <c r="L1141" t="s">
        <v>20</v>
      </c>
      <c r="M1141" t="s">
        <v>1430</v>
      </c>
      <c r="N1141" s="59">
        <v>3300</v>
      </c>
      <c r="O1141" s="59">
        <v>143649000</v>
      </c>
      <c r="P1141" s="59">
        <v>465618.77459016396</v>
      </c>
      <c r="Q1141" s="59">
        <v>0</v>
      </c>
      <c r="R1141" s="59">
        <v>7499999.9999999991</v>
      </c>
      <c r="S1141" s="59">
        <v>133958947.25040984</v>
      </c>
      <c r="T1141" s="41"/>
      <c r="U1141" s="41"/>
      <c r="V1141" s="41"/>
      <c r="W1141" s="41"/>
      <c r="X1141" s="41"/>
      <c r="Y1141" s="41"/>
      <c r="Z1141" s="41"/>
      <c r="AA1141" s="41"/>
      <c r="AB1141" s="41"/>
      <c r="AC1141" s="41"/>
      <c r="AD1141" s="41"/>
      <c r="AE1141" s="59">
        <v>5218.2753003839325</v>
      </c>
      <c r="AF1141" s="59">
        <v>5595.7443978984256</v>
      </c>
      <c r="AG1141" s="59" t="s">
        <v>8</v>
      </c>
      <c r="AH1141" s="59" t="s">
        <v>1160</v>
      </c>
    </row>
    <row r="1142" spans="1:34" x14ac:dyDescent="0.35">
      <c r="A1142" s="58">
        <v>2025</v>
      </c>
      <c r="B1142" s="58">
        <v>4</v>
      </c>
      <c r="C1142">
        <v>4</v>
      </c>
      <c r="D1142" s="58" t="s">
        <v>664</v>
      </c>
      <c r="E1142" t="s">
        <v>326</v>
      </c>
      <c r="F1142" s="58" t="s">
        <v>1535</v>
      </c>
      <c r="G1142" t="s">
        <v>1536</v>
      </c>
      <c r="H1142" s="58" t="s">
        <v>1012</v>
      </c>
      <c r="I1142" t="s">
        <v>1012</v>
      </c>
      <c r="J1142" s="58" t="s">
        <v>1012</v>
      </c>
      <c r="K1142" t="s">
        <v>1429</v>
      </c>
      <c r="L1142" t="s">
        <v>20</v>
      </c>
      <c r="M1142" t="s">
        <v>1430</v>
      </c>
      <c r="N1142" s="59">
        <v>0</v>
      </c>
      <c r="O1142" s="59">
        <v>0</v>
      </c>
      <c r="P1142" s="59">
        <v>0</v>
      </c>
      <c r="Q1142" s="59">
        <v>0</v>
      </c>
      <c r="R1142" s="59">
        <v>0</v>
      </c>
      <c r="S1142" s="59">
        <v>1724433.9749999999</v>
      </c>
      <c r="T1142" s="41"/>
      <c r="U1142" s="41"/>
      <c r="V1142" s="41"/>
      <c r="W1142" s="41"/>
      <c r="X1142" s="41"/>
      <c r="Y1142" s="41"/>
      <c r="Z1142" s="41"/>
      <c r="AA1142" s="41"/>
      <c r="AB1142" s="41"/>
      <c r="AC1142" s="41"/>
      <c r="AD1142" s="41"/>
      <c r="AE1142" s="59">
        <v>67.174096270436706</v>
      </c>
      <c r="AF1142" s="59">
        <v>0</v>
      </c>
      <c r="AG1142" s="59" t="s">
        <v>8</v>
      </c>
      <c r="AH1142" s="59" t="s">
        <v>1270</v>
      </c>
    </row>
    <row r="1143" spans="1:34" x14ac:dyDescent="0.35">
      <c r="A1143" s="58">
        <v>2025</v>
      </c>
      <c r="B1143" s="58">
        <v>4</v>
      </c>
      <c r="C1143">
        <v>4</v>
      </c>
      <c r="D1143" s="58" t="s">
        <v>664</v>
      </c>
      <c r="E1143" t="s">
        <v>326</v>
      </c>
      <c r="F1143" s="58" t="s">
        <v>1152</v>
      </c>
      <c r="G1143" t="s">
        <v>1153</v>
      </c>
      <c r="H1143" s="58" t="s">
        <v>1012</v>
      </c>
      <c r="I1143" t="s">
        <v>1012</v>
      </c>
      <c r="J1143" s="58" t="s">
        <v>1399</v>
      </c>
      <c r="K1143" t="s">
        <v>1429</v>
      </c>
      <c r="L1143" t="s">
        <v>20</v>
      </c>
      <c r="M1143" t="s">
        <v>1430</v>
      </c>
      <c r="N1143" s="59">
        <v>0</v>
      </c>
      <c r="O1143" s="59">
        <v>0</v>
      </c>
      <c r="P1143" s="59">
        <v>0</v>
      </c>
      <c r="Q1143" s="59">
        <v>0</v>
      </c>
      <c r="R1143" s="59">
        <v>-7500000</v>
      </c>
      <c r="S1143" s="59">
        <v>7500000</v>
      </c>
      <c r="T1143" s="41"/>
      <c r="U1143" s="41"/>
      <c r="V1143" s="41"/>
      <c r="W1143" s="41"/>
      <c r="X1143" s="41"/>
      <c r="Y1143" s="41"/>
      <c r="Z1143" s="41"/>
      <c r="AA1143" s="41"/>
      <c r="AB1143" s="41"/>
      <c r="AC1143" s="41"/>
      <c r="AD1143" s="41"/>
      <c r="AE1143" s="59">
        <v>292.15715378623025</v>
      </c>
      <c r="AF1143" s="59">
        <v>0</v>
      </c>
      <c r="AG1143" s="59" t="s">
        <v>8</v>
      </c>
      <c r="AH1143" s="59" t="s">
        <v>1400</v>
      </c>
    </row>
    <row r="1144" spans="1:34" x14ac:dyDescent="0.35">
      <c r="A1144" s="58">
        <v>2025</v>
      </c>
      <c r="B1144" s="58">
        <v>4</v>
      </c>
      <c r="C1144">
        <v>4</v>
      </c>
      <c r="D1144" s="58" t="s">
        <v>664</v>
      </c>
      <c r="E1144" t="s">
        <v>326</v>
      </c>
      <c r="F1144" s="58" t="s">
        <v>1590</v>
      </c>
      <c r="G1144" t="s">
        <v>1590</v>
      </c>
      <c r="H1144" s="58" t="s">
        <v>1012</v>
      </c>
      <c r="I1144" t="s">
        <v>1012</v>
      </c>
      <c r="J1144" s="58" t="s">
        <v>1012</v>
      </c>
      <c r="K1144" t="s">
        <v>1429</v>
      </c>
      <c r="L1144" t="s">
        <v>20</v>
      </c>
      <c r="M1144" t="s">
        <v>1591</v>
      </c>
      <c r="N1144" s="59">
        <v>0</v>
      </c>
      <c r="O1144" s="59">
        <v>-1724434</v>
      </c>
      <c r="P1144" s="59">
        <v>0</v>
      </c>
      <c r="Q1144" s="59">
        <v>0</v>
      </c>
      <c r="R1144" s="59">
        <v>0</v>
      </c>
      <c r="S1144" s="59">
        <v>-1724434</v>
      </c>
      <c r="T1144" s="41"/>
      <c r="U1144" s="41"/>
      <c r="V1144" s="41"/>
      <c r="W1144" s="41"/>
      <c r="X1144" s="41"/>
      <c r="Y1144" s="41"/>
      <c r="Z1144" s="41"/>
      <c r="AA1144" s="41"/>
      <c r="AB1144" s="41"/>
      <c r="AC1144" s="41"/>
      <c r="AD1144" s="41"/>
      <c r="AE1144" s="59">
        <v>-67.17409724429389</v>
      </c>
      <c r="AF1144" s="59">
        <v>-67.17409724429389</v>
      </c>
      <c r="AG1144" s="59" t="s">
        <v>8</v>
      </c>
      <c r="AH1144" s="59" t="s">
        <v>1592</v>
      </c>
    </row>
    <row r="1145" spans="1:34" x14ac:dyDescent="0.35">
      <c r="A1145" s="58">
        <v>2025</v>
      </c>
      <c r="B1145" s="58">
        <v>4</v>
      </c>
      <c r="C1145">
        <v>4</v>
      </c>
      <c r="D1145" s="58" t="s">
        <v>1652</v>
      </c>
      <c r="E1145" t="s">
        <v>1280</v>
      </c>
      <c r="F1145" s="58" t="s">
        <v>1496</v>
      </c>
      <c r="G1145" t="s">
        <v>1497</v>
      </c>
      <c r="H1145" s="58" t="s">
        <v>1012</v>
      </c>
      <c r="I1145" t="s">
        <v>1012</v>
      </c>
      <c r="J1145" s="58" t="s">
        <v>1012</v>
      </c>
      <c r="K1145" t="s">
        <v>1429</v>
      </c>
      <c r="L1145" t="s">
        <v>20</v>
      </c>
      <c r="M1145" t="s">
        <v>1430</v>
      </c>
      <c r="N1145" s="59">
        <v>0</v>
      </c>
      <c r="O1145" s="59">
        <v>0</v>
      </c>
      <c r="P1145" s="59">
        <v>0</v>
      </c>
      <c r="Q1145" s="59">
        <v>0</v>
      </c>
      <c r="R1145" s="59">
        <v>0</v>
      </c>
      <c r="S1145" s="59">
        <v>0</v>
      </c>
      <c r="T1145" s="41"/>
      <c r="U1145" s="41"/>
      <c r="V1145" s="41"/>
      <c r="W1145" s="41"/>
      <c r="X1145" s="41"/>
      <c r="Y1145" s="41"/>
      <c r="Z1145" s="41"/>
      <c r="AA1145" s="41"/>
      <c r="AB1145" s="41"/>
      <c r="AC1145" s="41"/>
      <c r="AD1145" s="41"/>
      <c r="AE1145" s="59">
        <v>0</v>
      </c>
      <c r="AF1145" s="59">
        <v>0</v>
      </c>
      <c r="AG1145" s="59" t="s">
        <v>1280</v>
      </c>
      <c r="AH1145" s="59" t="s">
        <v>1329</v>
      </c>
    </row>
    <row r="1146" spans="1:34" x14ac:dyDescent="0.35">
      <c r="A1146" s="58">
        <v>2025</v>
      </c>
      <c r="B1146" s="58">
        <v>4</v>
      </c>
      <c r="C1146">
        <v>4</v>
      </c>
      <c r="D1146" s="58" t="s">
        <v>1617</v>
      </c>
      <c r="E1146" t="s">
        <v>1278</v>
      </c>
      <c r="F1146" s="58" t="s">
        <v>1496</v>
      </c>
      <c r="G1146" t="s">
        <v>1497</v>
      </c>
      <c r="H1146" s="58" t="s">
        <v>1012</v>
      </c>
      <c r="I1146" t="s">
        <v>1012</v>
      </c>
      <c r="J1146" s="58" t="s">
        <v>1012</v>
      </c>
      <c r="K1146" t="s">
        <v>1429</v>
      </c>
      <c r="L1146" t="s">
        <v>20</v>
      </c>
      <c r="M1146" t="s">
        <v>1430</v>
      </c>
      <c r="N1146" s="59">
        <v>0</v>
      </c>
      <c r="O1146" s="59">
        <v>0</v>
      </c>
      <c r="P1146" s="59">
        <v>0</v>
      </c>
      <c r="Q1146" s="59">
        <v>0</v>
      </c>
      <c r="R1146" s="59">
        <v>0</v>
      </c>
      <c r="S1146" s="59">
        <v>0</v>
      </c>
      <c r="T1146" s="41"/>
      <c r="U1146" s="41"/>
      <c r="V1146" s="41"/>
      <c r="W1146" s="41"/>
      <c r="X1146" s="41"/>
      <c r="Y1146" s="41"/>
      <c r="Z1146" s="41"/>
      <c r="AA1146" s="41"/>
      <c r="AB1146" s="41"/>
      <c r="AC1146" s="41"/>
      <c r="AD1146" s="41"/>
      <c r="AE1146" s="59">
        <v>0</v>
      </c>
      <c r="AF1146" s="59">
        <v>0</v>
      </c>
      <c r="AG1146" s="59" t="s">
        <v>1278</v>
      </c>
      <c r="AH1146" s="59" t="s">
        <v>1329</v>
      </c>
    </row>
    <row r="1147" spans="1:34" x14ac:dyDescent="0.35">
      <c r="A1147" s="58">
        <v>2025</v>
      </c>
      <c r="B1147" s="58">
        <v>4</v>
      </c>
      <c r="C1147">
        <v>4</v>
      </c>
      <c r="D1147" s="58" t="s">
        <v>1630</v>
      </c>
      <c r="E1147" t="s">
        <v>1272</v>
      </c>
      <c r="F1147" s="58" t="s">
        <v>1631</v>
      </c>
      <c r="G1147" t="s">
        <v>1632</v>
      </c>
      <c r="H1147" s="58" t="s">
        <v>1012</v>
      </c>
      <c r="I1147" t="s">
        <v>1012</v>
      </c>
      <c r="J1147" s="58" t="s">
        <v>1012</v>
      </c>
      <c r="K1147" t="s">
        <v>1429</v>
      </c>
      <c r="L1147" t="s">
        <v>20</v>
      </c>
      <c r="M1147" t="s">
        <v>1430</v>
      </c>
      <c r="N1147" s="59">
        <v>0</v>
      </c>
      <c r="O1147" s="59">
        <v>0</v>
      </c>
      <c r="P1147" s="59">
        <v>0</v>
      </c>
      <c r="Q1147" s="59">
        <v>0</v>
      </c>
      <c r="R1147" s="59">
        <v>0</v>
      </c>
      <c r="S1147" s="59">
        <v>0</v>
      </c>
      <c r="T1147" s="41"/>
      <c r="U1147" s="41"/>
      <c r="V1147" s="41"/>
      <c r="W1147" s="41"/>
      <c r="X1147" s="41"/>
      <c r="Y1147" s="41"/>
      <c r="Z1147" s="41"/>
      <c r="AA1147" s="41"/>
      <c r="AB1147" s="41"/>
      <c r="AC1147" s="41"/>
      <c r="AD1147" s="41"/>
      <c r="AE1147" s="59">
        <v>0</v>
      </c>
      <c r="AF1147" s="59">
        <v>0</v>
      </c>
      <c r="AG1147" s="59" t="s">
        <v>1272</v>
      </c>
      <c r="AH1147" s="59" t="s">
        <v>1271</v>
      </c>
    </row>
    <row r="1148" spans="1:34" x14ac:dyDescent="0.35">
      <c r="A1148" s="58">
        <v>2025</v>
      </c>
      <c r="B1148" s="58">
        <v>4</v>
      </c>
      <c r="C1148">
        <v>4</v>
      </c>
      <c r="D1148" s="58" t="s">
        <v>1618</v>
      </c>
      <c r="E1148" t="s">
        <v>1343</v>
      </c>
      <c r="F1148" s="58" t="s">
        <v>1496</v>
      </c>
      <c r="G1148" t="s">
        <v>1497</v>
      </c>
      <c r="H1148" s="58" t="s">
        <v>1012</v>
      </c>
      <c r="I1148" t="s">
        <v>1012</v>
      </c>
      <c r="J1148" s="58" t="s">
        <v>1012</v>
      </c>
      <c r="K1148" t="s">
        <v>1429</v>
      </c>
      <c r="L1148" t="s">
        <v>20</v>
      </c>
      <c r="M1148" t="s">
        <v>1430</v>
      </c>
      <c r="N1148" s="59">
        <v>0</v>
      </c>
      <c r="O1148" s="59">
        <v>0</v>
      </c>
      <c r="P1148" s="59">
        <v>0</v>
      </c>
      <c r="Q1148" s="59">
        <v>0</v>
      </c>
      <c r="R1148" s="59">
        <v>0</v>
      </c>
      <c r="S1148" s="59">
        <v>0</v>
      </c>
      <c r="T1148" s="41"/>
      <c r="U1148" s="41"/>
      <c r="V1148" s="41"/>
      <c r="W1148" s="41"/>
      <c r="X1148" s="41"/>
      <c r="Y1148" s="41"/>
      <c r="Z1148" s="41"/>
      <c r="AA1148" s="41"/>
      <c r="AB1148" s="41"/>
      <c r="AC1148" s="41"/>
      <c r="AD1148" s="41"/>
      <c r="AE1148" s="59">
        <v>0</v>
      </c>
      <c r="AF1148" s="59">
        <v>0</v>
      </c>
      <c r="AG1148" s="59" t="s">
        <v>1343</v>
      </c>
      <c r="AH1148" s="59" t="s">
        <v>1329</v>
      </c>
    </row>
    <row r="1149" spans="1:34" x14ac:dyDescent="0.35">
      <c r="A1149" s="58">
        <v>2025</v>
      </c>
      <c r="B1149" s="58">
        <v>4</v>
      </c>
      <c r="C1149">
        <v>4</v>
      </c>
      <c r="D1149" s="58" t="s">
        <v>602</v>
      </c>
      <c r="E1149" t="s">
        <v>122</v>
      </c>
      <c r="F1149" s="58" t="s">
        <v>171</v>
      </c>
      <c r="G1149" t="s">
        <v>731</v>
      </c>
      <c r="H1149" s="58" t="s">
        <v>4</v>
      </c>
      <c r="I1149" t="s">
        <v>4</v>
      </c>
      <c r="J1149" s="58" t="s">
        <v>4</v>
      </c>
      <c r="K1149" t="s">
        <v>1476</v>
      </c>
      <c r="L1149" t="s">
        <v>1477</v>
      </c>
      <c r="M1149" t="s">
        <v>1430</v>
      </c>
      <c r="N1149" s="59">
        <v>44000</v>
      </c>
      <c r="O1149" s="59">
        <v>1430034672</v>
      </c>
      <c r="P1149" s="59">
        <v>3104125.1639344264</v>
      </c>
      <c r="Q1149" s="59">
        <v>0</v>
      </c>
      <c r="R1149" s="59">
        <v>19850444</v>
      </c>
      <c r="S1149" s="59">
        <v>1407080102.8360655</v>
      </c>
      <c r="T1149" s="41"/>
      <c r="U1149" s="41"/>
      <c r="V1149" s="41"/>
      <c r="W1149" s="41"/>
      <c r="X1149" s="41"/>
      <c r="Y1149" s="41"/>
      <c r="Z1149" s="41"/>
      <c r="AA1149" s="41"/>
      <c r="AB1149" s="41"/>
      <c r="AC1149" s="41"/>
      <c r="AD1149" s="41"/>
      <c r="AE1149" s="59">
        <v>54437.60892982845</v>
      </c>
      <c r="AF1149" s="59">
        <v>55325.599999999999</v>
      </c>
      <c r="AG1149" s="59" t="s">
        <v>122</v>
      </c>
      <c r="AH1149" s="59" t="s">
        <v>1166</v>
      </c>
    </row>
    <row r="1150" spans="1:34" x14ac:dyDescent="0.35">
      <c r="A1150" s="58">
        <v>2025</v>
      </c>
      <c r="B1150" s="58">
        <v>4</v>
      </c>
      <c r="C1150">
        <v>4</v>
      </c>
      <c r="D1150" s="58" t="s">
        <v>587</v>
      </c>
      <c r="E1150" t="s">
        <v>6</v>
      </c>
      <c r="F1150" s="58" t="s">
        <v>171</v>
      </c>
      <c r="G1150" t="s">
        <v>731</v>
      </c>
      <c r="H1150" s="58" t="s">
        <v>4</v>
      </c>
      <c r="I1150" t="s">
        <v>4</v>
      </c>
      <c r="J1150" s="58" t="s">
        <v>4</v>
      </c>
      <c r="K1150" t="s">
        <v>1476</v>
      </c>
      <c r="L1150" t="s">
        <v>1509</v>
      </c>
      <c r="M1150" t="s">
        <v>1430</v>
      </c>
      <c r="N1150" s="59">
        <v>110000</v>
      </c>
      <c r="O1150" s="59">
        <v>3461430720</v>
      </c>
      <c r="P1150" s="59">
        <v>8250057.3140495867</v>
      </c>
      <c r="Q1150" s="59">
        <v>51921460.799999997</v>
      </c>
      <c r="R1150" s="59">
        <v>46721699</v>
      </c>
      <c r="S1150" s="59">
        <v>3354537502.885951</v>
      </c>
      <c r="T1150" s="41"/>
      <c r="U1150" s="41"/>
      <c r="V1150" s="41"/>
      <c r="W1150" s="41"/>
      <c r="X1150" s="41"/>
      <c r="Y1150" s="41"/>
      <c r="Z1150" s="41"/>
      <c r="AA1150" s="41"/>
      <c r="AB1150" s="41"/>
      <c r="AC1150" s="41"/>
      <c r="AD1150" s="41"/>
      <c r="AE1150" s="59">
        <v>132068.40562543113</v>
      </c>
      <c r="AF1150" s="59">
        <v>136276.79999999999</v>
      </c>
      <c r="AG1150" s="59" t="s">
        <v>6</v>
      </c>
      <c r="AH1150" s="59" t="s">
        <v>1166</v>
      </c>
    </row>
    <row r="1151" spans="1:34" x14ac:dyDescent="0.35">
      <c r="A1151" s="58">
        <v>2025</v>
      </c>
      <c r="B1151" s="58">
        <v>4</v>
      </c>
      <c r="C1151">
        <v>4</v>
      </c>
      <c r="D1151" s="58" t="s">
        <v>587</v>
      </c>
      <c r="E1151" t="s">
        <v>6</v>
      </c>
      <c r="F1151" s="58" t="s">
        <v>171</v>
      </c>
      <c r="G1151" t="s">
        <v>731</v>
      </c>
      <c r="H1151" s="58" t="s">
        <v>4</v>
      </c>
      <c r="I1151" t="s">
        <v>4</v>
      </c>
      <c r="J1151" s="58" t="s">
        <v>4</v>
      </c>
      <c r="K1151" t="s">
        <v>1476</v>
      </c>
      <c r="L1151" t="s">
        <v>1477</v>
      </c>
      <c r="M1151" t="s">
        <v>1430</v>
      </c>
      <c r="N1151" s="59">
        <v>1298000</v>
      </c>
      <c r="O1151" s="59">
        <v>40761604853</v>
      </c>
      <c r="P1151" s="59">
        <v>97350676.305785224</v>
      </c>
      <c r="Q1151" s="59">
        <v>611424072.79499972</v>
      </c>
      <c r="R1151" s="59">
        <v>484280343</v>
      </c>
      <c r="S1151" s="59">
        <v>39568549760.899216</v>
      </c>
      <c r="T1151" s="41"/>
      <c r="U1151" s="41"/>
      <c r="V1151" s="41"/>
      <c r="W1151" s="41"/>
      <c r="X1151" s="41"/>
      <c r="Y1151" s="41"/>
      <c r="Z1151" s="41"/>
      <c r="AA1151" s="41"/>
      <c r="AB1151" s="41"/>
      <c r="AC1151" s="41"/>
      <c r="AD1151" s="41"/>
      <c r="AE1151" s="59">
        <v>1541921.9881926917</v>
      </c>
      <c r="AF1151" s="59">
        <v>1588420.2401628764</v>
      </c>
      <c r="AG1151" s="59" t="s">
        <v>6</v>
      </c>
      <c r="AH1151" s="59" t="s">
        <v>1166</v>
      </c>
    </row>
    <row r="1152" spans="1:34" x14ac:dyDescent="0.35">
      <c r="A1152" s="58">
        <v>2025</v>
      </c>
      <c r="B1152" s="58">
        <v>4</v>
      </c>
      <c r="C1152">
        <v>4</v>
      </c>
      <c r="D1152" s="58" t="s">
        <v>587</v>
      </c>
      <c r="E1152" t="s">
        <v>6</v>
      </c>
      <c r="F1152" s="58" t="s">
        <v>1152</v>
      </c>
      <c r="G1152" t="s">
        <v>1153</v>
      </c>
      <c r="H1152" s="58" t="s">
        <v>1012</v>
      </c>
      <c r="I1152" t="s">
        <v>1012</v>
      </c>
      <c r="J1152" s="58" t="s">
        <v>1399</v>
      </c>
      <c r="K1152" t="s">
        <v>1429</v>
      </c>
      <c r="L1152" t="s">
        <v>20</v>
      </c>
      <c r="M1152" t="s">
        <v>1430</v>
      </c>
      <c r="N1152" s="59">
        <v>0</v>
      </c>
      <c r="O1152" s="59">
        <v>0</v>
      </c>
      <c r="P1152" s="59">
        <v>0</v>
      </c>
      <c r="Q1152" s="59">
        <v>0</v>
      </c>
      <c r="R1152" s="59">
        <v>40863691.176470578</v>
      </c>
      <c r="S1152" s="59">
        <v>-40863691.176470578</v>
      </c>
      <c r="T1152" s="41"/>
      <c r="U1152" s="41"/>
      <c r="V1152" s="41"/>
      <c r="W1152" s="41"/>
      <c r="X1152" s="41"/>
      <c r="Y1152" s="41"/>
      <c r="Z1152" s="41"/>
      <c r="AA1152" s="41"/>
      <c r="AB1152" s="41"/>
      <c r="AC1152" s="41"/>
      <c r="AD1152" s="41"/>
      <c r="AE1152" s="59">
        <v>-1591.8159609756196</v>
      </c>
      <c r="AF1152" s="59">
        <v>0</v>
      </c>
      <c r="AG1152" s="59" t="s">
        <v>6</v>
      </c>
      <c r="AH1152" s="59" t="s">
        <v>1400</v>
      </c>
    </row>
    <row r="1153" spans="1:34" x14ac:dyDescent="0.35">
      <c r="A1153" s="58">
        <v>2025</v>
      </c>
      <c r="B1153" s="58">
        <v>4</v>
      </c>
      <c r="C1153">
        <v>4</v>
      </c>
      <c r="D1153" s="58" t="s">
        <v>643</v>
      </c>
      <c r="E1153" t="s">
        <v>138</v>
      </c>
      <c r="F1153" s="58" t="s">
        <v>1152</v>
      </c>
      <c r="G1153" t="s">
        <v>1153</v>
      </c>
      <c r="H1153" s="58" t="s">
        <v>1012</v>
      </c>
      <c r="I1153" t="s">
        <v>1012</v>
      </c>
      <c r="J1153" s="58" t="s">
        <v>1399</v>
      </c>
      <c r="K1153" t="s">
        <v>1429</v>
      </c>
      <c r="L1153" t="s">
        <v>20</v>
      </c>
      <c r="M1153" t="s">
        <v>1430</v>
      </c>
      <c r="N1153" s="59">
        <v>0</v>
      </c>
      <c r="O1153" s="59">
        <v>0</v>
      </c>
      <c r="P1153" s="59">
        <v>0</v>
      </c>
      <c r="Q1153" s="59">
        <v>0</v>
      </c>
      <c r="R1153" s="59">
        <v>-21358587</v>
      </c>
      <c r="S1153" s="59">
        <v>21358587</v>
      </c>
      <c r="T1153" s="41"/>
      <c r="U1153" s="41"/>
      <c r="V1153" s="41"/>
      <c r="W1153" s="41"/>
      <c r="X1153" s="41"/>
      <c r="Y1153" s="41"/>
      <c r="Z1153" s="41"/>
      <c r="AA1153" s="41"/>
      <c r="AB1153" s="41"/>
      <c r="AC1153" s="41"/>
      <c r="AD1153" s="41"/>
      <c r="AE1153" s="59">
        <v>832.00853157541042</v>
      </c>
      <c r="AF1153" s="59">
        <v>0</v>
      </c>
      <c r="AG1153" s="59" t="s">
        <v>138</v>
      </c>
      <c r="AH1153" s="59" t="s">
        <v>1400</v>
      </c>
    </row>
    <row r="1154" spans="1:34" x14ac:dyDescent="0.35">
      <c r="A1154" s="58">
        <v>2025</v>
      </c>
      <c r="B1154" s="58">
        <v>4</v>
      </c>
      <c r="C1154">
        <v>4</v>
      </c>
      <c r="D1154" s="58" t="s">
        <v>629</v>
      </c>
      <c r="E1154" t="s">
        <v>60</v>
      </c>
      <c r="F1154" s="58" t="s">
        <v>1152</v>
      </c>
      <c r="G1154" t="s">
        <v>1153</v>
      </c>
      <c r="H1154" s="58" t="s">
        <v>1012</v>
      </c>
      <c r="I1154" t="s">
        <v>1012</v>
      </c>
      <c r="J1154" s="58" t="s">
        <v>1399</v>
      </c>
      <c r="K1154" t="s">
        <v>1429</v>
      </c>
      <c r="L1154" t="s">
        <v>20</v>
      </c>
      <c r="M1154" t="s">
        <v>1430</v>
      </c>
      <c r="N1154" s="59">
        <v>0</v>
      </c>
      <c r="O1154" s="59">
        <v>0</v>
      </c>
      <c r="P1154" s="59">
        <v>0</v>
      </c>
      <c r="Q1154" s="59">
        <v>0</v>
      </c>
      <c r="R1154" s="59">
        <v>1984674</v>
      </c>
      <c r="S1154" s="59">
        <v>-1984674</v>
      </c>
      <c r="T1154" s="41"/>
      <c r="U1154" s="41"/>
      <c r="V1154" s="41"/>
      <c r="W1154" s="41"/>
      <c r="X1154" s="41"/>
      <c r="Y1154" s="41"/>
      <c r="Z1154" s="41"/>
      <c r="AA1154" s="41"/>
      <c r="AB1154" s="41"/>
      <c r="AC1154" s="41"/>
      <c r="AD1154" s="41"/>
      <c r="AE1154" s="59">
        <v>-77.311560937804359</v>
      </c>
      <c r="AF1154" s="59">
        <v>0</v>
      </c>
      <c r="AG1154" s="59" t="s">
        <v>60</v>
      </c>
      <c r="AH1154" s="59" t="s">
        <v>1400</v>
      </c>
    </row>
    <row r="1155" spans="1:34" x14ac:dyDescent="0.35">
      <c r="A1155" s="58">
        <v>2025</v>
      </c>
      <c r="B1155" s="58">
        <v>4</v>
      </c>
      <c r="C1155">
        <v>4</v>
      </c>
      <c r="D1155" s="58" t="s">
        <v>641</v>
      </c>
      <c r="E1155" t="s">
        <v>125</v>
      </c>
      <c r="F1155" s="58" t="s">
        <v>1152</v>
      </c>
      <c r="G1155" t="s">
        <v>1153</v>
      </c>
      <c r="H1155" s="58" t="s">
        <v>1012</v>
      </c>
      <c r="I1155" t="s">
        <v>1012</v>
      </c>
      <c r="J1155" s="58" t="s">
        <v>1399</v>
      </c>
      <c r="K1155" t="s">
        <v>1429</v>
      </c>
      <c r="L1155" t="s">
        <v>20</v>
      </c>
      <c r="M1155" t="s">
        <v>1430</v>
      </c>
      <c r="N1155" s="59">
        <v>0</v>
      </c>
      <c r="O1155" s="59">
        <v>0</v>
      </c>
      <c r="P1155" s="59">
        <v>0</v>
      </c>
      <c r="Q1155" s="59">
        <v>0</v>
      </c>
      <c r="R1155" s="59">
        <v>667223.33333333337</v>
      </c>
      <c r="S1155" s="59">
        <v>-667223.33333333337</v>
      </c>
      <c r="T1155" s="41"/>
      <c r="U1155" s="41"/>
      <c r="V1155" s="41"/>
      <c r="W1155" s="41"/>
      <c r="X1155" s="41"/>
      <c r="Y1155" s="41"/>
      <c r="Z1155" s="41"/>
      <c r="AA1155" s="41"/>
      <c r="AB1155" s="41"/>
      <c r="AC1155" s="41"/>
      <c r="AD1155" s="41"/>
      <c r="AE1155" s="59">
        <v>-25.99120933419038</v>
      </c>
      <c r="AF1155" s="59">
        <v>0</v>
      </c>
      <c r="AG1155" s="59" t="s">
        <v>125</v>
      </c>
      <c r="AH1155" s="59" t="s">
        <v>1400</v>
      </c>
    </row>
    <row r="1156" spans="1:34" x14ac:dyDescent="0.35">
      <c r="A1156" s="58">
        <v>2025</v>
      </c>
      <c r="B1156" s="58">
        <v>4</v>
      </c>
      <c r="C1156">
        <v>4</v>
      </c>
      <c r="D1156" s="58" t="s">
        <v>588</v>
      </c>
      <c r="E1156" t="s">
        <v>9</v>
      </c>
      <c r="F1156" s="58" t="s">
        <v>172</v>
      </c>
      <c r="G1156" t="s">
        <v>734</v>
      </c>
      <c r="H1156" s="58" t="s">
        <v>4</v>
      </c>
      <c r="I1156" t="s">
        <v>4</v>
      </c>
      <c r="J1156" s="58" t="s">
        <v>4</v>
      </c>
      <c r="K1156" t="s">
        <v>1476</v>
      </c>
      <c r="L1156" t="s">
        <v>1501</v>
      </c>
      <c r="M1156" t="s">
        <v>1430</v>
      </c>
      <c r="N1156" s="59">
        <v>880000</v>
      </c>
      <c r="O1156" s="59">
        <v>28283750000</v>
      </c>
      <c r="P1156" s="59">
        <v>66000458.512396738</v>
      </c>
      <c r="Q1156" s="59">
        <v>0</v>
      </c>
      <c r="R1156" s="59">
        <v>371406170.9999997</v>
      </c>
      <c r="S1156" s="59">
        <v>27846343370.487629</v>
      </c>
      <c r="T1156" s="41"/>
      <c r="U1156" s="41"/>
      <c r="V1156" s="41"/>
      <c r="W1156" s="41"/>
      <c r="X1156" s="41"/>
      <c r="Y1156" s="41"/>
      <c r="Z1156" s="41"/>
      <c r="AA1156" s="41"/>
      <c r="AB1156" s="41"/>
      <c r="AC1156" s="41"/>
      <c r="AD1156" s="41"/>
      <c r="AE1156" s="59">
        <v>1082987.4561628797</v>
      </c>
      <c r="AF1156" s="59">
        <v>1100000</v>
      </c>
      <c r="AG1156" s="59" t="s">
        <v>9</v>
      </c>
      <c r="AH1156" s="59" t="s">
        <v>1175</v>
      </c>
    </row>
    <row r="1157" spans="1:34" x14ac:dyDescent="0.35">
      <c r="A1157" s="58">
        <v>2025</v>
      </c>
      <c r="B1157" s="58">
        <v>4</v>
      </c>
      <c r="C1157">
        <v>4</v>
      </c>
      <c r="D1157" s="58" t="s">
        <v>588</v>
      </c>
      <c r="E1157" t="s">
        <v>9</v>
      </c>
      <c r="F1157" s="58" t="s">
        <v>1152</v>
      </c>
      <c r="G1157" t="s">
        <v>1153</v>
      </c>
      <c r="H1157" s="58" t="s">
        <v>1012</v>
      </c>
      <c r="I1157" t="s">
        <v>1012</v>
      </c>
      <c r="J1157" s="58" t="s">
        <v>1399</v>
      </c>
      <c r="K1157" t="s">
        <v>1429</v>
      </c>
      <c r="L1157" t="s">
        <v>20</v>
      </c>
      <c r="M1157" t="s">
        <v>1430</v>
      </c>
      <c r="N1157" s="59">
        <v>0</v>
      </c>
      <c r="O1157" s="59">
        <v>0</v>
      </c>
      <c r="P1157" s="59">
        <v>0</v>
      </c>
      <c r="Q1157" s="59">
        <v>0</v>
      </c>
      <c r="R1157" s="59">
        <v>491808.99999999866</v>
      </c>
      <c r="S1157" s="59">
        <v>-491808.99999999866</v>
      </c>
      <c r="T1157" s="41"/>
      <c r="U1157" s="41"/>
      <c r="V1157" s="41"/>
      <c r="W1157" s="41"/>
      <c r="X1157" s="41"/>
      <c r="Y1157" s="41"/>
      <c r="Z1157" s="41"/>
      <c r="AA1157" s="41"/>
      <c r="AB1157" s="41"/>
      <c r="AC1157" s="41"/>
      <c r="AD1157" s="41"/>
      <c r="AE1157" s="59">
        <v>-19.158069019526913</v>
      </c>
      <c r="AF1157" s="59">
        <v>0</v>
      </c>
      <c r="AG1157" s="59" t="s">
        <v>9</v>
      </c>
      <c r="AH1157" s="59" t="s">
        <v>1400</v>
      </c>
    </row>
    <row r="1158" spans="1:34" x14ac:dyDescent="0.35">
      <c r="A1158" s="58">
        <v>2025</v>
      </c>
      <c r="B1158" s="58">
        <v>4</v>
      </c>
      <c r="C1158">
        <v>4</v>
      </c>
      <c r="D1158" s="58" t="s">
        <v>648</v>
      </c>
      <c r="E1158" t="s">
        <v>140</v>
      </c>
      <c r="F1158" s="58" t="s">
        <v>1152</v>
      </c>
      <c r="G1158" t="s">
        <v>1153</v>
      </c>
      <c r="H1158" s="58" t="s">
        <v>1012</v>
      </c>
      <c r="I1158" t="s">
        <v>1012</v>
      </c>
      <c r="J1158" s="58" t="s">
        <v>1399</v>
      </c>
      <c r="K1158" t="s">
        <v>1429</v>
      </c>
      <c r="L1158" t="s">
        <v>20</v>
      </c>
      <c r="M1158" t="s">
        <v>1430</v>
      </c>
      <c r="N1158" s="59">
        <v>0</v>
      </c>
      <c r="O1158" s="59">
        <v>0</v>
      </c>
      <c r="P1158" s="59">
        <v>0</v>
      </c>
      <c r="Q1158" s="59">
        <v>0</v>
      </c>
      <c r="R1158" s="59">
        <v>582543</v>
      </c>
      <c r="S1158" s="59">
        <v>-582543</v>
      </c>
      <c r="T1158" s="41"/>
      <c r="U1158" s="41"/>
      <c r="V1158" s="41"/>
      <c r="W1158" s="41"/>
      <c r="X1158" s="41"/>
      <c r="Y1158" s="41"/>
      <c r="Z1158" s="41"/>
      <c r="AA1158" s="41"/>
      <c r="AB1158" s="41"/>
      <c r="AC1158" s="41"/>
      <c r="AD1158" s="41"/>
      <c r="AE1158" s="59">
        <v>-22.692547311745589</v>
      </c>
      <c r="AF1158" s="59">
        <v>0</v>
      </c>
      <c r="AG1158" s="59" t="s">
        <v>140</v>
      </c>
      <c r="AH1158" s="59" t="s">
        <v>1400</v>
      </c>
    </row>
    <row r="1159" spans="1:34" x14ac:dyDescent="0.35">
      <c r="A1159" s="58">
        <v>2025</v>
      </c>
      <c r="B1159" s="58">
        <v>4</v>
      </c>
      <c r="C1159">
        <v>4</v>
      </c>
      <c r="D1159" s="58" t="s">
        <v>623</v>
      </c>
      <c r="E1159" t="s">
        <v>137</v>
      </c>
      <c r="F1159" s="58" t="s">
        <v>172</v>
      </c>
      <c r="G1159" t="s">
        <v>734</v>
      </c>
      <c r="H1159" s="58" t="s">
        <v>4</v>
      </c>
      <c r="I1159" t="s">
        <v>4</v>
      </c>
      <c r="J1159" s="58" t="s">
        <v>4</v>
      </c>
      <c r="K1159" t="s">
        <v>1476</v>
      </c>
      <c r="L1159" t="s">
        <v>1633</v>
      </c>
      <c r="M1159" t="s">
        <v>1430</v>
      </c>
      <c r="N1159" s="59">
        <v>22000</v>
      </c>
      <c r="O1159" s="59">
        <v>720852000</v>
      </c>
      <c r="P1159" s="59">
        <v>2066681.4628099173</v>
      </c>
      <c r="Q1159" s="59">
        <v>0</v>
      </c>
      <c r="R1159" s="59">
        <v>13349908</v>
      </c>
      <c r="S1159" s="59">
        <v>705435410.53719008</v>
      </c>
      <c r="T1159" s="41"/>
      <c r="U1159" s="41"/>
      <c r="V1159" s="41"/>
      <c r="W1159" s="41"/>
      <c r="X1159" s="41"/>
      <c r="Y1159" s="41"/>
      <c r="Z1159" s="41"/>
      <c r="AA1159" s="41"/>
      <c r="AB1159" s="41"/>
      <c r="AC1159" s="41"/>
      <c r="AD1159" s="41"/>
      <c r="AE1159" s="59">
        <v>27773.047658944492</v>
      </c>
      <c r="AF1159" s="59">
        <v>28380</v>
      </c>
      <c r="AG1159" s="59" t="s">
        <v>137</v>
      </c>
      <c r="AH1159" s="59" t="s">
        <v>1175</v>
      </c>
    </row>
    <row r="1160" spans="1:34" x14ac:dyDescent="0.35">
      <c r="A1160" s="58">
        <v>2025</v>
      </c>
      <c r="B1160" s="58">
        <v>4</v>
      </c>
      <c r="C1160">
        <v>4</v>
      </c>
      <c r="D1160" s="58" t="s">
        <v>623</v>
      </c>
      <c r="E1160" t="s">
        <v>137</v>
      </c>
      <c r="F1160" s="58" t="s">
        <v>1152</v>
      </c>
      <c r="G1160" t="s">
        <v>1153</v>
      </c>
      <c r="H1160" s="58" t="s">
        <v>1012</v>
      </c>
      <c r="I1160" t="s">
        <v>1012</v>
      </c>
      <c r="J1160" s="58" t="s">
        <v>1399</v>
      </c>
      <c r="K1160" t="s">
        <v>1429</v>
      </c>
      <c r="L1160" t="s">
        <v>20</v>
      </c>
      <c r="M1160" t="s">
        <v>1430</v>
      </c>
      <c r="N1160" s="59">
        <v>0</v>
      </c>
      <c r="O1160" s="59">
        <v>0</v>
      </c>
      <c r="P1160" s="59">
        <v>0</v>
      </c>
      <c r="Q1160" s="59">
        <v>0</v>
      </c>
      <c r="R1160" s="59">
        <v>-12120832</v>
      </c>
      <c r="S1160" s="59">
        <v>12120832</v>
      </c>
      <c r="T1160" s="41"/>
      <c r="U1160" s="41"/>
      <c r="V1160" s="41"/>
      <c r="W1160" s="41"/>
      <c r="X1160" s="41"/>
      <c r="Y1160" s="41"/>
      <c r="Z1160" s="41"/>
      <c r="AA1160" s="41"/>
      <c r="AB1160" s="41"/>
      <c r="AC1160" s="41"/>
      <c r="AD1160" s="41"/>
      <c r="AE1160" s="59">
        <v>472.15837048547479</v>
      </c>
      <c r="AF1160" s="59">
        <v>0</v>
      </c>
      <c r="AG1160" s="59" t="s">
        <v>137</v>
      </c>
      <c r="AH1160" s="59" t="s">
        <v>1400</v>
      </c>
    </row>
    <row r="1161" spans="1:34" x14ac:dyDescent="0.35">
      <c r="A1161" s="58">
        <v>2025</v>
      </c>
      <c r="B1161" s="58">
        <v>4</v>
      </c>
      <c r="C1161">
        <v>4</v>
      </c>
      <c r="D1161" s="58" t="s">
        <v>616</v>
      </c>
      <c r="E1161" t="s">
        <v>128</v>
      </c>
      <c r="F1161" s="58" t="s">
        <v>174</v>
      </c>
      <c r="G1161" t="s">
        <v>740</v>
      </c>
      <c r="H1161" s="58" t="s">
        <v>4</v>
      </c>
      <c r="I1161" t="s">
        <v>4</v>
      </c>
      <c r="J1161" s="58" t="s">
        <v>4</v>
      </c>
      <c r="K1161" t="s">
        <v>1476</v>
      </c>
      <c r="L1161" t="s">
        <v>1510</v>
      </c>
      <c r="M1161" t="s">
        <v>1430</v>
      </c>
      <c r="N1161" s="59">
        <v>44000</v>
      </c>
      <c r="O1161" s="59">
        <v>1290805999.9999998</v>
      </c>
      <c r="P1161" s="59">
        <v>3300022.9256198346</v>
      </c>
      <c r="Q1161" s="59">
        <v>0</v>
      </c>
      <c r="R1161" s="59">
        <v>22382117</v>
      </c>
      <c r="S1161" s="59">
        <v>1265123860.0743799</v>
      </c>
      <c r="T1161" s="41"/>
      <c r="U1161" s="41"/>
      <c r="V1161" s="41"/>
      <c r="W1161" s="41"/>
      <c r="X1161" s="41"/>
      <c r="Y1161" s="41"/>
      <c r="Z1161" s="41"/>
      <c r="AA1161" s="41"/>
      <c r="AB1161" s="41"/>
      <c r="AC1161" s="41"/>
      <c r="AD1161" s="41"/>
      <c r="AE1161" s="59">
        <v>49593.25206093218</v>
      </c>
      <c r="AF1161" s="59">
        <v>50599.999999999993</v>
      </c>
      <c r="AG1161" s="59" t="s">
        <v>128</v>
      </c>
      <c r="AH1161" s="59" t="s">
        <v>1185</v>
      </c>
    </row>
    <row r="1162" spans="1:34" x14ac:dyDescent="0.35">
      <c r="A1162" s="58">
        <v>2025</v>
      </c>
      <c r="B1162" s="58">
        <v>4</v>
      </c>
      <c r="C1162">
        <v>4</v>
      </c>
      <c r="D1162" s="58" t="s">
        <v>616</v>
      </c>
      <c r="E1162" t="s">
        <v>128</v>
      </c>
      <c r="F1162" s="58" t="s">
        <v>1152</v>
      </c>
      <c r="G1162" t="s">
        <v>1153</v>
      </c>
      <c r="H1162" s="58" t="s">
        <v>1012</v>
      </c>
      <c r="I1162" t="s">
        <v>1012</v>
      </c>
      <c r="J1162" s="58" t="s">
        <v>1399</v>
      </c>
      <c r="K1162" t="s">
        <v>1429</v>
      </c>
      <c r="L1162" t="s">
        <v>20</v>
      </c>
      <c r="M1162" t="s">
        <v>1430</v>
      </c>
      <c r="N1162" s="59">
        <v>0</v>
      </c>
      <c r="O1162" s="59">
        <v>0</v>
      </c>
      <c r="P1162" s="59">
        <v>0</v>
      </c>
      <c r="Q1162" s="59">
        <v>0</v>
      </c>
      <c r="R1162" s="59">
        <v>-230278.33333333326</v>
      </c>
      <c r="S1162" s="59">
        <v>230278.33333333326</v>
      </c>
      <c r="T1162" s="41"/>
      <c r="U1162" s="41"/>
      <c r="V1162" s="41"/>
      <c r="W1162" s="41"/>
      <c r="X1162" s="41"/>
      <c r="Y1162" s="41"/>
      <c r="Z1162" s="41"/>
      <c r="AA1162" s="41"/>
      <c r="AB1162" s="41"/>
      <c r="AC1162" s="41"/>
      <c r="AD1162" s="41"/>
      <c r="AE1162" s="59">
        <v>8.9703283260404589</v>
      </c>
      <c r="AF1162" s="59">
        <v>0</v>
      </c>
      <c r="AG1162" s="59" t="s">
        <v>128</v>
      </c>
      <c r="AH1162" s="59" t="s">
        <v>1400</v>
      </c>
    </row>
    <row r="1163" spans="1:34" x14ac:dyDescent="0.35">
      <c r="A1163" s="58">
        <v>2025</v>
      </c>
      <c r="B1163" s="58">
        <v>4</v>
      </c>
      <c r="C1163">
        <v>4</v>
      </c>
      <c r="D1163" s="58" t="s">
        <v>591</v>
      </c>
      <c r="E1163" t="s">
        <v>121</v>
      </c>
      <c r="F1163" s="58" t="s">
        <v>1152</v>
      </c>
      <c r="G1163" t="s">
        <v>1153</v>
      </c>
      <c r="H1163" s="58" t="s">
        <v>1012</v>
      </c>
      <c r="I1163" t="s">
        <v>1012</v>
      </c>
      <c r="J1163" s="58" t="s">
        <v>1399</v>
      </c>
      <c r="K1163" t="s">
        <v>1429</v>
      </c>
      <c r="L1163" t="s">
        <v>20</v>
      </c>
      <c r="M1163" t="s">
        <v>1430</v>
      </c>
      <c r="N1163" s="59">
        <v>0</v>
      </c>
      <c r="O1163" s="59">
        <v>0</v>
      </c>
      <c r="P1163" s="59">
        <v>0</v>
      </c>
      <c r="Q1163" s="59">
        <v>0</v>
      </c>
      <c r="R1163" s="59">
        <v>3518449</v>
      </c>
      <c r="S1163" s="59">
        <v>-3518449</v>
      </c>
      <c r="T1163" s="41"/>
      <c r="U1163" s="41"/>
      <c r="V1163" s="41"/>
      <c r="W1163" s="41"/>
      <c r="X1163" s="41"/>
      <c r="Y1163" s="41"/>
      <c r="Z1163" s="41"/>
      <c r="AA1163" s="41"/>
      <c r="AB1163" s="41"/>
      <c r="AC1163" s="41"/>
      <c r="AD1163" s="41"/>
      <c r="AE1163" s="59">
        <v>-137.05867274426771</v>
      </c>
      <c r="AF1163" s="59">
        <v>0</v>
      </c>
      <c r="AG1163" s="59" t="s">
        <v>121</v>
      </c>
      <c r="AH1163" s="59" t="s">
        <v>1400</v>
      </c>
    </row>
    <row r="1164" spans="1:34" x14ac:dyDescent="0.35">
      <c r="A1164" s="58">
        <v>2025</v>
      </c>
      <c r="B1164" s="58">
        <v>4</v>
      </c>
      <c r="C1164">
        <v>4</v>
      </c>
      <c r="D1164" s="58" t="s">
        <v>613</v>
      </c>
      <c r="E1164" t="s">
        <v>132</v>
      </c>
      <c r="F1164" s="58" t="s">
        <v>172</v>
      </c>
      <c r="G1164" t="s">
        <v>734</v>
      </c>
      <c r="H1164" s="58" t="s">
        <v>4</v>
      </c>
      <c r="I1164" t="s">
        <v>4</v>
      </c>
      <c r="J1164" s="58" t="s">
        <v>4</v>
      </c>
      <c r="K1164" t="s">
        <v>1476</v>
      </c>
      <c r="L1164" t="s">
        <v>1479</v>
      </c>
      <c r="M1164" t="s">
        <v>1430</v>
      </c>
      <c r="N1164" s="59">
        <v>88000</v>
      </c>
      <c r="O1164" s="59">
        <v>2970765600.0000005</v>
      </c>
      <c r="P1164" s="59">
        <v>6600045.8512396691</v>
      </c>
      <c r="Q1164" s="59">
        <v>0</v>
      </c>
      <c r="R1164" s="59">
        <v>41311392</v>
      </c>
      <c r="S1164" s="59">
        <v>2922854162.1487608</v>
      </c>
      <c r="T1164" s="41"/>
      <c r="U1164" s="41"/>
      <c r="V1164" s="41"/>
      <c r="W1164" s="41"/>
      <c r="X1164" s="41"/>
      <c r="Y1164" s="41"/>
      <c r="Z1164" s="41"/>
      <c r="AA1164" s="41"/>
      <c r="AB1164" s="41"/>
      <c r="AC1164" s="41"/>
      <c r="AD1164" s="41"/>
      <c r="AE1164" s="59">
        <v>113420.80567127516</v>
      </c>
      <c r="AF1164" s="59">
        <v>115280.00000000001</v>
      </c>
      <c r="AG1164" s="59" t="s">
        <v>132</v>
      </c>
      <c r="AH1164" s="59" t="s">
        <v>1175</v>
      </c>
    </row>
    <row r="1165" spans="1:34" x14ac:dyDescent="0.35">
      <c r="A1165" s="58">
        <v>2025</v>
      </c>
      <c r="B1165" s="58">
        <v>4</v>
      </c>
      <c r="C1165">
        <v>4</v>
      </c>
      <c r="D1165" s="58" t="s">
        <v>613</v>
      </c>
      <c r="E1165" t="s">
        <v>132</v>
      </c>
      <c r="F1165" s="58" t="s">
        <v>1152</v>
      </c>
      <c r="G1165" t="s">
        <v>1153</v>
      </c>
      <c r="H1165" s="58" t="s">
        <v>1012</v>
      </c>
      <c r="I1165" t="s">
        <v>1012</v>
      </c>
      <c r="J1165" s="58" t="s">
        <v>1399</v>
      </c>
      <c r="K1165" t="s">
        <v>1429</v>
      </c>
      <c r="L1165" t="s">
        <v>20</v>
      </c>
      <c r="M1165" t="s">
        <v>1430</v>
      </c>
      <c r="N1165" s="59">
        <v>0</v>
      </c>
      <c r="O1165" s="59">
        <v>0</v>
      </c>
      <c r="P1165" s="59">
        <v>0</v>
      </c>
      <c r="Q1165" s="59">
        <v>0</v>
      </c>
      <c r="R1165" s="59">
        <v>-1546666</v>
      </c>
      <c r="S1165" s="59">
        <v>1546666</v>
      </c>
      <c r="T1165" s="41"/>
      <c r="U1165" s="41"/>
      <c r="V1165" s="41"/>
      <c r="W1165" s="41"/>
      <c r="X1165" s="41"/>
      <c r="Y1165" s="41"/>
      <c r="Z1165" s="41"/>
      <c r="AA1165" s="41"/>
      <c r="AB1165" s="41"/>
      <c r="AC1165" s="41"/>
      <c r="AD1165" s="41"/>
      <c r="AE1165" s="59">
        <v>60.249271522391147</v>
      </c>
      <c r="AF1165" s="59">
        <v>0</v>
      </c>
      <c r="AG1165" s="59" t="s">
        <v>132</v>
      </c>
      <c r="AH1165" s="59" t="s">
        <v>1400</v>
      </c>
    </row>
    <row r="1166" spans="1:34" x14ac:dyDescent="0.35">
      <c r="A1166" s="58">
        <v>2025</v>
      </c>
      <c r="B1166" s="58">
        <v>4</v>
      </c>
      <c r="C1166">
        <v>4</v>
      </c>
      <c r="D1166" s="58" t="s">
        <v>593</v>
      </c>
      <c r="E1166" t="s">
        <v>46</v>
      </c>
      <c r="F1166" s="58" t="s">
        <v>168</v>
      </c>
      <c r="G1166" t="s">
        <v>700</v>
      </c>
      <c r="H1166" s="58" t="s">
        <v>4</v>
      </c>
      <c r="I1166" t="s">
        <v>4</v>
      </c>
      <c r="J1166" s="58" t="s">
        <v>4</v>
      </c>
      <c r="K1166" t="s">
        <v>1476</v>
      </c>
      <c r="L1166" t="s">
        <v>292</v>
      </c>
      <c r="M1166" t="s">
        <v>1430</v>
      </c>
      <c r="N1166" s="59">
        <v>22000</v>
      </c>
      <c r="O1166" s="59">
        <v>818819980.00000012</v>
      </c>
      <c r="P1166" s="59">
        <v>2066681.4628099173</v>
      </c>
      <c r="Q1166" s="59">
        <v>0</v>
      </c>
      <c r="R1166" s="59">
        <v>61749659.399999999</v>
      </c>
      <c r="S1166" s="59">
        <v>755003639.13719022</v>
      </c>
      <c r="T1166" s="41"/>
      <c r="U1166" s="41"/>
      <c r="V1166" s="41"/>
      <c r="W1166" s="41"/>
      <c r="X1166" s="41"/>
      <c r="Y1166" s="41"/>
      <c r="Z1166" s="41"/>
      <c r="AA1166" s="41"/>
      <c r="AB1166" s="41"/>
      <c r="AC1166" s="41"/>
      <c r="AD1166" s="41"/>
      <c r="AE1166" s="59">
        <v>29596.379425213257</v>
      </c>
      <c r="AF1166" s="59">
        <v>32098.000000000004</v>
      </c>
      <c r="AG1166" s="59" t="s">
        <v>46</v>
      </c>
      <c r="AH1166" s="59" t="s">
        <v>1160</v>
      </c>
    </row>
    <row r="1167" spans="1:34" x14ac:dyDescent="0.35">
      <c r="A1167" s="58">
        <v>2025</v>
      </c>
      <c r="B1167" s="58">
        <v>4</v>
      </c>
      <c r="C1167">
        <v>4</v>
      </c>
      <c r="D1167" s="58" t="s">
        <v>593</v>
      </c>
      <c r="E1167" t="s">
        <v>46</v>
      </c>
      <c r="F1167" s="58" t="s">
        <v>172</v>
      </c>
      <c r="G1167" t="s">
        <v>734</v>
      </c>
      <c r="H1167" s="58" t="s">
        <v>4</v>
      </c>
      <c r="I1167" t="s">
        <v>4</v>
      </c>
      <c r="J1167" s="58" t="s">
        <v>4</v>
      </c>
      <c r="K1167" t="s">
        <v>1476</v>
      </c>
      <c r="L1167" t="s">
        <v>292</v>
      </c>
      <c r="M1167" t="s">
        <v>1430</v>
      </c>
      <c r="N1167" s="59">
        <v>88000</v>
      </c>
      <c r="O1167" s="59">
        <v>3207933520</v>
      </c>
      <c r="P1167" s="59">
        <v>8266725.8512396691</v>
      </c>
      <c r="Q1167" s="59">
        <v>0</v>
      </c>
      <c r="R1167" s="59">
        <v>246998637.59999999</v>
      </c>
      <c r="S1167" s="59">
        <v>2952668156.5487604</v>
      </c>
      <c r="T1167" s="41"/>
      <c r="U1167" s="41"/>
      <c r="V1167" s="41"/>
      <c r="W1167" s="41"/>
      <c r="X1167" s="41"/>
      <c r="Y1167" s="41"/>
      <c r="Z1167" s="41"/>
      <c r="AA1167" s="41"/>
      <c r="AB1167" s="41"/>
      <c r="AC1167" s="41"/>
      <c r="AD1167" s="41"/>
      <c r="AE1167" s="59">
        <v>115745.51770085302</v>
      </c>
      <c r="AF1167" s="59">
        <v>125752</v>
      </c>
      <c r="AG1167" s="59" t="s">
        <v>46</v>
      </c>
      <c r="AH1167" s="59" t="s">
        <v>1175</v>
      </c>
    </row>
    <row r="1168" spans="1:34" x14ac:dyDescent="0.35">
      <c r="A1168" s="58">
        <v>2025</v>
      </c>
      <c r="B1168" s="58">
        <v>4</v>
      </c>
      <c r="C1168">
        <v>4</v>
      </c>
      <c r="D1168" s="58" t="s">
        <v>593</v>
      </c>
      <c r="E1168" t="s">
        <v>46</v>
      </c>
      <c r="F1168" s="58" t="s">
        <v>1152</v>
      </c>
      <c r="G1168" t="s">
        <v>1153</v>
      </c>
      <c r="H1168" s="58" t="s">
        <v>1012</v>
      </c>
      <c r="I1168" t="s">
        <v>1012</v>
      </c>
      <c r="J1168" s="58" t="s">
        <v>1399</v>
      </c>
      <c r="K1168" t="s">
        <v>1429</v>
      </c>
      <c r="L1168" t="s">
        <v>20</v>
      </c>
      <c r="M1168" t="s">
        <v>1430</v>
      </c>
      <c r="N1168" s="59">
        <v>0</v>
      </c>
      <c r="O1168" s="59">
        <v>0</v>
      </c>
      <c r="P1168" s="59">
        <v>0</v>
      </c>
      <c r="Q1168" s="59">
        <v>0</v>
      </c>
      <c r="R1168" s="59">
        <v>2747363.8235294106</v>
      </c>
      <c r="S1168" s="59">
        <v>-2747363.8235294106</v>
      </c>
      <c r="T1168" s="41"/>
      <c r="U1168" s="41"/>
      <c r="V1168" s="41"/>
      <c r="W1168" s="41"/>
      <c r="X1168" s="41"/>
      <c r="Y1168" s="41"/>
      <c r="Z1168" s="41"/>
      <c r="AA1168" s="41"/>
      <c r="AB1168" s="41"/>
      <c r="AC1168" s="41"/>
      <c r="AD1168" s="41"/>
      <c r="AE1168" s="59">
        <v>-107.02159934634767</v>
      </c>
      <c r="AF1168" s="59">
        <v>0</v>
      </c>
      <c r="AG1168" s="59" t="s">
        <v>46</v>
      </c>
      <c r="AH1168" s="59" t="s">
        <v>1400</v>
      </c>
    </row>
    <row r="1169" spans="1:34" x14ac:dyDescent="0.35">
      <c r="A1169" s="58">
        <v>2025</v>
      </c>
      <c r="B1169" s="58">
        <v>4</v>
      </c>
      <c r="C1169">
        <v>4</v>
      </c>
      <c r="D1169" s="58" t="s">
        <v>617</v>
      </c>
      <c r="E1169" t="s">
        <v>144</v>
      </c>
      <c r="F1169" s="58" t="s">
        <v>1152</v>
      </c>
      <c r="G1169" t="s">
        <v>1153</v>
      </c>
      <c r="H1169" s="58" t="s">
        <v>1012</v>
      </c>
      <c r="I1169" t="s">
        <v>1012</v>
      </c>
      <c r="J1169" s="58" t="s">
        <v>1399</v>
      </c>
      <c r="K1169" t="s">
        <v>1429</v>
      </c>
      <c r="L1169" t="s">
        <v>20</v>
      </c>
      <c r="M1169" t="s">
        <v>1430</v>
      </c>
      <c r="N1169" s="59">
        <v>0</v>
      </c>
      <c r="O1169" s="59">
        <v>0</v>
      </c>
      <c r="P1169" s="59">
        <v>0</v>
      </c>
      <c r="Q1169" s="59">
        <v>0</v>
      </c>
      <c r="R1169" s="59">
        <v>365559.00000000012</v>
      </c>
      <c r="S1169" s="59">
        <v>-365559.00000000012</v>
      </c>
      <c r="T1169" s="41"/>
      <c r="U1169" s="41"/>
      <c r="V1169" s="41"/>
      <c r="W1169" s="41"/>
      <c r="X1169" s="41"/>
      <c r="Y1169" s="41"/>
      <c r="Z1169" s="41"/>
      <c r="AA1169" s="41"/>
      <c r="AB1169" s="41"/>
      <c r="AC1169" s="41"/>
      <c r="AD1169" s="41"/>
      <c r="AE1169" s="59">
        <v>-14.24009026412541</v>
      </c>
      <c r="AF1169" s="59">
        <v>0</v>
      </c>
      <c r="AG1169" s="59" t="s">
        <v>144</v>
      </c>
      <c r="AH1169" s="59" t="s">
        <v>1400</v>
      </c>
    </row>
    <row r="1170" spans="1:34" x14ac:dyDescent="0.35">
      <c r="A1170" s="58">
        <v>2025</v>
      </c>
      <c r="B1170" s="58">
        <v>4</v>
      </c>
      <c r="C1170">
        <v>4</v>
      </c>
      <c r="D1170" s="58" t="s">
        <v>642</v>
      </c>
      <c r="E1170" t="s">
        <v>133</v>
      </c>
      <c r="F1170" s="58" t="s">
        <v>1152</v>
      </c>
      <c r="G1170" t="s">
        <v>1153</v>
      </c>
      <c r="H1170" s="58" t="s">
        <v>1012</v>
      </c>
      <c r="I1170" t="s">
        <v>1012</v>
      </c>
      <c r="J1170" s="58" t="s">
        <v>1399</v>
      </c>
      <c r="K1170" t="s">
        <v>1429</v>
      </c>
      <c r="L1170" t="s">
        <v>20</v>
      </c>
      <c r="M1170" t="s">
        <v>1430</v>
      </c>
      <c r="N1170" s="59">
        <v>0</v>
      </c>
      <c r="O1170" s="59">
        <v>0</v>
      </c>
      <c r="P1170" s="59">
        <v>0</v>
      </c>
      <c r="Q1170" s="59">
        <v>0</v>
      </c>
      <c r="R1170" s="59">
        <v>-21478031</v>
      </c>
      <c r="S1170" s="59">
        <v>21478031</v>
      </c>
      <c r="T1170" s="41"/>
      <c r="U1170" s="41"/>
      <c r="V1170" s="41"/>
      <c r="W1170" s="41"/>
      <c r="X1170" s="41"/>
      <c r="Y1170" s="41"/>
      <c r="Z1170" s="41"/>
      <c r="AA1170" s="41"/>
      <c r="AB1170" s="41"/>
      <c r="AC1170" s="41"/>
      <c r="AD1170" s="41"/>
      <c r="AE1170" s="59">
        <v>836.66138745232286</v>
      </c>
      <c r="AF1170" s="59">
        <v>0</v>
      </c>
      <c r="AG1170" s="59" t="s">
        <v>133</v>
      </c>
      <c r="AH1170" s="59" t="s">
        <v>1400</v>
      </c>
    </row>
    <row r="1171" spans="1:34" x14ac:dyDescent="0.35">
      <c r="A1171" s="58">
        <v>2025</v>
      </c>
      <c r="B1171" s="58">
        <v>4</v>
      </c>
      <c r="C1171">
        <v>4</v>
      </c>
      <c r="D1171" s="58" t="s">
        <v>658</v>
      </c>
      <c r="E1171" t="s">
        <v>147</v>
      </c>
      <c r="F1171" s="58" t="s">
        <v>1152</v>
      </c>
      <c r="G1171" t="s">
        <v>1153</v>
      </c>
      <c r="H1171" s="58" t="s">
        <v>1012</v>
      </c>
      <c r="I1171" t="s">
        <v>1012</v>
      </c>
      <c r="J1171" s="58" t="s">
        <v>1399</v>
      </c>
      <c r="K1171" t="s">
        <v>1429</v>
      </c>
      <c r="L1171" t="s">
        <v>20</v>
      </c>
      <c r="M1171" t="s">
        <v>1430</v>
      </c>
      <c r="N1171" s="59">
        <v>0</v>
      </c>
      <c r="O1171" s="59">
        <v>0</v>
      </c>
      <c r="P1171" s="59">
        <v>0</v>
      </c>
      <c r="Q1171" s="59">
        <v>0</v>
      </c>
      <c r="R1171" s="59">
        <v>14112000</v>
      </c>
      <c r="S1171" s="59">
        <v>-14112000</v>
      </c>
      <c r="T1171" s="41"/>
      <c r="U1171" s="41"/>
      <c r="V1171" s="41"/>
      <c r="W1171" s="41"/>
      <c r="X1171" s="41"/>
      <c r="Y1171" s="41"/>
      <c r="Z1171" s="41"/>
      <c r="AA1171" s="41"/>
      <c r="AB1171" s="41"/>
      <c r="AC1171" s="41"/>
      <c r="AD1171" s="41"/>
      <c r="AE1171" s="59">
        <v>-549.7229005641708</v>
      </c>
      <c r="AF1171" s="59">
        <v>0</v>
      </c>
      <c r="AG1171" s="59" t="s">
        <v>147</v>
      </c>
      <c r="AH1171" s="59" t="s">
        <v>1400</v>
      </c>
    </row>
    <row r="1172" spans="1:34" x14ac:dyDescent="0.35">
      <c r="A1172" s="58">
        <v>2025</v>
      </c>
      <c r="B1172" s="58">
        <v>4</v>
      </c>
      <c r="C1172">
        <v>4</v>
      </c>
      <c r="D1172" s="58" t="s">
        <v>608</v>
      </c>
      <c r="E1172" t="s">
        <v>294</v>
      </c>
      <c r="F1172" s="58" t="s">
        <v>172</v>
      </c>
      <c r="G1172" t="s">
        <v>734</v>
      </c>
      <c r="H1172" s="58" t="s">
        <v>4</v>
      </c>
      <c r="I1172" t="s">
        <v>4</v>
      </c>
      <c r="J1172" s="58" t="s">
        <v>4</v>
      </c>
      <c r="K1172" t="s">
        <v>1476</v>
      </c>
      <c r="L1172" t="s">
        <v>1528</v>
      </c>
      <c r="M1172" t="s">
        <v>1430</v>
      </c>
      <c r="N1172" s="59">
        <v>105000</v>
      </c>
      <c r="O1172" s="59">
        <v>3471552000</v>
      </c>
      <c r="P1172" s="59">
        <v>7760312.909836066</v>
      </c>
      <c r="Q1172" s="59">
        <v>0</v>
      </c>
      <c r="R1172" s="59">
        <v>48637591.000000007</v>
      </c>
      <c r="S1172" s="59">
        <v>3415154096.0901637</v>
      </c>
      <c r="T1172" s="41"/>
      <c r="U1172" s="41"/>
      <c r="V1172" s="41"/>
      <c r="W1172" s="41"/>
      <c r="X1172" s="41"/>
      <c r="Y1172" s="41"/>
      <c r="Z1172" s="41"/>
      <c r="AA1172" s="41"/>
      <c r="AB1172" s="41"/>
      <c r="AC1172" s="41"/>
      <c r="AD1172" s="41"/>
      <c r="AE1172" s="59">
        <v>132216.57360008376</v>
      </c>
      <c r="AF1172" s="59">
        <v>134400</v>
      </c>
      <c r="AG1172" s="59" t="s">
        <v>124</v>
      </c>
      <c r="AH1172" s="59" t="s">
        <v>1175</v>
      </c>
    </row>
    <row r="1173" spans="1:34" x14ac:dyDescent="0.35">
      <c r="A1173" s="58">
        <v>2025</v>
      </c>
      <c r="B1173" s="58">
        <v>4</v>
      </c>
      <c r="C1173">
        <v>4</v>
      </c>
      <c r="D1173" s="58" t="s">
        <v>608</v>
      </c>
      <c r="E1173" t="s">
        <v>294</v>
      </c>
      <c r="F1173" s="58" t="s">
        <v>1152</v>
      </c>
      <c r="G1173" t="s">
        <v>1153</v>
      </c>
      <c r="H1173" s="58" t="s">
        <v>1012</v>
      </c>
      <c r="I1173" t="s">
        <v>1012</v>
      </c>
      <c r="J1173" s="58" t="s">
        <v>1399</v>
      </c>
      <c r="K1173" t="s">
        <v>1429</v>
      </c>
      <c r="L1173" t="s">
        <v>20</v>
      </c>
      <c r="M1173" t="s">
        <v>1430</v>
      </c>
      <c r="N1173" s="59">
        <v>0</v>
      </c>
      <c r="O1173" s="59">
        <v>0</v>
      </c>
      <c r="P1173" s="59">
        <v>0</v>
      </c>
      <c r="Q1173" s="59">
        <v>0</v>
      </c>
      <c r="R1173" s="59">
        <v>-1046000</v>
      </c>
      <c r="S1173" s="59">
        <v>1046000</v>
      </c>
      <c r="T1173" s="41"/>
      <c r="U1173" s="41"/>
      <c r="V1173" s="41"/>
      <c r="W1173" s="41"/>
      <c r="X1173" s="41"/>
      <c r="Y1173" s="41"/>
      <c r="Z1173" s="41"/>
      <c r="AA1173" s="41"/>
      <c r="AB1173" s="41"/>
      <c r="AC1173" s="41"/>
      <c r="AD1173" s="41"/>
      <c r="AE1173" s="59">
        <v>40.746184381386243</v>
      </c>
      <c r="AF1173" s="59">
        <v>0</v>
      </c>
      <c r="AG1173" s="59" t="s">
        <v>124</v>
      </c>
      <c r="AH1173" s="59" t="s">
        <v>1400</v>
      </c>
    </row>
    <row r="1174" spans="1:34" x14ac:dyDescent="0.35">
      <c r="A1174" s="58">
        <v>2025</v>
      </c>
      <c r="B1174" s="58">
        <v>4</v>
      </c>
      <c r="C1174">
        <v>4</v>
      </c>
      <c r="D1174" s="58" t="s">
        <v>632</v>
      </c>
      <c r="E1174" t="s">
        <v>131</v>
      </c>
      <c r="F1174" s="58" t="s">
        <v>174</v>
      </c>
      <c r="G1174" t="s">
        <v>740</v>
      </c>
      <c r="H1174" s="58" t="s">
        <v>4</v>
      </c>
      <c r="I1174" t="s">
        <v>4</v>
      </c>
      <c r="J1174" s="58" t="s">
        <v>4</v>
      </c>
      <c r="K1174" t="s">
        <v>1476</v>
      </c>
      <c r="L1174" t="s">
        <v>292</v>
      </c>
      <c r="M1174" t="s">
        <v>1430</v>
      </c>
      <c r="N1174" s="59">
        <v>110000</v>
      </c>
      <c r="O1174" s="59">
        <v>3252314999.9999995</v>
      </c>
      <c r="P1174" s="59">
        <v>8250057.3140495867</v>
      </c>
      <c r="Q1174" s="59">
        <v>0</v>
      </c>
      <c r="R1174" s="59">
        <v>52644880</v>
      </c>
      <c r="S1174" s="59">
        <v>3191420062.6859498</v>
      </c>
      <c r="T1174" s="41"/>
      <c r="U1174" s="41"/>
      <c r="V1174" s="41"/>
      <c r="W1174" s="41"/>
      <c r="X1174" s="41"/>
      <c r="Y1174" s="41"/>
      <c r="Z1174" s="41"/>
      <c r="AA1174" s="41"/>
      <c r="AB1174" s="41"/>
      <c r="AC1174" s="41"/>
      <c r="AD1174" s="41"/>
      <c r="AE1174" s="59">
        <v>124131.468793697</v>
      </c>
      <c r="AF1174" s="59">
        <v>126499.99999999999</v>
      </c>
      <c r="AG1174" s="59" t="s">
        <v>131</v>
      </c>
      <c r="AH1174" s="59" t="s">
        <v>1185</v>
      </c>
    </row>
    <row r="1175" spans="1:34" x14ac:dyDescent="0.35">
      <c r="A1175" s="58">
        <v>2025</v>
      </c>
      <c r="B1175" s="58">
        <v>4</v>
      </c>
      <c r="C1175">
        <v>4</v>
      </c>
      <c r="D1175" s="58" t="s">
        <v>632</v>
      </c>
      <c r="E1175" t="s">
        <v>131</v>
      </c>
      <c r="F1175" s="58" t="s">
        <v>1152</v>
      </c>
      <c r="G1175" t="s">
        <v>1153</v>
      </c>
      <c r="H1175" s="58" t="s">
        <v>1012</v>
      </c>
      <c r="I1175" t="s">
        <v>1012</v>
      </c>
      <c r="J1175" s="58" t="s">
        <v>1399</v>
      </c>
      <c r="K1175" t="s">
        <v>1429</v>
      </c>
      <c r="L1175" t="s">
        <v>20</v>
      </c>
      <c r="M1175" t="s">
        <v>1430</v>
      </c>
      <c r="N1175" s="59">
        <v>0</v>
      </c>
      <c r="O1175" s="59">
        <v>0</v>
      </c>
      <c r="P1175" s="59">
        <v>0</v>
      </c>
      <c r="Q1175" s="59">
        <v>0</v>
      </c>
      <c r="R1175" s="59">
        <v>-1329167</v>
      </c>
      <c r="S1175" s="59">
        <v>1329167</v>
      </c>
      <c r="T1175" s="41"/>
      <c r="U1175" s="41"/>
      <c r="V1175" s="41"/>
      <c r="W1175" s="41"/>
      <c r="X1175" s="41"/>
      <c r="Y1175" s="41"/>
      <c r="Z1175" s="41"/>
      <c r="AA1175" s="41"/>
      <c r="AB1175" s="41"/>
      <c r="AC1175" s="41"/>
      <c r="AD1175" s="41"/>
      <c r="AE1175" s="59">
        <v>51.776753016877642</v>
      </c>
      <c r="AF1175" s="59">
        <v>0</v>
      </c>
      <c r="AG1175" s="59" t="s">
        <v>131</v>
      </c>
      <c r="AH1175" s="59" t="s">
        <v>1400</v>
      </c>
    </row>
    <row r="1176" spans="1:34" x14ac:dyDescent="0.35">
      <c r="A1176" s="58">
        <v>2025</v>
      </c>
      <c r="B1176" s="58">
        <v>4</v>
      </c>
      <c r="C1176">
        <v>4</v>
      </c>
      <c r="D1176" s="58" t="s">
        <v>1555</v>
      </c>
      <c r="E1176" t="s">
        <v>1289</v>
      </c>
      <c r="F1176" s="58" t="s">
        <v>1468</v>
      </c>
      <c r="G1176" t="s">
        <v>1012</v>
      </c>
      <c r="H1176" s="58" t="s">
        <v>1012</v>
      </c>
      <c r="I1176" t="s">
        <v>1012</v>
      </c>
      <c r="J1176" s="58" t="s">
        <v>1012</v>
      </c>
      <c r="K1176" t="s">
        <v>1429</v>
      </c>
      <c r="L1176" t="s">
        <v>20</v>
      </c>
      <c r="M1176" t="s">
        <v>1430</v>
      </c>
      <c r="N1176" s="59">
        <v>0</v>
      </c>
      <c r="O1176" s="59">
        <v>0</v>
      </c>
      <c r="P1176" s="59">
        <v>0</v>
      </c>
      <c r="Q1176" s="59">
        <v>0</v>
      </c>
      <c r="R1176" s="59">
        <v>0</v>
      </c>
      <c r="S1176" s="59">
        <v>0</v>
      </c>
      <c r="T1176" s="41"/>
      <c r="U1176" s="41"/>
      <c r="V1176" s="41"/>
      <c r="W1176" s="41"/>
      <c r="X1176" s="41"/>
      <c r="Y1176" s="41"/>
      <c r="Z1176" s="41"/>
      <c r="AA1176" s="41"/>
      <c r="AB1176" s="41"/>
      <c r="AC1176" s="41"/>
      <c r="AD1176" s="41"/>
      <c r="AE1176" s="59">
        <v>0</v>
      </c>
      <c r="AF1176" s="59">
        <v>0</v>
      </c>
      <c r="AG1176" s="59" t="s">
        <v>1289</v>
      </c>
      <c r="AH1176" s="59" t="s">
        <v>1284</v>
      </c>
    </row>
    <row r="1177" spans="1:34" x14ac:dyDescent="0.35">
      <c r="A1177" s="58">
        <v>2025</v>
      </c>
      <c r="B1177" s="58">
        <v>4</v>
      </c>
      <c r="C1177">
        <v>4</v>
      </c>
      <c r="D1177" s="58" t="s">
        <v>1620</v>
      </c>
      <c r="E1177" t="s">
        <v>1295</v>
      </c>
      <c r="F1177" s="58" t="s">
        <v>1597</v>
      </c>
      <c r="G1177" t="s">
        <v>1598</v>
      </c>
      <c r="H1177" s="58" t="s">
        <v>1012</v>
      </c>
      <c r="I1177" t="s">
        <v>1012</v>
      </c>
      <c r="J1177" s="58" t="s">
        <v>1012</v>
      </c>
      <c r="K1177" t="s">
        <v>1429</v>
      </c>
      <c r="L1177" t="s">
        <v>20</v>
      </c>
      <c r="M1177" t="s">
        <v>1430</v>
      </c>
      <c r="N1177" s="59">
        <v>0</v>
      </c>
      <c r="O1177" s="59">
        <v>0</v>
      </c>
      <c r="P1177" s="59">
        <v>0</v>
      </c>
      <c r="Q1177" s="59">
        <v>0</v>
      </c>
      <c r="R1177" s="59">
        <v>0</v>
      </c>
      <c r="S1177" s="59">
        <v>0</v>
      </c>
      <c r="T1177" s="41"/>
      <c r="U1177" s="41"/>
      <c r="V1177" s="41"/>
      <c r="W1177" s="41"/>
      <c r="X1177" s="41"/>
      <c r="Y1177" s="41"/>
      <c r="Z1177" s="41"/>
      <c r="AA1177" s="41"/>
      <c r="AB1177" s="41"/>
      <c r="AC1177" s="41"/>
      <c r="AD1177" s="41"/>
      <c r="AE1177" s="59">
        <v>0</v>
      </c>
      <c r="AF1177" s="59">
        <v>0</v>
      </c>
      <c r="AG1177" s="59" t="s">
        <v>1295</v>
      </c>
      <c r="AH1177" s="59" t="s">
        <v>1327</v>
      </c>
    </row>
    <row r="1178" spans="1:34" x14ac:dyDescent="0.35">
      <c r="A1178" s="58">
        <v>2025</v>
      </c>
      <c r="B1178" s="58">
        <v>4</v>
      </c>
      <c r="C1178">
        <v>4</v>
      </c>
      <c r="D1178" s="58" t="s">
        <v>1484</v>
      </c>
      <c r="E1178" t="s">
        <v>1298</v>
      </c>
      <c r="F1178" s="58" t="s">
        <v>1482</v>
      </c>
      <c r="G1178" t="s">
        <v>1483</v>
      </c>
      <c r="H1178" s="58" t="s">
        <v>1012</v>
      </c>
      <c r="I1178" t="s">
        <v>1012</v>
      </c>
      <c r="J1178" s="58" t="s">
        <v>1012</v>
      </c>
      <c r="K1178" t="s">
        <v>1429</v>
      </c>
      <c r="L1178" t="s">
        <v>20</v>
      </c>
      <c r="M1178" t="s">
        <v>1430</v>
      </c>
      <c r="N1178" s="59">
        <v>0</v>
      </c>
      <c r="O1178" s="59">
        <v>67500000</v>
      </c>
      <c r="P1178" s="59">
        <v>0</v>
      </c>
      <c r="Q1178" s="59">
        <v>0</v>
      </c>
      <c r="R1178" s="59">
        <v>0</v>
      </c>
      <c r="S1178" s="59">
        <v>67500000</v>
      </c>
      <c r="T1178" s="41"/>
      <c r="U1178" s="41"/>
      <c r="V1178" s="41"/>
      <c r="W1178" s="41"/>
      <c r="X1178" s="41"/>
      <c r="Y1178" s="41"/>
      <c r="Z1178" s="41"/>
      <c r="AA1178" s="41"/>
      <c r="AB1178" s="41"/>
      <c r="AC1178" s="41"/>
      <c r="AD1178" s="41"/>
      <c r="AE1178" s="59">
        <v>2629.4143840760721</v>
      </c>
      <c r="AF1178" s="59">
        <v>2629.4143840760721</v>
      </c>
      <c r="AG1178" s="59" t="s">
        <v>1298</v>
      </c>
      <c r="AH1178" s="59" t="s">
        <v>1325</v>
      </c>
    </row>
    <row r="1179" spans="1:34" x14ac:dyDescent="0.35">
      <c r="A1179" s="58">
        <v>2025</v>
      </c>
      <c r="B1179" s="58">
        <v>4</v>
      </c>
      <c r="C1179">
        <v>4</v>
      </c>
      <c r="D1179" s="58" t="s">
        <v>1653</v>
      </c>
      <c r="E1179" t="s">
        <v>1281</v>
      </c>
      <c r="F1179" s="58" t="s">
        <v>1524</v>
      </c>
      <c r="G1179" t="s">
        <v>1525</v>
      </c>
      <c r="H1179" s="58" t="s">
        <v>1012</v>
      </c>
      <c r="I1179" t="s">
        <v>1012</v>
      </c>
      <c r="J1179" s="58" t="s">
        <v>1012</v>
      </c>
      <c r="K1179" t="s">
        <v>1429</v>
      </c>
      <c r="L1179" t="s">
        <v>20</v>
      </c>
      <c r="M1179" t="s">
        <v>1430</v>
      </c>
      <c r="N1179" s="59">
        <v>0</v>
      </c>
      <c r="O1179" s="59">
        <v>0</v>
      </c>
      <c r="P1179" s="59">
        <v>0</v>
      </c>
      <c r="Q1179" s="59">
        <v>0</v>
      </c>
      <c r="R1179" s="59">
        <v>0</v>
      </c>
      <c r="S1179" s="59">
        <v>0</v>
      </c>
      <c r="T1179" s="41"/>
      <c r="U1179" s="41"/>
      <c r="V1179" s="41"/>
      <c r="W1179" s="41"/>
      <c r="X1179" s="41"/>
      <c r="Y1179" s="41"/>
      <c r="Z1179" s="41"/>
      <c r="AA1179" s="41"/>
      <c r="AB1179" s="41"/>
      <c r="AC1179" s="41"/>
      <c r="AD1179" s="41"/>
      <c r="AE1179" s="59">
        <v>0</v>
      </c>
      <c r="AF1179" s="59">
        <v>0</v>
      </c>
      <c r="AG1179" s="59" t="s">
        <v>1281</v>
      </c>
      <c r="AH1179" s="59" t="s">
        <v>1277</v>
      </c>
    </row>
    <row r="1180" spans="1:34" x14ac:dyDescent="0.35">
      <c r="A1180" s="58">
        <v>2025</v>
      </c>
      <c r="B1180" s="58">
        <v>4</v>
      </c>
      <c r="C1180">
        <v>4</v>
      </c>
      <c r="D1180" s="58" t="s">
        <v>1646</v>
      </c>
      <c r="E1180" t="s">
        <v>1290</v>
      </c>
      <c r="F1180" s="58" t="s">
        <v>1468</v>
      </c>
      <c r="G1180" t="s">
        <v>1012</v>
      </c>
      <c r="H1180" s="58" t="s">
        <v>1012</v>
      </c>
      <c r="I1180" t="s">
        <v>1012</v>
      </c>
      <c r="J1180" s="58" t="s">
        <v>1012</v>
      </c>
      <c r="K1180" t="s">
        <v>1429</v>
      </c>
      <c r="L1180" t="s">
        <v>20</v>
      </c>
      <c r="M1180" t="s">
        <v>1430</v>
      </c>
      <c r="N1180" s="59">
        <v>0</v>
      </c>
      <c r="O1180" s="59">
        <v>0</v>
      </c>
      <c r="P1180" s="59">
        <v>0</v>
      </c>
      <c r="Q1180" s="59">
        <v>0</v>
      </c>
      <c r="R1180" s="59">
        <v>0</v>
      </c>
      <c r="S1180" s="59">
        <v>0</v>
      </c>
      <c r="T1180" s="41"/>
      <c r="U1180" s="41"/>
      <c r="V1180" s="41"/>
      <c r="W1180" s="41"/>
      <c r="X1180" s="41"/>
      <c r="Y1180" s="41"/>
      <c r="Z1180" s="41"/>
      <c r="AA1180" s="41"/>
      <c r="AB1180" s="41"/>
      <c r="AC1180" s="41"/>
      <c r="AD1180" s="41"/>
      <c r="AE1180" s="59">
        <v>0</v>
      </c>
      <c r="AF1180" s="59">
        <v>0</v>
      </c>
      <c r="AG1180" s="59" t="s">
        <v>1290</v>
      </c>
      <c r="AH1180" s="59" t="s">
        <v>1284</v>
      </c>
    </row>
    <row r="1181" spans="1:34" x14ac:dyDescent="0.35">
      <c r="A1181" s="58">
        <v>2025</v>
      </c>
      <c r="B1181" s="58">
        <v>4</v>
      </c>
      <c r="C1181">
        <v>4</v>
      </c>
      <c r="D1181" s="58" t="s">
        <v>1570</v>
      </c>
      <c r="E1181" t="s">
        <v>1282</v>
      </c>
      <c r="F1181" s="58" t="s">
        <v>1496</v>
      </c>
      <c r="G1181" t="s">
        <v>1497</v>
      </c>
      <c r="H1181" s="58" t="s">
        <v>1012</v>
      </c>
      <c r="I1181" t="s">
        <v>1012</v>
      </c>
      <c r="J1181" s="58" t="s">
        <v>1012</v>
      </c>
      <c r="K1181" t="s">
        <v>1429</v>
      </c>
      <c r="L1181" t="s">
        <v>20</v>
      </c>
      <c r="M1181" t="s">
        <v>1430</v>
      </c>
      <c r="N1181" s="59">
        <v>0</v>
      </c>
      <c r="O1181" s="59">
        <v>0</v>
      </c>
      <c r="P1181" s="59">
        <v>0</v>
      </c>
      <c r="Q1181" s="59">
        <v>0</v>
      </c>
      <c r="R1181" s="59">
        <v>0</v>
      </c>
      <c r="S1181" s="59">
        <v>0</v>
      </c>
      <c r="T1181" s="41"/>
      <c r="U1181" s="41"/>
      <c r="V1181" s="41"/>
      <c r="W1181" s="41"/>
      <c r="X1181" s="41"/>
      <c r="Y1181" s="41"/>
      <c r="Z1181" s="41"/>
      <c r="AA1181" s="41"/>
      <c r="AB1181" s="41"/>
      <c r="AC1181" s="41"/>
      <c r="AD1181" s="41"/>
      <c r="AE1181" s="59">
        <v>0</v>
      </c>
      <c r="AF1181" s="59">
        <v>0</v>
      </c>
      <c r="AG1181" s="59" t="s">
        <v>1282</v>
      </c>
      <c r="AH1181" s="59" t="s">
        <v>1329</v>
      </c>
    </row>
    <row r="1182" spans="1:34" x14ac:dyDescent="0.35">
      <c r="A1182" s="58">
        <v>2025</v>
      </c>
      <c r="B1182" s="58">
        <v>4</v>
      </c>
      <c r="C1182">
        <v>4</v>
      </c>
      <c r="D1182" s="58" t="s">
        <v>1571</v>
      </c>
      <c r="E1182" t="s">
        <v>1283</v>
      </c>
      <c r="F1182" s="58" t="s">
        <v>1496</v>
      </c>
      <c r="G1182" t="s">
        <v>1497</v>
      </c>
      <c r="H1182" s="58" t="s">
        <v>1012</v>
      </c>
      <c r="I1182" t="s">
        <v>1012</v>
      </c>
      <c r="J1182" s="58" t="s">
        <v>1012</v>
      </c>
      <c r="K1182" t="s">
        <v>1429</v>
      </c>
      <c r="L1182" t="s">
        <v>20</v>
      </c>
      <c r="M1182" t="s">
        <v>1430</v>
      </c>
      <c r="N1182" s="59">
        <v>0</v>
      </c>
      <c r="O1182" s="59">
        <v>0</v>
      </c>
      <c r="P1182" s="59">
        <v>0</v>
      </c>
      <c r="Q1182" s="59">
        <v>0</v>
      </c>
      <c r="R1182" s="59">
        <v>0</v>
      </c>
      <c r="S1182" s="59">
        <v>0</v>
      </c>
      <c r="T1182" s="41"/>
      <c r="U1182" s="41"/>
      <c r="V1182" s="41"/>
      <c r="W1182" s="41"/>
      <c r="X1182" s="41"/>
      <c r="Y1182" s="41"/>
      <c r="Z1182" s="41"/>
      <c r="AA1182" s="41"/>
      <c r="AB1182" s="41"/>
      <c r="AC1182" s="41"/>
      <c r="AD1182" s="41"/>
      <c r="AE1182" s="59">
        <v>0</v>
      </c>
      <c r="AF1182" s="59">
        <v>0</v>
      </c>
      <c r="AG1182" s="59" t="s">
        <v>1283</v>
      </c>
      <c r="AH1182" s="59" t="s">
        <v>1329</v>
      </c>
    </row>
    <row r="1183" spans="1:34" x14ac:dyDescent="0.35">
      <c r="A1183" s="58">
        <v>2025</v>
      </c>
      <c r="B1183" s="58">
        <v>4</v>
      </c>
      <c r="C1183">
        <v>4</v>
      </c>
      <c r="D1183" s="58" t="s">
        <v>1488</v>
      </c>
      <c r="E1183" t="s">
        <v>1275</v>
      </c>
      <c r="F1183" s="58" t="s">
        <v>1489</v>
      </c>
      <c r="G1183" t="s">
        <v>1490</v>
      </c>
      <c r="H1183" s="58" t="s">
        <v>1012</v>
      </c>
      <c r="I1183" t="s">
        <v>1012</v>
      </c>
      <c r="J1183" s="58" t="s">
        <v>1012</v>
      </c>
      <c r="K1183" t="s">
        <v>1429</v>
      </c>
      <c r="L1183" t="s">
        <v>20</v>
      </c>
      <c r="M1183" t="s">
        <v>1430</v>
      </c>
      <c r="N1183" s="59">
        <v>0</v>
      </c>
      <c r="O1183" s="59">
        <v>0</v>
      </c>
      <c r="P1183" s="59">
        <v>0</v>
      </c>
      <c r="Q1183" s="59">
        <v>0</v>
      </c>
      <c r="R1183" s="59">
        <v>0</v>
      </c>
      <c r="S1183" s="59">
        <v>0</v>
      </c>
      <c r="T1183" s="41"/>
      <c r="U1183" s="41"/>
      <c r="V1183" s="41"/>
      <c r="W1183" s="41"/>
      <c r="X1183" s="41"/>
      <c r="Y1183" s="41"/>
      <c r="Z1183" s="41"/>
      <c r="AA1183" s="41"/>
      <c r="AB1183" s="41"/>
      <c r="AC1183" s="41"/>
      <c r="AD1183" s="41"/>
      <c r="AE1183" s="59">
        <v>0</v>
      </c>
      <c r="AF1183" s="59">
        <v>0</v>
      </c>
      <c r="AG1183" s="59" t="s">
        <v>1275</v>
      </c>
      <c r="AH1183" s="59" t="s">
        <v>1274</v>
      </c>
    </row>
    <row r="1184" spans="1:34" x14ac:dyDescent="0.35">
      <c r="A1184" s="58">
        <v>2025</v>
      </c>
      <c r="B1184" s="58">
        <v>4</v>
      </c>
      <c r="C1184">
        <v>4</v>
      </c>
      <c r="D1184" s="58" t="s">
        <v>1491</v>
      </c>
      <c r="E1184" t="s">
        <v>1264</v>
      </c>
      <c r="F1184" s="58" t="s">
        <v>1492</v>
      </c>
      <c r="G1184" t="s">
        <v>1493</v>
      </c>
      <c r="H1184" s="58" t="s">
        <v>1012</v>
      </c>
      <c r="I1184" t="s">
        <v>1012</v>
      </c>
      <c r="J1184" s="58" t="s">
        <v>1012</v>
      </c>
      <c r="K1184" t="s">
        <v>1429</v>
      </c>
      <c r="L1184" t="s">
        <v>20</v>
      </c>
      <c r="M1184" t="s">
        <v>1430</v>
      </c>
      <c r="N1184" s="59">
        <v>0</v>
      </c>
      <c r="O1184" s="59">
        <v>0</v>
      </c>
      <c r="P1184" s="59">
        <v>4791705</v>
      </c>
      <c r="Q1184" s="59">
        <v>0</v>
      </c>
      <c r="R1184" s="59">
        <v>89427860.999996901</v>
      </c>
      <c r="S1184" s="59">
        <v>-94219565.999996901</v>
      </c>
      <c r="T1184" s="41"/>
      <c r="U1184" s="41"/>
      <c r="V1184" s="41"/>
      <c r="W1184" s="41"/>
      <c r="X1184" s="41"/>
      <c r="Y1184" s="41"/>
      <c r="Z1184" s="41"/>
      <c r="AA1184" s="41"/>
      <c r="AB1184" s="41"/>
      <c r="AC1184" s="41"/>
      <c r="AD1184" s="41"/>
      <c r="AE1184" s="59">
        <v>-3670.2560311377288</v>
      </c>
      <c r="AF1184" s="59">
        <v>0</v>
      </c>
      <c r="AG1184" s="59" t="s">
        <v>1264</v>
      </c>
      <c r="AH1184" s="59" t="s">
        <v>1269</v>
      </c>
    </row>
    <row r="1185" spans="1:34" x14ac:dyDescent="0.35">
      <c r="A1185" s="58">
        <v>2025</v>
      </c>
      <c r="B1185" s="58">
        <v>4</v>
      </c>
      <c r="C1185">
        <v>4</v>
      </c>
      <c r="D1185" s="58" t="s">
        <v>1491</v>
      </c>
      <c r="E1185" t="s">
        <v>1264</v>
      </c>
      <c r="F1185" s="58" t="s">
        <v>1152</v>
      </c>
      <c r="G1185" t="s">
        <v>1153</v>
      </c>
      <c r="H1185" s="58" t="s">
        <v>1012</v>
      </c>
      <c r="I1185" t="s">
        <v>1012</v>
      </c>
      <c r="J1185" s="58" t="s">
        <v>1399</v>
      </c>
      <c r="K1185" t="s">
        <v>1429</v>
      </c>
      <c r="L1185" t="s">
        <v>20</v>
      </c>
      <c r="M1185" t="s">
        <v>1430</v>
      </c>
      <c r="N1185" s="59">
        <v>0</v>
      </c>
      <c r="O1185" s="59">
        <v>0</v>
      </c>
      <c r="P1185" s="59">
        <v>0</v>
      </c>
      <c r="Q1185" s="59">
        <v>-144863.59499967098</v>
      </c>
      <c r="R1185" s="59">
        <v>0</v>
      </c>
      <c r="S1185" s="59">
        <v>144863.59499967098</v>
      </c>
      <c r="T1185" s="41"/>
      <c r="U1185" s="41"/>
      <c r="V1185" s="41"/>
      <c r="W1185" s="41"/>
      <c r="X1185" s="41"/>
      <c r="Y1185" s="41"/>
      <c r="Z1185" s="41"/>
      <c r="AA1185" s="41"/>
      <c r="AB1185" s="41"/>
      <c r="AC1185" s="41"/>
      <c r="AD1185" s="41"/>
      <c r="AE1185" s="59">
        <v>5.6430580803126738</v>
      </c>
      <c r="AF1185" s="59">
        <v>0</v>
      </c>
      <c r="AG1185" s="59" t="s">
        <v>1264</v>
      </c>
      <c r="AH1185" s="59" t="s">
        <v>1400</v>
      </c>
    </row>
    <row r="1186" spans="1:34" x14ac:dyDescent="0.35">
      <c r="A1186" s="58">
        <v>2025</v>
      </c>
      <c r="B1186" s="58">
        <v>4</v>
      </c>
      <c r="C1186">
        <v>4</v>
      </c>
      <c r="D1186" s="58" t="s">
        <v>1491</v>
      </c>
      <c r="E1186" t="s">
        <v>1264</v>
      </c>
      <c r="F1186" s="58" t="s">
        <v>1496</v>
      </c>
      <c r="G1186" t="s">
        <v>1497</v>
      </c>
      <c r="H1186" s="58" t="s">
        <v>1012</v>
      </c>
      <c r="I1186" t="s">
        <v>1012</v>
      </c>
      <c r="J1186" s="58" t="s">
        <v>1012</v>
      </c>
      <c r="K1186" t="s">
        <v>1429</v>
      </c>
      <c r="L1186" t="s">
        <v>20</v>
      </c>
      <c r="M1186" t="s">
        <v>1430</v>
      </c>
      <c r="N1186" s="59">
        <v>0</v>
      </c>
      <c r="O1186" s="59">
        <v>0</v>
      </c>
      <c r="P1186" s="59">
        <v>0</v>
      </c>
      <c r="Q1186" s="59">
        <v>0</v>
      </c>
      <c r="R1186" s="59">
        <v>0</v>
      </c>
      <c r="S1186" s="59">
        <v>0</v>
      </c>
      <c r="T1186" s="41"/>
      <c r="U1186" s="41"/>
      <c r="V1186" s="41"/>
      <c r="W1186" s="41"/>
      <c r="X1186" s="41"/>
      <c r="Y1186" s="41"/>
      <c r="Z1186" s="41"/>
      <c r="AA1186" s="41"/>
      <c r="AB1186" s="41"/>
      <c r="AC1186" s="41"/>
      <c r="AD1186" s="41"/>
      <c r="AE1186" s="59">
        <v>0</v>
      </c>
      <c r="AF1186" s="59">
        <v>0</v>
      </c>
      <c r="AG1186" s="59" t="s">
        <v>1264</v>
      </c>
      <c r="AH1186" s="59" t="s">
        <v>1329</v>
      </c>
    </row>
    <row r="1187" spans="1:34" x14ac:dyDescent="0.35">
      <c r="A1187" s="58">
        <v>2025</v>
      </c>
      <c r="B1187" s="58">
        <v>5</v>
      </c>
      <c r="C1187">
        <v>5</v>
      </c>
      <c r="D1187" s="58" t="s">
        <v>625</v>
      </c>
      <c r="E1187" t="s">
        <v>271</v>
      </c>
      <c r="F1187" s="58" t="s">
        <v>171</v>
      </c>
      <c r="G1187" t="s">
        <v>731</v>
      </c>
      <c r="H1187" s="58" t="s">
        <v>4</v>
      </c>
      <c r="I1187" t="s">
        <v>4</v>
      </c>
      <c r="J1187" s="58" t="s">
        <v>4</v>
      </c>
      <c r="K1187" t="s">
        <v>1429</v>
      </c>
      <c r="L1187" t="s">
        <v>20</v>
      </c>
      <c r="M1187" t="s">
        <v>1430</v>
      </c>
      <c r="N1187" s="59">
        <v>11000</v>
      </c>
      <c r="O1187" s="59">
        <v>354200000</v>
      </c>
      <c r="P1187" s="59">
        <v>1684982.1706864564</v>
      </c>
      <c r="Q1187" s="59">
        <v>0</v>
      </c>
      <c r="R1187" s="59">
        <v>0</v>
      </c>
      <c r="S1187" s="59">
        <v>352515017.82931352</v>
      </c>
      <c r="T1187" s="41"/>
      <c r="U1187" s="41"/>
      <c r="V1187" s="41"/>
      <c r="W1187" s="41"/>
      <c r="X1187" s="41"/>
      <c r="Y1187" s="41"/>
      <c r="Z1187" s="41"/>
      <c r="AA1187" s="41"/>
      <c r="AB1187" s="41"/>
      <c r="AC1187" s="41"/>
      <c r="AD1187" s="41"/>
      <c r="AE1187" s="59">
        <v>13674.584213499948</v>
      </c>
      <c r="AF1187" s="59">
        <v>13739.947189333376</v>
      </c>
      <c r="AG1187" s="59" t="s">
        <v>47</v>
      </c>
      <c r="AH1187" s="59" t="s">
        <v>1166</v>
      </c>
    </row>
    <row r="1188" spans="1:34" x14ac:dyDescent="0.35">
      <c r="A1188" s="58">
        <v>2025</v>
      </c>
      <c r="B1188" s="58">
        <v>5</v>
      </c>
      <c r="C1188">
        <v>5</v>
      </c>
      <c r="D1188" s="58" t="s">
        <v>625</v>
      </c>
      <c r="E1188" t="s">
        <v>271</v>
      </c>
      <c r="F1188" s="58" t="s">
        <v>194</v>
      </c>
      <c r="G1188" t="s">
        <v>743</v>
      </c>
      <c r="H1188" s="58" t="s">
        <v>1428</v>
      </c>
      <c r="I1188" t="s">
        <v>76</v>
      </c>
      <c r="J1188" s="58" t="s">
        <v>76</v>
      </c>
      <c r="K1188" t="s">
        <v>1429</v>
      </c>
      <c r="L1188" t="s">
        <v>20</v>
      </c>
      <c r="M1188" t="s">
        <v>1430</v>
      </c>
      <c r="N1188" s="59">
        <v>16500</v>
      </c>
      <c r="O1188" s="59">
        <v>330000000</v>
      </c>
      <c r="P1188" s="59">
        <v>0</v>
      </c>
      <c r="Q1188" s="59">
        <v>0</v>
      </c>
      <c r="R1188" s="59">
        <v>0</v>
      </c>
      <c r="S1188" s="59">
        <v>330000000</v>
      </c>
      <c r="T1188" s="41"/>
      <c r="U1188" s="41"/>
      <c r="V1188" s="41"/>
      <c r="W1188" s="41"/>
      <c r="X1188" s="41"/>
      <c r="Y1188" s="41"/>
      <c r="Z1188" s="41"/>
      <c r="AA1188" s="41"/>
      <c r="AB1188" s="41"/>
      <c r="AC1188" s="41"/>
      <c r="AD1188" s="41"/>
      <c r="AE1188" s="59">
        <v>12801.193033540414</v>
      </c>
      <c r="AF1188" s="59">
        <v>12801.193033540414</v>
      </c>
      <c r="AG1188" s="59" t="s">
        <v>47</v>
      </c>
      <c r="AH1188" s="59" t="s">
        <v>1246</v>
      </c>
    </row>
    <row r="1189" spans="1:34" x14ac:dyDescent="0.35">
      <c r="A1189" s="58">
        <v>2025</v>
      </c>
      <c r="B1189" s="58">
        <v>5</v>
      </c>
      <c r="C1189">
        <v>5</v>
      </c>
      <c r="D1189" s="58" t="s">
        <v>625</v>
      </c>
      <c r="E1189" t="s">
        <v>271</v>
      </c>
      <c r="F1189" s="58" t="s">
        <v>195</v>
      </c>
      <c r="G1189" t="s">
        <v>746</v>
      </c>
      <c r="H1189" s="58" t="s">
        <v>1428</v>
      </c>
      <c r="I1189" t="s">
        <v>76</v>
      </c>
      <c r="J1189" s="58" t="s">
        <v>76</v>
      </c>
      <c r="K1189" t="s">
        <v>1429</v>
      </c>
      <c r="L1189" t="s">
        <v>20</v>
      </c>
      <c r="M1189" t="s">
        <v>1430</v>
      </c>
      <c r="N1189" s="59">
        <v>5500</v>
      </c>
      <c r="O1189" s="59">
        <v>110000000</v>
      </c>
      <c r="P1189" s="59">
        <v>0</v>
      </c>
      <c r="Q1189" s="59">
        <v>0</v>
      </c>
      <c r="R1189" s="59">
        <v>0</v>
      </c>
      <c r="S1189" s="59">
        <v>110000000</v>
      </c>
      <c r="T1189" s="41"/>
      <c r="U1189" s="41"/>
      <c r="V1189" s="41"/>
      <c r="W1189" s="41"/>
      <c r="X1189" s="41"/>
      <c r="Y1189" s="41"/>
      <c r="Z1189" s="41"/>
      <c r="AA1189" s="41"/>
      <c r="AB1189" s="41"/>
      <c r="AC1189" s="41"/>
      <c r="AD1189" s="41"/>
      <c r="AE1189" s="59">
        <v>4267.064344513471</v>
      </c>
      <c r="AF1189" s="59">
        <v>4267.064344513471</v>
      </c>
      <c r="AG1189" s="59" t="s">
        <v>47</v>
      </c>
      <c r="AH1189" s="59" t="s">
        <v>1247</v>
      </c>
    </row>
    <row r="1190" spans="1:34" x14ac:dyDescent="0.35">
      <c r="A1190" s="58">
        <v>2025</v>
      </c>
      <c r="B1190" s="58">
        <v>5</v>
      </c>
      <c r="C1190">
        <v>5</v>
      </c>
      <c r="D1190" s="58" t="s">
        <v>625</v>
      </c>
      <c r="E1190" t="s">
        <v>271</v>
      </c>
      <c r="F1190" s="58" t="s">
        <v>197</v>
      </c>
      <c r="G1190" t="s">
        <v>752</v>
      </c>
      <c r="H1190" s="58" t="s">
        <v>1428</v>
      </c>
      <c r="I1190" t="s">
        <v>76</v>
      </c>
      <c r="J1190" s="58" t="s">
        <v>76</v>
      </c>
      <c r="K1190" t="s">
        <v>1429</v>
      </c>
      <c r="L1190" t="s">
        <v>20</v>
      </c>
      <c r="M1190" t="s">
        <v>1430</v>
      </c>
      <c r="N1190" s="59">
        <v>5500</v>
      </c>
      <c r="O1190" s="59">
        <v>110000000</v>
      </c>
      <c r="P1190" s="59">
        <v>0</v>
      </c>
      <c r="Q1190" s="59">
        <v>0</v>
      </c>
      <c r="R1190" s="59">
        <v>0</v>
      </c>
      <c r="S1190" s="59">
        <v>110000000</v>
      </c>
      <c r="T1190" s="41"/>
      <c r="U1190" s="41"/>
      <c r="V1190" s="41"/>
      <c r="W1190" s="41"/>
      <c r="X1190" s="41"/>
      <c r="Y1190" s="41"/>
      <c r="Z1190" s="41"/>
      <c r="AA1190" s="41"/>
      <c r="AB1190" s="41"/>
      <c r="AC1190" s="41"/>
      <c r="AD1190" s="41"/>
      <c r="AE1190" s="59">
        <v>4267.064344513471</v>
      </c>
      <c r="AF1190" s="59">
        <v>4267.064344513471</v>
      </c>
      <c r="AG1190" s="59" t="s">
        <v>47</v>
      </c>
      <c r="AH1190" s="59" t="s">
        <v>1249</v>
      </c>
    </row>
    <row r="1191" spans="1:34" x14ac:dyDescent="0.35">
      <c r="A1191" s="58">
        <v>2025</v>
      </c>
      <c r="B1191" s="58">
        <v>5</v>
      </c>
      <c r="C1191">
        <v>5</v>
      </c>
      <c r="D1191" s="58" t="s">
        <v>625</v>
      </c>
      <c r="E1191" t="s">
        <v>271</v>
      </c>
      <c r="F1191" s="58" t="s">
        <v>187</v>
      </c>
      <c r="G1191" t="s">
        <v>869</v>
      </c>
      <c r="H1191" s="58" t="s">
        <v>1428</v>
      </c>
      <c r="I1191" t="s">
        <v>75</v>
      </c>
      <c r="J1191" s="58" t="s">
        <v>75</v>
      </c>
      <c r="K1191" t="s">
        <v>1429</v>
      </c>
      <c r="L1191" t="s">
        <v>20</v>
      </c>
      <c r="M1191" t="s">
        <v>1430</v>
      </c>
      <c r="N1191" s="59">
        <v>25</v>
      </c>
      <c r="O1191" s="59">
        <v>833625</v>
      </c>
      <c r="P1191" s="59">
        <v>0</v>
      </c>
      <c r="Q1191" s="59">
        <v>0</v>
      </c>
      <c r="R1191" s="59">
        <v>0</v>
      </c>
      <c r="S1191" s="59">
        <v>833625</v>
      </c>
      <c r="T1191" s="41"/>
      <c r="U1191" s="41"/>
      <c r="V1191" s="41"/>
      <c r="W1191" s="41"/>
      <c r="X1191" s="41"/>
      <c r="Y1191" s="41"/>
      <c r="Z1191" s="41"/>
      <c r="AA1191" s="41"/>
      <c r="AB1191" s="41"/>
      <c r="AC1191" s="41"/>
      <c r="AD1191" s="41"/>
      <c r="AE1191" s="59">
        <v>32.337559219954926</v>
      </c>
      <c r="AF1191" s="59">
        <v>32.337559219954926</v>
      </c>
      <c r="AG1191" s="59" t="s">
        <v>47</v>
      </c>
      <c r="AH1191" s="59" t="s">
        <v>1203</v>
      </c>
    </row>
    <row r="1192" spans="1:34" x14ac:dyDescent="0.35">
      <c r="A1192" s="58">
        <v>2025</v>
      </c>
      <c r="B1192" s="58">
        <v>5</v>
      </c>
      <c r="C1192">
        <v>5</v>
      </c>
      <c r="D1192" s="58" t="s">
        <v>1654</v>
      </c>
      <c r="E1192" t="s">
        <v>1334</v>
      </c>
      <c r="F1192" s="58" t="s">
        <v>1496</v>
      </c>
      <c r="G1192" t="s">
        <v>1497</v>
      </c>
      <c r="H1192" s="58" t="s">
        <v>1012</v>
      </c>
      <c r="I1192" t="s">
        <v>1012</v>
      </c>
      <c r="J1192" s="58" t="s">
        <v>1012</v>
      </c>
      <c r="K1192" t="s">
        <v>1429</v>
      </c>
      <c r="L1192" t="s">
        <v>20</v>
      </c>
      <c r="M1192" t="s">
        <v>1430</v>
      </c>
      <c r="N1192" s="59">
        <v>0</v>
      </c>
      <c r="O1192" s="59">
        <v>0</v>
      </c>
      <c r="P1192" s="59">
        <v>0</v>
      </c>
      <c r="Q1192" s="59">
        <v>0</v>
      </c>
      <c r="R1192" s="59">
        <v>0</v>
      </c>
      <c r="S1192" s="59">
        <v>0</v>
      </c>
      <c r="T1192" s="41"/>
      <c r="U1192" s="41"/>
      <c r="V1192" s="41"/>
      <c r="W1192" s="41"/>
      <c r="X1192" s="41"/>
      <c r="Y1192" s="41"/>
      <c r="Z1192" s="41"/>
      <c r="AA1192" s="41"/>
      <c r="AB1192" s="41"/>
      <c r="AC1192" s="41"/>
      <c r="AD1192" s="41"/>
      <c r="AE1192" s="59">
        <v>0</v>
      </c>
      <c r="AF1192" s="59">
        <v>0</v>
      </c>
      <c r="AG1192" s="59" t="s">
        <v>1334</v>
      </c>
      <c r="AH1192" s="59" t="s">
        <v>1329</v>
      </c>
    </row>
    <row r="1193" spans="1:34" x14ac:dyDescent="0.35">
      <c r="A1193" s="58">
        <v>2025</v>
      </c>
      <c r="B1193" s="58">
        <v>5</v>
      </c>
      <c r="C1193">
        <v>5</v>
      </c>
      <c r="D1193" s="58" t="s">
        <v>1655</v>
      </c>
      <c r="E1193" t="s">
        <v>1341</v>
      </c>
      <c r="F1193" s="58" t="s">
        <v>1496</v>
      </c>
      <c r="G1193" t="s">
        <v>1497</v>
      </c>
      <c r="H1193" s="58" t="s">
        <v>1012</v>
      </c>
      <c r="I1193" t="s">
        <v>1012</v>
      </c>
      <c r="J1193" s="58" t="s">
        <v>1012</v>
      </c>
      <c r="K1193" t="s">
        <v>1429</v>
      </c>
      <c r="L1193" t="s">
        <v>20</v>
      </c>
      <c r="M1193" t="s">
        <v>1430</v>
      </c>
      <c r="N1193" s="59">
        <v>0</v>
      </c>
      <c r="O1193" s="59">
        <v>0</v>
      </c>
      <c r="P1193" s="59">
        <v>0</v>
      </c>
      <c r="Q1193" s="59">
        <v>0</v>
      </c>
      <c r="R1193" s="59">
        <v>0</v>
      </c>
      <c r="S1193" s="59">
        <v>0</v>
      </c>
      <c r="T1193" s="41"/>
      <c r="U1193" s="41"/>
      <c r="V1193" s="41"/>
      <c r="W1193" s="41"/>
      <c r="X1193" s="41"/>
      <c r="Y1193" s="41"/>
      <c r="Z1193" s="41"/>
      <c r="AA1193" s="41"/>
      <c r="AB1193" s="41"/>
      <c r="AC1193" s="41"/>
      <c r="AD1193" s="41"/>
      <c r="AE1193" s="59">
        <v>0</v>
      </c>
      <c r="AF1193" s="59">
        <v>0</v>
      </c>
      <c r="AG1193" s="59" t="s">
        <v>1341</v>
      </c>
      <c r="AH1193" s="59" t="s">
        <v>1329</v>
      </c>
    </row>
    <row r="1194" spans="1:34" x14ac:dyDescent="0.35">
      <c r="A1194" s="58">
        <v>2025</v>
      </c>
      <c r="B1194" s="58">
        <v>5</v>
      </c>
      <c r="C1194">
        <v>5</v>
      </c>
      <c r="D1194" s="58" t="s">
        <v>1433</v>
      </c>
      <c r="E1194" t="s">
        <v>1276</v>
      </c>
      <c r="F1194" s="58" t="s">
        <v>1434</v>
      </c>
      <c r="G1194" t="s">
        <v>1435</v>
      </c>
      <c r="H1194" s="58" t="s">
        <v>1012</v>
      </c>
      <c r="I1194" t="s">
        <v>1012</v>
      </c>
      <c r="J1194" s="58" t="s">
        <v>1012</v>
      </c>
      <c r="K1194" t="s">
        <v>1429</v>
      </c>
      <c r="L1194" t="s">
        <v>20</v>
      </c>
      <c r="M1194" t="s">
        <v>1430</v>
      </c>
      <c r="N1194" s="59">
        <v>0</v>
      </c>
      <c r="O1194" s="59">
        <v>0</v>
      </c>
      <c r="P1194" s="59">
        <v>0</v>
      </c>
      <c r="Q1194" s="59">
        <v>0</v>
      </c>
      <c r="R1194" s="59">
        <v>0</v>
      </c>
      <c r="S1194" s="59">
        <v>0</v>
      </c>
      <c r="T1194" s="41"/>
      <c r="U1194" s="41"/>
      <c r="V1194" s="41"/>
      <c r="W1194" s="41"/>
      <c r="X1194" s="41"/>
      <c r="Y1194" s="41"/>
      <c r="Z1194" s="41"/>
      <c r="AA1194" s="41"/>
      <c r="AB1194" s="41"/>
      <c r="AC1194" s="41"/>
      <c r="AD1194" s="41"/>
      <c r="AE1194" s="59">
        <v>0</v>
      </c>
      <c r="AF1194" s="59">
        <v>0</v>
      </c>
      <c r="AG1194" s="59" t="s">
        <v>1276</v>
      </c>
      <c r="AH1194" s="59" t="s">
        <v>1319</v>
      </c>
    </row>
    <row r="1195" spans="1:34" x14ac:dyDescent="0.35">
      <c r="A1195" s="58">
        <v>2025</v>
      </c>
      <c r="B1195" s="58">
        <v>5</v>
      </c>
      <c r="C1195">
        <v>5</v>
      </c>
      <c r="D1195" s="58" t="s">
        <v>651</v>
      </c>
      <c r="E1195" t="s">
        <v>464</v>
      </c>
      <c r="F1195" s="58" t="s">
        <v>184</v>
      </c>
      <c r="G1195" t="s">
        <v>717</v>
      </c>
      <c r="H1195" s="58" t="s">
        <v>1428</v>
      </c>
      <c r="I1195" t="s">
        <v>75</v>
      </c>
      <c r="J1195" s="58" t="s">
        <v>75</v>
      </c>
      <c r="K1195" t="s">
        <v>1429</v>
      </c>
      <c r="L1195" t="s">
        <v>20</v>
      </c>
      <c r="M1195" t="s">
        <v>1430</v>
      </c>
      <c r="N1195" s="59">
        <v>9625</v>
      </c>
      <c r="O1195" s="59">
        <v>335286875</v>
      </c>
      <c r="P1195" s="59">
        <v>0</v>
      </c>
      <c r="Q1195" s="59">
        <v>0</v>
      </c>
      <c r="R1195" s="59">
        <v>0</v>
      </c>
      <c r="S1195" s="59">
        <v>335286875</v>
      </c>
      <c r="T1195" s="41"/>
      <c r="U1195" s="41"/>
      <c r="V1195" s="41"/>
      <c r="W1195" s="41"/>
      <c r="X1195" s="41"/>
      <c r="Y1195" s="41"/>
      <c r="Z1195" s="41"/>
      <c r="AA1195" s="41"/>
      <c r="AB1195" s="41"/>
      <c r="AC1195" s="41"/>
      <c r="AD1195" s="41"/>
      <c r="AE1195" s="59">
        <v>13006.278813598592</v>
      </c>
      <c r="AF1195" s="59">
        <v>13006.278813598592</v>
      </c>
      <c r="AG1195" s="59" t="s">
        <v>5</v>
      </c>
      <c r="AH1195" s="59" t="s">
        <v>1198</v>
      </c>
    </row>
    <row r="1196" spans="1:34" x14ac:dyDescent="0.35">
      <c r="A1196" s="58">
        <v>2025</v>
      </c>
      <c r="B1196" s="58">
        <v>5</v>
      </c>
      <c r="C1196">
        <v>5</v>
      </c>
      <c r="D1196" s="58" t="s">
        <v>651</v>
      </c>
      <c r="E1196" t="s">
        <v>464</v>
      </c>
      <c r="F1196" s="58" t="s">
        <v>184</v>
      </c>
      <c r="G1196" t="s">
        <v>717</v>
      </c>
      <c r="H1196" s="58" t="s">
        <v>1428</v>
      </c>
      <c r="I1196" t="s">
        <v>75</v>
      </c>
      <c r="J1196" s="58" t="s">
        <v>75</v>
      </c>
      <c r="K1196" t="s">
        <v>1429</v>
      </c>
      <c r="L1196" t="s">
        <v>20</v>
      </c>
      <c r="M1196" t="s">
        <v>1508</v>
      </c>
      <c r="N1196" s="59">
        <v>-25</v>
      </c>
      <c r="O1196" s="59">
        <v>-870875</v>
      </c>
      <c r="P1196" s="59">
        <v>0</v>
      </c>
      <c r="Q1196" s="59">
        <v>0</v>
      </c>
      <c r="R1196" s="59">
        <v>0</v>
      </c>
      <c r="S1196" s="59">
        <v>-870875</v>
      </c>
      <c r="T1196" s="41"/>
      <c r="U1196" s="41"/>
      <c r="V1196" s="41"/>
      <c r="W1196" s="41"/>
      <c r="X1196" s="41"/>
      <c r="Y1196" s="41"/>
      <c r="Z1196" s="41"/>
      <c r="AA1196" s="41"/>
      <c r="AB1196" s="41"/>
      <c r="AC1196" s="41"/>
      <c r="AD1196" s="41"/>
      <c r="AE1196" s="59">
        <v>-33.78254237298335</v>
      </c>
      <c r="AF1196" s="59">
        <v>-33.78254237298335</v>
      </c>
      <c r="AG1196" s="59" t="s">
        <v>5</v>
      </c>
      <c r="AH1196" s="59" t="s">
        <v>1198</v>
      </c>
    </row>
    <row r="1197" spans="1:34" x14ac:dyDescent="0.35">
      <c r="A1197" s="58">
        <v>2025</v>
      </c>
      <c r="B1197" s="58">
        <v>5</v>
      </c>
      <c r="C1197">
        <v>5</v>
      </c>
      <c r="D1197" s="58" t="s">
        <v>651</v>
      </c>
      <c r="E1197" t="s">
        <v>464</v>
      </c>
      <c r="F1197" s="58" t="s">
        <v>191</v>
      </c>
      <c r="G1197" t="s">
        <v>941</v>
      </c>
      <c r="H1197" s="58" t="s">
        <v>1428</v>
      </c>
      <c r="I1197" t="s">
        <v>75</v>
      </c>
      <c r="J1197" s="58" t="s">
        <v>75</v>
      </c>
      <c r="K1197" t="s">
        <v>1429</v>
      </c>
      <c r="L1197" t="s">
        <v>20</v>
      </c>
      <c r="M1197" t="s">
        <v>1431</v>
      </c>
      <c r="N1197" s="59">
        <v>75</v>
      </c>
      <c r="O1197" s="59">
        <v>0</v>
      </c>
      <c r="P1197" s="59">
        <v>0</v>
      </c>
      <c r="Q1197" s="59">
        <v>0</v>
      </c>
      <c r="R1197" s="59">
        <v>0</v>
      </c>
      <c r="S1197" s="59">
        <v>0</v>
      </c>
      <c r="T1197" s="41"/>
      <c r="U1197" s="41"/>
      <c r="V1197" s="41"/>
      <c r="W1197" s="41"/>
      <c r="X1197" s="41"/>
      <c r="Y1197" s="41"/>
      <c r="Z1197" s="41"/>
      <c r="AA1197" s="41"/>
      <c r="AB1197" s="41"/>
      <c r="AC1197" s="41"/>
      <c r="AD1197" s="41"/>
      <c r="AE1197" s="59">
        <v>0</v>
      </c>
      <c r="AF1197" s="59">
        <v>0</v>
      </c>
      <c r="AG1197" s="59" t="s">
        <v>5</v>
      </c>
      <c r="AH1197" s="59" t="s">
        <v>1208</v>
      </c>
    </row>
    <row r="1198" spans="1:34" x14ac:dyDescent="0.35">
      <c r="A1198" s="58">
        <v>2025</v>
      </c>
      <c r="B1198" s="58">
        <v>5</v>
      </c>
      <c r="C1198">
        <v>5</v>
      </c>
      <c r="D1198" s="58" t="s">
        <v>651</v>
      </c>
      <c r="E1198" t="s">
        <v>464</v>
      </c>
      <c r="F1198" s="58" t="s">
        <v>191</v>
      </c>
      <c r="G1198" t="s">
        <v>941</v>
      </c>
      <c r="H1198" s="58" t="s">
        <v>1428</v>
      </c>
      <c r="I1198" t="s">
        <v>75</v>
      </c>
      <c r="J1198" s="58" t="s">
        <v>75</v>
      </c>
      <c r="K1198" t="s">
        <v>1429</v>
      </c>
      <c r="L1198" t="s">
        <v>20</v>
      </c>
      <c r="M1198" t="s">
        <v>1432</v>
      </c>
      <c r="N1198" s="59">
        <v>-75</v>
      </c>
      <c r="O1198" s="59">
        <v>0</v>
      </c>
      <c r="P1198" s="59">
        <v>0</v>
      </c>
      <c r="Q1198" s="59">
        <v>0</v>
      </c>
      <c r="R1198" s="59">
        <v>0</v>
      </c>
      <c r="S1198" s="59">
        <v>0</v>
      </c>
      <c r="T1198" s="41"/>
      <c r="U1198" s="41"/>
      <c r="V1198" s="41"/>
      <c r="W1198" s="41"/>
      <c r="X1198" s="41"/>
      <c r="Y1198" s="41"/>
      <c r="Z1198" s="41"/>
      <c r="AA1198" s="41"/>
      <c r="AB1198" s="41"/>
      <c r="AC1198" s="41"/>
      <c r="AD1198" s="41"/>
      <c r="AE1198" s="59">
        <v>0</v>
      </c>
      <c r="AF1198" s="59">
        <v>0</v>
      </c>
      <c r="AG1198" s="59" t="s">
        <v>5</v>
      </c>
      <c r="AH1198" s="59" t="s">
        <v>1208</v>
      </c>
    </row>
    <row r="1199" spans="1:34" x14ac:dyDescent="0.35">
      <c r="A1199" s="58">
        <v>2025</v>
      </c>
      <c r="B1199" s="58">
        <v>5</v>
      </c>
      <c r="C1199">
        <v>5</v>
      </c>
      <c r="D1199" s="58" t="s">
        <v>589</v>
      </c>
      <c r="E1199" t="s">
        <v>322</v>
      </c>
      <c r="F1199" s="58" t="s">
        <v>171</v>
      </c>
      <c r="G1199" t="s">
        <v>731</v>
      </c>
      <c r="H1199" s="58" t="s">
        <v>4</v>
      </c>
      <c r="I1199" t="s">
        <v>4</v>
      </c>
      <c r="J1199" s="58" t="s">
        <v>4</v>
      </c>
      <c r="K1199" t="s">
        <v>1429</v>
      </c>
      <c r="L1199" t="s">
        <v>20</v>
      </c>
      <c r="M1199" t="s">
        <v>1430</v>
      </c>
      <c r="N1199" s="59">
        <v>220000</v>
      </c>
      <c r="O1199" s="59">
        <v>7053860000</v>
      </c>
      <c r="P1199" s="59">
        <v>33699643.413729139</v>
      </c>
      <c r="Q1199" s="59">
        <v>0</v>
      </c>
      <c r="R1199" s="59">
        <v>30800000</v>
      </c>
      <c r="S1199" s="59">
        <v>6989360356.5862694</v>
      </c>
      <c r="T1199" s="41"/>
      <c r="U1199" s="41"/>
      <c r="V1199" s="41"/>
      <c r="W1199" s="41"/>
      <c r="X1199" s="41"/>
      <c r="Y1199" s="41"/>
      <c r="Z1199" s="41"/>
      <c r="AA1199" s="41"/>
      <c r="AB1199" s="41"/>
      <c r="AC1199" s="41"/>
      <c r="AD1199" s="41"/>
      <c r="AE1199" s="59">
        <v>271127.73062313849</v>
      </c>
      <c r="AF1199" s="59">
        <v>273629.76815627079</v>
      </c>
      <c r="AG1199" s="59" t="s">
        <v>5</v>
      </c>
      <c r="AH1199" s="59" t="s">
        <v>1166</v>
      </c>
    </row>
    <row r="1200" spans="1:34" x14ac:dyDescent="0.35">
      <c r="A1200" s="58">
        <v>2025</v>
      </c>
      <c r="B1200" s="58">
        <v>5</v>
      </c>
      <c r="C1200">
        <v>5</v>
      </c>
      <c r="D1200" s="58" t="s">
        <v>589</v>
      </c>
      <c r="E1200" t="s">
        <v>322</v>
      </c>
      <c r="F1200" s="58" t="s">
        <v>1152</v>
      </c>
      <c r="G1200" t="s">
        <v>1153</v>
      </c>
      <c r="H1200" s="58" t="s">
        <v>1012</v>
      </c>
      <c r="I1200" t="s">
        <v>1012</v>
      </c>
      <c r="J1200" s="58" t="s">
        <v>1399</v>
      </c>
      <c r="K1200" t="s">
        <v>1429</v>
      </c>
      <c r="L1200" t="s">
        <v>20</v>
      </c>
      <c r="M1200" t="s">
        <v>1430</v>
      </c>
      <c r="N1200" s="59">
        <v>0</v>
      </c>
      <c r="O1200" s="59">
        <v>0</v>
      </c>
      <c r="P1200" s="59">
        <v>0</v>
      </c>
      <c r="Q1200" s="59">
        <v>0</v>
      </c>
      <c r="R1200" s="59">
        <v>0</v>
      </c>
      <c r="S1200" s="59">
        <v>0</v>
      </c>
      <c r="T1200" s="41"/>
      <c r="U1200" s="41"/>
      <c r="V1200" s="41"/>
      <c r="W1200" s="41"/>
      <c r="X1200" s="41"/>
      <c r="Y1200" s="41"/>
      <c r="Z1200" s="41"/>
      <c r="AA1200" s="41"/>
      <c r="AB1200" s="41"/>
      <c r="AC1200" s="41"/>
      <c r="AD1200" s="41"/>
      <c r="AE1200" s="59">
        <v>0</v>
      </c>
      <c r="AF1200" s="59">
        <v>0</v>
      </c>
      <c r="AG1200" s="59" t="s">
        <v>5</v>
      </c>
      <c r="AH1200" s="59" t="s">
        <v>1400</v>
      </c>
    </row>
    <row r="1201" spans="1:34" x14ac:dyDescent="0.35">
      <c r="A1201" s="58">
        <v>2025</v>
      </c>
      <c r="B1201" s="58">
        <v>5</v>
      </c>
      <c r="C1201">
        <v>5</v>
      </c>
      <c r="D1201" s="58" t="s">
        <v>621</v>
      </c>
      <c r="E1201" t="s">
        <v>257</v>
      </c>
      <c r="F1201" s="58" t="s">
        <v>176</v>
      </c>
      <c r="G1201" t="s">
        <v>975</v>
      </c>
      <c r="H1201" s="58" t="s">
        <v>4</v>
      </c>
      <c r="I1201" t="s">
        <v>4</v>
      </c>
      <c r="J1201" s="58" t="s">
        <v>4</v>
      </c>
      <c r="K1201" t="s">
        <v>1429</v>
      </c>
      <c r="L1201" t="s">
        <v>20</v>
      </c>
      <c r="M1201" t="s">
        <v>1430</v>
      </c>
      <c r="N1201" s="59">
        <v>3850</v>
      </c>
      <c r="O1201" s="59">
        <v>135027200</v>
      </c>
      <c r="P1201" s="59">
        <v>168498.21706864564</v>
      </c>
      <c r="Q1201" s="59">
        <v>0</v>
      </c>
      <c r="R1201" s="59">
        <v>0</v>
      </c>
      <c r="S1201" s="59">
        <v>134858701.78293136</v>
      </c>
      <c r="T1201" s="41"/>
      <c r="U1201" s="41"/>
      <c r="V1201" s="41"/>
      <c r="W1201" s="41"/>
      <c r="X1201" s="41"/>
      <c r="Y1201" s="41"/>
      <c r="Z1201" s="41"/>
      <c r="AA1201" s="41"/>
      <c r="AB1201" s="41"/>
      <c r="AC1201" s="41"/>
      <c r="AD1201" s="41"/>
      <c r="AE1201" s="59">
        <v>5231.3705265938324</v>
      </c>
      <c r="AF1201" s="59">
        <v>5237.9068241771756</v>
      </c>
      <c r="AG1201" s="59" t="s">
        <v>16</v>
      </c>
      <c r="AH1201" s="59" t="s">
        <v>1191</v>
      </c>
    </row>
    <row r="1202" spans="1:34" x14ac:dyDescent="0.35">
      <c r="A1202" s="58">
        <v>2025</v>
      </c>
      <c r="B1202" s="58">
        <v>5</v>
      </c>
      <c r="C1202">
        <v>5</v>
      </c>
      <c r="D1202" s="58" t="s">
        <v>621</v>
      </c>
      <c r="E1202" t="s">
        <v>257</v>
      </c>
      <c r="F1202" s="58" t="s">
        <v>1492</v>
      </c>
      <c r="G1202" t="s">
        <v>1493</v>
      </c>
      <c r="H1202" s="58" t="s">
        <v>1012</v>
      </c>
      <c r="I1202" t="s">
        <v>1012</v>
      </c>
      <c r="J1202" s="58" t="s">
        <v>1012</v>
      </c>
      <c r="K1202" t="s">
        <v>1429</v>
      </c>
      <c r="L1202" t="s">
        <v>20</v>
      </c>
      <c r="M1202" t="s">
        <v>1430</v>
      </c>
      <c r="N1202" s="59">
        <v>0</v>
      </c>
      <c r="O1202" s="59">
        <v>0</v>
      </c>
      <c r="P1202" s="59">
        <v>0</v>
      </c>
      <c r="Q1202" s="59">
        <v>0</v>
      </c>
      <c r="R1202" s="59">
        <v>0</v>
      </c>
      <c r="S1202" s="59">
        <v>0</v>
      </c>
      <c r="T1202" s="41"/>
      <c r="U1202" s="41"/>
      <c r="V1202" s="41"/>
      <c r="W1202" s="41"/>
      <c r="X1202" s="41"/>
      <c r="Y1202" s="41"/>
      <c r="Z1202" s="41"/>
      <c r="AA1202" s="41"/>
      <c r="AB1202" s="41"/>
      <c r="AC1202" s="41"/>
      <c r="AD1202" s="41"/>
      <c r="AE1202" s="59">
        <v>0</v>
      </c>
      <c r="AF1202" s="59">
        <v>0</v>
      </c>
      <c r="AG1202" s="59" t="s">
        <v>16</v>
      </c>
      <c r="AH1202" s="59" t="s">
        <v>1269</v>
      </c>
    </row>
    <row r="1203" spans="1:34" x14ac:dyDescent="0.35">
      <c r="A1203" s="58">
        <v>2025</v>
      </c>
      <c r="B1203" s="58">
        <v>5</v>
      </c>
      <c r="C1203">
        <v>5</v>
      </c>
      <c r="D1203" s="58" t="s">
        <v>621</v>
      </c>
      <c r="E1203" t="s">
        <v>257</v>
      </c>
      <c r="F1203" s="58" t="s">
        <v>1152</v>
      </c>
      <c r="G1203" t="s">
        <v>1153</v>
      </c>
      <c r="H1203" s="58" t="s">
        <v>1012</v>
      </c>
      <c r="I1203" t="s">
        <v>1012</v>
      </c>
      <c r="J1203" s="58" t="s">
        <v>1399</v>
      </c>
      <c r="K1203" t="s">
        <v>1429</v>
      </c>
      <c r="L1203" t="s">
        <v>20</v>
      </c>
      <c r="M1203" t="s">
        <v>1430</v>
      </c>
      <c r="N1203" s="59">
        <v>0</v>
      </c>
      <c r="O1203" s="59">
        <v>8985900</v>
      </c>
      <c r="P1203" s="59">
        <v>0</v>
      </c>
      <c r="Q1203" s="59">
        <v>0</v>
      </c>
      <c r="R1203" s="59">
        <v>0</v>
      </c>
      <c r="S1203" s="59">
        <v>8985900</v>
      </c>
      <c r="T1203" s="41"/>
      <c r="U1203" s="41"/>
      <c r="V1203" s="41"/>
      <c r="W1203" s="41"/>
      <c r="X1203" s="41"/>
      <c r="Y1203" s="41"/>
      <c r="Z1203" s="41"/>
      <c r="AA1203" s="41"/>
      <c r="AB1203" s="41"/>
      <c r="AC1203" s="41"/>
      <c r="AD1203" s="41"/>
      <c r="AE1203" s="59">
        <v>348.57648630330544</v>
      </c>
      <c r="AF1203" s="59">
        <v>348.57648630330544</v>
      </c>
      <c r="AG1203" s="59" t="s">
        <v>16</v>
      </c>
      <c r="AH1203" s="59" t="s">
        <v>1400</v>
      </c>
    </row>
    <row r="1204" spans="1:34" x14ac:dyDescent="0.35">
      <c r="A1204" s="58">
        <v>2025</v>
      </c>
      <c r="B1204" s="58">
        <v>5</v>
      </c>
      <c r="C1204">
        <v>5</v>
      </c>
      <c r="D1204" s="58" t="s">
        <v>590</v>
      </c>
      <c r="E1204" t="s">
        <v>500</v>
      </c>
      <c r="F1204" s="58" t="s">
        <v>168</v>
      </c>
      <c r="G1204" t="s">
        <v>700</v>
      </c>
      <c r="H1204" s="58" t="s">
        <v>4</v>
      </c>
      <c r="I1204" t="s">
        <v>4</v>
      </c>
      <c r="J1204" s="58" t="s">
        <v>4</v>
      </c>
      <c r="K1204" t="s">
        <v>1429</v>
      </c>
      <c r="L1204" t="s">
        <v>20</v>
      </c>
      <c r="M1204" t="s">
        <v>1430</v>
      </c>
      <c r="N1204" s="59">
        <v>330000</v>
      </c>
      <c r="O1204" s="59">
        <v>12094104000</v>
      </c>
      <c r="P1204" s="59">
        <v>23261730</v>
      </c>
      <c r="Q1204" s="59">
        <v>0</v>
      </c>
      <c r="R1204" s="59">
        <v>204166666.6666666</v>
      </c>
      <c r="S1204" s="59">
        <v>11688682513.333336</v>
      </c>
      <c r="T1204" s="41"/>
      <c r="U1204" s="41"/>
      <c r="V1204" s="41"/>
      <c r="W1204" s="41"/>
      <c r="X1204" s="41"/>
      <c r="Y1204" s="41"/>
      <c r="Z1204" s="41"/>
      <c r="AA1204" s="41"/>
      <c r="AB1204" s="41"/>
      <c r="AC1204" s="41"/>
      <c r="AD1204" s="41"/>
      <c r="AE1204" s="59">
        <v>453421.45806347986</v>
      </c>
      <c r="AF1204" s="59">
        <v>469148.36324761581</v>
      </c>
      <c r="AG1204" s="59" t="s">
        <v>8</v>
      </c>
      <c r="AH1204" s="59" t="s">
        <v>1160</v>
      </c>
    </row>
    <row r="1205" spans="1:34" x14ac:dyDescent="0.35">
      <c r="A1205" s="58">
        <v>2025</v>
      </c>
      <c r="B1205" s="58">
        <v>5</v>
      </c>
      <c r="C1205">
        <v>5</v>
      </c>
      <c r="D1205" s="58" t="s">
        <v>590</v>
      </c>
      <c r="E1205" t="s">
        <v>500</v>
      </c>
      <c r="F1205" s="58" t="s">
        <v>1535</v>
      </c>
      <c r="G1205" t="s">
        <v>1536</v>
      </c>
      <c r="H1205" s="58" t="s">
        <v>1012</v>
      </c>
      <c r="I1205" t="s">
        <v>1012</v>
      </c>
      <c r="J1205" s="58" t="s">
        <v>1012</v>
      </c>
      <c r="K1205" t="s">
        <v>1429</v>
      </c>
      <c r="L1205" t="s">
        <v>20</v>
      </c>
      <c r="M1205" t="s">
        <v>1430</v>
      </c>
      <c r="N1205" s="59">
        <v>0</v>
      </c>
      <c r="O1205" s="59">
        <v>0</v>
      </c>
      <c r="P1205" s="59">
        <v>0</v>
      </c>
      <c r="Q1205" s="59">
        <v>0</v>
      </c>
      <c r="R1205" s="59">
        <v>0</v>
      </c>
      <c r="S1205" s="59">
        <v>177993090</v>
      </c>
      <c r="T1205" s="41"/>
      <c r="U1205" s="41"/>
      <c r="V1205" s="41"/>
      <c r="W1205" s="41"/>
      <c r="X1205" s="41"/>
      <c r="Y1205" s="41"/>
      <c r="Z1205" s="41"/>
      <c r="AA1205" s="41"/>
      <c r="AB1205" s="41"/>
      <c r="AC1205" s="41"/>
      <c r="AD1205" s="41"/>
      <c r="AE1205" s="59">
        <v>6904.6178900797931</v>
      </c>
      <c r="AF1205" s="59">
        <v>0</v>
      </c>
      <c r="AG1205" s="59" t="s">
        <v>8</v>
      </c>
      <c r="AH1205" s="59" t="s">
        <v>1270</v>
      </c>
    </row>
    <row r="1206" spans="1:34" x14ac:dyDescent="0.35">
      <c r="A1206" s="58">
        <v>2025</v>
      </c>
      <c r="B1206" s="58">
        <v>5</v>
      </c>
      <c r="C1206">
        <v>5</v>
      </c>
      <c r="D1206" s="58" t="s">
        <v>590</v>
      </c>
      <c r="E1206" t="s">
        <v>500</v>
      </c>
      <c r="F1206" s="58" t="s">
        <v>1590</v>
      </c>
      <c r="G1206" t="s">
        <v>1590</v>
      </c>
      <c r="H1206" s="58" t="s">
        <v>1012</v>
      </c>
      <c r="I1206" t="s">
        <v>1012</v>
      </c>
      <c r="J1206" s="58" t="s">
        <v>1012</v>
      </c>
      <c r="K1206" t="s">
        <v>1429</v>
      </c>
      <c r="L1206" t="s">
        <v>20</v>
      </c>
      <c r="M1206" t="s">
        <v>1591</v>
      </c>
      <c r="N1206" s="59">
        <v>0</v>
      </c>
      <c r="O1206" s="59">
        <v>-177993090</v>
      </c>
      <c r="P1206" s="59">
        <v>0</v>
      </c>
      <c r="Q1206" s="59">
        <v>0</v>
      </c>
      <c r="R1206" s="59">
        <v>0</v>
      </c>
      <c r="S1206" s="59">
        <v>-177993090</v>
      </c>
      <c r="T1206" s="41"/>
      <c r="U1206" s="41"/>
      <c r="V1206" s="41"/>
      <c r="W1206" s="41"/>
      <c r="X1206" s="41"/>
      <c r="Y1206" s="41"/>
      <c r="Z1206" s="41"/>
      <c r="AA1206" s="41"/>
      <c r="AB1206" s="41"/>
      <c r="AC1206" s="41"/>
      <c r="AD1206" s="41"/>
      <c r="AE1206" s="59">
        <v>-6904.6178900797904</v>
      </c>
      <c r="AF1206" s="59">
        <v>-6904.6178900797904</v>
      </c>
      <c r="AG1206" s="59" t="s">
        <v>8</v>
      </c>
      <c r="AH1206" s="59" t="s">
        <v>1592</v>
      </c>
    </row>
    <row r="1207" spans="1:34" x14ac:dyDescent="0.35">
      <c r="A1207" s="58">
        <v>2025</v>
      </c>
      <c r="B1207" s="58">
        <v>5</v>
      </c>
      <c r="C1207">
        <v>5</v>
      </c>
      <c r="D1207" s="58" t="s">
        <v>601</v>
      </c>
      <c r="E1207" t="s">
        <v>501</v>
      </c>
      <c r="F1207" s="58" t="s">
        <v>168</v>
      </c>
      <c r="G1207" t="s">
        <v>700</v>
      </c>
      <c r="H1207" s="58" t="s">
        <v>4</v>
      </c>
      <c r="I1207" t="s">
        <v>4</v>
      </c>
      <c r="J1207" s="58" t="s">
        <v>4</v>
      </c>
      <c r="K1207" t="s">
        <v>1429</v>
      </c>
      <c r="L1207" t="s">
        <v>20</v>
      </c>
      <c r="M1207" t="s">
        <v>1430</v>
      </c>
      <c r="N1207" s="59">
        <v>2200</v>
      </c>
      <c r="O1207" s="59">
        <v>76626000</v>
      </c>
      <c r="P1207" s="59">
        <v>336996.43413729127</v>
      </c>
      <c r="Q1207" s="59">
        <v>0</v>
      </c>
      <c r="R1207" s="59">
        <v>0</v>
      </c>
      <c r="S1207" s="59">
        <v>76289003.565862715</v>
      </c>
      <c r="T1207" s="41"/>
      <c r="U1207" s="41"/>
      <c r="V1207" s="41"/>
      <c r="W1207" s="41"/>
      <c r="X1207" s="41"/>
      <c r="Y1207" s="41"/>
      <c r="Z1207" s="41"/>
      <c r="AA1207" s="41"/>
      <c r="AB1207" s="41"/>
      <c r="AC1207" s="41"/>
      <c r="AD1207" s="41"/>
      <c r="AE1207" s="59">
        <v>2959.3644272213983</v>
      </c>
      <c r="AF1207" s="59">
        <v>2972.4370223880837</v>
      </c>
      <c r="AG1207" s="59" t="s">
        <v>109</v>
      </c>
      <c r="AH1207" s="59" t="s">
        <v>1160</v>
      </c>
    </row>
    <row r="1208" spans="1:34" x14ac:dyDescent="0.35">
      <c r="A1208" s="58">
        <v>2025</v>
      </c>
      <c r="B1208" s="58">
        <v>5</v>
      </c>
      <c r="C1208">
        <v>5</v>
      </c>
      <c r="D1208" s="58" t="s">
        <v>601</v>
      </c>
      <c r="E1208" t="s">
        <v>501</v>
      </c>
      <c r="F1208" s="58" t="s">
        <v>171</v>
      </c>
      <c r="G1208" t="s">
        <v>731</v>
      </c>
      <c r="H1208" s="58" t="s">
        <v>4</v>
      </c>
      <c r="I1208" t="s">
        <v>4</v>
      </c>
      <c r="J1208" s="58" t="s">
        <v>4</v>
      </c>
      <c r="K1208" t="s">
        <v>1429</v>
      </c>
      <c r="L1208" t="s">
        <v>20</v>
      </c>
      <c r="M1208" t="s">
        <v>1431</v>
      </c>
      <c r="N1208" s="59">
        <v>900</v>
      </c>
      <c r="O1208" s="59">
        <v>0</v>
      </c>
      <c r="P1208" s="59">
        <v>168498.21706864564</v>
      </c>
      <c r="Q1208" s="59">
        <v>0</v>
      </c>
      <c r="R1208" s="59">
        <v>0</v>
      </c>
      <c r="S1208" s="59">
        <v>-168498.21706864564</v>
      </c>
      <c r="T1208" s="41"/>
      <c r="U1208" s="41"/>
      <c r="V1208" s="41"/>
      <c r="W1208" s="41"/>
      <c r="X1208" s="41"/>
      <c r="Y1208" s="41"/>
      <c r="Z1208" s="41"/>
      <c r="AA1208" s="41"/>
      <c r="AB1208" s="41"/>
      <c r="AC1208" s="41"/>
      <c r="AD1208" s="41"/>
      <c r="AE1208" s="59">
        <v>-6.5362975833428081</v>
      </c>
      <c r="AF1208" s="59">
        <v>0</v>
      </c>
      <c r="AG1208" s="59" t="s">
        <v>109</v>
      </c>
      <c r="AH1208" s="59" t="s">
        <v>1166</v>
      </c>
    </row>
    <row r="1209" spans="1:34" x14ac:dyDescent="0.35">
      <c r="A1209" s="58">
        <v>2025</v>
      </c>
      <c r="B1209" s="58">
        <v>5</v>
      </c>
      <c r="C1209">
        <v>5</v>
      </c>
      <c r="D1209" s="58" t="s">
        <v>601</v>
      </c>
      <c r="E1209" t="s">
        <v>501</v>
      </c>
      <c r="F1209" s="58" t="s">
        <v>171</v>
      </c>
      <c r="G1209" t="s">
        <v>731</v>
      </c>
      <c r="H1209" s="58" t="s">
        <v>4</v>
      </c>
      <c r="I1209" t="s">
        <v>4</v>
      </c>
      <c r="J1209" s="58" t="s">
        <v>4</v>
      </c>
      <c r="K1209" t="s">
        <v>1429</v>
      </c>
      <c r="L1209" t="s">
        <v>20</v>
      </c>
      <c r="M1209" t="s">
        <v>1430</v>
      </c>
      <c r="N1209" s="59">
        <v>28600</v>
      </c>
      <c r="O1209" s="59">
        <v>974001600</v>
      </c>
      <c r="P1209" s="59">
        <v>4380953.6437847866</v>
      </c>
      <c r="Q1209" s="59">
        <v>0</v>
      </c>
      <c r="R1209" s="59">
        <v>3080000</v>
      </c>
      <c r="S1209" s="59">
        <v>966540646.35621512</v>
      </c>
      <c r="T1209" s="41"/>
      <c r="U1209" s="41"/>
      <c r="V1209" s="41"/>
      <c r="W1209" s="41"/>
      <c r="X1209" s="41"/>
      <c r="Y1209" s="41"/>
      <c r="Z1209" s="41"/>
      <c r="AA1209" s="41"/>
      <c r="AB1209" s="41"/>
      <c r="AC1209" s="41"/>
      <c r="AD1209" s="41"/>
      <c r="AE1209" s="59">
        <v>37493.555723541904</v>
      </c>
      <c r="AF1209" s="59">
        <v>37782.977262355198</v>
      </c>
      <c r="AG1209" s="59" t="s">
        <v>109</v>
      </c>
      <c r="AH1209" s="59" t="s">
        <v>1166</v>
      </c>
    </row>
    <row r="1210" spans="1:34" x14ac:dyDescent="0.35">
      <c r="A1210" s="58">
        <v>2025</v>
      </c>
      <c r="B1210" s="58">
        <v>5</v>
      </c>
      <c r="C1210">
        <v>5</v>
      </c>
      <c r="D1210" s="58" t="s">
        <v>601</v>
      </c>
      <c r="E1210" t="s">
        <v>501</v>
      </c>
      <c r="F1210" s="58" t="s">
        <v>171</v>
      </c>
      <c r="G1210" t="s">
        <v>731</v>
      </c>
      <c r="H1210" s="58" t="s">
        <v>4</v>
      </c>
      <c r="I1210" t="s">
        <v>4</v>
      </c>
      <c r="J1210" s="58" t="s">
        <v>4</v>
      </c>
      <c r="K1210" t="s">
        <v>1429</v>
      </c>
      <c r="L1210" t="s">
        <v>20</v>
      </c>
      <c r="M1210" t="s">
        <v>1432</v>
      </c>
      <c r="N1210" s="59">
        <v>-900</v>
      </c>
      <c r="O1210" s="59">
        <v>0</v>
      </c>
      <c r="P1210" s="59">
        <v>-168498.21706864564</v>
      </c>
      <c r="Q1210" s="59">
        <v>0</v>
      </c>
      <c r="R1210" s="59">
        <v>0</v>
      </c>
      <c r="S1210" s="59">
        <v>168498.21706864564</v>
      </c>
      <c r="T1210" s="41"/>
      <c r="U1210" s="41"/>
      <c r="V1210" s="41"/>
      <c r="W1210" s="41"/>
      <c r="X1210" s="41"/>
      <c r="Y1210" s="41"/>
      <c r="Z1210" s="41"/>
      <c r="AA1210" s="41"/>
      <c r="AB1210" s="41"/>
      <c r="AC1210" s="41"/>
      <c r="AD1210" s="41"/>
      <c r="AE1210" s="59">
        <v>6.5362975833428081</v>
      </c>
      <c r="AF1210" s="59">
        <v>0</v>
      </c>
      <c r="AG1210" s="59" t="s">
        <v>109</v>
      </c>
      <c r="AH1210" s="59" t="s">
        <v>1166</v>
      </c>
    </row>
    <row r="1211" spans="1:34" x14ac:dyDescent="0.35">
      <c r="A1211" s="58">
        <v>2025</v>
      </c>
      <c r="B1211" s="58">
        <v>5</v>
      </c>
      <c r="C1211">
        <v>5</v>
      </c>
      <c r="D1211" s="58" t="s">
        <v>620</v>
      </c>
      <c r="E1211" t="s">
        <v>324</v>
      </c>
      <c r="F1211" s="58" t="s">
        <v>168</v>
      </c>
      <c r="G1211" t="s">
        <v>700</v>
      </c>
      <c r="H1211" s="58" t="s">
        <v>4</v>
      </c>
      <c r="I1211" t="s">
        <v>4</v>
      </c>
      <c r="J1211" s="58" t="s">
        <v>4</v>
      </c>
      <c r="K1211" t="s">
        <v>1429</v>
      </c>
      <c r="L1211" t="s">
        <v>20</v>
      </c>
      <c r="M1211" t="s">
        <v>1508</v>
      </c>
      <c r="N1211" s="59">
        <v>-40039.699999999997</v>
      </c>
      <c r="O1211" s="59">
        <v>-1425747651</v>
      </c>
      <c r="P1211" s="59">
        <v>0</v>
      </c>
      <c r="Q1211" s="59">
        <v>0</v>
      </c>
      <c r="R1211" s="59">
        <v>0</v>
      </c>
      <c r="S1211" s="59">
        <v>-1404515849.325</v>
      </c>
      <c r="T1211" s="41"/>
      <c r="U1211" s="41"/>
      <c r="V1211" s="41"/>
      <c r="W1211" s="41"/>
      <c r="X1211" s="41"/>
      <c r="Y1211" s="41"/>
      <c r="Z1211" s="41"/>
      <c r="AA1211" s="41"/>
      <c r="AB1211" s="41"/>
      <c r="AC1211" s="41"/>
      <c r="AD1211" s="41"/>
      <c r="AE1211" s="59">
        <v>-54483.268199625112</v>
      </c>
      <c r="AF1211" s="59">
        <v>-55306.88150778124</v>
      </c>
      <c r="AG1211" s="59" t="s">
        <v>8</v>
      </c>
      <c r="AH1211" s="59" t="s">
        <v>1160</v>
      </c>
    </row>
    <row r="1212" spans="1:34" x14ac:dyDescent="0.35">
      <c r="A1212" s="58">
        <v>2025</v>
      </c>
      <c r="B1212" s="58">
        <v>5</v>
      </c>
      <c r="C1212">
        <v>5</v>
      </c>
      <c r="D1212" s="58" t="s">
        <v>620</v>
      </c>
      <c r="E1212" t="s">
        <v>324</v>
      </c>
      <c r="F1212" s="58" t="s">
        <v>1535</v>
      </c>
      <c r="G1212" t="s">
        <v>1536</v>
      </c>
      <c r="H1212" s="58" t="s">
        <v>1012</v>
      </c>
      <c r="I1212" t="s">
        <v>1012</v>
      </c>
      <c r="J1212" s="58" t="s">
        <v>1012</v>
      </c>
      <c r="K1212" t="s">
        <v>1429</v>
      </c>
      <c r="L1212" t="s">
        <v>20</v>
      </c>
      <c r="M1212" t="s">
        <v>1430</v>
      </c>
      <c r="N1212" s="59">
        <v>0</v>
      </c>
      <c r="O1212" s="59">
        <v>0</v>
      </c>
      <c r="P1212" s="59">
        <v>0</v>
      </c>
      <c r="Q1212" s="59">
        <v>0</v>
      </c>
      <c r="R1212" s="59">
        <v>0</v>
      </c>
      <c r="S1212" s="59">
        <v>-21231801.675000001</v>
      </c>
      <c r="T1212" s="41"/>
      <c r="U1212" s="41"/>
      <c r="V1212" s="41"/>
      <c r="W1212" s="41"/>
      <c r="X1212" s="41"/>
      <c r="Y1212" s="41"/>
      <c r="Z1212" s="41"/>
      <c r="AA1212" s="41"/>
      <c r="AB1212" s="41"/>
      <c r="AC1212" s="41"/>
      <c r="AD1212" s="41"/>
      <c r="AE1212" s="59">
        <v>-823.61330815612632</v>
      </c>
      <c r="AF1212" s="59">
        <v>0</v>
      </c>
      <c r="AG1212" s="59" t="s">
        <v>8</v>
      </c>
      <c r="AH1212" s="59" t="s">
        <v>1270</v>
      </c>
    </row>
    <row r="1213" spans="1:34" x14ac:dyDescent="0.35">
      <c r="A1213" s="58">
        <v>2025</v>
      </c>
      <c r="B1213" s="58">
        <v>5</v>
      </c>
      <c r="C1213">
        <v>5</v>
      </c>
      <c r="D1213" s="58" t="s">
        <v>620</v>
      </c>
      <c r="E1213" t="s">
        <v>324</v>
      </c>
      <c r="F1213" s="58" t="s">
        <v>1468</v>
      </c>
      <c r="G1213" t="s">
        <v>1012</v>
      </c>
      <c r="H1213" s="58" t="s">
        <v>1012</v>
      </c>
      <c r="I1213" t="s">
        <v>1012</v>
      </c>
      <c r="J1213" s="58" t="s">
        <v>1012</v>
      </c>
      <c r="K1213" t="s">
        <v>1429</v>
      </c>
      <c r="L1213" t="s">
        <v>20</v>
      </c>
      <c r="M1213" t="s">
        <v>1430</v>
      </c>
      <c r="N1213" s="59">
        <v>0</v>
      </c>
      <c r="O1213" s="59">
        <v>9798750</v>
      </c>
      <c r="P1213" s="59">
        <v>0</v>
      </c>
      <c r="Q1213" s="59">
        <v>0</v>
      </c>
      <c r="R1213" s="59">
        <v>0</v>
      </c>
      <c r="S1213" s="59">
        <v>9798750</v>
      </c>
      <c r="T1213" s="41"/>
      <c r="U1213" s="41"/>
      <c r="V1213" s="41"/>
      <c r="W1213" s="41"/>
      <c r="X1213" s="41"/>
      <c r="Y1213" s="41"/>
      <c r="Z1213" s="41"/>
      <c r="AA1213" s="41"/>
      <c r="AB1213" s="41"/>
      <c r="AC1213" s="41"/>
      <c r="AD1213" s="41"/>
      <c r="AE1213" s="59">
        <v>380.10815223455791</v>
      </c>
      <c r="AF1213" s="59">
        <v>380.10815223455791</v>
      </c>
      <c r="AG1213" s="59" t="s">
        <v>8</v>
      </c>
      <c r="AH1213" s="59" t="s">
        <v>1284</v>
      </c>
    </row>
    <row r="1214" spans="1:34" x14ac:dyDescent="0.35">
      <c r="A1214" s="58">
        <v>2025</v>
      </c>
      <c r="B1214" s="58">
        <v>5</v>
      </c>
      <c r="C1214">
        <v>5</v>
      </c>
      <c r="D1214" s="58" t="s">
        <v>620</v>
      </c>
      <c r="E1214" t="s">
        <v>324</v>
      </c>
      <c r="F1214" s="58" t="s">
        <v>1590</v>
      </c>
      <c r="G1214" t="s">
        <v>1590</v>
      </c>
      <c r="H1214" s="58" t="s">
        <v>1012</v>
      </c>
      <c r="I1214" t="s">
        <v>1012</v>
      </c>
      <c r="J1214" s="58" t="s">
        <v>1012</v>
      </c>
      <c r="K1214" t="s">
        <v>1429</v>
      </c>
      <c r="L1214" t="s">
        <v>20</v>
      </c>
      <c r="M1214" t="s">
        <v>1591</v>
      </c>
      <c r="N1214" s="59">
        <v>0</v>
      </c>
      <c r="O1214" s="59">
        <v>21231802</v>
      </c>
      <c r="P1214" s="59">
        <v>0</v>
      </c>
      <c r="Q1214" s="59">
        <v>0</v>
      </c>
      <c r="R1214" s="59">
        <v>0</v>
      </c>
      <c r="S1214" s="59">
        <v>21231802</v>
      </c>
      <c r="T1214" s="41"/>
      <c r="U1214" s="41"/>
      <c r="V1214" s="41"/>
      <c r="W1214" s="41"/>
      <c r="X1214" s="41"/>
      <c r="Y1214" s="41"/>
      <c r="Z1214" s="41"/>
      <c r="AA1214" s="41"/>
      <c r="AB1214" s="41"/>
      <c r="AC1214" s="41"/>
      <c r="AD1214" s="41"/>
      <c r="AE1214" s="59">
        <v>823.6133207633618</v>
      </c>
      <c r="AF1214" s="59">
        <v>823.6133207633618</v>
      </c>
      <c r="AG1214" s="59" t="s">
        <v>8</v>
      </c>
      <c r="AH1214" s="59" t="s">
        <v>1592</v>
      </c>
    </row>
    <row r="1215" spans="1:34" x14ac:dyDescent="0.35">
      <c r="A1215" s="58">
        <v>2025</v>
      </c>
      <c r="B1215" s="58">
        <v>5</v>
      </c>
      <c r="C1215">
        <v>5</v>
      </c>
      <c r="D1215" s="58" t="s">
        <v>1531</v>
      </c>
      <c r="E1215" t="s">
        <v>1296</v>
      </c>
      <c r="F1215" s="58" t="s">
        <v>1482</v>
      </c>
      <c r="G1215" t="s">
        <v>1483</v>
      </c>
      <c r="H1215" s="58" t="s">
        <v>1012</v>
      </c>
      <c r="I1215" t="s">
        <v>1012</v>
      </c>
      <c r="J1215" s="58" t="s">
        <v>1012</v>
      </c>
      <c r="K1215" t="s">
        <v>1429</v>
      </c>
      <c r="L1215" t="s">
        <v>20</v>
      </c>
      <c r="M1215" t="s">
        <v>1430</v>
      </c>
      <c r="N1215" s="59">
        <v>0</v>
      </c>
      <c r="O1215" s="59">
        <v>12000000</v>
      </c>
      <c r="P1215" s="59">
        <v>0</v>
      </c>
      <c r="Q1215" s="59">
        <v>0</v>
      </c>
      <c r="R1215" s="59">
        <v>0</v>
      </c>
      <c r="S1215" s="59">
        <v>12000000</v>
      </c>
      <c r="T1215" s="41"/>
      <c r="U1215" s="41"/>
      <c r="V1215" s="41"/>
      <c r="W1215" s="41"/>
      <c r="X1215" s="41"/>
      <c r="Y1215" s="41"/>
      <c r="Z1215" s="41"/>
      <c r="AA1215" s="41"/>
      <c r="AB1215" s="41"/>
      <c r="AC1215" s="41"/>
      <c r="AD1215" s="41"/>
      <c r="AE1215" s="59">
        <v>465.49792849237866</v>
      </c>
      <c r="AF1215" s="59">
        <v>465.49792849237866</v>
      </c>
      <c r="AG1215" s="59" t="s">
        <v>1296</v>
      </c>
      <c r="AH1215" s="59" t="s">
        <v>1325</v>
      </c>
    </row>
    <row r="1216" spans="1:34" x14ac:dyDescent="0.35">
      <c r="A1216" s="58">
        <v>2025</v>
      </c>
      <c r="B1216" s="58">
        <v>5</v>
      </c>
      <c r="C1216">
        <v>5</v>
      </c>
      <c r="D1216" s="58" t="s">
        <v>682</v>
      </c>
      <c r="E1216" t="s">
        <v>156</v>
      </c>
      <c r="F1216" s="58" t="s">
        <v>1468</v>
      </c>
      <c r="G1216" t="s">
        <v>1012</v>
      </c>
      <c r="H1216" s="58" t="s">
        <v>1012</v>
      </c>
      <c r="I1216" t="s">
        <v>1012</v>
      </c>
      <c r="J1216" s="58" t="s">
        <v>1012</v>
      </c>
      <c r="K1216" t="s">
        <v>1429</v>
      </c>
      <c r="L1216" t="s">
        <v>20</v>
      </c>
      <c r="M1216" t="s">
        <v>1430</v>
      </c>
      <c r="N1216" s="59">
        <v>0</v>
      </c>
      <c r="O1216" s="59">
        <v>100005050</v>
      </c>
      <c r="P1216" s="59">
        <v>0</v>
      </c>
      <c r="Q1216" s="59">
        <v>0</v>
      </c>
      <c r="R1216" s="59">
        <v>0</v>
      </c>
      <c r="S1216" s="59">
        <v>100005050</v>
      </c>
      <c r="T1216" s="41"/>
      <c r="U1216" s="41"/>
      <c r="V1216" s="41"/>
      <c r="W1216" s="41"/>
      <c r="X1216" s="41"/>
      <c r="Y1216" s="41"/>
      <c r="Z1216" s="41"/>
      <c r="AA1216" s="41"/>
      <c r="AB1216" s="41"/>
      <c r="AC1216" s="41"/>
      <c r="AD1216" s="41"/>
      <c r="AE1216" s="59">
        <v>3879.3453011480633</v>
      </c>
      <c r="AF1216" s="59">
        <v>3879.3453011480633</v>
      </c>
      <c r="AG1216" s="59" t="s">
        <v>156</v>
      </c>
      <c r="AH1216" s="59" t="s">
        <v>1284</v>
      </c>
    </row>
    <row r="1217" spans="1:34" x14ac:dyDescent="0.35">
      <c r="A1217" s="58">
        <v>2025</v>
      </c>
      <c r="B1217" s="58">
        <v>5</v>
      </c>
      <c r="C1217">
        <v>5</v>
      </c>
      <c r="D1217" s="58" t="s">
        <v>605</v>
      </c>
      <c r="E1217" t="s">
        <v>479</v>
      </c>
      <c r="F1217" s="58" t="s">
        <v>184</v>
      </c>
      <c r="G1217" t="s">
        <v>717</v>
      </c>
      <c r="H1217" s="58" t="s">
        <v>1428</v>
      </c>
      <c r="I1217" t="s">
        <v>75</v>
      </c>
      <c r="J1217" s="58" t="s">
        <v>75</v>
      </c>
      <c r="K1217" t="s">
        <v>1429</v>
      </c>
      <c r="L1217" t="s">
        <v>20</v>
      </c>
      <c r="M1217" t="s">
        <v>1430</v>
      </c>
      <c r="N1217" s="59">
        <v>24750</v>
      </c>
      <c r="O1217" s="59">
        <v>877041000</v>
      </c>
      <c r="P1217" s="59">
        <v>0</v>
      </c>
      <c r="Q1217" s="59">
        <v>0</v>
      </c>
      <c r="R1217" s="59">
        <v>17870370.370370369</v>
      </c>
      <c r="S1217" s="59">
        <v>859170629.62962961</v>
      </c>
      <c r="T1217" s="41"/>
      <c r="U1217" s="41"/>
      <c r="V1217" s="41"/>
      <c r="W1217" s="41"/>
      <c r="X1217" s="41"/>
      <c r="Y1217" s="41"/>
      <c r="Z1217" s="41"/>
      <c r="AA1217" s="41"/>
      <c r="AB1217" s="41"/>
      <c r="AC1217" s="41"/>
      <c r="AD1217" s="41"/>
      <c r="AE1217" s="59">
        <v>33328.512359507105</v>
      </c>
      <c r="AF1217" s="59">
        <v>34021.730725240355</v>
      </c>
      <c r="AG1217" s="59" t="s">
        <v>5</v>
      </c>
      <c r="AH1217" s="59" t="s">
        <v>1198</v>
      </c>
    </row>
    <row r="1218" spans="1:34" x14ac:dyDescent="0.35">
      <c r="A1218" s="58">
        <v>2025</v>
      </c>
      <c r="B1218" s="58">
        <v>5</v>
      </c>
      <c r="C1218">
        <v>5</v>
      </c>
      <c r="D1218" s="58" t="s">
        <v>1502</v>
      </c>
      <c r="E1218" t="s">
        <v>1236</v>
      </c>
      <c r="F1218" s="58" t="s">
        <v>879</v>
      </c>
      <c r="G1218" t="s">
        <v>880</v>
      </c>
      <c r="H1218" s="58" t="s">
        <v>1234</v>
      </c>
      <c r="I1218" t="s">
        <v>1234</v>
      </c>
      <c r="J1218" s="58" t="s">
        <v>1234</v>
      </c>
      <c r="K1218" t="s">
        <v>1429</v>
      </c>
      <c r="L1218" t="s">
        <v>20</v>
      </c>
      <c r="M1218" t="s">
        <v>1430</v>
      </c>
      <c r="N1218" s="59">
        <v>80000</v>
      </c>
      <c r="O1218" s="59">
        <v>1360000000</v>
      </c>
      <c r="P1218" s="59">
        <v>0</v>
      </c>
      <c r="Q1218" s="59">
        <v>96000000</v>
      </c>
      <c r="R1218" s="59">
        <v>0</v>
      </c>
      <c r="S1218" s="59">
        <v>1264000000</v>
      </c>
      <c r="T1218" s="41"/>
      <c r="U1218" s="41"/>
      <c r="V1218" s="41"/>
      <c r="W1218" s="41"/>
      <c r="X1218" s="41"/>
      <c r="Y1218" s="41"/>
      <c r="Z1218" s="41"/>
      <c r="AA1218" s="41"/>
      <c r="AB1218" s="41"/>
      <c r="AC1218" s="41"/>
      <c r="AD1218" s="41"/>
      <c r="AE1218" s="59">
        <v>49032.448467863884</v>
      </c>
      <c r="AF1218" s="59">
        <v>52756.431895802911</v>
      </c>
      <c r="AG1218" s="59" t="s">
        <v>1236</v>
      </c>
      <c r="AH1218" s="59" t="s">
        <v>1235</v>
      </c>
    </row>
    <row r="1219" spans="1:34" x14ac:dyDescent="0.35">
      <c r="A1219" s="58">
        <v>2025</v>
      </c>
      <c r="B1219" s="58">
        <v>5</v>
      </c>
      <c r="C1219">
        <v>5</v>
      </c>
      <c r="D1219" s="58" t="s">
        <v>1541</v>
      </c>
      <c r="E1219" t="s">
        <v>5</v>
      </c>
      <c r="F1219" s="58" t="s">
        <v>1579</v>
      </c>
      <c r="G1219" t="s">
        <v>1580</v>
      </c>
      <c r="H1219" s="58" t="s">
        <v>1012</v>
      </c>
      <c r="I1219" t="s">
        <v>1012</v>
      </c>
      <c r="J1219" s="58" t="s">
        <v>1012</v>
      </c>
      <c r="K1219" t="s">
        <v>1429</v>
      </c>
      <c r="L1219" t="s">
        <v>20</v>
      </c>
      <c r="M1219" t="s">
        <v>1430</v>
      </c>
      <c r="N1219" s="59">
        <v>0</v>
      </c>
      <c r="O1219" s="59">
        <v>405000000</v>
      </c>
      <c r="P1219" s="59">
        <v>0</v>
      </c>
      <c r="Q1219" s="59">
        <v>0</v>
      </c>
      <c r="R1219" s="59">
        <v>0</v>
      </c>
      <c r="S1219" s="59">
        <v>405000000</v>
      </c>
      <c r="T1219" s="41"/>
      <c r="U1219" s="41"/>
      <c r="V1219" s="41"/>
      <c r="W1219" s="41"/>
      <c r="X1219" s="41"/>
      <c r="Y1219" s="41"/>
      <c r="Z1219" s="41"/>
      <c r="AA1219" s="41"/>
      <c r="AB1219" s="41"/>
      <c r="AC1219" s="41"/>
      <c r="AD1219" s="41"/>
      <c r="AE1219" s="59">
        <v>15710.555086617778</v>
      </c>
      <c r="AF1219" s="59">
        <v>15710.555086617778</v>
      </c>
      <c r="AG1219" s="59" t="s">
        <v>5</v>
      </c>
      <c r="AH1219" s="59" t="s">
        <v>1324</v>
      </c>
    </row>
    <row r="1220" spans="1:34" x14ac:dyDescent="0.35">
      <c r="A1220" s="58">
        <v>2025</v>
      </c>
      <c r="B1220" s="58">
        <v>5</v>
      </c>
      <c r="C1220">
        <v>5</v>
      </c>
      <c r="D1220" s="58" t="s">
        <v>1469</v>
      </c>
      <c r="E1220" t="s">
        <v>1211</v>
      </c>
      <c r="F1220" s="58" t="s">
        <v>1472</v>
      </c>
      <c r="G1220" t="s">
        <v>1473</v>
      </c>
      <c r="H1220" s="58" t="s">
        <v>1012</v>
      </c>
      <c r="I1220" t="s">
        <v>86</v>
      </c>
      <c r="J1220" s="58" t="s">
        <v>86</v>
      </c>
      <c r="K1220" t="s">
        <v>1429</v>
      </c>
      <c r="L1220" t="s">
        <v>20</v>
      </c>
      <c r="M1220" t="s">
        <v>1430</v>
      </c>
      <c r="N1220" s="59">
        <v>16484</v>
      </c>
      <c r="O1220" s="59">
        <v>324474200</v>
      </c>
      <c r="P1220" s="59">
        <v>0</v>
      </c>
      <c r="Q1220" s="59">
        <v>0</v>
      </c>
      <c r="R1220" s="59">
        <v>0</v>
      </c>
      <c r="S1220" s="59">
        <v>324474200</v>
      </c>
      <c r="T1220" s="41"/>
      <c r="U1220" s="41"/>
      <c r="V1220" s="41"/>
      <c r="W1220" s="41"/>
      <c r="X1220" s="41"/>
      <c r="Y1220" s="41"/>
      <c r="Z1220" s="41"/>
      <c r="AA1220" s="41"/>
      <c r="AB1220" s="41"/>
      <c r="AC1220" s="41"/>
      <c r="AD1220" s="41"/>
      <c r="AE1220" s="59">
        <v>12586.838995768479</v>
      </c>
      <c r="AF1220" s="59">
        <v>12586.838995768479</v>
      </c>
      <c r="AG1220" s="59" t="s">
        <v>1211</v>
      </c>
      <c r="AH1220" s="59" t="s">
        <v>1215</v>
      </c>
    </row>
    <row r="1221" spans="1:34" x14ac:dyDescent="0.35">
      <c r="A1221" s="58">
        <v>2025</v>
      </c>
      <c r="B1221" s="58">
        <v>5</v>
      </c>
      <c r="C1221">
        <v>5</v>
      </c>
      <c r="D1221" s="58" t="s">
        <v>1469</v>
      </c>
      <c r="E1221" t="s">
        <v>1211</v>
      </c>
      <c r="F1221" s="58" t="s">
        <v>1550</v>
      </c>
      <c r="G1221" t="s">
        <v>1551</v>
      </c>
      <c r="H1221" s="58" t="s">
        <v>1012</v>
      </c>
      <c r="I1221" t="s">
        <v>86</v>
      </c>
      <c r="J1221" s="58" t="s">
        <v>86</v>
      </c>
      <c r="K1221" t="s">
        <v>1429</v>
      </c>
      <c r="L1221" t="s">
        <v>20</v>
      </c>
      <c r="M1221" t="s">
        <v>1430</v>
      </c>
      <c r="N1221" s="59">
        <v>7918</v>
      </c>
      <c r="O1221" s="59">
        <v>153556400</v>
      </c>
      <c r="P1221" s="59">
        <v>0</v>
      </c>
      <c r="Q1221" s="59">
        <v>0</v>
      </c>
      <c r="R1221" s="59">
        <v>0</v>
      </c>
      <c r="S1221" s="59">
        <v>153556400</v>
      </c>
      <c r="T1221" s="41"/>
      <c r="U1221" s="41"/>
      <c r="V1221" s="41"/>
      <c r="W1221" s="41"/>
      <c r="X1221" s="41"/>
      <c r="Y1221" s="41"/>
      <c r="Z1221" s="41"/>
      <c r="AA1221" s="41"/>
      <c r="AB1221" s="41"/>
      <c r="AC1221" s="41"/>
      <c r="AD1221" s="41"/>
      <c r="AE1221" s="59">
        <v>5956.6821755622577</v>
      </c>
      <c r="AF1221" s="59">
        <v>5956.6821755622577</v>
      </c>
      <c r="AG1221" s="59" t="s">
        <v>1211</v>
      </c>
      <c r="AH1221" s="59" t="s">
        <v>1227</v>
      </c>
    </row>
    <row r="1222" spans="1:34" x14ac:dyDescent="0.35">
      <c r="A1222" s="58">
        <v>2025</v>
      </c>
      <c r="B1222" s="58">
        <v>5</v>
      </c>
      <c r="C1222">
        <v>5</v>
      </c>
      <c r="D1222" s="58" t="s">
        <v>1469</v>
      </c>
      <c r="E1222" t="s">
        <v>1211</v>
      </c>
      <c r="F1222" s="58" t="s">
        <v>1615</v>
      </c>
      <c r="G1222" t="s">
        <v>1616</v>
      </c>
      <c r="H1222" s="58" t="s">
        <v>1012</v>
      </c>
      <c r="I1222" t="s">
        <v>86</v>
      </c>
      <c r="J1222" s="58" t="s">
        <v>86</v>
      </c>
      <c r="K1222" t="s">
        <v>1429</v>
      </c>
      <c r="L1222" t="s">
        <v>20</v>
      </c>
      <c r="M1222" t="s">
        <v>1430</v>
      </c>
      <c r="N1222" s="59">
        <v>4050</v>
      </c>
      <c r="O1222" s="59">
        <v>76950000</v>
      </c>
      <c r="P1222" s="59">
        <v>0</v>
      </c>
      <c r="Q1222" s="59">
        <v>0</v>
      </c>
      <c r="R1222" s="59">
        <v>0</v>
      </c>
      <c r="S1222" s="59">
        <v>76950000</v>
      </c>
      <c r="T1222" s="41"/>
      <c r="U1222" s="41"/>
      <c r="V1222" s="41"/>
      <c r="W1222" s="41"/>
      <c r="X1222" s="41"/>
      <c r="Y1222" s="41"/>
      <c r="Z1222" s="41"/>
      <c r="AA1222" s="41"/>
      <c r="AB1222" s="41"/>
      <c r="AC1222" s="41"/>
      <c r="AD1222" s="41"/>
      <c r="AE1222" s="59">
        <v>2985.0054664573781</v>
      </c>
      <c r="AF1222" s="59">
        <v>2985.0054664573781</v>
      </c>
      <c r="AG1222" s="59" t="s">
        <v>1211</v>
      </c>
      <c r="AH1222" s="59" t="s">
        <v>1230</v>
      </c>
    </row>
    <row r="1223" spans="1:34" x14ac:dyDescent="0.35">
      <c r="A1223" s="58">
        <v>2025</v>
      </c>
      <c r="B1223" s="58">
        <v>5</v>
      </c>
      <c r="C1223">
        <v>5</v>
      </c>
      <c r="D1223" s="58" t="s">
        <v>635</v>
      </c>
      <c r="E1223" t="s">
        <v>62</v>
      </c>
      <c r="F1223" s="58" t="s">
        <v>200</v>
      </c>
      <c r="G1223" t="s">
        <v>470</v>
      </c>
      <c r="H1223" s="58" t="s">
        <v>1428</v>
      </c>
      <c r="I1223" t="s">
        <v>76</v>
      </c>
      <c r="J1223" s="58" t="s">
        <v>76</v>
      </c>
      <c r="K1223" t="s">
        <v>1429</v>
      </c>
      <c r="L1223" t="s">
        <v>20</v>
      </c>
      <c r="M1223" t="s">
        <v>1430</v>
      </c>
      <c r="N1223" s="59">
        <v>5250</v>
      </c>
      <c r="O1223" s="59">
        <v>87499999.999999985</v>
      </c>
      <c r="P1223" s="59">
        <v>1179487.5194805195</v>
      </c>
      <c r="Q1223" s="59">
        <v>0</v>
      </c>
      <c r="R1223" s="59">
        <v>0</v>
      </c>
      <c r="S1223" s="59">
        <v>86320512.480519459</v>
      </c>
      <c r="T1223" s="41"/>
      <c r="U1223" s="41"/>
      <c r="V1223" s="41"/>
      <c r="W1223" s="41"/>
      <c r="X1223" s="41"/>
      <c r="Y1223" s="41"/>
      <c r="Z1223" s="41"/>
      <c r="AA1223" s="41"/>
      <c r="AB1223" s="41"/>
      <c r="AC1223" s="41"/>
      <c r="AD1223" s="41"/>
      <c r="AE1223" s="59">
        <v>3348.5016455068603</v>
      </c>
      <c r="AF1223" s="59">
        <v>3394.2557285902603</v>
      </c>
      <c r="AG1223" s="59" t="s">
        <v>62</v>
      </c>
      <c r="AH1223" s="59" t="s">
        <v>79</v>
      </c>
    </row>
    <row r="1224" spans="1:34" x14ac:dyDescent="0.35">
      <c r="A1224" s="58">
        <v>2025</v>
      </c>
      <c r="B1224" s="58">
        <v>5</v>
      </c>
      <c r="C1224">
        <v>5</v>
      </c>
      <c r="D1224" s="58" t="s">
        <v>635</v>
      </c>
      <c r="E1224" t="s">
        <v>62</v>
      </c>
      <c r="F1224" s="58" t="s">
        <v>212</v>
      </c>
      <c r="G1224" t="s">
        <v>481</v>
      </c>
      <c r="H1224" s="58" t="s">
        <v>21</v>
      </c>
      <c r="I1224" t="s">
        <v>21</v>
      </c>
      <c r="J1224" s="58" t="s">
        <v>21</v>
      </c>
      <c r="K1224" t="s">
        <v>1429</v>
      </c>
      <c r="L1224" t="s">
        <v>20</v>
      </c>
      <c r="M1224" t="s">
        <v>1430</v>
      </c>
      <c r="N1224" s="59">
        <v>20250</v>
      </c>
      <c r="O1224" s="59">
        <v>365625000</v>
      </c>
      <c r="P1224" s="59">
        <v>4549451.8608534317</v>
      </c>
      <c r="Q1224" s="59">
        <v>0</v>
      </c>
      <c r="R1224" s="59">
        <v>0</v>
      </c>
      <c r="S1224" s="59">
        <v>361075548.13914651</v>
      </c>
      <c r="T1224" s="41"/>
      <c r="U1224" s="41"/>
      <c r="V1224" s="41"/>
      <c r="W1224" s="41"/>
      <c r="X1224" s="41"/>
      <c r="Y1224" s="41"/>
      <c r="Z1224" s="41"/>
      <c r="AA1224" s="41"/>
      <c r="AB1224" s="41"/>
      <c r="AC1224" s="41"/>
      <c r="AD1224" s="41"/>
      <c r="AE1224" s="59">
        <v>14006.659974001903</v>
      </c>
      <c r="AF1224" s="59">
        <v>14183.140008752162</v>
      </c>
      <c r="AG1224" s="59" t="s">
        <v>62</v>
      </c>
      <c r="AH1224" s="59" t="s">
        <v>84</v>
      </c>
    </row>
    <row r="1225" spans="1:34" x14ac:dyDescent="0.35">
      <c r="A1225" s="58">
        <v>2025</v>
      </c>
      <c r="B1225" s="58">
        <v>5</v>
      </c>
      <c r="C1225">
        <v>5</v>
      </c>
      <c r="D1225" s="58" t="s">
        <v>595</v>
      </c>
      <c r="E1225" t="s">
        <v>478</v>
      </c>
      <c r="F1225" s="58" t="s">
        <v>184</v>
      </c>
      <c r="G1225" t="s">
        <v>717</v>
      </c>
      <c r="H1225" s="58" t="s">
        <v>1428</v>
      </c>
      <c r="I1225" t="s">
        <v>75</v>
      </c>
      <c r="J1225" s="58" t="s">
        <v>75</v>
      </c>
      <c r="K1225" t="s">
        <v>1429</v>
      </c>
      <c r="L1225" t="s">
        <v>20</v>
      </c>
      <c r="M1225" t="s">
        <v>1430</v>
      </c>
      <c r="N1225" s="59">
        <v>77000</v>
      </c>
      <c r="O1225" s="59">
        <v>2666317500</v>
      </c>
      <c r="P1225" s="59">
        <v>0</v>
      </c>
      <c r="Q1225" s="59">
        <v>0</v>
      </c>
      <c r="R1225" s="59">
        <v>0</v>
      </c>
      <c r="S1225" s="59">
        <v>2666317500</v>
      </c>
      <c r="T1225" s="41"/>
      <c r="U1225" s="41"/>
      <c r="V1225" s="41"/>
      <c r="W1225" s="41"/>
      <c r="X1225" s="41"/>
      <c r="Y1225" s="41"/>
      <c r="Z1225" s="41"/>
      <c r="AA1225" s="41"/>
      <c r="AB1225" s="41"/>
      <c r="AC1225" s="41"/>
      <c r="AD1225" s="41"/>
      <c r="AE1225" s="59">
        <v>103430.43941274812</v>
      </c>
      <c r="AF1225" s="59">
        <v>103430.43941274812</v>
      </c>
      <c r="AG1225" s="59" t="s">
        <v>5</v>
      </c>
      <c r="AH1225" s="59" t="s">
        <v>1198</v>
      </c>
    </row>
    <row r="1226" spans="1:34" x14ac:dyDescent="0.35">
      <c r="A1226" s="58">
        <v>2025</v>
      </c>
      <c r="B1226" s="58">
        <v>5</v>
      </c>
      <c r="C1226">
        <v>5</v>
      </c>
      <c r="D1226" s="58" t="s">
        <v>595</v>
      </c>
      <c r="E1226" t="s">
        <v>478</v>
      </c>
      <c r="F1226" s="58" t="s">
        <v>171</v>
      </c>
      <c r="G1226" t="s">
        <v>731</v>
      </c>
      <c r="H1226" s="58" t="s">
        <v>4</v>
      </c>
      <c r="I1226" t="s">
        <v>4</v>
      </c>
      <c r="J1226" s="58" t="s">
        <v>4</v>
      </c>
      <c r="K1226" t="s">
        <v>1429</v>
      </c>
      <c r="L1226" t="s">
        <v>20</v>
      </c>
      <c r="M1226" t="s">
        <v>1430</v>
      </c>
      <c r="N1226" s="59">
        <v>22000</v>
      </c>
      <c r="O1226" s="59">
        <v>705386000</v>
      </c>
      <c r="P1226" s="59">
        <v>3369964.3413729127</v>
      </c>
      <c r="Q1226" s="59">
        <v>0</v>
      </c>
      <c r="R1226" s="59">
        <v>0</v>
      </c>
      <c r="S1226" s="59">
        <v>702016035.65862703</v>
      </c>
      <c r="T1226" s="41"/>
      <c r="U1226" s="41"/>
      <c r="V1226" s="41"/>
      <c r="W1226" s="41"/>
      <c r="X1226" s="41"/>
      <c r="Y1226" s="41"/>
      <c r="Z1226" s="41"/>
      <c r="AA1226" s="41"/>
      <c r="AB1226" s="41"/>
      <c r="AC1226" s="41"/>
      <c r="AD1226" s="41"/>
      <c r="AE1226" s="59">
        <v>27232.250863960224</v>
      </c>
      <c r="AF1226" s="59">
        <v>27362.976815627084</v>
      </c>
      <c r="AG1226" s="59" t="s">
        <v>5</v>
      </c>
      <c r="AH1226" s="59" t="s">
        <v>1166</v>
      </c>
    </row>
    <row r="1227" spans="1:34" x14ac:dyDescent="0.35">
      <c r="A1227" s="58">
        <v>2025</v>
      </c>
      <c r="B1227" s="58">
        <v>5</v>
      </c>
      <c r="C1227">
        <v>5</v>
      </c>
      <c r="D1227" s="58" t="s">
        <v>595</v>
      </c>
      <c r="E1227" t="s">
        <v>478</v>
      </c>
      <c r="F1227" s="58" t="s">
        <v>187</v>
      </c>
      <c r="G1227" t="s">
        <v>869</v>
      </c>
      <c r="H1227" s="58" t="s">
        <v>1428</v>
      </c>
      <c r="I1227" t="s">
        <v>75</v>
      </c>
      <c r="J1227" s="58" t="s">
        <v>75</v>
      </c>
      <c r="K1227" t="s">
        <v>1429</v>
      </c>
      <c r="L1227" t="s">
        <v>20</v>
      </c>
      <c r="M1227" t="s">
        <v>1430</v>
      </c>
      <c r="N1227" s="59">
        <v>5500</v>
      </c>
      <c r="O1227" s="59">
        <v>183397500</v>
      </c>
      <c r="P1227" s="59">
        <v>0</v>
      </c>
      <c r="Q1227" s="59">
        <v>0</v>
      </c>
      <c r="R1227" s="59">
        <v>0</v>
      </c>
      <c r="S1227" s="59">
        <v>183397500</v>
      </c>
      <c r="T1227" s="41"/>
      <c r="U1227" s="41"/>
      <c r="V1227" s="41"/>
      <c r="W1227" s="41"/>
      <c r="X1227" s="41"/>
      <c r="Y1227" s="41"/>
      <c r="Z1227" s="41"/>
      <c r="AA1227" s="41"/>
      <c r="AB1227" s="41"/>
      <c r="AC1227" s="41"/>
      <c r="AD1227" s="41"/>
      <c r="AE1227" s="59">
        <v>7114.2630283900844</v>
      </c>
      <c r="AF1227" s="59">
        <v>7114.2630283900844</v>
      </c>
      <c r="AG1227" s="59" t="s">
        <v>5</v>
      </c>
      <c r="AH1227" s="59" t="s">
        <v>1203</v>
      </c>
    </row>
    <row r="1228" spans="1:34" x14ac:dyDescent="0.35">
      <c r="A1228" s="58">
        <v>2025</v>
      </c>
      <c r="B1228" s="58">
        <v>5</v>
      </c>
      <c r="C1228">
        <v>5</v>
      </c>
      <c r="D1228" s="58" t="s">
        <v>595</v>
      </c>
      <c r="E1228" t="s">
        <v>478</v>
      </c>
      <c r="F1228" s="58" t="s">
        <v>188</v>
      </c>
      <c r="G1228" t="s">
        <v>872</v>
      </c>
      <c r="H1228" s="58" t="s">
        <v>1428</v>
      </c>
      <c r="I1228" t="s">
        <v>75</v>
      </c>
      <c r="J1228" s="58" t="s">
        <v>75</v>
      </c>
      <c r="K1228" t="s">
        <v>1429</v>
      </c>
      <c r="L1228" t="s">
        <v>20</v>
      </c>
      <c r="M1228" t="s">
        <v>1430</v>
      </c>
      <c r="N1228" s="59">
        <v>33000</v>
      </c>
      <c r="O1228" s="59">
        <v>1100385000</v>
      </c>
      <c r="P1228" s="59">
        <v>0</v>
      </c>
      <c r="Q1228" s="59">
        <v>0</v>
      </c>
      <c r="R1228" s="59">
        <v>0</v>
      </c>
      <c r="S1228" s="59">
        <v>1100385000</v>
      </c>
      <c r="T1228" s="41"/>
      <c r="U1228" s="41"/>
      <c r="V1228" s="41"/>
      <c r="W1228" s="41"/>
      <c r="X1228" s="41"/>
      <c r="Y1228" s="41"/>
      <c r="Z1228" s="41"/>
      <c r="AA1228" s="41"/>
      <c r="AB1228" s="41"/>
      <c r="AC1228" s="41"/>
      <c r="AD1228" s="41"/>
      <c r="AE1228" s="59">
        <v>42685.578170340508</v>
      </c>
      <c r="AF1228" s="59">
        <v>42685.578170340508</v>
      </c>
      <c r="AG1228" s="59" t="s">
        <v>5</v>
      </c>
      <c r="AH1228" s="59" t="s">
        <v>1204</v>
      </c>
    </row>
    <row r="1229" spans="1:34" x14ac:dyDescent="0.35">
      <c r="A1229" s="58">
        <v>2025</v>
      </c>
      <c r="B1229" s="58">
        <v>5</v>
      </c>
      <c r="C1229">
        <v>5</v>
      </c>
      <c r="D1229" s="58" t="s">
        <v>595</v>
      </c>
      <c r="E1229" t="s">
        <v>478</v>
      </c>
      <c r="F1229" s="58" t="s">
        <v>191</v>
      </c>
      <c r="G1229" t="s">
        <v>941</v>
      </c>
      <c r="H1229" s="58" t="s">
        <v>1428</v>
      </c>
      <c r="I1229" t="s">
        <v>75</v>
      </c>
      <c r="J1229" s="58" t="s">
        <v>75</v>
      </c>
      <c r="K1229" t="s">
        <v>1429</v>
      </c>
      <c r="L1229" t="s">
        <v>20</v>
      </c>
      <c r="M1229" t="s">
        <v>1430</v>
      </c>
      <c r="N1229" s="59">
        <v>11000</v>
      </c>
      <c r="O1229" s="59">
        <v>380902500</v>
      </c>
      <c r="P1229" s="59">
        <v>0</v>
      </c>
      <c r="Q1229" s="59">
        <v>0</v>
      </c>
      <c r="R1229" s="59">
        <v>0</v>
      </c>
      <c r="S1229" s="59">
        <v>380902500</v>
      </c>
      <c r="T1229" s="41"/>
      <c r="U1229" s="41"/>
      <c r="V1229" s="41"/>
      <c r="W1229" s="41"/>
      <c r="X1229" s="41"/>
      <c r="Y1229" s="41"/>
      <c r="Z1229" s="41"/>
      <c r="AA1229" s="41"/>
      <c r="AB1229" s="41"/>
      <c r="AC1229" s="41"/>
      <c r="AD1229" s="41"/>
      <c r="AE1229" s="59">
        <v>14775.77705896402</v>
      </c>
      <c r="AF1229" s="59">
        <v>14775.77705896402</v>
      </c>
      <c r="AG1229" s="59" t="s">
        <v>5</v>
      </c>
      <c r="AH1229" s="59" t="s">
        <v>1208</v>
      </c>
    </row>
    <row r="1230" spans="1:34" x14ac:dyDescent="0.35">
      <c r="A1230" s="58">
        <v>2025</v>
      </c>
      <c r="B1230" s="58">
        <v>5</v>
      </c>
      <c r="C1230">
        <v>5</v>
      </c>
      <c r="D1230" s="58" t="s">
        <v>606</v>
      </c>
      <c r="E1230" t="s">
        <v>325</v>
      </c>
      <c r="F1230" s="58" t="s">
        <v>168</v>
      </c>
      <c r="G1230" t="s">
        <v>700</v>
      </c>
      <c r="H1230" s="58" t="s">
        <v>4</v>
      </c>
      <c r="I1230" t="s">
        <v>4</v>
      </c>
      <c r="J1230" s="58" t="s">
        <v>4</v>
      </c>
      <c r="K1230" t="s">
        <v>1429</v>
      </c>
      <c r="L1230" t="s">
        <v>20</v>
      </c>
      <c r="M1230" t="s">
        <v>1430</v>
      </c>
      <c r="N1230" s="59">
        <v>44000</v>
      </c>
      <c r="O1230" s="59">
        <v>1593809800</v>
      </c>
      <c r="P1230" s="59">
        <v>6739928.6827458255</v>
      </c>
      <c r="Q1230" s="59">
        <v>0</v>
      </c>
      <c r="R1230" s="59">
        <v>6160000</v>
      </c>
      <c r="S1230" s="59">
        <v>1557174423.3172541</v>
      </c>
      <c r="T1230" s="41"/>
      <c r="U1230" s="41"/>
      <c r="V1230" s="41"/>
      <c r="W1230" s="41"/>
      <c r="X1230" s="41"/>
      <c r="Y1230" s="41"/>
      <c r="Z1230" s="41"/>
      <c r="AA1230" s="41"/>
      <c r="AB1230" s="41"/>
      <c r="AC1230" s="41"/>
      <c r="AD1230" s="41"/>
      <c r="AE1230" s="59">
        <v>60405.122362958005</v>
      </c>
      <c r="AF1230" s="59">
        <v>61826.263359237695</v>
      </c>
      <c r="AG1230" s="59" t="s">
        <v>8</v>
      </c>
      <c r="AH1230" s="59" t="s">
        <v>1160</v>
      </c>
    </row>
    <row r="1231" spans="1:34" x14ac:dyDescent="0.35">
      <c r="A1231" s="58">
        <v>2025</v>
      </c>
      <c r="B1231" s="58">
        <v>5</v>
      </c>
      <c r="C1231">
        <v>5</v>
      </c>
      <c r="D1231" s="58" t="s">
        <v>606</v>
      </c>
      <c r="E1231" t="s">
        <v>325</v>
      </c>
      <c r="F1231" s="58" t="s">
        <v>1535</v>
      </c>
      <c r="G1231" t="s">
        <v>1536</v>
      </c>
      <c r="H1231" s="58" t="s">
        <v>1012</v>
      </c>
      <c r="I1231" t="s">
        <v>1012</v>
      </c>
      <c r="J1231" s="58" t="s">
        <v>1012</v>
      </c>
      <c r="K1231" t="s">
        <v>1429</v>
      </c>
      <c r="L1231" t="s">
        <v>20</v>
      </c>
      <c r="M1231" t="s">
        <v>1430</v>
      </c>
      <c r="N1231" s="59">
        <v>0</v>
      </c>
      <c r="O1231" s="59">
        <v>0</v>
      </c>
      <c r="P1231" s="59">
        <v>0</v>
      </c>
      <c r="Q1231" s="59">
        <v>0</v>
      </c>
      <c r="R1231" s="59">
        <v>0</v>
      </c>
      <c r="S1231" s="59">
        <v>23735448</v>
      </c>
      <c r="T1231" s="41"/>
      <c r="U1231" s="41"/>
      <c r="V1231" s="41"/>
      <c r="W1231" s="41"/>
      <c r="X1231" s="41"/>
      <c r="Y1231" s="41"/>
      <c r="Z1231" s="41"/>
      <c r="AA1231" s="41"/>
      <c r="AB1231" s="41"/>
      <c r="AC1231" s="41"/>
      <c r="AD1231" s="41"/>
      <c r="AE1231" s="59">
        <v>920.73348965321429</v>
      </c>
      <c r="AF1231" s="59">
        <v>0</v>
      </c>
      <c r="AG1231" s="59" t="s">
        <v>8</v>
      </c>
      <c r="AH1231" s="59" t="s">
        <v>1270</v>
      </c>
    </row>
    <row r="1232" spans="1:34" x14ac:dyDescent="0.35">
      <c r="A1232" s="58">
        <v>2025</v>
      </c>
      <c r="B1232" s="58">
        <v>5</v>
      </c>
      <c r="C1232">
        <v>5</v>
      </c>
      <c r="D1232" s="58" t="s">
        <v>606</v>
      </c>
      <c r="E1232" t="s">
        <v>325</v>
      </c>
      <c r="F1232" s="58" t="s">
        <v>1590</v>
      </c>
      <c r="G1232" t="s">
        <v>1590</v>
      </c>
      <c r="H1232" s="58" t="s">
        <v>1012</v>
      </c>
      <c r="I1232" t="s">
        <v>1012</v>
      </c>
      <c r="J1232" s="58" t="s">
        <v>1012</v>
      </c>
      <c r="K1232" t="s">
        <v>1429</v>
      </c>
      <c r="L1232" t="s">
        <v>20</v>
      </c>
      <c r="M1232" t="s">
        <v>1591</v>
      </c>
      <c r="N1232" s="59">
        <v>0</v>
      </c>
      <c r="O1232" s="59">
        <v>-23735448</v>
      </c>
      <c r="P1232" s="59">
        <v>0</v>
      </c>
      <c r="Q1232" s="59">
        <v>0</v>
      </c>
      <c r="R1232" s="59">
        <v>0</v>
      </c>
      <c r="S1232" s="59">
        <v>-23735448</v>
      </c>
      <c r="T1232" s="41"/>
      <c r="U1232" s="41"/>
      <c r="V1232" s="41"/>
      <c r="W1232" s="41"/>
      <c r="X1232" s="41"/>
      <c r="Y1232" s="41"/>
      <c r="Z1232" s="41"/>
      <c r="AA1232" s="41"/>
      <c r="AB1232" s="41"/>
      <c r="AC1232" s="41"/>
      <c r="AD1232" s="41"/>
      <c r="AE1232" s="59">
        <v>-920.73348965321429</v>
      </c>
      <c r="AF1232" s="59">
        <v>-920.73348965321429</v>
      </c>
      <c r="AG1232" s="59" t="s">
        <v>8</v>
      </c>
      <c r="AH1232" s="59" t="s">
        <v>1592</v>
      </c>
    </row>
    <row r="1233" spans="1:34" x14ac:dyDescent="0.35">
      <c r="A1233" s="58">
        <v>2025</v>
      </c>
      <c r="B1233" s="58">
        <v>5</v>
      </c>
      <c r="C1233">
        <v>5</v>
      </c>
      <c r="D1233" s="58" t="s">
        <v>596</v>
      </c>
      <c r="E1233" t="s">
        <v>266</v>
      </c>
      <c r="F1233" s="58" t="s">
        <v>171</v>
      </c>
      <c r="G1233" t="s">
        <v>731</v>
      </c>
      <c r="H1233" s="58" t="s">
        <v>4</v>
      </c>
      <c r="I1233" t="s">
        <v>4</v>
      </c>
      <c r="J1233" s="58" t="s">
        <v>4</v>
      </c>
      <c r="K1233" t="s">
        <v>1429</v>
      </c>
      <c r="L1233" t="s">
        <v>20</v>
      </c>
      <c r="M1233" t="s">
        <v>1430</v>
      </c>
      <c r="N1233" s="59">
        <v>64900</v>
      </c>
      <c r="O1233" s="59">
        <v>2106692500</v>
      </c>
      <c r="P1233" s="59">
        <v>9941394.807050094</v>
      </c>
      <c r="Q1233" s="59">
        <v>0</v>
      </c>
      <c r="R1233" s="59">
        <v>0</v>
      </c>
      <c r="S1233" s="59">
        <v>2096751105.1929498</v>
      </c>
      <c r="T1233" s="41"/>
      <c r="U1233" s="41"/>
      <c r="V1233" s="41"/>
      <c r="W1233" s="41"/>
      <c r="X1233" s="41"/>
      <c r="Y1233" s="41"/>
      <c r="Z1233" s="41"/>
      <c r="AA1233" s="41"/>
      <c r="AB1233" s="41"/>
      <c r="AC1233" s="41"/>
      <c r="AD1233" s="41"/>
      <c r="AE1233" s="59">
        <v>81336.108002618625</v>
      </c>
      <c r="AF1233" s="59">
        <v>81721.749560035852</v>
      </c>
      <c r="AG1233" s="59" t="s">
        <v>100</v>
      </c>
      <c r="AH1233" s="59" t="s">
        <v>1166</v>
      </c>
    </row>
    <row r="1234" spans="1:34" x14ac:dyDescent="0.35">
      <c r="A1234" s="58">
        <v>2025</v>
      </c>
      <c r="B1234" s="58">
        <v>5</v>
      </c>
      <c r="C1234">
        <v>5</v>
      </c>
      <c r="D1234" s="58" t="s">
        <v>610</v>
      </c>
      <c r="E1234" t="s">
        <v>44</v>
      </c>
      <c r="F1234" s="58" t="s">
        <v>186</v>
      </c>
      <c r="G1234" t="s">
        <v>781</v>
      </c>
      <c r="H1234" s="58" t="s">
        <v>1428</v>
      </c>
      <c r="I1234" t="s">
        <v>75</v>
      </c>
      <c r="J1234" s="58" t="s">
        <v>75</v>
      </c>
      <c r="K1234" t="s">
        <v>1429</v>
      </c>
      <c r="L1234" t="s">
        <v>20</v>
      </c>
      <c r="M1234" t="s">
        <v>1430</v>
      </c>
      <c r="N1234" s="59">
        <v>33000</v>
      </c>
      <c r="O1234" s="59">
        <v>1068237500</v>
      </c>
      <c r="P1234" s="59">
        <v>0</v>
      </c>
      <c r="Q1234" s="59">
        <v>0</v>
      </c>
      <c r="R1234" s="59">
        <v>0</v>
      </c>
      <c r="S1234" s="59">
        <v>1068237500</v>
      </c>
      <c r="T1234" s="41"/>
      <c r="U1234" s="41"/>
      <c r="V1234" s="41"/>
      <c r="W1234" s="41"/>
      <c r="X1234" s="41"/>
      <c r="Y1234" s="41"/>
      <c r="Z1234" s="41"/>
      <c r="AA1234" s="41"/>
      <c r="AB1234" s="41"/>
      <c r="AC1234" s="41"/>
      <c r="AD1234" s="41"/>
      <c r="AE1234" s="59">
        <v>41438.52861565644</v>
      </c>
      <c r="AF1234" s="59">
        <v>41438.52861565644</v>
      </c>
      <c r="AG1234" s="59" t="s">
        <v>44</v>
      </c>
      <c r="AH1234" s="59" t="s">
        <v>1202</v>
      </c>
    </row>
    <row r="1235" spans="1:34" x14ac:dyDescent="0.35">
      <c r="A1235" s="58">
        <v>2025</v>
      </c>
      <c r="B1235" s="58">
        <v>5</v>
      </c>
      <c r="C1235">
        <v>5</v>
      </c>
      <c r="D1235" s="58" t="s">
        <v>624</v>
      </c>
      <c r="E1235" t="s">
        <v>272</v>
      </c>
      <c r="F1235" s="58" t="s">
        <v>172</v>
      </c>
      <c r="G1235" t="s">
        <v>734</v>
      </c>
      <c r="H1235" s="58" t="s">
        <v>4</v>
      </c>
      <c r="I1235" t="s">
        <v>4</v>
      </c>
      <c r="J1235" s="58" t="s">
        <v>4</v>
      </c>
      <c r="K1235" t="s">
        <v>1429</v>
      </c>
      <c r="L1235" t="s">
        <v>20</v>
      </c>
      <c r="M1235" t="s">
        <v>1430</v>
      </c>
      <c r="N1235" s="59">
        <v>11000</v>
      </c>
      <c r="O1235" s="59">
        <v>373786600</v>
      </c>
      <c r="P1235" s="59">
        <v>1684982.1706864564</v>
      </c>
      <c r="Q1235" s="59">
        <v>0</v>
      </c>
      <c r="R1235" s="59">
        <v>0</v>
      </c>
      <c r="S1235" s="59">
        <v>372101617.82931352</v>
      </c>
      <c r="T1235" s="41"/>
      <c r="U1235" s="41"/>
      <c r="V1235" s="41"/>
      <c r="W1235" s="41"/>
      <c r="X1235" s="41"/>
      <c r="Y1235" s="41"/>
      <c r="Z1235" s="41"/>
      <c r="AA1235" s="41"/>
      <c r="AB1235" s="41"/>
      <c r="AC1235" s="41"/>
      <c r="AD1235" s="41"/>
      <c r="AE1235" s="59">
        <v>14434.377690684016</v>
      </c>
      <c r="AF1235" s="59">
        <v>14499.740666517444</v>
      </c>
      <c r="AG1235" s="59" t="s">
        <v>103</v>
      </c>
      <c r="AH1235" s="59" t="s">
        <v>1175</v>
      </c>
    </row>
    <row r="1236" spans="1:34" x14ac:dyDescent="0.35">
      <c r="A1236" s="58">
        <v>2025</v>
      </c>
      <c r="B1236" s="58">
        <v>5</v>
      </c>
      <c r="C1236">
        <v>5</v>
      </c>
      <c r="D1236" s="58" t="s">
        <v>1558</v>
      </c>
      <c r="E1236" t="s">
        <v>1223</v>
      </c>
      <c r="F1236" s="58" t="s">
        <v>979</v>
      </c>
      <c r="G1236" t="s">
        <v>980</v>
      </c>
      <c r="H1236" s="58" t="s">
        <v>1385</v>
      </c>
      <c r="I1236" t="s">
        <v>1385</v>
      </c>
      <c r="J1236" s="58" t="s">
        <v>1385</v>
      </c>
      <c r="K1236" t="s">
        <v>1429</v>
      </c>
      <c r="L1236" t="s">
        <v>20</v>
      </c>
      <c r="M1236" t="s">
        <v>1430</v>
      </c>
      <c r="N1236" s="59">
        <v>3839</v>
      </c>
      <c r="O1236" s="59">
        <v>56874074</v>
      </c>
      <c r="P1236" s="59">
        <v>0</v>
      </c>
      <c r="Q1236" s="59">
        <v>0</v>
      </c>
      <c r="R1236" s="59">
        <v>0</v>
      </c>
      <c r="S1236" s="59">
        <v>56874074</v>
      </c>
      <c r="T1236" s="41"/>
      <c r="U1236" s="41"/>
      <c r="V1236" s="41"/>
      <c r="W1236" s="41"/>
      <c r="X1236" s="41"/>
      <c r="Y1236" s="41"/>
      <c r="Z1236" s="41"/>
      <c r="AA1236" s="41"/>
      <c r="AB1236" s="41"/>
      <c r="AC1236" s="41"/>
      <c r="AD1236" s="41"/>
      <c r="AE1236" s="59">
        <v>2206.2303026601876</v>
      </c>
      <c r="AF1236" s="59">
        <v>2206.2303026601876</v>
      </c>
      <c r="AG1236" s="59" t="s">
        <v>1223</v>
      </c>
      <c r="AH1236" s="59" t="s">
        <v>1388</v>
      </c>
    </row>
    <row r="1237" spans="1:34" x14ac:dyDescent="0.35">
      <c r="A1237" s="58">
        <v>2025</v>
      </c>
      <c r="B1237" s="58">
        <v>5</v>
      </c>
      <c r="C1237">
        <v>5</v>
      </c>
      <c r="D1237" s="58" t="s">
        <v>1558</v>
      </c>
      <c r="E1237" t="s">
        <v>1223</v>
      </c>
      <c r="F1237" s="58" t="s">
        <v>843</v>
      </c>
      <c r="G1237" t="s">
        <v>844</v>
      </c>
      <c r="H1237" s="58" t="s">
        <v>1012</v>
      </c>
      <c r="I1237" t="s">
        <v>86</v>
      </c>
      <c r="J1237" s="58" t="s">
        <v>86</v>
      </c>
      <c r="K1237" t="s">
        <v>1429</v>
      </c>
      <c r="L1237" t="s">
        <v>20</v>
      </c>
      <c r="M1237" t="s">
        <v>1430</v>
      </c>
      <c r="N1237" s="59">
        <v>6547</v>
      </c>
      <c r="O1237" s="59">
        <v>32735000</v>
      </c>
      <c r="P1237" s="59">
        <v>0</v>
      </c>
      <c r="Q1237" s="59">
        <v>0</v>
      </c>
      <c r="R1237" s="59">
        <v>0</v>
      </c>
      <c r="S1237" s="59">
        <v>32735000</v>
      </c>
      <c r="T1237" s="41"/>
      <c r="U1237" s="41"/>
      <c r="V1237" s="41"/>
      <c r="W1237" s="41"/>
      <c r="X1237" s="41"/>
      <c r="Y1237" s="41"/>
      <c r="Z1237" s="41"/>
      <c r="AA1237" s="41"/>
      <c r="AB1237" s="41"/>
      <c r="AC1237" s="41"/>
      <c r="AD1237" s="41"/>
      <c r="AE1237" s="59">
        <v>1269.839557433168</v>
      </c>
      <c r="AF1237" s="59">
        <v>1269.839557433168</v>
      </c>
      <c r="AG1237" s="59" t="s">
        <v>1223</v>
      </c>
      <c r="AH1237" s="59" t="s">
        <v>1224</v>
      </c>
    </row>
    <row r="1238" spans="1:34" x14ac:dyDescent="0.35">
      <c r="A1238" s="58">
        <v>2025</v>
      </c>
      <c r="B1238" s="58">
        <v>5</v>
      </c>
      <c r="C1238">
        <v>5</v>
      </c>
      <c r="D1238" s="58" t="s">
        <v>1558</v>
      </c>
      <c r="E1238" t="s">
        <v>1223</v>
      </c>
      <c r="F1238" s="58" t="s">
        <v>845</v>
      </c>
      <c r="G1238" t="s">
        <v>846</v>
      </c>
      <c r="H1238" s="58" t="s">
        <v>1012</v>
      </c>
      <c r="I1238" t="s">
        <v>86</v>
      </c>
      <c r="J1238" s="58" t="s">
        <v>86</v>
      </c>
      <c r="K1238" t="s">
        <v>1429</v>
      </c>
      <c r="L1238" t="s">
        <v>20</v>
      </c>
      <c r="M1238" t="s">
        <v>1430</v>
      </c>
      <c r="N1238" s="59">
        <v>26737</v>
      </c>
      <c r="O1238" s="59">
        <v>133685000</v>
      </c>
      <c r="P1238" s="59">
        <v>0</v>
      </c>
      <c r="Q1238" s="59">
        <v>0</v>
      </c>
      <c r="R1238" s="59">
        <v>0</v>
      </c>
      <c r="S1238" s="59">
        <v>133685000</v>
      </c>
      <c r="T1238" s="41"/>
      <c r="U1238" s="41"/>
      <c r="V1238" s="41"/>
      <c r="W1238" s="41"/>
      <c r="X1238" s="41"/>
      <c r="Y1238" s="41"/>
      <c r="Z1238" s="41"/>
      <c r="AA1238" s="41"/>
      <c r="AB1238" s="41"/>
      <c r="AC1238" s="41"/>
      <c r="AD1238" s="41"/>
      <c r="AE1238" s="59">
        <v>5185.8408808753038</v>
      </c>
      <c r="AF1238" s="59">
        <v>5185.8408808753038</v>
      </c>
      <c r="AG1238" s="59" t="s">
        <v>1223</v>
      </c>
      <c r="AH1238" s="59" t="s">
        <v>1225</v>
      </c>
    </row>
    <row r="1239" spans="1:34" x14ac:dyDescent="0.35">
      <c r="A1239" s="58">
        <v>2025</v>
      </c>
      <c r="B1239" s="58">
        <v>5</v>
      </c>
      <c r="C1239">
        <v>5</v>
      </c>
      <c r="D1239" s="58" t="s">
        <v>1558</v>
      </c>
      <c r="E1239" t="s">
        <v>1223</v>
      </c>
      <c r="F1239" s="58" t="s">
        <v>847</v>
      </c>
      <c r="G1239" t="s">
        <v>848</v>
      </c>
      <c r="H1239" s="58" t="s">
        <v>1012</v>
      </c>
      <c r="I1239" t="s">
        <v>86</v>
      </c>
      <c r="J1239" s="58" t="s">
        <v>86</v>
      </c>
      <c r="K1239" t="s">
        <v>1429</v>
      </c>
      <c r="L1239" t="s">
        <v>20</v>
      </c>
      <c r="M1239" t="s">
        <v>1430</v>
      </c>
      <c r="N1239" s="59">
        <v>38593</v>
      </c>
      <c r="O1239" s="59">
        <v>192965000</v>
      </c>
      <c r="P1239" s="59">
        <v>0</v>
      </c>
      <c r="Q1239" s="59">
        <v>0</v>
      </c>
      <c r="R1239" s="59">
        <v>0</v>
      </c>
      <c r="S1239" s="59">
        <v>192965000</v>
      </c>
      <c r="T1239" s="41"/>
      <c r="U1239" s="41"/>
      <c r="V1239" s="41"/>
      <c r="W1239" s="41"/>
      <c r="X1239" s="41"/>
      <c r="Y1239" s="41"/>
      <c r="Z1239" s="41"/>
      <c r="AA1239" s="41"/>
      <c r="AB1239" s="41"/>
      <c r="AC1239" s="41"/>
      <c r="AD1239" s="41"/>
      <c r="AE1239" s="59">
        <v>7485.4006476276536</v>
      </c>
      <c r="AF1239" s="59">
        <v>7485.4006476276536</v>
      </c>
      <c r="AG1239" s="59" t="s">
        <v>1223</v>
      </c>
      <c r="AH1239" s="59" t="s">
        <v>1226</v>
      </c>
    </row>
    <row r="1240" spans="1:34" x14ac:dyDescent="0.35">
      <c r="A1240" s="58">
        <v>2025</v>
      </c>
      <c r="B1240" s="58">
        <v>5</v>
      </c>
      <c r="C1240">
        <v>5</v>
      </c>
      <c r="D1240" s="58" t="s">
        <v>1558</v>
      </c>
      <c r="E1240" t="s">
        <v>1223</v>
      </c>
      <c r="F1240" s="58" t="s">
        <v>948</v>
      </c>
      <c r="G1240" t="s">
        <v>949</v>
      </c>
      <c r="H1240" s="58" t="s">
        <v>1012</v>
      </c>
      <c r="I1240" t="s">
        <v>86</v>
      </c>
      <c r="J1240" s="58" t="s">
        <v>86</v>
      </c>
      <c r="K1240" t="s">
        <v>1429</v>
      </c>
      <c r="L1240" t="s">
        <v>20</v>
      </c>
      <c r="M1240" t="s">
        <v>1430</v>
      </c>
      <c r="N1240" s="59">
        <v>15761</v>
      </c>
      <c r="O1240" s="59">
        <v>31522000</v>
      </c>
      <c r="P1240" s="59">
        <v>0</v>
      </c>
      <c r="Q1240" s="59">
        <v>0</v>
      </c>
      <c r="R1240" s="59">
        <v>0</v>
      </c>
      <c r="S1240" s="59">
        <v>31522000</v>
      </c>
      <c r="T1240" s="41"/>
      <c r="U1240" s="41"/>
      <c r="V1240" s="41"/>
      <c r="W1240" s="41"/>
      <c r="X1240" s="41"/>
      <c r="Y1240" s="41"/>
      <c r="Z1240" s="41"/>
      <c r="AA1240" s="41"/>
      <c r="AB1240" s="41"/>
      <c r="AC1240" s="41"/>
      <c r="AD1240" s="41"/>
      <c r="AE1240" s="59">
        <v>1222.7854751613968</v>
      </c>
      <c r="AF1240" s="59">
        <v>1222.7854751613968</v>
      </c>
      <c r="AG1240" s="59" t="s">
        <v>1223</v>
      </c>
      <c r="AH1240" s="59" t="s">
        <v>1229</v>
      </c>
    </row>
    <row r="1241" spans="1:34" x14ac:dyDescent="0.35">
      <c r="A1241" s="58">
        <v>2025</v>
      </c>
      <c r="B1241" s="58">
        <v>5</v>
      </c>
      <c r="C1241">
        <v>5</v>
      </c>
      <c r="D1241" s="58" t="s">
        <v>652</v>
      </c>
      <c r="E1241" t="s">
        <v>71</v>
      </c>
      <c r="F1241" s="58" t="s">
        <v>171</v>
      </c>
      <c r="G1241" t="s">
        <v>731</v>
      </c>
      <c r="H1241" s="58" t="s">
        <v>4</v>
      </c>
      <c r="I1241" t="s">
        <v>4</v>
      </c>
      <c r="J1241" s="58" t="s">
        <v>4</v>
      </c>
      <c r="K1241" t="s">
        <v>1429</v>
      </c>
      <c r="L1241" t="s">
        <v>20</v>
      </c>
      <c r="M1241" t="s">
        <v>1430</v>
      </c>
      <c r="N1241" s="59">
        <v>5500</v>
      </c>
      <c r="O1241" s="59">
        <v>183159717</v>
      </c>
      <c r="P1241" s="59">
        <v>842491.08534322819</v>
      </c>
      <c r="Q1241" s="59">
        <v>0</v>
      </c>
      <c r="R1241" s="59">
        <v>0</v>
      </c>
      <c r="S1241" s="59">
        <v>182317225.91465676</v>
      </c>
      <c r="T1241" s="41"/>
      <c r="U1241" s="41"/>
      <c r="V1241" s="41"/>
      <c r="W1241" s="41"/>
      <c r="X1241" s="41"/>
      <c r="Y1241" s="41"/>
      <c r="Z1241" s="41"/>
      <c r="AA1241" s="41"/>
      <c r="AB1241" s="41"/>
      <c r="AC1241" s="41"/>
      <c r="AD1241" s="41"/>
      <c r="AE1241" s="59">
        <v>7072.3575826458109</v>
      </c>
      <c r="AF1241" s="59">
        <v>7105.0390705625259</v>
      </c>
      <c r="AG1241" s="59" t="s">
        <v>71</v>
      </c>
      <c r="AH1241" s="59" t="s">
        <v>1166</v>
      </c>
    </row>
    <row r="1242" spans="1:34" x14ac:dyDescent="0.35">
      <c r="A1242" s="58">
        <v>2025</v>
      </c>
      <c r="B1242" s="58">
        <v>5</v>
      </c>
      <c r="C1242">
        <v>5</v>
      </c>
      <c r="D1242" s="58" t="s">
        <v>645</v>
      </c>
      <c r="E1242" t="s">
        <v>117</v>
      </c>
      <c r="F1242" s="58" t="s">
        <v>174</v>
      </c>
      <c r="G1242" t="s">
        <v>740</v>
      </c>
      <c r="H1242" s="58" t="s">
        <v>4</v>
      </c>
      <c r="I1242" t="s">
        <v>4</v>
      </c>
      <c r="J1242" s="58" t="s">
        <v>4</v>
      </c>
      <c r="K1242" t="s">
        <v>1429</v>
      </c>
      <c r="L1242" t="s">
        <v>20</v>
      </c>
      <c r="M1242" t="s">
        <v>1430</v>
      </c>
      <c r="N1242" s="59">
        <v>11000</v>
      </c>
      <c r="O1242" s="59">
        <v>339946200</v>
      </c>
      <c r="P1242" s="59">
        <v>1684982.1706864564</v>
      </c>
      <c r="Q1242" s="59">
        <v>0</v>
      </c>
      <c r="R1242" s="59">
        <v>0</v>
      </c>
      <c r="S1242" s="59">
        <v>338261217.82931352</v>
      </c>
      <c r="T1242" s="41"/>
      <c r="U1242" s="41"/>
      <c r="V1242" s="41"/>
      <c r="W1242" s="41"/>
      <c r="X1242" s="41"/>
      <c r="Y1242" s="41"/>
      <c r="Z1242" s="41"/>
      <c r="AA1242" s="41"/>
      <c r="AB1242" s="41"/>
      <c r="AC1242" s="41"/>
      <c r="AD1242" s="41"/>
      <c r="AE1242" s="59">
        <v>13121.658015737892</v>
      </c>
      <c r="AF1242" s="59">
        <v>13187.02099157132</v>
      </c>
      <c r="AG1242" s="59" t="s">
        <v>117</v>
      </c>
      <c r="AH1242" s="59" t="s">
        <v>1185</v>
      </c>
    </row>
    <row r="1243" spans="1:34" x14ac:dyDescent="0.35">
      <c r="A1243" s="58">
        <v>2025</v>
      </c>
      <c r="B1243" s="58">
        <v>5</v>
      </c>
      <c r="C1243">
        <v>5</v>
      </c>
      <c r="D1243" s="58" t="s">
        <v>1612</v>
      </c>
      <c r="E1243" t="s">
        <v>1213</v>
      </c>
      <c r="F1243" s="58" t="s">
        <v>1472</v>
      </c>
      <c r="G1243" t="s">
        <v>1473</v>
      </c>
      <c r="H1243" s="58" t="s">
        <v>1012</v>
      </c>
      <c r="I1243" t="s">
        <v>86</v>
      </c>
      <c r="J1243" s="58" t="s">
        <v>86</v>
      </c>
      <c r="K1243" t="s">
        <v>1429</v>
      </c>
      <c r="L1243" t="s">
        <v>20</v>
      </c>
      <c r="M1243" t="s">
        <v>1430</v>
      </c>
      <c r="N1243" s="59">
        <v>2504</v>
      </c>
      <c r="O1243" s="59">
        <v>48828000</v>
      </c>
      <c r="P1243" s="59">
        <v>0</v>
      </c>
      <c r="Q1243" s="59">
        <v>0</v>
      </c>
      <c r="R1243" s="59">
        <v>0</v>
      </c>
      <c r="S1243" s="59">
        <v>48828000</v>
      </c>
      <c r="T1243" s="41"/>
      <c r="U1243" s="41"/>
      <c r="V1243" s="41"/>
      <c r="W1243" s="41"/>
      <c r="X1243" s="41"/>
      <c r="Y1243" s="41"/>
      <c r="Z1243" s="41"/>
      <c r="AA1243" s="41"/>
      <c r="AB1243" s="41"/>
      <c r="AC1243" s="41"/>
      <c r="AD1243" s="41"/>
      <c r="AE1243" s="59">
        <v>1894.1110710354887</v>
      </c>
      <c r="AF1243" s="59">
        <v>1894.1110710354887</v>
      </c>
      <c r="AG1243" s="59" t="s">
        <v>1213</v>
      </c>
      <c r="AH1243" s="59" t="s">
        <v>1215</v>
      </c>
    </row>
    <row r="1244" spans="1:34" x14ac:dyDescent="0.35">
      <c r="A1244" s="58">
        <v>2025</v>
      </c>
      <c r="B1244" s="58">
        <v>5</v>
      </c>
      <c r="C1244">
        <v>5</v>
      </c>
      <c r="D1244" s="58" t="s">
        <v>1612</v>
      </c>
      <c r="E1244" t="s">
        <v>1213</v>
      </c>
      <c r="F1244" s="58" t="s">
        <v>1550</v>
      </c>
      <c r="G1244" t="s">
        <v>1551</v>
      </c>
      <c r="H1244" s="58" t="s">
        <v>1012</v>
      </c>
      <c r="I1244" t="s">
        <v>86</v>
      </c>
      <c r="J1244" s="58" t="s">
        <v>86</v>
      </c>
      <c r="K1244" t="s">
        <v>1429</v>
      </c>
      <c r="L1244" t="s">
        <v>20</v>
      </c>
      <c r="M1244" t="s">
        <v>1430</v>
      </c>
      <c r="N1244" s="59">
        <v>626</v>
      </c>
      <c r="O1244" s="59">
        <v>11984500</v>
      </c>
      <c r="P1244" s="59">
        <v>0</v>
      </c>
      <c r="Q1244" s="59">
        <v>0</v>
      </c>
      <c r="R1244" s="59">
        <v>0</v>
      </c>
      <c r="S1244" s="59">
        <v>11984500</v>
      </c>
      <c r="T1244" s="41"/>
      <c r="U1244" s="41"/>
      <c r="V1244" s="41"/>
      <c r="W1244" s="41"/>
      <c r="X1244" s="41"/>
      <c r="Y1244" s="41"/>
      <c r="Z1244" s="41"/>
      <c r="AA1244" s="41"/>
      <c r="AB1244" s="41"/>
      <c r="AC1244" s="41"/>
      <c r="AD1244" s="41"/>
      <c r="AE1244" s="59">
        <v>464.89666033474265</v>
      </c>
      <c r="AF1244" s="59">
        <v>464.89666033474265</v>
      </c>
      <c r="AG1244" s="59" t="s">
        <v>1213</v>
      </c>
      <c r="AH1244" s="59" t="s">
        <v>1227</v>
      </c>
    </row>
    <row r="1245" spans="1:34" x14ac:dyDescent="0.35">
      <c r="A1245" s="58">
        <v>2025</v>
      </c>
      <c r="B1245" s="58">
        <v>5</v>
      </c>
      <c r="C1245">
        <v>5</v>
      </c>
      <c r="D1245" s="58" t="s">
        <v>1612</v>
      </c>
      <c r="E1245" t="s">
        <v>1213</v>
      </c>
      <c r="F1245" s="58" t="s">
        <v>1615</v>
      </c>
      <c r="G1245" t="s">
        <v>1616</v>
      </c>
      <c r="H1245" s="58" t="s">
        <v>1012</v>
      </c>
      <c r="I1245" t="s">
        <v>86</v>
      </c>
      <c r="J1245" s="58" t="s">
        <v>86</v>
      </c>
      <c r="K1245" t="s">
        <v>1429</v>
      </c>
      <c r="L1245" t="s">
        <v>20</v>
      </c>
      <c r="M1245" t="s">
        <v>1430</v>
      </c>
      <c r="N1245" s="59">
        <v>516</v>
      </c>
      <c r="O1245" s="59">
        <v>9804000</v>
      </c>
      <c r="P1245" s="59">
        <v>0</v>
      </c>
      <c r="Q1245" s="59">
        <v>0</v>
      </c>
      <c r="R1245" s="59">
        <v>0</v>
      </c>
      <c r="S1245" s="59">
        <v>9804000</v>
      </c>
      <c r="T1245" s="41"/>
      <c r="U1245" s="41"/>
      <c r="V1245" s="41"/>
      <c r="W1245" s="41"/>
      <c r="X1245" s="41"/>
      <c r="Y1245" s="41"/>
      <c r="Z1245" s="41"/>
      <c r="AA1245" s="41"/>
      <c r="AB1245" s="41"/>
      <c r="AC1245" s="41"/>
      <c r="AD1245" s="41"/>
      <c r="AE1245" s="59">
        <v>380.31180757827337</v>
      </c>
      <c r="AF1245" s="59">
        <v>380.31180757827337</v>
      </c>
      <c r="AG1245" s="59" t="s">
        <v>1213</v>
      </c>
      <c r="AH1245" s="59" t="s">
        <v>1230</v>
      </c>
    </row>
    <row r="1246" spans="1:34" x14ac:dyDescent="0.35">
      <c r="A1246" s="58">
        <v>2025</v>
      </c>
      <c r="B1246" s="58">
        <v>5</v>
      </c>
      <c r="C1246">
        <v>5</v>
      </c>
      <c r="D1246" s="58" t="s">
        <v>627</v>
      </c>
      <c r="E1246" t="s">
        <v>58</v>
      </c>
      <c r="F1246" s="58" t="s">
        <v>200</v>
      </c>
      <c r="G1246" t="s">
        <v>470</v>
      </c>
      <c r="H1246" s="58" t="s">
        <v>1428</v>
      </c>
      <c r="I1246" t="s">
        <v>76</v>
      </c>
      <c r="J1246" s="58" t="s">
        <v>76</v>
      </c>
      <c r="K1246" t="s">
        <v>1429</v>
      </c>
      <c r="L1246" t="s">
        <v>20</v>
      </c>
      <c r="M1246" t="s">
        <v>1430</v>
      </c>
      <c r="N1246" s="59">
        <v>14250</v>
      </c>
      <c r="O1246" s="59">
        <v>221944445</v>
      </c>
      <c r="P1246" s="59">
        <v>3201466.1243042671</v>
      </c>
      <c r="Q1246" s="59">
        <v>0</v>
      </c>
      <c r="R1246" s="59">
        <v>0</v>
      </c>
      <c r="S1246" s="59">
        <v>218742978.87569577</v>
      </c>
      <c r="T1246" s="41"/>
      <c r="U1246" s="41"/>
      <c r="V1246" s="41"/>
      <c r="W1246" s="41"/>
      <c r="X1246" s="41"/>
      <c r="Y1246" s="41"/>
      <c r="Z1246" s="41"/>
      <c r="AA1246" s="41"/>
      <c r="AB1246" s="41"/>
      <c r="AC1246" s="41"/>
      <c r="AD1246" s="41"/>
      <c r="AE1246" s="59">
        <v>8485.3669615740419</v>
      </c>
      <c r="AF1246" s="59">
        <v>8609.5566156575551</v>
      </c>
      <c r="AG1246" s="59" t="s">
        <v>58</v>
      </c>
      <c r="AH1246" s="59" t="s">
        <v>79</v>
      </c>
    </row>
    <row r="1247" spans="1:34" x14ac:dyDescent="0.35">
      <c r="A1247" s="58">
        <v>2025</v>
      </c>
      <c r="B1247" s="58">
        <v>5</v>
      </c>
      <c r="C1247">
        <v>5</v>
      </c>
      <c r="D1247" s="58" t="s">
        <v>627</v>
      </c>
      <c r="E1247" t="s">
        <v>58</v>
      </c>
      <c r="F1247" s="58" t="s">
        <v>202</v>
      </c>
      <c r="G1247" t="s">
        <v>473</v>
      </c>
      <c r="H1247" s="58" t="s">
        <v>1428</v>
      </c>
      <c r="I1247" t="s">
        <v>76</v>
      </c>
      <c r="J1247" s="58" t="s">
        <v>76</v>
      </c>
      <c r="K1247" t="s">
        <v>1429</v>
      </c>
      <c r="L1247" t="s">
        <v>20</v>
      </c>
      <c r="M1247" t="s">
        <v>1430</v>
      </c>
      <c r="N1247" s="59">
        <v>3000</v>
      </c>
      <c r="O1247" s="59">
        <v>45000000</v>
      </c>
      <c r="P1247" s="59">
        <v>673992.86827458255</v>
      </c>
      <c r="Q1247" s="59">
        <v>0</v>
      </c>
      <c r="R1247" s="59">
        <v>0</v>
      </c>
      <c r="S1247" s="59">
        <v>44326007.131725416</v>
      </c>
      <c r="T1247" s="41"/>
      <c r="U1247" s="41"/>
      <c r="V1247" s="41"/>
      <c r="W1247" s="41"/>
      <c r="X1247" s="41"/>
      <c r="Y1247" s="41"/>
      <c r="Z1247" s="41"/>
      <c r="AA1247" s="41"/>
      <c r="AB1247" s="41"/>
      <c r="AC1247" s="41"/>
      <c r="AD1247" s="41"/>
      <c r="AE1247" s="59">
        <v>1719.4720415130487</v>
      </c>
      <c r="AF1247" s="59">
        <v>1745.6172318464198</v>
      </c>
      <c r="AG1247" s="59" t="s">
        <v>58</v>
      </c>
      <c r="AH1247" s="59" t="s">
        <v>80</v>
      </c>
    </row>
    <row r="1248" spans="1:34" x14ac:dyDescent="0.35">
      <c r="A1248" s="58">
        <v>2025</v>
      </c>
      <c r="B1248" s="58">
        <v>5</v>
      </c>
      <c r="C1248">
        <v>5</v>
      </c>
      <c r="D1248" s="58" t="s">
        <v>603</v>
      </c>
      <c r="E1248" t="s">
        <v>56</v>
      </c>
      <c r="F1248" s="58" t="s">
        <v>203</v>
      </c>
      <c r="G1248" t="s">
        <v>472</v>
      </c>
      <c r="H1248" s="58" t="s">
        <v>1428</v>
      </c>
      <c r="I1248" t="s">
        <v>76</v>
      </c>
      <c r="J1248" s="58" t="s">
        <v>76</v>
      </c>
      <c r="K1248" t="s">
        <v>1429</v>
      </c>
      <c r="L1248" t="s">
        <v>20</v>
      </c>
      <c r="M1248" t="s">
        <v>1430</v>
      </c>
      <c r="N1248" s="59">
        <v>15750</v>
      </c>
      <c r="O1248" s="59">
        <v>244125000</v>
      </c>
      <c r="P1248" s="59">
        <v>3538462.5584415584</v>
      </c>
      <c r="Q1248" s="59">
        <v>0</v>
      </c>
      <c r="R1248" s="59">
        <v>0</v>
      </c>
      <c r="S1248" s="59">
        <v>240586537.44155842</v>
      </c>
      <c r="T1248" s="41"/>
      <c r="U1248" s="41"/>
      <c r="V1248" s="41"/>
      <c r="W1248" s="41"/>
      <c r="X1248" s="41"/>
      <c r="Y1248" s="41"/>
      <c r="Z1248" s="41"/>
      <c r="AA1248" s="41"/>
      <c r="AB1248" s="41"/>
      <c r="AC1248" s="41"/>
      <c r="AD1248" s="41"/>
      <c r="AE1248" s="59">
        <v>9332.7112335166275</v>
      </c>
      <c r="AF1248" s="59">
        <v>9469.9734827668271</v>
      </c>
      <c r="AG1248" s="59" t="s">
        <v>56</v>
      </c>
      <c r="AH1248" s="59" t="s">
        <v>78</v>
      </c>
    </row>
    <row r="1249" spans="1:34" x14ac:dyDescent="0.35">
      <c r="A1249" s="58">
        <v>2025</v>
      </c>
      <c r="B1249" s="58">
        <v>5</v>
      </c>
      <c r="C1249">
        <v>5</v>
      </c>
      <c r="D1249" s="58" t="s">
        <v>603</v>
      </c>
      <c r="E1249" t="s">
        <v>56</v>
      </c>
      <c r="F1249" s="58" t="s">
        <v>204</v>
      </c>
      <c r="G1249" t="s">
        <v>474</v>
      </c>
      <c r="H1249" s="58" t="s">
        <v>1428</v>
      </c>
      <c r="I1249" t="s">
        <v>76</v>
      </c>
      <c r="J1249" s="58" t="s">
        <v>76</v>
      </c>
      <c r="K1249" t="s">
        <v>1429</v>
      </c>
      <c r="L1249" t="s">
        <v>20</v>
      </c>
      <c r="M1249" t="s">
        <v>1430</v>
      </c>
      <c r="N1249" s="59">
        <v>10500</v>
      </c>
      <c r="O1249" s="59">
        <v>162750000</v>
      </c>
      <c r="P1249" s="59">
        <v>2358975.0389610389</v>
      </c>
      <c r="Q1249" s="59">
        <v>0</v>
      </c>
      <c r="R1249" s="59">
        <v>0</v>
      </c>
      <c r="S1249" s="59">
        <v>160391024.96103895</v>
      </c>
      <c r="T1249" s="41"/>
      <c r="U1249" s="41"/>
      <c r="V1249" s="41"/>
      <c r="W1249" s="41"/>
      <c r="X1249" s="41"/>
      <c r="Y1249" s="41"/>
      <c r="Z1249" s="41"/>
      <c r="AA1249" s="41"/>
      <c r="AB1249" s="41"/>
      <c r="AC1249" s="41"/>
      <c r="AD1249" s="41"/>
      <c r="AE1249" s="59">
        <v>6221.8074890110856</v>
      </c>
      <c r="AF1249" s="59">
        <v>6313.3156551778848</v>
      </c>
      <c r="AG1249" s="59" t="s">
        <v>56</v>
      </c>
      <c r="AH1249" s="59" t="s">
        <v>81</v>
      </c>
    </row>
    <row r="1250" spans="1:34" x14ac:dyDescent="0.35">
      <c r="A1250" s="58">
        <v>2025</v>
      </c>
      <c r="B1250" s="58">
        <v>5</v>
      </c>
      <c r="C1250">
        <v>5</v>
      </c>
      <c r="D1250" s="58" t="s">
        <v>628</v>
      </c>
      <c r="E1250" t="s">
        <v>57</v>
      </c>
      <c r="F1250" s="58" t="s">
        <v>199</v>
      </c>
      <c r="G1250" t="s">
        <v>758</v>
      </c>
      <c r="H1250" s="58" t="s">
        <v>1428</v>
      </c>
      <c r="I1250" t="s">
        <v>76</v>
      </c>
      <c r="J1250" s="58" t="s">
        <v>76</v>
      </c>
      <c r="K1250" t="s">
        <v>1429</v>
      </c>
      <c r="L1250" t="s">
        <v>20</v>
      </c>
      <c r="M1250" t="s">
        <v>1430</v>
      </c>
      <c r="N1250" s="59">
        <v>35750</v>
      </c>
      <c r="O1250" s="59">
        <v>681236110</v>
      </c>
      <c r="P1250" s="59">
        <v>0</v>
      </c>
      <c r="Q1250" s="59">
        <v>35750000</v>
      </c>
      <c r="R1250" s="59">
        <v>3200000.0000000005</v>
      </c>
      <c r="S1250" s="59">
        <v>642286110</v>
      </c>
      <c r="T1250" s="41"/>
      <c r="U1250" s="41"/>
      <c r="V1250" s="41"/>
      <c r="W1250" s="41"/>
      <c r="X1250" s="41"/>
      <c r="Y1250" s="41"/>
      <c r="Z1250" s="41"/>
      <c r="AA1250" s="41"/>
      <c r="AB1250" s="41"/>
      <c r="AC1250" s="41"/>
      <c r="AD1250" s="41"/>
      <c r="AE1250" s="59">
        <v>24915.237808702335</v>
      </c>
      <c r="AF1250" s="59">
        <v>26426.166501600517</v>
      </c>
      <c r="AG1250" s="59" t="s">
        <v>57</v>
      </c>
      <c r="AH1250" s="59" t="s">
        <v>1254</v>
      </c>
    </row>
    <row r="1251" spans="1:34" x14ac:dyDescent="0.35">
      <c r="A1251" s="58">
        <v>2025</v>
      </c>
      <c r="B1251" s="58">
        <v>5</v>
      </c>
      <c r="C1251">
        <v>5</v>
      </c>
      <c r="D1251" s="58" t="s">
        <v>628</v>
      </c>
      <c r="E1251" t="s">
        <v>57</v>
      </c>
      <c r="F1251" s="58" t="s">
        <v>200</v>
      </c>
      <c r="G1251" t="s">
        <v>470</v>
      </c>
      <c r="H1251" s="58" t="s">
        <v>1428</v>
      </c>
      <c r="I1251" t="s">
        <v>76</v>
      </c>
      <c r="J1251" s="58" t="s">
        <v>76</v>
      </c>
      <c r="K1251" t="s">
        <v>1429</v>
      </c>
      <c r="L1251" t="s">
        <v>20</v>
      </c>
      <c r="M1251" t="s">
        <v>1430</v>
      </c>
      <c r="N1251" s="59">
        <v>15000</v>
      </c>
      <c r="O1251" s="59">
        <v>256944444</v>
      </c>
      <c r="P1251" s="59">
        <v>3369964.3413729127</v>
      </c>
      <c r="Q1251" s="59">
        <v>15000000</v>
      </c>
      <c r="R1251" s="59">
        <v>0</v>
      </c>
      <c r="S1251" s="59">
        <v>238574479.65862709</v>
      </c>
      <c r="T1251" s="41"/>
      <c r="U1251" s="41"/>
      <c r="V1251" s="41"/>
      <c r="W1251" s="41"/>
      <c r="X1251" s="41"/>
      <c r="Y1251" s="41"/>
      <c r="Z1251" s="41"/>
      <c r="AA1251" s="41"/>
      <c r="AB1251" s="41"/>
      <c r="AC1251" s="41"/>
      <c r="AD1251" s="41"/>
      <c r="AE1251" s="59">
        <v>9254.6605060198362</v>
      </c>
      <c r="AF1251" s="59">
        <v>9967.2588683021659</v>
      </c>
      <c r="AG1251" s="59" t="s">
        <v>57</v>
      </c>
      <c r="AH1251" s="59" t="s">
        <v>79</v>
      </c>
    </row>
    <row r="1252" spans="1:34" x14ac:dyDescent="0.35">
      <c r="A1252" s="58">
        <v>2025</v>
      </c>
      <c r="B1252" s="58">
        <v>5</v>
      </c>
      <c r="C1252">
        <v>5</v>
      </c>
      <c r="D1252" s="58" t="s">
        <v>628</v>
      </c>
      <c r="E1252" t="s">
        <v>57</v>
      </c>
      <c r="F1252" s="58" t="s">
        <v>202</v>
      </c>
      <c r="G1252" t="s">
        <v>473</v>
      </c>
      <c r="H1252" s="58" t="s">
        <v>1428</v>
      </c>
      <c r="I1252" t="s">
        <v>76</v>
      </c>
      <c r="J1252" s="58" t="s">
        <v>76</v>
      </c>
      <c r="K1252" t="s">
        <v>1429</v>
      </c>
      <c r="L1252" t="s">
        <v>20</v>
      </c>
      <c r="M1252" t="s">
        <v>1430</v>
      </c>
      <c r="N1252" s="59">
        <v>25500</v>
      </c>
      <c r="O1252" s="59">
        <v>438633332</v>
      </c>
      <c r="P1252" s="59">
        <v>5728939.3803339526</v>
      </c>
      <c r="Q1252" s="59">
        <v>26550000</v>
      </c>
      <c r="R1252" s="59">
        <v>0</v>
      </c>
      <c r="S1252" s="59">
        <v>406354392.61966598</v>
      </c>
      <c r="T1252" s="41"/>
      <c r="U1252" s="41"/>
      <c r="V1252" s="41"/>
      <c r="W1252" s="41"/>
      <c r="X1252" s="41"/>
      <c r="Y1252" s="41"/>
      <c r="Z1252" s="41"/>
      <c r="AA1252" s="41"/>
      <c r="AB1252" s="41"/>
      <c r="AC1252" s="41"/>
      <c r="AD1252" s="41"/>
      <c r="AE1252" s="59">
        <v>15763.093999852768</v>
      </c>
      <c r="AF1252" s="59">
        <v>17015.242284475815</v>
      </c>
      <c r="AG1252" s="59" t="s">
        <v>57</v>
      </c>
      <c r="AH1252" s="59" t="s">
        <v>80</v>
      </c>
    </row>
    <row r="1253" spans="1:34" x14ac:dyDescent="0.35">
      <c r="A1253" s="58">
        <v>2025</v>
      </c>
      <c r="B1253" s="58">
        <v>5</v>
      </c>
      <c r="C1253">
        <v>5</v>
      </c>
      <c r="D1253" s="58" t="s">
        <v>628</v>
      </c>
      <c r="E1253" t="s">
        <v>57</v>
      </c>
      <c r="F1253" s="58" t="s">
        <v>204</v>
      </c>
      <c r="G1253" t="s">
        <v>474</v>
      </c>
      <c r="H1253" s="58" t="s">
        <v>1428</v>
      </c>
      <c r="I1253" t="s">
        <v>76</v>
      </c>
      <c r="J1253" s="58" t="s">
        <v>76</v>
      </c>
      <c r="K1253" t="s">
        <v>1429</v>
      </c>
      <c r="L1253" t="s">
        <v>20</v>
      </c>
      <c r="M1253" t="s">
        <v>1430</v>
      </c>
      <c r="N1253" s="59">
        <v>5250</v>
      </c>
      <c r="O1253" s="59">
        <v>89930556</v>
      </c>
      <c r="P1253" s="59">
        <v>1179487.5194805195</v>
      </c>
      <c r="Q1253" s="59">
        <v>5250000</v>
      </c>
      <c r="R1253" s="59">
        <v>0</v>
      </c>
      <c r="S1253" s="59">
        <v>83501068.480519474</v>
      </c>
      <c r="T1253" s="41"/>
      <c r="U1253" s="41"/>
      <c r="V1253" s="41"/>
      <c r="W1253" s="41"/>
      <c r="X1253" s="41"/>
      <c r="Y1253" s="41"/>
      <c r="Z1253" s="41"/>
      <c r="AA1253" s="41"/>
      <c r="AB1253" s="41"/>
      <c r="AC1253" s="41"/>
      <c r="AD1253" s="41"/>
      <c r="AE1253" s="59">
        <v>3239.1312003818389</v>
      </c>
      <c r="AF1253" s="59">
        <v>3488.5406271806542</v>
      </c>
      <c r="AG1253" s="59" t="s">
        <v>57</v>
      </c>
      <c r="AH1253" s="59" t="s">
        <v>81</v>
      </c>
    </row>
    <row r="1254" spans="1:34" x14ac:dyDescent="0.35">
      <c r="A1254" s="58">
        <v>2025</v>
      </c>
      <c r="B1254" s="58">
        <v>5</v>
      </c>
      <c r="C1254">
        <v>5</v>
      </c>
      <c r="D1254" s="58" t="s">
        <v>664</v>
      </c>
      <c r="E1254" t="s">
        <v>326</v>
      </c>
      <c r="F1254" s="58" t="s">
        <v>1152</v>
      </c>
      <c r="G1254" t="s">
        <v>1153</v>
      </c>
      <c r="H1254" s="58" t="s">
        <v>1012</v>
      </c>
      <c r="I1254" t="s">
        <v>1012</v>
      </c>
      <c r="J1254" s="58" t="s">
        <v>1399</v>
      </c>
      <c r="K1254" t="s">
        <v>1429</v>
      </c>
      <c r="L1254" t="s">
        <v>20</v>
      </c>
      <c r="M1254" t="s">
        <v>1430</v>
      </c>
      <c r="N1254" s="59">
        <v>0</v>
      </c>
      <c r="O1254" s="59">
        <v>0</v>
      </c>
      <c r="P1254" s="59">
        <v>0</v>
      </c>
      <c r="Q1254" s="59">
        <v>0</v>
      </c>
      <c r="R1254" s="59">
        <v>4420000</v>
      </c>
      <c r="S1254" s="59">
        <v>-4420000</v>
      </c>
      <c r="T1254" s="41"/>
      <c r="U1254" s="41"/>
      <c r="V1254" s="41"/>
      <c r="W1254" s="41"/>
      <c r="X1254" s="41"/>
      <c r="Y1254" s="41"/>
      <c r="Z1254" s="41"/>
      <c r="AA1254" s="41"/>
      <c r="AB1254" s="41"/>
      <c r="AC1254" s="41"/>
      <c r="AD1254" s="41"/>
      <c r="AE1254" s="59">
        <v>-171.45840366135945</v>
      </c>
      <c r="AF1254" s="59">
        <v>0</v>
      </c>
      <c r="AG1254" s="59" t="s">
        <v>8</v>
      </c>
      <c r="AH1254" s="59" t="s">
        <v>1400</v>
      </c>
    </row>
    <row r="1255" spans="1:34" x14ac:dyDescent="0.35">
      <c r="A1255" s="58">
        <v>2025</v>
      </c>
      <c r="B1255" s="58">
        <v>5</v>
      </c>
      <c r="C1255">
        <v>5</v>
      </c>
      <c r="D1255" s="58" t="s">
        <v>663</v>
      </c>
      <c r="E1255" t="s">
        <v>105</v>
      </c>
      <c r="F1255" s="58" t="s">
        <v>171</v>
      </c>
      <c r="G1255" t="s">
        <v>731</v>
      </c>
      <c r="H1255" s="58" t="s">
        <v>4</v>
      </c>
      <c r="I1255" t="s">
        <v>4</v>
      </c>
      <c r="J1255" s="58" t="s">
        <v>4</v>
      </c>
      <c r="K1255" t="s">
        <v>1429</v>
      </c>
      <c r="L1255" t="s">
        <v>20</v>
      </c>
      <c r="M1255" t="s">
        <v>1430</v>
      </c>
      <c r="N1255" s="59">
        <v>3300</v>
      </c>
      <c r="O1255" s="59">
        <v>111222222</v>
      </c>
      <c r="P1255" s="59">
        <v>505494.65120593691</v>
      </c>
      <c r="Q1255" s="59">
        <v>0</v>
      </c>
      <c r="R1255" s="59">
        <v>0</v>
      </c>
      <c r="S1255" s="59">
        <v>110716727.34879406</v>
      </c>
      <c r="T1255" s="41"/>
      <c r="U1255" s="41"/>
      <c r="V1255" s="41"/>
      <c r="W1255" s="41"/>
      <c r="X1255" s="41"/>
      <c r="Y1255" s="41"/>
      <c r="Z1255" s="41"/>
      <c r="AA1255" s="41"/>
      <c r="AB1255" s="41"/>
      <c r="AC1255" s="41"/>
      <c r="AD1255" s="41"/>
      <c r="AE1255" s="59">
        <v>4294.8672691932597</v>
      </c>
      <c r="AF1255" s="59">
        <v>4314.4761619432884</v>
      </c>
      <c r="AG1255" s="59" t="s">
        <v>105</v>
      </c>
      <c r="AH1255" s="59" t="s">
        <v>1166</v>
      </c>
    </row>
    <row r="1256" spans="1:34" x14ac:dyDescent="0.35">
      <c r="A1256" s="58">
        <v>2025</v>
      </c>
      <c r="B1256" s="58">
        <v>5</v>
      </c>
      <c r="C1256">
        <v>5</v>
      </c>
      <c r="D1256" s="58" t="s">
        <v>1596</v>
      </c>
      <c r="E1256" t="s">
        <v>1297</v>
      </c>
      <c r="F1256" s="58" t="s">
        <v>1468</v>
      </c>
      <c r="G1256" t="s">
        <v>1012</v>
      </c>
      <c r="H1256" s="58" t="s">
        <v>1012</v>
      </c>
      <c r="I1256" t="s">
        <v>1012</v>
      </c>
      <c r="J1256" s="58" t="s">
        <v>1012</v>
      </c>
      <c r="K1256" t="s">
        <v>1429</v>
      </c>
      <c r="L1256" t="s">
        <v>20</v>
      </c>
      <c r="M1256" t="s">
        <v>1430</v>
      </c>
      <c r="N1256" s="59">
        <v>0</v>
      </c>
      <c r="O1256" s="59">
        <v>0</v>
      </c>
      <c r="P1256" s="59">
        <v>0</v>
      </c>
      <c r="Q1256" s="59">
        <v>0</v>
      </c>
      <c r="R1256" s="59">
        <v>0</v>
      </c>
      <c r="S1256" s="59">
        <v>0</v>
      </c>
      <c r="T1256" s="41"/>
      <c r="U1256" s="41"/>
      <c r="V1256" s="41"/>
      <c r="W1256" s="41"/>
      <c r="X1256" s="41"/>
      <c r="Y1256" s="41"/>
      <c r="Z1256" s="41"/>
      <c r="AA1256" s="41"/>
      <c r="AB1256" s="41"/>
      <c r="AC1256" s="41"/>
      <c r="AD1256" s="41"/>
      <c r="AE1256" s="59">
        <v>0</v>
      </c>
      <c r="AF1256" s="59">
        <v>0</v>
      </c>
      <c r="AG1256" s="59" t="s">
        <v>1297</v>
      </c>
      <c r="AH1256" s="59" t="s">
        <v>1284</v>
      </c>
    </row>
    <row r="1257" spans="1:34" x14ac:dyDescent="0.35">
      <c r="A1257" s="58">
        <v>2025</v>
      </c>
      <c r="B1257" s="58">
        <v>5</v>
      </c>
      <c r="C1257">
        <v>5</v>
      </c>
      <c r="D1257" s="58" t="s">
        <v>1656</v>
      </c>
      <c r="E1257" t="s">
        <v>1333</v>
      </c>
      <c r="F1257" s="58" t="s">
        <v>1496</v>
      </c>
      <c r="G1257" t="s">
        <v>1497</v>
      </c>
      <c r="H1257" s="58" t="s">
        <v>1012</v>
      </c>
      <c r="I1257" t="s">
        <v>1012</v>
      </c>
      <c r="J1257" s="58" t="s">
        <v>1012</v>
      </c>
      <c r="K1257" t="s">
        <v>1429</v>
      </c>
      <c r="L1257" t="s">
        <v>20</v>
      </c>
      <c r="M1257" t="s">
        <v>1430</v>
      </c>
      <c r="N1257" s="59">
        <v>0</v>
      </c>
      <c r="O1257" s="59">
        <v>0</v>
      </c>
      <c r="P1257" s="59">
        <v>0</v>
      </c>
      <c r="Q1257" s="59">
        <v>0</v>
      </c>
      <c r="R1257" s="59">
        <v>0</v>
      </c>
      <c r="S1257" s="59">
        <v>0</v>
      </c>
      <c r="T1257" s="41"/>
      <c r="U1257" s="41"/>
      <c r="V1257" s="41"/>
      <c r="W1257" s="41"/>
      <c r="X1257" s="41"/>
      <c r="Y1257" s="41"/>
      <c r="Z1257" s="41"/>
      <c r="AA1257" s="41"/>
      <c r="AB1257" s="41"/>
      <c r="AC1257" s="41"/>
      <c r="AD1257" s="41"/>
      <c r="AE1257" s="59">
        <v>0</v>
      </c>
      <c r="AF1257" s="59">
        <v>0</v>
      </c>
      <c r="AG1257" s="59" t="s">
        <v>1333</v>
      </c>
      <c r="AH1257" s="59" t="s">
        <v>1329</v>
      </c>
    </row>
    <row r="1258" spans="1:34" x14ac:dyDescent="0.35">
      <c r="A1258" s="58">
        <v>2025</v>
      </c>
      <c r="B1258" s="58">
        <v>5</v>
      </c>
      <c r="C1258">
        <v>5</v>
      </c>
      <c r="D1258" s="58" t="s">
        <v>1657</v>
      </c>
      <c r="E1258" t="s">
        <v>1330</v>
      </c>
      <c r="F1258" s="58" t="s">
        <v>1496</v>
      </c>
      <c r="G1258" t="s">
        <v>1497</v>
      </c>
      <c r="H1258" s="58" t="s">
        <v>1012</v>
      </c>
      <c r="I1258" t="s">
        <v>1012</v>
      </c>
      <c r="J1258" s="58" t="s">
        <v>1012</v>
      </c>
      <c r="K1258" t="s">
        <v>1429</v>
      </c>
      <c r="L1258" t="s">
        <v>20</v>
      </c>
      <c r="M1258" t="s">
        <v>1430</v>
      </c>
      <c r="N1258" s="59">
        <v>0</v>
      </c>
      <c r="O1258" s="59">
        <v>0</v>
      </c>
      <c r="P1258" s="59">
        <v>0</v>
      </c>
      <c r="Q1258" s="59">
        <v>0</v>
      </c>
      <c r="R1258" s="59">
        <v>0</v>
      </c>
      <c r="S1258" s="59">
        <v>0</v>
      </c>
      <c r="T1258" s="41"/>
      <c r="U1258" s="41"/>
      <c r="V1258" s="41"/>
      <c r="W1258" s="41"/>
      <c r="X1258" s="41"/>
      <c r="Y1258" s="41"/>
      <c r="Z1258" s="41"/>
      <c r="AA1258" s="41"/>
      <c r="AB1258" s="41"/>
      <c r="AC1258" s="41"/>
      <c r="AD1258" s="41"/>
      <c r="AE1258" s="59">
        <v>0</v>
      </c>
      <c r="AF1258" s="59">
        <v>0</v>
      </c>
      <c r="AG1258" s="59" t="s">
        <v>1330</v>
      </c>
      <c r="AH1258" s="59" t="s">
        <v>1329</v>
      </c>
    </row>
    <row r="1259" spans="1:34" x14ac:dyDescent="0.35">
      <c r="A1259" s="58">
        <v>2025</v>
      </c>
      <c r="B1259" s="58">
        <v>5</v>
      </c>
      <c r="C1259">
        <v>5</v>
      </c>
      <c r="D1259" s="58" t="s">
        <v>1652</v>
      </c>
      <c r="E1259" t="s">
        <v>1280</v>
      </c>
      <c r="F1259" s="58" t="s">
        <v>1496</v>
      </c>
      <c r="G1259" t="s">
        <v>1497</v>
      </c>
      <c r="H1259" s="58" t="s">
        <v>1012</v>
      </c>
      <c r="I1259" t="s">
        <v>1012</v>
      </c>
      <c r="J1259" s="58" t="s">
        <v>1012</v>
      </c>
      <c r="K1259" t="s">
        <v>1429</v>
      </c>
      <c r="L1259" t="s">
        <v>20</v>
      </c>
      <c r="M1259" t="s">
        <v>1430</v>
      </c>
      <c r="N1259" s="59">
        <v>0</v>
      </c>
      <c r="O1259" s="59">
        <v>0</v>
      </c>
      <c r="P1259" s="59">
        <v>0</v>
      </c>
      <c r="Q1259" s="59">
        <v>0</v>
      </c>
      <c r="R1259" s="59">
        <v>0</v>
      </c>
      <c r="S1259" s="59">
        <v>0</v>
      </c>
      <c r="T1259" s="41"/>
      <c r="U1259" s="41"/>
      <c r="V1259" s="41"/>
      <c r="W1259" s="41"/>
      <c r="X1259" s="41"/>
      <c r="Y1259" s="41"/>
      <c r="Z1259" s="41"/>
      <c r="AA1259" s="41"/>
      <c r="AB1259" s="41"/>
      <c r="AC1259" s="41"/>
      <c r="AD1259" s="41"/>
      <c r="AE1259" s="59">
        <v>0</v>
      </c>
      <c r="AF1259" s="59">
        <v>0</v>
      </c>
      <c r="AG1259" s="59" t="s">
        <v>1280</v>
      </c>
      <c r="AH1259" s="59" t="s">
        <v>1329</v>
      </c>
    </row>
    <row r="1260" spans="1:34" x14ac:dyDescent="0.35">
      <c r="A1260" s="58">
        <v>2025</v>
      </c>
      <c r="B1260" s="58">
        <v>5</v>
      </c>
      <c r="C1260">
        <v>5</v>
      </c>
      <c r="D1260" s="58" t="s">
        <v>1617</v>
      </c>
      <c r="E1260" t="s">
        <v>1278</v>
      </c>
      <c r="F1260" s="58" t="s">
        <v>1496</v>
      </c>
      <c r="G1260" t="s">
        <v>1497</v>
      </c>
      <c r="H1260" s="58" t="s">
        <v>1012</v>
      </c>
      <c r="I1260" t="s">
        <v>1012</v>
      </c>
      <c r="J1260" s="58" t="s">
        <v>1012</v>
      </c>
      <c r="K1260" t="s">
        <v>1429</v>
      </c>
      <c r="L1260" t="s">
        <v>20</v>
      </c>
      <c r="M1260" t="s">
        <v>1430</v>
      </c>
      <c r="N1260" s="59">
        <v>0</v>
      </c>
      <c r="O1260" s="59">
        <v>0</v>
      </c>
      <c r="P1260" s="59">
        <v>0</v>
      </c>
      <c r="Q1260" s="59">
        <v>0</v>
      </c>
      <c r="R1260" s="59">
        <v>0</v>
      </c>
      <c r="S1260" s="59">
        <v>0</v>
      </c>
      <c r="T1260" s="41"/>
      <c r="U1260" s="41"/>
      <c r="V1260" s="41"/>
      <c r="W1260" s="41"/>
      <c r="X1260" s="41"/>
      <c r="Y1260" s="41"/>
      <c r="Z1260" s="41"/>
      <c r="AA1260" s="41"/>
      <c r="AB1260" s="41"/>
      <c r="AC1260" s="41"/>
      <c r="AD1260" s="41"/>
      <c r="AE1260" s="59">
        <v>0</v>
      </c>
      <c r="AF1260" s="59">
        <v>0</v>
      </c>
      <c r="AG1260" s="59" t="s">
        <v>1278</v>
      </c>
      <c r="AH1260" s="59" t="s">
        <v>1329</v>
      </c>
    </row>
    <row r="1261" spans="1:34" x14ac:dyDescent="0.35">
      <c r="A1261" s="58">
        <v>2025</v>
      </c>
      <c r="B1261" s="58">
        <v>5</v>
      </c>
      <c r="C1261">
        <v>5</v>
      </c>
      <c r="D1261" s="58" t="s">
        <v>1630</v>
      </c>
      <c r="E1261" t="s">
        <v>1272</v>
      </c>
      <c r="F1261" s="58" t="s">
        <v>1631</v>
      </c>
      <c r="G1261" t="s">
        <v>1632</v>
      </c>
      <c r="H1261" s="58" t="s">
        <v>1012</v>
      </c>
      <c r="I1261" t="s">
        <v>1012</v>
      </c>
      <c r="J1261" s="58" t="s">
        <v>1012</v>
      </c>
      <c r="K1261" t="s">
        <v>1429</v>
      </c>
      <c r="L1261" t="s">
        <v>20</v>
      </c>
      <c r="M1261" t="s">
        <v>1430</v>
      </c>
      <c r="N1261" s="59">
        <v>0</v>
      </c>
      <c r="O1261" s="59">
        <v>0</v>
      </c>
      <c r="P1261" s="59">
        <v>0</v>
      </c>
      <c r="Q1261" s="59">
        <v>0</v>
      </c>
      <c r="R1261" s="59">
        <v>0</v>
      </c>
      <c r="S1261" s="59">
        <v>0</v>
      </c>
      <c r="T1261" s="41"/>
      <c r="U1261" s="41"/>
      <c r="V1261" s="41"/>
      <c r="W1261" s="41"/>
      <c r="X1261" s="41"/>
      <c r="Y1261" s="41"/>
      <c r="Z1261" s="41"/>
      <c r="AA1261" s="41"/>
      <c r="AB1261" s="41"/>
      <c r="AC1261" s="41"/>
      <c r="AD1261" s="41"/>
      <c r="AE1261" s="59">
        <v>0</v>
      </c>
      <c r="AF1261" s="59">
        <v>0</v>
      </c>
      <c r="AG1261" s="59" t="s">
        <v>1272</v>
      </c>
      <c r="AH1261" s="59" t="s">
        <v>1271</v>
      </c>
    </row>
    <row r="1262" spans="1:34" x14ac:dyDescent="0.35">
      <c r="A1262" s="58">
        <v>2025</v>
      </c>
      <c r="B1262" s="58">
        <v>5</v>
      </c>
      <c r="C1262">
        <v>5</v>
      </c>
      <c r="D1262" s="58" t="s">
        <v>602</v>
      </c>
      <c r="E1262" t="s">
        <v>122</v>
      </c>
      <c r="F1262" s="58" t="s">
        <v>171</v>
      </c>
      <c r="G1262" t="s">
        <v>731</v>
      </c>
      <c r="H1262" s="58" t="s">
        <v>4</v>
      </c>
      <c r="I1262" t="s">
        <v>4</v>
      </c>
      <c r="J1262" s="58" t="s">
        <v>4</v>
      </c>
      <c r="K1262" t="s">
        <v>1476</v>
      </c>
      <c r="L1262" t="s">
        <v>1477</v>
      </c>
      <c r="M1262" t="s">
        <v>1430</v>
      </c>
      <c r="N1262" s="59">
        <v>88000</v>
      </c>
      <c r="O1262" s="59">
        <v>2837414580</v>
      </c>
      <c r="P1262" s="59">
        <v>6203128</v>
      </c>
      <c r="Q1262" s="59">
        <v>0</v>
      </c>
      <c r="R1262" s="59">
        <v>40523204</v>
      </c>
      <c r="S1262" s="59">
        <v>2790688248</v>
      </c>
      <c r="T1262" s="41"/>
      <c r="U1262" s="41"/>
      <c r="V1262" s="41"/>
      <c r="W1262" s="41"/>
      <c r="X1262" s="41"/>
      <c r="Y1262" s="41"/>
      <c r="Z1262" s="41"/>
      <c r="AA1262" s="41"/>
      <c r="AB1262" s="41"/>
      <c r="AC1262" s="41"/>
      <c r="AD1262" s="41"/>
      <c r="AE1262" s="59">
        <v>108145.23556073554</v>
      </c>
      <c r="AF1262" s="59">
        <v>109956</v>
      </c>
      <c r="AG1262" s="59" t="s">
        <v>122</v>
      </c>
      <c r="AH1262" s="59" t="s">
        <v>1166</v>
      </c>
    </row>
    <row r="1263" spans="1:34" x14ac:dyDescent="0.35">
      <c r="A1263" s="58">
        <v>2025</v>
      </c>
      <c r="B1263" s="58">
        <v>5</v>
      </c>
      <c r="C1263">
        <v>5</v>
      </c>
      <c r="D1263" s="58" t="s">
        <v>602</v>
      </c>
      <c r="E1263" t="s">
        <v>122</v>
      </c>
      <c r="F1263" s="58" t="s">
        <v>1152</v>
      </c>
      <c r="G1263" t="s">
        <v>1153</v>
      </c>
      <c r="H1263" s="58" t="s">
        <v>1012</v>
      </c>
      <c r="I1263" t="s">
        <v>1012</v>
      </c>
      <c r="J1263" s="58" t="s">
        <v>1399</v>
      </c>
      <c r="K1263" t="s">
        <v>1429</v>
      </c>
      <c r="L1263" t="s">
        <v>20</v>
      </c>
      <c r="M1263" t="s">
        <v>1430</v>
      </c>
      <c r="N1263" s="59">
        <v>0</v>
      </c>
      <c r="O1263" s="59">
        <v>0</v>
      </c>
      <c r="P1263" s="59">
        <v>0</v>
      </c>
      <c r="Q1263" s="59">
        <v>0</v>
      </c>
      <c r="R1263" s="59">
        <v>2528902</v>
      </c>
      <c r="S1263" s="59">
        <v>-2528902</v>
      </c>
      <c r="T1263" s="41"/>
      <c r="U1263" s="41"/>
      <c r="V1263" s="41"/>
      <c r="W1263" s="41"/>
      <c r="X1263" s="41"/>
      <c r="Y1263" s="41"/>
      <c r="Z1263" s="41"/>
      <c r="AA1263" s="41"/>
      <c r="AB1263" s="41"/>
      <c r="AC1263" s="41"/>
      <c r="AD1263" s="41"/>
      <c r="AE1263" s="59">
        <v>-98.099886863352779</v>
      </c>
      <c r="AF1263" s="59">
        <v>0</v>
      </c>
      <c r="AG1263" s="59" t="s">
        <v>122</v>
      </c>
      <c r="AH1263" s="59" t="s">
        <v>1400</v>
      </c>
    </row>
    <row r="1264" spans="1:34" x14ac:dyDescent="0.35">
      <c r="A1264" s="58">
        <v>2025</v>
      </c>
      <c r="B1264" s="58">
        <v>5</v>
      </c>
      <c r="C1264">
        <v>5</v>
      </c>
      <c r="D1264" s="58" t="s">
        <v>587</v>
      </c>
      <c r="E1264" t="s">
        <v>6</v>
      </c>
      <c r="F1264" s="58" t="s">
        <v>171</v>
      </c>
      <c r="G1264" t="s">
        <v>731</v>
      </c>
      <c r="H1264" s="58" t="s">
        <v>4</v>
      </c>
      <c r="I1264" t="s">
        <v>4</v>
      </c>
      <c r="J1264" s="58" t="s">
        <v>4</v>
      </c>
      <c r="K1264" t="s">
        <v>1476</v>
      </c>
      <c r="L1264" t="s">
        <v>1509</v>
      </c>
      <c r="M1264" t="s">
        <v>1430</v>
      </c>
      <c r="N1264" s="59">
        <v>220000</v>
      </c>
      <c r="O1264" s="59">
        <v>6921849970</v>
      </c>
      <c r="P1264" s="59">
        <v>16500035.430463573</v>
      </c>
      <c r="Q1264" s="59">
        <v>103827749.55</v>
      </c>
      <c r="R1264" s="59">
        <v>95291741.000000015</v>
      </c>
      <c r="S1264" s="59">
        <v>6706230444.0195389</v>
      </c>
      <c r="T1264" s="41"/>
      <c r="U1264" s="41"/>
      <c r="V1264" s="41"/>
      <c r="W1264" s="41"/>
      <c r="X1264" s="41"/>
      <c r="Y1264" s="41"/>
      <c r="Z1264" s="41"/>
      <c r="AA1264" s="41"/>
      <c r="AB1264" s="41"/>
      <c r="AC1264" s="41"/>
      <c r="AD1264" s="41"/>
      <c r="AE1264" s="59">
        <v>260132.85573368458</v>
      </c>
      <c r="AF1264" s="59">
        <v>268496.80007763975</v>
      </c>
      <c r="AG1264" s="59" t="s">
        <v>6</v>
      </c>
      <c r="AH1264" s="59" t="s">
        <v>1166</v>
      </c>
    </row>
    <row r="1265" spans="1:34" x14ac:dyDescent="0.35">
      <c r="A1265" s="58">
        <v>2025</v>
      </c>
      <c r="B1265" s="58">
        <v>5</v>
      </c>
      <c r="C1265">
        <v>5</v>
      </c>
      <c r="D1265" s="58" t="s">
        <v>587</v>
      </c>
      <c r="E1265" t="s">
        <v>6</v>
      </c>
      <c r="F1265" s="58" t="s">
        <v>171</v>
      </c>
      <c r="G1265" t="s">
        <v>731</v>
      </c>
      <c r="H1265" s="58" t="s">
        <v>4</v>
      </c>
      <c r="I1265" t="s">
        <v>4</v>
      </c>
      <c r="J1265" s="58" t="s">
        <v>4</v>
      </c>
      <c r="K1265" t="s">
        <v>1476</v>
      </c>
      <c r="L1265" t="s">
        <v>1477</v>
      </c>
      <c r="M1265" t="s">
        <v>1430</v>
      </c>
      <c r="N1265" s="59">
        <v>1100000</v>
      </c>
      <c r="O1265" s="59">
        <v>34625386620</v>
      </c>
      <c r="P1265" s="59">
        <v>82500177.152317822</v>
      </c>
      <c r="Q1265" s="59">
        <v>519380799.29999989</v>
      </c>
      <c r="R1265" s="59">
        <v>405566367.99999994</v>
      </c>
      <c r="S1265" s="59">
        <v>33617939275.54768</v>
      </c>
      <c r="T1265" s="41"/>
      <c r="U1265" s="41"/>
      <c r="V1265" s="41"/>
      <c r="W1265" s="41"/>
      <c r="X1265" s="41"/>
      <c r="Y1265" s="41"/>
      <c r="Z1265" s="41"/>
      <c r="AA1265" s="41"/>
      <c r="AB1265" s="41"/>
      <c r="AC1265" s="41"/>
      <c r="AD1265" s="41"/>
      <c r="AE1265" s="59">
        <v>1304023.5369707397</v>
      </c>
      <c r="AF1265" s="59">
        <v>1343100</v>
      </c>
      <c r="AG1265" s="59" t="s">
        <v>6</v>
      </c>
      <c r="AH1265" s="59" t="s">
        <v>1166</v>
      </c>
    </row>
    <row r="1266" spans="1:34" x14ac:dyDescent="0.35">
      <c r="A1266" s="58">
        <v>2025</v>
      </c>
      <c r="B1266" s="58">
        <v>5</v>
      </c>
      <c r="C1266">
        <v>5</v>
      </c>
      <c r="D1266" s="58" t="s">
        <v>587</v>
      </c>
      <c r="E1266" t="s">
        <v>6</v>
      </c>
      <c r="F1266" s="58" t="s">
        <v>1152</v>
      </c>
      <c r="G1266" t="s">
        <v>1153</v>
      </c>
      <c r="H1266" s="58" t="s">
        <v>1012</v>
      </c>
      <c r="I1266" t="s">
        <v>1012</v>
      </c>
      <c r="J1266" s="58" t="s">
        <v>1399</v>
      </c>
      <c r="K1266" t="s">
        <v>1429</v>
      </c>
      <c r="L1266" t="s">
        <v>20</v>
      </c>
      <c r="M1266" t="s">
        <v>1430</v>
      </c>
      <c r="N1266" s="59">
        <v>0</v>
      </c>
      <c r="O1266" s="59">
        <v>0</v>
      </c>
      <c r="P1266" s="59">
        <v>0</v>
      </c>
      <c r="Q1266" s="59">
        <v>0</v>
      </c>
      <c r="R1266" s="59">
        <v>24590553.000000004</v>
      </c>
      <c r="S1266" s="59">
        <v>-24590553.000000004</v>
      </c>
      <c r="T1266" s="41"/>
      <c r="U1266" s="41"/>
      <c r="V1266" s="41"/>
      <c r="W1266" s="41"/>
      <c r="X1266" s="41"/>
      <c r="Y1266" s="41"/>
      <c r="Z1266" s="41"/>
      <c r="AA1266" s="41"/>
      <c r="AB1266" s="41"/>
      <c r="AC1266" s="41"/>
      <c r="AD1266" s="41"/>
      <c r="AE1266" s="59">
        <v>-953.90429016517123</v>
      </c>
      <c r="AF1266" s="59">
        <v>0</v>
      </c>
      <c r="AG1266" s="59" t="s">
        <v>6</v>
      </c>
      <c r="AH1266" s="59" t="s">
        <v>1400</v>
      </c>
    </row>
    <row r="1267" spans="1:34" x14ac:dyDescent="0.35">
      <c r="A1267" s="58">
        <v>2025</v>
      </c>
      <c r="B1267" s="58">
        <v>5</v>
      </c>
      <c r="C1267">
        <v>5</v>
      </c>
      <c r="D1267" s="58" t="s">
        <v>588</v>
      </c>
      <c r="E1267" t="s">
        <v>9</v>
      </c>
      <c r="F1267" s="58" t="s">
        <v>172</v>
      </c>
      <c r="G1267" t="s">
        <v>734</v>
      </c>
      <c r="H1267" s="58" t="s">
        <v>4</v>
      </c>
      <c r="I1267" t="s">
        <v>4</v>
      </c>
      <c r="J1267" s="58" t="s">
        <v>4</v>
      </c>
      <c r="K1267" t="s">
        <v>1476</v>
      </c>
      <c r="L1267" t="s">
        <v>1501</v>
      </c>
      <c r="M1267" t="s">
        <v>1430</v>
      </c>
      <c r="N1267" s="59">
        <v>880000</v>
      </c>
      <c r="O1267" s="59">
        <v>28355250000</v>
      </c>
      <c r="P1267" s="59">
        <v>66000141.72185427</v>
      </c>
      <c r="Q1267" s="59">
        <v>0</v>
      </c>
      <c r="R1267" s="59">
        <v>372268936</v>
      </c>
      <c r="S1267" s="59">
        <v>27916980922.278152</v>
      </c>
      <c r="T1267" s="41"/>
      <c r="U1267" s="41"/>
      <c r="V1267" s="41"/>
      <c r="W1267" s="41"/>
      <c r="X1267" s="41"/>
      <c r="Y1267" s="41"/>
      <c r="Z1267" s="41"/>
      <c r="AA1267" s="41"/>
      <c r="AB1267" s="41"/>
      <c r="AC1267" s="41"/>
      <c r="AD1267" s="41"/>
      <c r="AE1267" s="59">
        <v>1082997.9578697579</v>
      </c>
      <c r="AF1267" s="59">
        <v>1100000</v>
      </c>
      <c r="AG1267" s="59" t="s">
        <v>9</v>
      </c>
      <c r="AH1267" s="59" t="s">
        <v>1175</v>
      </c>
    </row>
    <row r="1268" spans="1:34" x14ac:dyDescent="0.35">
      <c r="A1268" s="58">
        <v>2025</v>
      </c>
      <c r="B1268" s="58">
        <v>5</v>
      </c>
      <c r="C1268">
        <v>5</v>
      </c>
      <c r="D1268" s="58" t="s">
        <v>588</v>
      </c>
      <c r="E1268" t="s">
        <v>9</v>
      </c>
      <c r="F1268" s="58" t="s">
        <v>1152</v>
      </c>
      <c r="G1268" t="s">
        <v>1153</v>
      </c>
      <c r="H1268" s="58" t="s">
        <v>1012</v>
      </c>
      <c r="I1268" t="s">
        <v>1012</v>
      </c>
      <c r="J1268" s="58" t="s">
        <v>1399</v>
      </c>
      <c r="K1268" t="s">
        <v>1429</v>
      </c>
      <c r="L1268" t="s">
        <v>20</v>
      </c>
      <c r="M1268" t="s">
        <v>1430</v>
      </c>
      <c r="N1268" s="59">
        <v>0</v>
      </c>
      <c r="O1268" s="59">
        <v>0</v>
      </c>
      <c r="P1268" s="59">
        <v>0</v>
      </c>
      <c r="Q1268" s="59">
        <v>0</v>
      </c>
      <c r="R1268" s="59">
        <v>-84092411.000000224</v>
      </c>
      <c r="S1268" s="59">
        <v>84092411.000000224</v>
      </c>
      <c r="T1268" s="41"/>
      <c r="U1268" s="41"/>
      <c r="V1268" s="41"/>
      <c r="W1268" s="41"/>
      <c r="X1268" s="41"/>
      <c r="Y1268" s="41"/>
      <c r="Z1268" s="41"/>
      <c r="AA1268" s="41"/>
      <c r="AB1268" s="41"/>
      <c r="AC1268" s="41"/>
      <c r="AD1268" s="41"/>
      <c r="AE1268" s="59">
        <v>3262.0702602024699</v>
      </c>
      <c r="AF1268" s="59">
        <v>0</v>
      </c>
      <c r="AG1268" s="59" t="s">
        <v>9</v>
      </c>
      <c r="AH1268" s="59" t="s">
        <v>1400</v>
      </c>
    </row>
    <row r="1269" spans="1:34" x14ac:dyDescent="0.35">
      <c r="A1269" s="58">
        <v>2025</v>
      </c>
      <c r="B1269" s="58">
        <v>5</v>
      </c>
      <c r="C1269">
        <v>5</v>
      </c>
      <c r="D1269" s="58" t="s">
        <v>648</v>
      </c>
      <c r="E1269" t="s">
        <v>140</v>
      </c>
      <c r="F1269" s="58" t="s">
        <v>1634</v>
      </c>
      <c r="G1269" t="s">
        <v>1635</v>
      </c>
      <c r="H1269" s="58" t="s">
        <v>1012</v>
      </c>
      <c r="I1269" t="s">
        <v>1012</v>
      </c>
      <c r="J1269" s="58" t="s">
        <v>1395</v>
      </c>
      <c r="K1269" t="s">
        <v>1429</v>
      </c>
      <c r="L1269" t="s">
        <v>20</v>
      </c>
      <c r="M1269" t="s">
        <v>1430</v>
      </c>
      <c r="N1269" s="59">
        <v>0</v>
      </c>
      <c r="O1269" s="59">
        <v>0</v>
      </c>
      <c r="P1269" s="59">
        <v>0</v>
      </c>
      <c r="Q1269" s="59">
        <v>0</v>
      </c>
      <c r="R1269" s="59">
        <v>1188704</v>
      </c>
      <c r="S1269" s="59">
        <v>-1188704</v>
      </c>
      <c r="T1269" s="41"/>
      <c r="U1269" s="41"/>
      <c r="V1269" s="41"/>
      <c r="W1269" s="41"/>
      <c r="X1269" s="41"/>
      <c r="Y1269" s="41"/>
      <c r="Z1269" s="41"/>
      <c r="AA1269" s="41"/>
      <c r="AB1269" s="41"/>
      <c r="AC1269" s="41"/>
      <c r="AD1269" s="41"/>
      <c r="AE1269" s="59">
        <v>-46.111604132550369</v>
      </c>
      <c r="AF1269" s="59">
        <v>0</v>
      </c>
      <c r="AG1269" s="59" t="s">
        <v>140</v>
      </c>
      <c r="AH1269" s="59" t="s">
        <v>1396</v>
      </c>
    </row>
    <row r="1270" spans="1:34" x14ac:dyDescent="0.35">
      <c r="A1270" s="58">
        <v>2025</v>
      </c>
      <c r="B1270" s="58">
        <v>5</v>
      </c>
      <c r="C1270">
        <v>5</v>
      </c>
      <c r="D1270" s="58" t="s">
        <v>648</v>
      </c>
      <c r="E1270" t="s">
        <v>140</v>
      </c>
      <c r="F1270" s="58" t="s">
        <v>1152</v>
      </c>
      <c r="G1270" t="s">
        <v>1153</v>
      </c>
      <c r="H1270" s="58" t="s">
        <v>1012</v>
      </c>
      <c r="I1270" t="s">
        <v>1012</v>
      </c>
      <c r="J1270" s="58" t="s">
        <v>1399</v>
      </c>
      <c r="K1270" t="s">
        <v>1429</v>
      </c>
      <c r="L1270" t="s">
        <v>20</v>
      </c>
      <c r="M1270" t="s">
        <v>1430</v>
      </c>
      <c r="N1270" s="59">
        <v>0</v>
      </c>
      <c r="O1270" s="59">
        <v>0</v>
      </c>
      <c r="P1270" s="59">
        <v>0</v>
      </c>
      <c r="Q1270" s="59">
        <v>0</v>
      </c>
      <c r="R1270" s="59">
        <v>946111</v>
      </c>
      <c r="S1270" s="59">
        <v>-946111</v>
      </c>
      <c r="T1270" s="41"/>
      <c r="U1270" s="41"/>
      <c r="V1270" s="41"/>
      <c r="W1270" s="41"/>
      <c r="X1270" s="41"/>
      <c r="Y1270" s="41"/>
      <c r="Z1270" s="41"/>
      <c r="AA1270" s="41"/>
      <c r="AB1270" s="41"/>
      <c r="AC1270" s="41"/>
      <c r="AD1270" s="41"/>
      <c r="AE1270" s="59">
        <v>-36.7010592186544</v>
      </c>
      <c r="AF1270" s="59">
        <v>0</v>
      </c>
      <c r="AG1270" s="59" t="s">
        <v>140</v>
      </c>
      <c r="AH1270" s="59" t="s">
        <v>1400</v>
      </c>
    </row>
    <row r="1271" spans="1:34" x14ac:dyDescent="0.35">
      <c r="A1271" s="58">
        <v>2025</v>
      </c>
      <c r="B1271" s="58">
        <v>5</v>
      </c>
      <c r="C1271">
        <v>5</v>
      </c>
      <c r="D1271" s="58" t="s">
        <v>618</v>
      </c>
      <c r="E1271" t="s">
        <v>143</v>
      </c>
      <c r="F1271" s="58" t="s">
        <v>1152</v>
      </c>
      <c r="G1271" t="s">
        <v>1153</v>
      </c>
      <c r="H1271" s="58" t="s">
        <v>1012</v>
      </c>
      <c r="I1271" t="s">
        <v>1012</v>
      </c>
      <c r="J1271" s="58" t="s">
        <v>1399</v>
      </c>
      <c r="K1271" t="s">
        <v>1429</v>
      </c>
      <c r="L1271" t="s">
        <v>20</v>
      </c>
      <c r="M1271" t="s">
        <v>1430</v>
      </c>
      <c r="N1271" s="59">
        <v>0</v>
      </c>
      <c r="O1271" s="59">
        <v>0</v>
      </c>
      <c r="P1271" s="59">
        <v>0</v>
      </c>
      <c r="Q1271" s="59">
        <v>0</v>
      </c>
      <c r="R1271" s="59">
        <v>-1577646</v>
      </c>
      <c r="S1271" s="59">
        <v>1577646</v>
      </c>
      <c r="T1271" s="41"/>
      <c r="U1271" s="41"/>
      <c r="V1271" s="41"/>
      <c r="W1271" s="41"/>
      <c r="X1271" s="41"/>
      <c r="Y1271" s="41"/>
      <c r="Z1271" s="41"/>
      <c r="AA1271" s="41"/>
      <c r="AB1271" s="41"/>
      <c r="AC1271" s="41"/>
      <c r="AD1271" s="41"/>
      <c r="AE1271" s="59">
        <v>61.199245407857255</v>
      </c>
      <c r="AF1271" s="59">
        <v>0</v>
      </c>
      <c r="AG1271" s="59" t="s">
        <v>143</v>
      </c>
      <c r="AH1271" s="59" t="s">
        <v>1400</v>
      </c>
    </row>
    <row r="1272" spans="1:34" x14ac:dyDescent="0.35">
      <c r="A1272" s="58">
        <v>2025</v>
      </c>
      <c r="B1272" s="58">
        <v>5</v>
      </c>
      <c r="C1272">
        <v>5</v>
      </c>
      <c r="D1272" s="58" t="s">
        <v>623</v>
      </c>
      <c r="E1272" t="s">
        <v>137</v>
      </c>
      <c r="F1272" s="58" t="s">
        <v>1152</v>
      </c>
      <c r="G1272" t="s">
        <v>1153</v>
      </c>
      <c r="H1272" s="58" t="s">
        <v>1012</v>
      </c>
      <c r="I1272" t="s">
        <v>1012</v>
      </c>
      <c r="J1272" s="58" t="s">
        <v>1399</v>
      </c>
      <c r="K1272" t="s">
        <v>1429</v>
      </c>
      <c r="L1272" t="s">
        <v>20</v>
      </c>
      <c r="M1272" t="s">
        <v>1430</v>
      </c>
      <c r="N1272" s="59">
        <v>0</v>
      </c>
      <c r="O1272" s="59">
        <v>0</v>
      </c>
      <c r="P1272" s="59">
        <v>0</v>
      </c>
      <c r="Q1272" s="59">
        <v>0</v>
      </c>
      <c r="R1272" s="59">
        <v>2450185</v>
      </c>
      <c r="S1272" s="59">
        <v>-2450185</v>
      </c>
      <c r="T1272" s="41"/>
      <c r="U1272" s="41"/>
      <c r="V1272" s="41"/>
      <c r="W1272" s="41"/>
      <c r="X1272" s="41"/>
      <c r="Y1272" s="41"/>
      <c r="Z1272" s="41"/>
      <c r="AA1272" s="41"/>
      <c r="AB1272" s="41"/>
      <c r="AC1272" s="41"/>
      <c r="AD1272" s="41"/>
      <c r="AE1272" s="59">
        <v>-95.046336826924886</v>
      </c>
      <c r="AF1272" s="59">
        <v>0</v>
      </c>
      <c r="AG1272" s="59" t="s">
        <v>137</v>
      </c>
      <c r="AH1272" s="59" t="s">
        <v>1400</v>
      </c>
    </row>
    <row r="1273" spans="1:34" x14ac:dyDescent="0.35">
      <c r="A1273" s="58">
        <v>2025</v>
      </c>
      <c r="B1273" s="58">
        <v>5</v>
      </c>
      <c r="C1273">
        <v>5</v>
      </c>
      <c r="D1273" s="58" t="s">
        <v>607</v>
      </c>
      <c r="E1273" t="s">
        <v>126</v>
      </c>
      <c r="F1273" s="58" t="s">
        <v>168</v>
      </c>
      <c r="G1273" t="s">
        <v>700</v>
      </c>
      <c r="H1273" s="58" t="s">
        <v>4</v>
      </c>
      <c r="I1273" t="s">
        <v>4</v>
      </c>
      <c r="J1273" s="58" t="s">
        <v>4</v>
      </c>
      <c r="K1273" t="s">
        <v>1476</v>
      </c>
      <c r="L1273" t="s">
        <v>301</v>
      </c>
      <c r="M1273" t="s">
        <v>1430</v>
      </c>
      <c r="N1273" s="59">
        <v>220000</v>
      </c>
      <c r="O1273" s="59">
        <v>8101579200</v>
      </c>
      <c r="P1273" s="59">
        <v>20666735.430463579</v>
      </c>
      <c r="Q1273" s="59">
        <v>0</v>
      </c>
      <c r="R1273" s="59">
        <v>482334066.36363631</v>
      </c>
      <c r="S1273" s="59">
        <v>7598578398.2059002</v>
      </c>
      <c r="T1273" s="41"/>
      <c r="U1273" s="41"/>
      <c r="V1273" s="41"/>
      <c r="W1273" s="41"/>
      <c r="X1273" s="41"/>
      <c r="Y1273" s="41"/>
      <c r="Z1273" s="41"/>
      <c r="AA1273" s="41"/>
      <c r="AB1273" s="41"/>
      <c r="AC1273" s="41"/>
      <c r="AD1273" s="41"/>
      <c r="AE1273" s="59">
        <v>295067.49547659204</v>
      </c>
      <c r="AF1273" s="59">
        <v>314600</v>
      </c>
      <c r="AG1273" s="59" t="s">
        <v>126</v>
      </c>
      <c r="AH1273" s="59" t="s">
        <v>1160</v>
      </c>
    </row>
    <row r="1274" spans="1:34" x14ac:dyDescent="0.35">
      <c r="A1274" s="58">
        <v>2025</v>
      </c>
      <c r="B1274" s="58">
        <v>5</v>
      </c>
      <c r="C1274">
        <v>5</v>
      </c>
      <c r="D1274" s="58" t="s">
        <v>607</v>
      </c>
      <c r="E1274" t="s">
        <v>126</v>
      </c>
      <c r="F1274" s="58" t="s">
        <v>172</v>
      </c>
      <c r="G1274" t="s">
        <v>734</v>
      </c>
      <c r="H1274" s="58" t="s">
        <v>4</v>
      </c>
      <c r="I1274" t="s">
        <v>4</v>
      </c>
      <c r="J1274" s="58" t="s">
        <v>4</v>
      </c>
      <c r="K1274" t="s">
        <v>1476</v>
      </c>
      <c r="L1274" t="s">
        <v>301</v>
      </c>
      <c r="M1274" t="s">
        <v>1430</v>
      </c>
      <c r="N1274" s="59">
        <v>22000</v>
      </c>
      <c r="O1274" s="59">
        <v>782680799.99999988</v>
      </c>
      <c r="P1274" s="59">
        <v>2066673.5430463578</v>
      </c>
      <c r="Q1274" s="59">
        <v>0</v>
      </c>
      <c r="R1274" s="59">
        <v>48233406.63636364</v>
      </c>
      <c r="S1274" s="59">
        <v>732380719.8205899</v>
      </c>
      <c r="T1274" s="41"/>
      <c r="U1274" s="41"/>
      <c r="V1274" s="41"/>
      <c r="W1274" s="41"/>
      <c r="X1274" s="41"/>
      <c r="Y1274" s="41"/>
      <c r="Z1274" s="41"/>
      <c r="AA1274" s="41"/>
      <c r="AB1274" s="41"/>
      <c r="AC1274" s="41"/>
      <c r="AD1274" s="41"/>
      <c r="AE1274" s="59">
        <v>28408.871986834365</v>
      </c>
      <c r="AF1274" s="59">
        <v>30359.999999999996</v>
      </c>
      <c r="AG1274" s="59" t="s">
        <v>126</v>
      </c>
      <c r="AH1274" s="59" t="s">
        <v>1175</v>
      </c>
    </row>
    <row r="1275" spans="1:34" x14ac:dyDescent="0.35">
      <c r="A1275" s="58">
        <v>2025</v>
      </c>
      <c r="B1275" s="58">
        <v>5</v>
      </c>
      <c r="C1275">
        <v>5</v>
      </c>
      <c r="D1275" s="58" t="s">
        <v>607</v>
      </c>
      <c r="E1275" t="s">
        <v>126</v>
      </c>
      <c r="F1275" s="58" t="s">
        <v>1152</v>
      </c>
      <c r="G1275" t="s">
        <v>1153</v>
      </c>
      <c r="H1275" s="58" t="s">
        <v>1012</v>
      </c>
      <c r="I1275" t="s">
        <v>1012</v>
      </c>
      <c r="J1275" s="58" t="s">
        <v>1399</v>
      </c>
      <c r="K1275" t="s">
        <v>1429</v>
      </c>
      <c r="L1275" t="s">
        <v>20</v>
      </c>
      <c r="M1275" t="s">
        <v>1430</v>
      </c>
      <c r="N1275" s="59">
        <v>0</v>
      </c>
      <c r="O1275" s="59">
        <v>0</v>
      </c>
      <c r="P1275" s="59">
        <v>0</v>
      </c>
      <c r="Q1275" s="59">
        <v>0</v>
      </c>
      <c r="R1275" s="59">
        <v>-1180252.0000000002</v>
      </c>
      <c r="S1275" s="59">
        <v>1180252.0000000002</v>
      </c>
      <c r="T1275" s="41"/>
      <c r="U1275" s="41"/>
      <c r="V1275" s="41"/>
      <c r="W1275" s="41"/>
      <c r="X1275" s="41"/>
      <c r="Y1275" s="41"/>
      <c r="Z1275" s="41"/>
      <c r="AA1275" s="41"/>
      <c r="AB1275" s="41"/>
      <c r="AC1275" s="41"/>
      <c r="AD1275" s="41"/>
      <c r="AE1275" s="59">
        <v>45.783738424915576</v>
      </c>
      <c r="AF1275" s="59">
        <v>0</v>
      </c>
      <c r="AG1275" s="59" t="s">
        <v>126</v>
      </c>
      <c r="AH1275" s="59" t="s">
        <v>1400</v>
      </c>
    </row>
    <row r="1276" spans="1:34" x14ac:dyDescent="0.35">
      <c r="A1276" s="58">
        <v>2025</v>
      </c>
      <c r="B1276" s="58">
        <v>5</v>
      </c>
      <c r="C1276">
        <v>5</v>
      </c>
      <c r="D1276" s="58" t="s">
        <v>637</v>
      </c>
      <c r="E1276" t="s">
        <v>64</v>
      </c>
      <c r="F1276" s="58" t="s">
        <v>1152</v>
      </c>
      <c r="G1276" t="s">
        <v>1153</v>
      </c>
      <c r="H1276" s="58" t="s">
        <v>1012</v>
      </c>
      <c r="I1276" t="s">
        <v>1012</v>
      </c>
      <c r="J1276" s="58" t="s">
        <v>1399</v>
      </c>
      <c r="K1276" t="s">
        <v>1429</v>
      </c>
      <c r="L1276" t="s">
        <v>20</v>
      </c>
      <c r="M1276" t="s">
        <v>1430</v>
      </c>
      <c r="N1276" s="59">
        <v>0</v>
      </c>
      <c r="O1276" s="59">
        <v>0</v>
      </c>
      <c r="P1276" s="59">
        <v>0</v>
      </c>
      <c r="Q1276" s="59">
        <v>0</v>
      </c>
      <c r="R1276" s="59">
        <v>2568163</v>
      </c>
      <c r="S1276" s="59">
        <v>-2568163</v>
      </c>
      <c r="T1276" s="41"/>
      <c r="U1276" s="41"/>
      <c r="V1276" s="41"/>
      <c r="W1276" s="41"/>
      <c r="X1276" s="41"/>
      <c r="Y1276" s="41"/>
      <c r="Z1276" s="41"/>
      <c r="AA1276" s="41"/>
      <c r="AB1276" s="41"/>
      <c r="AC1276" s="41"/>
      <c r="AD1276" s="41"/>
      <c r="AE1276" s="59">
        <v>-99.62287971089772</v>
      </c>
      <c r="AF1276" s="59">
        <v>0</v>
      </c>
      <c r="AG1276" s="59" t="s">
        <v>64</v>
      </c>
      <c r="AH1276" s="59" t="s">
        <v>1400</v>
      </c>
    </row>
    <row r="1277" spans="1:34" x14ac:dyDescent="0.35">
      <c r="A1277" s="58">
        <v>2025</v>
      </c>
      <c r="B1277" s="58">
        <v>5</v>
      </c>
      <c r="C1277">
        <v>5</v>
      </c>
      <c r="D1277" s="58" t="s">
        <v>591</v>
      </c>
      <c r="E1277" t="s">
        <v>121</v>
      </c>
      <c r="F1277" s="58" t="s">
        <v>172</v>
      </c>
      <c r="G1277" t="s">
        <v>734</v>
      </c>
      <c r="H1277" s="58" t="s">
        <v>4</v>
      </c>
      <c r="I1277" t="s">
        <v>4</v>
      </c>
      <c r="J1277" s="58" t="s">
        <v>4</v>
      </c>
      <c r="K1277" t="s">
        <v>1476</v>
      </c>
      <c r="L1277" t="s">
        <v>1633</v>
      </c>
      <c r="M1277" t="s">
        <v>1430</v>
      </c>
      <c r="N1277" s="59">
        <v>374000</v>
      </c>
      <c r="O1277" s="59">
        <v>12555524520</v>
      </c>
      <c r="P1277" s="59">
        <v>35133450.231788084</v>
      </c>
      <c r="Q1277" s="59">
        <v>0</v>
      </c>
      <c r="R1277" s="59">
        <v>148588498.99999997</v>
      </c>
      <c r="S1277" s="59">
        <v>12371802570.768213</v>
      </c>
      <c r="T1277" s="41"/>
      <c r="U1277" s="41"/>
      <c r="V1277" s="41"/>
      <c r="W1277" s="41"/>
      <c r="X1277" s="41"/>
      <c r="Y1277" s="41"/>
      <c r="Z1277" s="41"/>
      <c r="AA1277" s="41"/>
      <c r="AB1277" s="41"/>
      <c r="AC1277" s="41"/>
      <c r="AD1277" s="41"/>
      <c r="AE1277" s="59">
        <v>479822.60557097069</v>
      </c>
      <c r="AF1277" s="59">
        <v>486948</v>
      </c>
      <c r="AG1277" s="59" t="s">
        <v>121</v>
      </c>
      <c r="AH1277" s="59" t="s">
        <v>1175</v>
      </c>
    </row>
    <row r="1278" spans="1:34" x14ac:dyDescent="0.35">
      <c r="A1278" s="58">
        <v>2025</v>
      </c>
      <c r="B1278" s="58">
        <v>5</v>
      </c>
      <c r="C1278">
        <v>5</v>
      </c>
      <c r="D1278" s="58" t="s">
        <v>591</v>
      </c>
      <c r="E1278" t="s">
        <v>121</v>
      </c>
      <c r="F1278" s="58" t="s">
        <v>172</v>
      </c>
      <c r="G1278" t="s">
        <v>734</v>
      </c>
      <c r="H1278" s="58" t="s">
        <v>4</v>
      </c>
      <c r="I1278" t="s">
        <v>4</v>
      </c>
      <c r="J1278" s="58" t="s">
        <v>4</v>
      </c>
      <c r="K1278" t="s">
        <v>1476</v>
      </c>
      <c r="L1278" t="s">
        <v>1636</v>
      </c>
      <c r="M1278" t="s">
        <v>1430</v>
      </c>
      <c r="N1278" s="59">
        <v>66000</v>
      </c>
      <c r="O1278" s="59">
        <v>2228397600</v>
      </c>
      <c r="P1278" s="59">
        <v>6200020.6291390723</v>
      </c>
      <c r="Q1278" s="59">
        <v>0</v>
      </c>
      <c r="R1278" s="59">
        <v>29329166.000000004</v>
      </c>
      <c r="S1278" s="59">
        <v>2192868413.3708611</v>
      </c>
      <c r="T1278" s="41"/>
      <c r="U1278" s="41"/>
      <c r="V1278" s="41"/>
      <c r="W1278" s="41"/>
      <c r="X1278" s="41"/>
      <c r="Y1278" s="41"/>
      <c r="Z1278" s="41"/>
      <c r="AA1278" s="41"/>
      <c r="AB1278" s="41"/>
      <c r="AC1278" s="41"/>
      <c r="AD1278" s="41"/>
      <c r="AE1278" s="59">
        <v>84994.899743056638</v>
      </c>
      <c r="AF1278" s="59">
        <v>86372</v>
      </c>
      <c r="AG1278" s="59" t="s">
        <v>121</v>
      </c>
      <c r="AH1278" s="59" t="s">
        <v>1175</v>
      </c>
    </row>
    <row r="1279" spans="1:34" x14ac:dyDescent="0.35">
      <c r="A1279" s="58">
        <v>2025</v>
      </c>
      <c r="B1279" s="58">
        <v>5</v>
      </c>
      <c r="C1279">
        <v>5</v>
      </c>
      <c r="D1279" s="58" t="s">
        <v>591</v>
      </c>
      <c r="E1279" t="s">
        <v>121</v>
      </c>
      <c r="F1279" s="58" t="s">
        <v>1152</v>
      </c>
      <c r="G1279" t="s">
        <v>1153</v>
      </c>
      <c r="H1279" s="58" t="s">
        <v>1012</v>
      </c>
      <c r="I1279" t="s">
        <v>1012</v>
      </c>
      <c r="J1279" s="58" t="s">
        <v>1399</v>
      </c>
      <c r="K1279" t="s">
        <v>1429</v>
      </c>
      <c r="L1279" t="s">
        <v>20</v>
      </c>
      <c r="M1279" t="s">
        <v>1430</v>
      </c>
      <c r="N1279" s="59">
        <v>0</v>
      </c>
      <c r="O1279" s="59">
        <v>0</v>
      </c>
      <c r="P1279" s="59">
        <v>0</v>
      </c>
      <c r="Q1279" s="59">
        <v>0</v>
      </c>
      <c r="R1279" s="59">
        <v>11625377.059999995</v>
      </c>
      <c r="S1279" s="59">
        <v>-11625377.059999995</v>
      </c>
      <c r="T1279" s="41"/>
      <c r="U1279" s="41"/>
      <c r="V1279" s="41"/>
      <c r="W1279" s="41"/>
      <c r="X1279" s="41"/>
      <c r="Y1279" s="41"/>
      <c r="Z1279" s="41"/>
      <c r="AA1279" s="41"/>
      <c r="AB1279" s="41"/>
      <c r="AC1279" s="41"/>
      <c r="AD1279" s="41"/>
      <c r="AE1279" s="59">
        <v>-450.96574494773512</v>
      </c>
      <c r="AF1279" s="59">
        <v>0</v>
      </c>
      <c r="AG1279" s="59" t="s">
        <v>121</v>
      </c>
      <c r="AH1279" s="59" t="s">
        <v>1400</v>
      </c>
    </row>
    <row r="1280" spans="1:34" x14ac:dyDescent="0.35">
      <c r="A1280" s="58">
        <v>2025</v>
      </c>
      <c r="B1280" s="58">
        <v>5</v>
      </c>
      <c r="C1280">
        <v>5</v>
      </c>
      <c r="D1280" s="58" t="s">
        <v>613</v>
      </c>
      <c r="E1280" t="s">
        <v>132</v>
      </c>
      <c r="F1280" s="58" t="s">
        <v>1152</v>
      </c>
      <c r="G1280" t="s">
        <v>1153</v>
      </c>
      <c r="H1280" s="58" t="s">
        <v>1012</v>
      </c>
      <c r="I1280" t="s">
        <v>1012</v>
      </c>
      <c r="J1280" s="58" t="s">
        <v>1399</v>
      </c>
      <c r="K1280" t="s">
        <v>1429</v>
      </c>
      <c r="L1280" t="s">
        <v>20</v>
      </c>
      <c r="M1280" t="s">
        <v>1430</v>
      </c>
      <c r="N1280" s="59">
        <v>0</v>
      </c>
      <c r="O1280" s="59">
        <v>0</v>
      </c>
      <c r="P1280" s="59">
        <v>0</v>
      </c>
      <c r="Q1280" s="59">
        <v>0</v>
      </c>
      <c r="R1280" s="59">
        <v>-2766714</v>
      </c>
      <c r="S1280" s="59">
        <v>2766714</v>
      </c>
      <c r="T1280" s="41"/>
      <c r="U1280" s="41"/>
      <c r="V1280" s="41"/>
      <c r="W1280" s="41"/>
      <c r="X1280" s="41"/>
      <c r="Y1280" s="41"/>
      <c r="Z1280" s="41"/>
      <c r="AA1280" s="41"/>
      <c r="AB1280" s="41"/>
      <c r="AC1280" s="41"/>
      <c r="AD1280" s="41"/>
      <c r="AE1280" s="59">
        <v>107.32496964423858</v>
      </c>
      <c r="AF1280" s="59">
        <v>0</v>
      </c>
      <c r="AG1280" s="59" t="s">
        <v>132</v>
      </c>
      <c r="AH1280" s="59" t="s">
        <v>1400</v>
      </c>
    </row>
    <row r="1281" spans="1:34" x14ac:dyDescent="0.35">
      <c r="A1281" s="58">
        <v>2025</v>
      </c>
      <c r="B1281" s="58">
        <v>5</v>
      </c>
      <c r="C1281">
        <v>5</v>
      </c>
      <c r="D1281" s="58" t="s">
        <v>593</v>
      </c>
      <c r="E1281" t="s">
        <v>46</v>
      </c>
      <c r="F1281" s="58" t="s">
        <v>172</v>
      </c>
      <c r="G1281" t="s">
        <v>734</v>
      </c>
      <c r="H1281" s="58" t="s">
        <v>4</v>
      </c>
      <c r="I1281" t="s">
        <v>4</v>
      </c>
      <c r="J1281" s="58" t="s">
        <v>4</v>
      </c>
      <c r="K1281" t="s">
        <v>1476</v>
      </c>
      <c r="L1281" t="s">
        <v>1637</v>
      </c>
      <c r="M1281" t="s">
        <v>1430</v>
      </c>
      <c r="N1281" s="59">
        <v>242000</v>
      </c>
      <c r="O1281" s="59">
        <v>8632686700</v>
      </c>
      <c r="P1281" s="59">
        <v>22733408.973509934</v>
      </c>
      <c r="Q1281" s="59">
        <v>0</v>
      </c>
      <c r="R1281" s="59">
        <v>486806598</v>
      </c>
      <c r="S1281" s="59">
        <v>8123146693.0264912</v>
      </c>
      <c r="T1281" s="41"/>
      <c r="U1281" s="41"/>
      <c r="V1281" s="41"/>
      <c r="W1281" s="41"/>
      <c r="X1281" s="41"/>
      <c r="Y1281" s="41"/>
      <c r="Z1281" s="41"/>
      <c r="AA1281" s="41"/>
      <c r="AB1281" s="41"/>
      <c r="AC1281" s="41"/>
      <c r="AD1281" s="41"/>
      <c r="AE1281" s="59">
        <v>314972.72946981346</v>
      </c>
      <c r="AF1281" s="59">
        <v>334730</v>
      </c>
      <c r="AG1281" s="59" t="s">
        <v>46</v>
      </c>
      <c r="AH1281" s="59" t="s">
        <v>1175</v>
      </c>
    </row>
    <row r="1282" spans="1:34" x14ac:dyDescent="0.35">
      <c r="A1282" s="58">
        <v>2025</v>
      </c>
      <c r="B1282" s="58">
        <v>5</v>
      </c>
      <c r="C1282">
        <v>5</v>
      </c>
      <c r="D1282" s="58" t="s">
        <v>593</v>
      </c>
      <c r="E1282" t="s">
        <v>46</v>
      </c>
      <c r="F1282" s="58" t="s">
        <v>172</v>
      </c>
      <c r="G1282" t="s">
        <v>734</v>
      </c>
      <c r="H1282" s="58" t="s">
        <v>4</v>
      </c>
      <c r="I1282" t="s">
        <v>4</v>
      </c>
      <c r="J1282" s="58" t="s">
        <v>4</v>
      </c>
      <c r="K1282" t="s">
        <v>1476</v>
      </c>
      <c r="L1282" t="s">
        <v>1636</v>
      </c>
      <c r="M1282" t="s">
        <v>1430</v>
      </c>
      <c r="N1282" s="59">
        <v>132000</v>
      </c>
      <c r="O1282" s="59">
        <v>4799388000</v>
      </c>
      <c r="P1282" s="59">
        <v>12400041.258278145</v>
      </c>
      <c r="Q1282" s="59">
        <v>0</v>
      </c>
      <c r="R1282" s="59">
        <v>375396666</v>
      </c>
      <c r="S1282" s="59">
        <v>4411591292.7417221</v>
      </c>
      <c r="T1282" s="41"/>
      <c r="U1282" s="41"/>
      <c r="V1282" s="41"/>
      <c r="W1282" s="41"/>
      <c r="X1282" s="41"/>
      <c r="Y1282" s="41"/>
      <c r="Z1282" s="41"/>
      <c r="AA1282" s="41"/>
      <c r="AB1282" s="41"/>
      <c r="AC1282" s="41"/>
      <c r="AD1282" s="41"/>
      <c r="AE1282" s="59">
        <v>171323.93369870764</v>
      </c>
      <c r="AF1282" s="59">
        <v>186384</v>
      </c>
      <c r="AG1282" s="59" t="s">
        <v>46</v>
      </c>
      <c r="AH1282" s="59" t="s">
        <v>1175</v>
      </c>
    </row>
    <row r="1283" spans="1:34" x14ac:dyDescent="0.35">
      <c r="A1283" s="58">
        <v>2025</v>
      </c>
      <c r="B1283" s="58">
        <v>5</v>
      </c>
      <c r="C1283">
        <v>5</v>
      </c>
      <c r="D1283" s="58" t="s">
        <v>593</v>
      </c>
      <c r="E1283" t="s">
        <v>46</v>
      </c>
      <c r="F1283" s="58" t="s">
        <v>1152</v>
      </c>
      <c r="G1283" t="s">
        <v>1153</v>
      </c>
      <c r="H1283" s="58" t="s">
        <v>1012</v>
      </c>
      <c r="I1283" t="s">
        <v>1012</v>
      </c>
      <c r="J1283" s="58" t="s">
        <v>1399</v>
      </c>
      <c r="K1283" t="s">
        <v>1429</v>
      </c>
      <c r="L1283" t="s">
        <v>20</v>
      </c>
      <c r="M1283" t="s">
        <v>1430</v>
      </c>
      <c r="N1283" s="59">
        <v>0</v>
      </c>
      <c r="O1283" s="59">
        <v>0</v>
      </c>
      <c r="P1283" s="59">
        <v>0</v>
      </c>
      <c r="Q1283" s="59">
        <v>0</v>
      </c>
      <c r="R1283" s="59">
        <v>-9744438</v>
      </c>
      <c r="S1283" s="59">
        <v>9744438</v>
      </c>
      <c r="T1283" s="41"/>
      <c r="U1283" s="41"/>
      <c r="V1283" s="41"/>
      <c r="W1283" s="41"/>
      <c r="X1283" s="41"/>
      <c r="Y1283" s="41"/>
      <c r="Z1283" s="41"/>
      <c r="AA1283" s="41"/>
      <c r="AB1283" s="41"/>
      <c r="AC1283" s="41"/>
      <c r="AD1283" s="41"/>
      <c r="AE1283" s="59">
        <v>378.00130861020153</v>
      </c>
      <c r="AF1283" s="59">
        <v>0</v>
      </c>
      <c r="AG1283" s="59" t="s">
        <v>46</v>
      </c>
      <c r="AH1283" s="59" t="s">
        <v>1400</v>
      </c>
    </row>
    <row r="1284" spans="1:34" x14ac:dyDescent="0.35">
      <c r="A1284" s="58">
        <v>2025</v>
      </c>
      <c r="B1284" s="58">
        <v>5</v>
      </c>
      <c r="C1284">
        <v>5</v>
      </c>
      <c r="D1284" s="58" t="s">
        <v>658</v>
      </c>
      <c r="E1284" t="s">
        <v>147</v>
      </c>
      <c r="F1284" s="58" t="s">
        <v>1152</v>
      </c>
      <c r="G1284" t="s">
        <v>1153</v>
      </c>
      <c r="H1284" s="58" t="s">
        <v>1012</v>
      </c>
      <c r="I1284" t="s">
        <v>1012</v>
      </c>
      <c r="J1284" s="58" t="s">
        <v>1399</v>
      </c>
      <c r="K1284" t="s">
        <v>1429</v>
      </c>
      <c r="L1284" t="s">
        <v>20</v>
      </c>
      <c r="M1284" t="s">
        <v>1430</v>
      </c>
      <c r="N1284" s="59">
        <v>0</v>
      </c>
      <c r="O1284" s="59">
        <v>0</v>
      </c>
      <c r="P1284" s="59">
        <v>0</v>
      </c>
      <c r="Q1284" s="59">
        <v>0</v>
      </c>
      <c r="R1284" s="59">
        <v>513889</v>
      </c>
      <c r="S1284" s="59">
        <v>-513889</v>
      </c>
      <c r="T1284" s="41"/>
      <c r="U1284" s="41"/>
      <c r="V1284" s="41"/>
      <c r="W1284" s="41"/>
      <c r="X1284" s="41"/>
      <c r="Y1284" s="41"/>
      <c r="Z1284" s="41"/>
      <c r="AA1284" s="41"/>
      <c r="AB1284" s="41"/>
      <c r="AC1284" s="41"/>
      <c r="AD1284" s="41"/>
      <c r="AE1284" s="59">
        <v>-19.934522081251664</v>
      </c>
      <c r="AF1284" s="59">
        <v>0</v>
      </c>
      <c r="AG1284" s="59" t="s">
        <v>147</v>
      </c>
      <c r="AH1284" s="59" t="s">
        <v>1400</v>
      </c>
    </row>
    <row r="1285" spans="1:34" x14ac:dyDescent="0.35">
      <c r="A1285" s="58">
        <v>2025</v>
      </c>
      <c r="B1285" s="58">
        <v>5</v>
      </c>
      <c r="C1285">
        <v>5</v>
      </c>
      <c r="D1285" s="58" t="s">
        <v>656</v>
      </c>
      <c r="E1285" t="s">
        <v>141</v>
      </c>
      <c r="F1285" s="58" t="s">
        <v>1152</v>
      </c>
      <c r="G1285" t="s">
        <v>1153</v>
      </c>
      <c r="H1285" s="58" t="s">
        <v>1012</v>
      </c>
      <c r="I1285" t="s">
        <v>1012</v>
      </c>
      <c r="J1285" s="58" t="s">
        <v>1399</v>
      </c>
      <c r="K1285" t="s">
        <v>1429</v>
      </c>
      <c r="L1285" t="s">
        <v>20</v>
      </c>
      <c r="M1285" t="s">
        <v>1430</v>
      </c>
      <c r="N1285" s="59">
        <v>0</v>
      </c>
      <c r="O1285" s="59">
        <v>0</v>
      </c>
      <c r="P1285" s="59">
        <v>0</v>
      </c>
      <c r="Q1285" s="59">
        <v>0</v>
      </c>
      <c r="R1285" s="59">
        <v>-1397000</v>
      </c>
      <c r="S1285" s="59">
        <v>1397000</v>
      </c>
      <c r="T1285" s="41"/>
      <c r="U1285" s="41"/>
      <c r="V1285" s="41"/>
      <c r="W1285" s="41"/>
      <c r="X1285" s="41"/>
      <c r="Y1285" s="41"/>
      <c r="Z1285" s="41"/>
      <c r="AA1285" s="41"/>
      <c r="AB1285" s="41"/>
      <c r="AC1285" s="41"/>
      <c r="AD1285" s="41"/>
      <c r="AE1285" s="59">
        <v>54.191717175321081</v>
      </c>
      <c r="AF1285" s="59">
        <v>0</v>
      </c>
      <c r="AG1285" s="59" t="s">
        <v>141</v>
      </c>
      <c r="AH1285" s="59" t="s">
        <v>1400</v>
      </c>
    </row>
    <row r="1286" spans="1:34" x14ac:dyDescent="0.35">
      <c r="A1286" s="58">
        <v>2025</v>
      </c>
      <c r="B1286" s="58">
        <v>5</v>
      </c>
      <c r="C1286">
        <v>5</v>
      </c>
      <c r="D1286" s="58" t="s">
        <v>619</v>
      </c>
      <c r="E1286" t="s">
        <v>146</v>
      </c>
      <c r="F1286" s="58" t="s">
        <v>1152</v>
      </c>
      <c r="G1286" t="s">
        <v>1153</v>
      </c>
      <c r="H1286" s="58" t="s">
        <v>1012</v>
      </c>
      <c r="I1286" t="s">
        <v>1012</v>
      </c>
      <c r="J1286" s="58" t="s">
        <v>1399</v>
      </c>
      <c r="K1286" t="s">
        <v>1429</v>
      </c>
      <c r="L1286" t="s">
        <v>20</v>
      </c>
      <c r="M1286" t="s">
        <v>1430</v>
      </c>
      <c r="N1286" s="59">
        <v>0</v>
      </c>
      <c r="O1286" s="59">
        <v>0</v>
      </c>
      <c r="P1286" s="59">
        <v>0</v>
      </c>
      <c r="Q1286" s="59">
        <v>0</v>
      </c>
      <c r="R1286" s="59">
        <v>-540000</v>
      </c>
      <c r="S1286" s="59">
        <v>540000</v>
      </c>
      <c r="T1286" s="41"/>
      <c r="U1286" s="41"/>
      <c r="V1286" s="41"/>
      <c r="W1286" s="41"/>
      <c r="X1286" s="41"/>
      <c r="Y1286" s="41"/>
      <c r="Z1286" s="41"/>
      <c r="AA1286" s="41"/>
      <c r="AB1286" s="41"/>
      <c r="AC1286" s="41"/>
      <c r="AD1286" s="41"/>
      <c r="AE1286" s="59">
        <v>20.947406782157039</v>
      </c>
      <c r="AF1286" s="59">
        <v>0</v>
      </c>
      <c r="AG1286" s="59" t="s">
        <v>146</v>
      </c>
      <c r="AH1286" s="59" t="s">
        <v>1400</v>
      </c>
    </row>
    <row r="1287" spans="1:34" x14ac:dyDescent="0.35">
      <c r="A1287" s="58">
        <v>2025</v>
      </c>
      <c r="B1287" s="58">
        <v>5</v>
      </c>
      <c r="C1287">
        <v>5</v>
      </c>
      <c r="D1287" s="58" t="s">
        <v>608</v>
      </c>
      <c r="E1287" t="s">
        <v>294</v>
      </c>
      <c r="F1287" s="58" t="s">
        <v>172</v>
      </c>
      <c r="G1287" t="s">
        <v>734</v>
      </c>
      <c r="H1287" s="58" t="s">
        <v>4</v>
      </c>
      <c r="I1287" t="s">
        <v>4</v>
      </c>
      <c r="J1287" s="58" t="s">
        <v>4</v>
      </c>
      <c r="K1287" t="s">
        <v>1476</v>
      </c>
      <c r="L1287" t="s">
        <v>1528</v>
      </c>
      <c r="M1287" t="s">
        <v>1430</v>
      </c>
      <c r="N1287" s="59">
        <v>105000</v>
      </c>
      <c r="O1287" s="59">
        <v>3466175999.9999995</v>
      </c>
      <c r="P1287" s="59">
        <v>7753910.0000000009</v>
      </c>
      <c r="Q1287" s="59">
        <v>0</v>
      </c>
      <c r="R1287" s="59">
        <v>46643448</v>
      </c>
      <c r="S1287" s="59">
        <v>3411778641.999999</v>
      </c>
      <c r="T1287" s="41"/>
      <c r="U1287" s="41"/>
      <c r="V1287" s="41"/>
      <c r="W1287" s="41"/>
      <c r="X1287" s="41"/>
      <c r="Y1287" s="41"/>
      <c r="Z1287" s="41"/>
      <c r="AA1287" s="41"/>
      <c r="AB1287" s="41"/>
      <c r="AC1287" s="41"/>
      <c r="AD1287" s="41"/>
      <c r="AE1287" s="59">
        <v>132290.75773555637</v>
      </c>
      <c r="AF1287" s="59">
        <v>134399.99999999997</v>
      </c>
      <c r="AG1287" s="59" t="s">
        <v>124</v>
      </c>
      <c r="AH1287" s="59" t="s">
        <v>1175</v>
      </c>
    </row>
    <row r="1288" spans="1:34" x14ac:dyDescent="0.35">
      <c r="A1288" s="58">
        <v>2025</v>
      </c>
      <c r="B1288" s="58">
        <v>5</v>
      </c>
      <c r="C1288">
        <v>5</v>
      </c>
      <c r="D1288" s="58" t="s">
        <v>608</v>
      </c>
      <c r="E1288" t="s">
        <v>294</v>
      </c>
      <c r="F1288" s="58" t="s">
        <v>1152</v>
      </c>
      <c r="G1288" t="s">
        <v>1153</v>
      </c>
      <c r="H1288" s="58" t="s">
        <v>1012</v>
      </c>
      <c r="I1288" t="s">
        <v>1012</v>
      </c>
      <c r="J1288" s="58" t="s">
        <v>1399</v>
      </c>
      <c r="K1288" t="s">
        <v>1429</v>
      </c>
      <c r="L1288" t="s">
        <v>20</v>
      </c>
      <c r="M1288" t="s">
        <v>1430</v>
      </c>
      <c r="N1288" s="59">
        <v>0</v>
      </c>
      <c r="O1288" s="59">
        <v>0</v>
      </c>
      <c r="P1288" s="59">
        <v>0</v>
      </c>
      <c r="Q1288" s="59">
        <v>0</v>
      </c>
      <c r="R1288" s="59">
        <v>-1</v>
      </c>
      <c r="S1288" s="59">
        <v>1</v>
      </c>
      <c r="T1288" s="41"/>
      <c r="U1288" s="41"/>
      <c r="V1288" s="41"/>
      <c r="W1288" s="41"/>
      <c r="X1288" s="41"/>
      <c r="Y1288" s="41"/>
      <c r="Z1288" s="41"/>
      <c r="AA1288" s="41"/>
      <c r="AB1288" s="41"/>
      <c r="AC1288" s="41"/>
      <c r="AD1288" s="41"/>
      <c r="AE1288" s="59">
        <v>3.8791494041031556E-5</v>
      </c>
      <c r="AF1288" s="59">
        <v>0</v>
      </c>
      <c r="AG1288" s="59" t="s">
        <v>124</v>
      </c>
      <c r="AH1288" s="59" t="s">
        <v>1400</v>
      </c>
    </row>
    <row r="1289" spans="1:34" x14ac:dyDescent="0.35">
      <c r="A1289" s="58">
        <v>2025</v>
      </c>
      <c r="B1289" s="58">
        <v>5</v>
      </c>
      <c r="C1289">
        <v>5</v>
      </c>
      <c r="D1289" s="58" t="s">
        <v>647</v>
      </c>
      <c r="E1289" t="s">
        <v>136</v>
      </c>
      <c r="F1289" s="58" t="s">
        <v>172</v>
      </c>
      <c r="G1289" t="s">
        <v>734</v>
      </c>
      <c r="H1289" s="58" t="s">
        <v>4</v>
      </c>
      <c r="I1289" t="s">
        <v>4</v>
      </c>
      <c r="J1289" s="58" t="s">
        <v>4</v>
      </c>
      <c r="K1289" t="s">
        <v>1476</v>
      </c>
      <c r="L1289" t="s">
        <v>1637</v>
      </c>
      <c r="M1289" t="s">
        <v>1430</v>
      </c>
      <c r="N1289" s="59">
        <v>22000</v>
      </c>
      <c r="O1289" s="59">
        <v>779845000</v>
      </c>
      <c r="P1289" s="59">
        <v>2066673.5430463573</v>
      </c>
      <c r="Q1289" s="59">
        <v>0</v>
      </c>
      <c r="R1289" s="59">
        <v>41445390</v>
      </c>
      <c r="S1289" s="59">
        <v>736332936.45695364</v>
      </c>
      <c r="T1289" s="41"/>
      <c r="U1289" s="41"/>
      <c r="V1289" s="41"/>
      <c r="W1289" s="41"/>
      <c r="X1289" s="41"/>
      <c r="Y1289" s="41"/>
      <c r="Z1289" s="41"/>
      <c r="AA1289" s="41"/>
      <c r="AB1289" s="41"/>
      <c r="AC1289" s="41"/>
      <c r="AD1289" s="41"/>
      <c r="AE1289" s="59">
        <v>28562.177519664609</v>
      </c>
      <c r="AF1289" s="59">
        <v>30250</v>
      </c>
      <c r="AG1289" s="59" t="s">
        <v>136</v>
      </c>
      <c r="AH1289" s="59" t="s">
        <v>1175</v>
      </c>
    </row>
    <row r="1290" spans="1:34" x14ac:dyDescent="0.35">
      <c r="A1290" s="58">
        <v>2025</v>
      </c>
      <c r="B1290" s="58">
        <v>5</v>
      </c>
      <c r="C1290">
        <v>5</v>
      </c>
      <c r="D1290" s="58" t="s">
        <v>647</v>
      </c>
      <c r="E1290" t="s">
        <v>136</v>
      </c>
      <c r="F1290" s="58" t="s">
        <v>1152</v>
      </c>
      <c r="G1290" t="s">
        <v>1153</v>
      </c>
      <c r="H1290" s="58" t="s">
        <v>1012</v>
      </c>
      <c r="I1290" t="s">
        <v>1012</v>
      </c>
      <c r="J1290" s="58" t="s">
        <v>1399</v>
      </c>
      <c r="K1290" t="s">
        <v>1429</v>
      </c>
      <c r="L1290" t="s">
        <v>20</v>
      </c>
      <c r="M1290" t="s">
        <v>1430</v>
      </c>
      <c r="N1290" s="59">
        <v>0</v>
      </c>
      <c r="O1290" s="59">
        <v>0</v>
      </c>
      <c r="P1290" s="59">
        <v>0</v>
      </c>
      <c r="Q1290" s="59">
        <v>0</v>
      </c>
      <c r="R1290" s="59">
        <v>-1519835</v>
      </c>
      <c r="S1290" s="59">
        <v>1519835</v>
      </c>
      <c r="T1290" s="41"/>
      <c r="U1290" s="41"/>
      <c r="V1290" s="41"/>
      <c r="W1290" s="41"/>
      <c r="X1290" s="41"/>
      <c r="Y1290" s="41"/>
      <c r="Z1290" s="41"/>
      <c r="AA1290" s="41"/>
      <c r="AB1290" s="41"/>
      <c r="AC1290" s="41"/>
      <c r="AD1290" s="41"/>
      <c r="AE1290" s="59">
        <v>58.956670345851194</v>
      </c>
      <c r="AF1290" s="59">
        <v>0</v>
      </c>
      <c r="AG1290" s="59" t="s">
        <v>136</v>
      </c>
      <c r="AH1290" s="59" t="s">
        <v>1400</v>
      </c>
    </row>
    <row r="1291" spans="1:34" x14ac:dyDescent="0.35">
      <c r="A1291" s="58">
        <v>2025</v>
      </c>
      <c r="B1291" s="58">
        <v>5</v>
      </c>
      <c r="C1291">
        <v>5</v>
      </c>
      <c r="D1291" s="58" t="s">
        <v>614</v>
      </c>
      <c r="E1291" t="s">
        <v>304</v>
      </c>
      <c r="F1291" s="58" t="s">
        <v>171</v>
      </c>
      <c r="G1291" t="s">
        <v>731</v>
      </c>
      <c r="H1291" s="58" t="s">
        <v>4</v>
      </c>
      <c r="I1291" t="s">
        <v>4</v>
      </c>
      <c r="J1291" s="58" t="s">
        <v>4</v>
      </c>
      <c r="K1291" t="s">
        <v>1476</v>
      </c>
      <c r="L1291" t="s">
        <v>1520</v>
      </c>
      <c r="M1291" t="s">
        <v>1430</v>
      </c>
      <c r="N1291" s="59">
        <v>22000</v>
      </c>
      <c r="O1291" s="59">
        <v>737880000</v>
      </c>
      <c r="P1291" s="59">
        <v>1650003.5430463576</v>
      </c>
      <c r="Q1291" s="59">
        <v>0</v>
      </c>
      <c r="R1291" s="59">
        <v>30131185</v>
      </c>
      <c r="S1291" s="59">
        <v>706098811.45695364</v>
      </c>
      <c r="T1291" s="41"/>
      <c r="U1291" s="41"/>
      <c r="V1291" s="41"/>
      <c r="W1291" s="41"/>
      <c r="X1291" s="41"/>
      <c r="Y1291" s="41"/>
      <c r="Z1291" s="41"/>
      <c r="AA1291" s="41"/>
      <c r="AB1291" s="41"/>
      <c r="AC1291" s="41"/>
      <c r="AD1291" s="41"/>
      <c r="AE1291" s="59">
        <v>27368.17098670363</v>
      </c>
      <c r="AF1291" s="59">
        <v>28600</v>
      </c>
      <c r="AG1291" s="59" t="s">
        <v>130</v>
      </c>
      <c r="AH1291" s="59" t="s">
        <v>1166</v>
      </c>
    </row>
    <row r="1292" spans="1:34" x14ac:dyDescent="0.35">
      <c r="A1292" s="58">
        <v>2025</v>
      </c>
      <c r="B1292" s="58">
        <v>5</v>
      </c>
      <c r="C1292">
        <v>5</v>
      </c>
      <c r="D1292" s="58" t="s">
        <v>614</v>
      </c>
      <c r="E1292" t="s">
        <v>304</v>
      </c>
      <c r="F1292" s="58" t="s">
        <v>1152</v>
      </c>
      <c r="G1292" t="s">
        <v>1153</v>
      </c>
      <c r="H1292" s="58" t="s">
        <v>1012</v>
      </c>
      <c r="I1292" t="s">
        <v>1012</v>
      </c>
      <c r="J1292" s="58" t="s">
        <v>1399</v>
      </c>
      <c r="K1292" t="s">
        <v>1429</v>
      </c>
      <c r="L1292" t="s">
        <v>20</v>
      </c>
      <c r="M1292" t="s">
        <v>1430</v>
      </c>
      <c r="N1292" s="59">
        <v>0</v>
      </c>
      <c r="O1292" s="59">
        <v>0</v>
      </c>
      <c r="P1292" s="59">
        <v>0</v>
      </c>
      <c r="Q1292" s="59">
        <v>0</v>
      </c>
      <c r="R1292" s="59">
        <v>-3422667</v>
      </c>
      <c r="S1292" s="59">
        <v>3422667</v>
      </c>
      <c r="T1292" s="41"/>
      <c r="U1292" s="41"/>
      <c r="V1292" s="41"/>
      <c r="W1292" s="41"/>
      <c r="X1292" s="41"/>
      <c r="Y1292" s="41"/>
      <c r="Z1292" s="41"/>
      <c r="AA1292" s="41"/>
      <c r="AB1292" s="41"/>
      <c r="AC1292" s="41"/>
      <c r="AD1292" s="41"/>
      <c r="AE1292" s="59">
        <v>132.77036653493533</v>
      </c>
      <c r="AF1292" s="59">
        <v>0</v>
      </c>
      <c r="AG1292" s="59" t="s">
        <v>130</v>
      </c>
      <c r="AH1292" s="59" t="s">
        <v>1400</v>
      </c>
    </row>
    <row r="1293" spans="1:34" x14ac:dyDescent="0.35">
      <c r="A1293" s="58">
        <v>2025</v>
      </c>
      <c r="B1293" s="58">
        <v>5</v>
      </c>
      <c r="C1293">
        <v>5</v>
      </c>
      <c r="D1293" s="58" t="s">
        <v>1555</v>
      </c>
      <c r="E1293" t="s">
        <v>1289</v>
      </c>
      <c r="F1293" s="58" t="s">
        <v>1468</v>
      </c>
      <c r="G1293" t="s">
        <v>1012</v>
      </c>
      <c r="H1293" s="58" t="s">
        <v>1012</v>
      </c>
      <c r="I1293" t="s">
        <v>1012</v>
      </c>
      <c r="J1293" s="58" t="s">
        <v>1012</v>
      </c>
      <c r="K1293" t="s">
        <v>1429</v>
      </c>
      <c r="L1293" t="s">
        <v>20</v>
      </c>
      <c r="M1293" t="s">
        <v>1430</v>
      </c>
      <c r="N1293" s="59">
        <v>0</v>
      </c>
      <c r="O1293" s="59">
        <v>0</v>
      </c>
      <c r="P1293" s="59">
        <v>0</v>
      </c>
      <c r="Q1293" s="59">
        <v>0</v>
      </c>
      <c r="R1293" s="59">
        <v>0</v>
      </c>
      <c r="S1293" s="59">
        <v>0</v>
      </c>
      <c r="T1293" s="41"/>
      <c r="U1293" s="41"/>
      <c r="V1293" s="41"/>
      <c r="W1293" s="41"/>
      <c r="X1293" s="41"/>
      <c r="Y1293" s="41"/>
      <c r="Z1293" s="41"/>
      <c r="AA1293" s="41"/>
      <c r="AB1293" s="41"/>
      <c r="AC1293" s="41"/>
      <c r="AD1293" s="41"/>
      <c r="AE1293" s="59">
        <v>0</v>
      </c>
      <c r="AF1293" s="59">
        <v>0</v>
      </c>
      <c r="AG1293" s="59" t="s">
        <v>1289</v>
      </c>
      <c r="AH1293" s="59" t="s">
        <v>1284</v>
      </c>
    </row>
    <row r="1294" spans="1:34" x14ac:dyDescent="0.35">
      <c r="A1294" s="58">
        <v>2025</v>
      </c>
      <c r="B1294" s="58">
        <v>5</v>
      </c>
      <c r="C1294">
        <v>5</v>
      </c>
      <c r="D1294" s="58" t="s">
        <v>1620</v>
      </c>
      <c r="E1294" t="s">
        <v>1295</v>
      </c>
      <c r="F1294" s="58" t="s">
        <v>1597</v>
      </c>
      <c r="G1294" t="s">
        <v>1598</v>
      </c>
      <c r="H1294" s="58" t="s">
        <v>1012</v>
      </c>
      <c r="I1294" t="s">
        <v>1012</v>
      </c>
      <c r="J1294" s="58" t="s">
        <v>1012</v>
      </c>
      <c r="K1294" t="s">
        <v>1429</v>
      </c>
      <c r="L1294" t="s">
        <v>20</v>
      </c>
      <c r="M1294" t="s">
        <v>1430</v>
      </c>
      <c r="N1294" s="59">
        <v>0</v>
      </c>
      <c r="O1294" s="59">
        <v>0</v>
      </c>
      <c r="P1294" s="59">
        <v>0</v>
      </c>
      <c r="Q1294" s="59">
        <v>0</v>
      </c>
      <c r="R1294" s="59">
        <v>0</v>
      </c>
      <c r="S1294" s="59">
        <v>0</v>
      </c>
      <c r="T1294" s="41"/>
      <c r="U1294" s="41"/>
      <c r="V1294" s="41"/>
      <c r="W1294" s="41"/>
      <c r="X1294" s="41"/>
      <c r="Y1294" s="41"/>
      <c r="Z1294" s="41"/>
      <c r="AA1294" s="41"/>
      <c r="AB1294" s="41"/>
      <c r="AC1294" s="41"/>
      <c r="AD1294" s="41"/>
      <c r="AE1294" s="59">
        <v>0</v>
      </c>
      <c r="AF1294" s="59">
        <v>0</v>
      </c>
      <c r="AG1294" s="59" t="s">
        <v>1295</v>
      </c>
      <c r="AH1294" s="59" t="s">
        <v>1327</v>
      </c>
    </row>
    <row r="1295" spans="1:34" x14ac:dyDescent="0.35">
      <c r="A1295" s="58">
        <v>2025</v>
      </c>
      <c r="B1295" s="58">
        <v>5</v>
      </c>
      <c r="C1295">
        <v>5</v>
      </c>
      <c r="D1295" s="58" t="s">
        <v>1484</v>
      </c>
      <c r="E1295" t="s">
        <v>1298</v>
      </c>
      <c r="F1295" s="58" t="s">
        <v>1482</v>
      </c>
      <c r="G1295" t="s">
        <v>1483</v>
      </c>
      <c r="H1295" s="58" t="s">
        <v>1012</v>
      </c>
      <c r="I1295" t="s">
        <v>1012</v>
      </c>
      <c r="J1295" s="58" t="s">
        <v>1012</v>
      </c>
      <c r="K1295" t="s">
        <v>1429</v>
      </c>
      <c r="L1295" t="s">
        <v>20</v>
      </c>
      <c r="M1295" t="s">
        <v>1430</v>
      </c>
      <c r="N1295" s="59">
        <v>0</v>
      </c>
      <c r="O1295" s="59">
        <v>54000000</v>
      </c>
      <c r="P1295" s="59">
        <v>0</v>
      </c>
      <c r="Q1295" s="59">
        <v>0</v>
      </c>
      <c r="R1295" s="59">
        <v>0</v>
      </c>
      <c r="S1295" s="59">
        <v>54000000</v>
      </c>
      <c r="T1295" s="41"/>
      <c r="U1295" s="41"/>
      <c r="V1295" s="41"/>
      <c r="W1295" s="41"/>
      <c r="X1295" s="41"/>
      <c r="Y1295" s="41"/>
      <c r="Z1295" s="41"/>
      <c r="AA1295" s="41"/>
      <c r="AB1295" s="41"/>
      <c r="AC1295" s="41"/>
      <c r="AD1295" s="41"/>
      <c r="AE1295" s="59">
        <v>2094.7406782157041</v>
      </c>
      <c r="AF1295" s="59">
        <v>2094.7406782157041</v>
      </c>
      <c r="AG1295" s="59" t="s">
        <v>1298</v>
      </c>
      <c r="AH1295" s="59" t="s">
        <v>1325</v>
      </c>
    </row>
    <row r="1296" spans="1:34" x14ac:dyDescent="0.35">
      <c r="A1296" s="58">
        <v>2025</v>
      </c>
      <c r="B1296" s="58">
        <v>5</v>
      </c>
      <c r="C1296">
        <v>5</v>
      </c>
      <c r="D1296" s="58" t="s">
        <v>1658</v>
      </c>
      <c r="E1296" t="s">
        <v>1349</v>
      </c>
      <c r="F1296" s="58" t="s">
        <v>1496</v>
      </c>
      <c r="G1296" t="s">
        <v>1497</v>
      </c>
      <c r="H1296" s="58" t="s">
        <v>1012</v>
      </c>
      <c r="I1296" t="s">
        <v>1012</v>
      </c>
      <c r="J1296" s="58" t="s">
        <v>1012</v>
      </c>
      <c r="K1296" t="s">
        <v>1429</v>
      </c>
      <c r="L1296" t="s">
        <v>20</v>
      </c>
      <c r="M1296" t="s">
        <v>1430</v>
      </c>
      <c r="N1296" s="59">
        <v>0</v>
      </c>
      <c r="O1296" s="59">
        <v>0</v>
      </c>
      <c r="P1296" s="59">
        <v>0</v>
      </c>
      <c r="Q1296" s="59">
        <v>0</v>
      </c>
      <c r="R1296" s="59">
        <v>0</v>
      </c>
      <c r="S1296" s="59">
        <v>0</v>
      </c>
      <c r="T1296" s="41"/>
      <c r="U1296" s="41"/>
      <c r="V1296" s="41"/>
      <c r="W1296" s="41"/>
      <c r="X1296" s="41"/>
      <c r="Y1296" s="41"/>
      <c r="Z1296" s="41"/>
      <c r="AA1296" s="41"/>
      <c r="AB1296" s="41"/>
      <c r="AC1296" s="41"/>
      <c r="AD1296" s="41"/>
      <c r="AE1296" s="59">
        <v>0</v>
      </c>
      <c r="AF1296" s="59">
        <v>0</v>
      </c>
      <c r="AG1296" s="59" t="s">
        <v>1349</v>
      </c>
      <c r="AH1296" s="59" t="s">
        <v>1329</v>
      </c>
    </row>
    <row r="1297" spans="1:34" x14ac:dyDescent="0.35">
      <c r="A1297" s="58">
        <v>2025</v>
      </c>
      <c r="B1297" s="58">
        <v>5</v>
      </c>
      <c r="C1297">
        <v>5</v>
      </c>
      <c r="D1297" s="58" t="s">
        <v>1623</v>
      </c>
      <c r="E1297" t="s">
        <v>1301</v>
      </c>
      <c r="F1297" s="58" t="s">
        <v>1496</v>
      </c>
      <c r="G1297" t="s">
        <v>1497</v>
      </c>
      <c r="H1297" s="58" t="s">
        <v>1012</v>
      </c>
      <c r="I1297" t="s">
        <v>1012</v>
      </c>
      <c r="J1297" s="58" t="s">
        <v>1012</v>
      </c>
      <c r="K1297" t="s">
        <v>1429</v>
      </c>
      <c r="L1297" t="s">
        <v>20</v>
      </c>
      <c r="M1297" t="s">
        <v>1430</v>
      </c>
      <c r="N1297" s="59">
        <v>0</v>
      </c>
      <c r="O1297" s="59">
        <v>0</v>
      </c>
      <c r="P1297" s="59">
        <v>0</v>
      </c>
      <c r="Q1297" s="59">
        <v>0</v>
      </c>
      <c r="R1297" s="59">
        <v>0</v>
      </c>
      <c r="S1297" s="59">
        <v>0</v>
      </c>
      <c r="T1297" s="41"/>
      <c r="U1297" s="41"/>
      <c r="V1297" s="41"/>
      <c r="W1297" s="41"/>
      <c r="X1297" s="41"/>
      <c r="Y1297" s="41"/>
      <c r="Z1297" s="41"/>
      <c r="AA1297" s="41"/>
      <c r="AB1297" s="41"/>
      <c r="AC1297" s="41"/>
      <c r="AD1297" s="41"/>
      <c r="AE1297" s="59">
        <v>0</v>
      </c>
      <c r="AF1297" s="59">
        <v>0</v>
      </c>
      <c r="AG1297" s="59" t="s">
        <v>1301</v>
      </c>
      <c r="AH1297" s="59" t="s">
        <v>1329</v>
      </c>
    </row>
    <row r="1298" spans="1:34" x14ac:dyDescent="0.35">
      <c r="A1298" s="58">
        <v>2025</v>
      </c>
      <c r="B1298" s="58">
        <v>5</v>
      </c>
      <c r="C1298">
        <v>5</v>
      </c>
      <c r="D1298" s="58" t="s">
        <v>1624</v>
      </c>
      <c r="E1298" t="s">
        <v>1286</v>
      </c>
      <c r="F1298" s="58" t="s">
        <v>1496</v>
      </c>
      <c r="G1298" t="s">
        <v>1497</v>
      </c>
      <c r="H1298" s="58" t="s">
        <v>1012</v>
      </c>
      <c r="I1298" t="s">
        <v>1012</v>
      </c>
      <c r="J1298" s="58" t="s">
        <v>1012</v>
      </c>
      <c r="K1298" t="s">
        <v>1429</v>
      </c>
      <c r="L1298" t="s">
        <v>20</v>
      </c>
      <c r="M1298" t="s">
        <v>1430</v>
      </c>
      <c r="N1298" s="59">
        <v>0</v>
      </c>
      <c r="O1298" s="59">
        <v>0</v>
      </c>
      <c r="P1298" s="59">
        <v>0</v>
      </c>
      <c r="Q1298" s="59">
        <v>0</v>
      </c>
      <c r="R1298" s="59">
        <v>0</v>
      </c>
      <c r="S1298" s="59">
        <v>0</v>
      </c>
      <c r="T1298" s="41"/>
      <c r="U1298" s="41"/>
      <c r="V1298" s="41"/>
      <c r="W1298" s="41"/>
      <c r="X1298" s="41"/>
      <c r="Y1298" s="41"/>
      <c r="Z1298" s="41"/>
      <c r="AA1298" s="41"/>
      <c r="AB1298" s="41"/>
      <c r="AC1298" s="41"/>
      <c r="AD1298" s="41"/>
      <c r="AE1298" s="59">
        <v>0</v>
      </c>
      <c r="AF1298" s="59">
        <v>0</v>
      </c>
      <c r="AG1298" s="59" t="s">
        <v>1286</v>
      </c>
      <c r="AH1298" s="59" t="s">
        <v>1329</v>
      </c>
    </row>
    <row r="1299" spans="1:34" x14ac:dyDescent="0.35">
      <c r="A1299" s="58">
        <v>2025</v>
      </c>
      <c r="B1299" s="58">
        <v>5</v>
      </c>
      <c r="C1299">
        <v>5</v>
      </c>
      <c r="D1299" s="58" t="s">
        <v>1625</v>
      </c>
      <c r="E1299" t="s">
        <v>1340</v>
      </c>
      <c r="F1299" s="58" t="s">
        <v>1496</v>
      </c>
      <c r="G1299" t="s">
        <v>1497</v>
      </c>
      <c r="H1299" s="58" t="s">
        <v>1012</v>
      </c>
      <c r="I1299" t="s">
        <v>1012</v>
      </c>
      <c r="J1299" s="58" t="s">
        <v>1012</v>
      </c>
      <c r="K1299" t="s">
        <v>1429</v>
      </c>
      <c r="L1299" t="s">
        <v>20</v>
      </c>
      <c r="M1299" t="s">
        <v>1430</v>
      </c>
      <c r="N1299" s="59">
        <v>0</v>
      </c>
      <c r="O1299" s="59">
        <v>0</v>
      </c>
      <c r="P1299" s="59">
        <v>0</v>
      </c>
      <c r="Q1299" s="59">
        <v>0</v>
      </c>
      <c r="R1299" s="59">
        <v>0</v>
      </c>
      <c r="S1299" s="59">
        <v>0</v>
      </c>
      <c r="T1299" s="41"/>
      <c r="U1299" s="41"/>
      <c r="V1299" s="41"/>
      <c r="W1299" s="41"/>
      <c r="X1299" s="41"/>
      <c r="Y1299" s="41"/>
      <c r="Z1299" s="41"/>
      <c r="AA1299" s="41"/>
      <c r="AB1299" s="41"/>
      <c r="AC1299" s="41"/>
      <c r="AD1299" s="41"/>
      <c r="AE1299" s="59">
        <v>0</v>
      </c>
      <c r="AF1299" s="59">
        <v>0</v>
      </c>
      <c r="AG1299" s="59" t="s">
        <v>1340</v>
      </c>
      <c r="AH1299" s="59" t="s">
        <v>1329</v>
      </c>
    </row>
    <row r="1300" spans="1:34" x14ac:dyDescent="0.35">
      <c r="A1300" s="58">
        <v>2025</v>
      </c>
      <c r="B1300" s="58">
        <v>5</v>
      </c>
      <c r="C1300">
        <v>5</v>
      </c>
      <c r="D1300" s="58" t="s">
        <v>1570</v>
      </c>
      <c r="E1300" t="s">
        <v>1282</v>
      </c>
      <c r="F1300" s="58" t="s">
        <v>1496</v>
      </c>
      <c r="G1300" t="s">
        <v>1497</v>
      </c>
      <c r="H1300" s="58" t="s">
        <v>1012</v>
      </c>
      <c r="I1300" t="s">
        <v>1012</v>
      </c>
      <c r="J1300" s="58" t="s">
        <v>1012</v>
      </c>
      <c r="K1300" t="s">
        <v>1429</v>
      </c>
      <c r="L1300" t="s">
        <v>20</v>
      </c>
      <c r="M1300" t="s">
        <v>1430</v>
      </c>
      <c r="N1300" s="59">
        <v>0</v>
      </c>
      <c r="O1300" s="59">
        <v>0</v>
      </c>
      <c r="P1300" s="59">
        <v>0</v>
      </c>
      <c r="Q1300" s="59">
        <v>0</v>
      </c>
      <c r="R1300" s="59">
        <v>0</v>
      </c>
      <c r="S1300" s="59">
        <v>0</v>
      </c>
      <c r="T1300" s="41"/>
      <c r="U1300" s="41"/>
      <c r="V1300" s="41"/>
      <c r="W1300" s="41"/>
      <c r="X1300" s="41"/>
      <c r="Y1300" s="41"/>
      <c r="Z1300" s="41"/>
      <c r="AA1300" s="41"/>
      <c r="AB1300" s="41"/>
      <c r="AC1300" s="41"/>
      <c r="AD1300" s="41"/>
      <c r="AE1300" s="59">
        <v>0</v>
      </c>
      <c r="AF1300" s="59">
        <v>0</v>
      </c>
      <c r="AG1300" s="59" t="s">
        <v>1282</v>
      </c>
      <c r="AH1300" s="59" t="s">
        <v>1329</v>
      </c>
    </row>
    <row r="1301" spans="1:34" x14ac:dyDescent="0.35">
      <c r="A1301" s="58">
        <v>2025</v>
      </c>
      <c r="B1301" s="58">
        <v>5</v>
      </c>
      <c r="C1301">
        <v>5</v>
      </c>
      <c r="D1301" s="58" t="s">
        <v>1571</v>
      </c>
      <c r="E1301" t="s">
        <v>1283</v>
      </c>
      <c r="F1301" s="58" t="s">
        <v>1496</v>
      </c>
      <c r="G1301" t="s">
        <v>1497</v>
      </c>
      <c r="H1301" s="58" t="s">
        <v>1012</v>
      </c>
      <c r="I1301" t="s">
        <v>1012</v>
      </c>
      <c r="J1301" s="58" t="s">
        <v>1012</v>
      </c>
      <c r="K1301" t="s">
        <v>1429</v>
      </c>
      <c r="L1301" t="s">
        <v>20</v>
      </c>
      <c r="M1301" t="s">
        <v>1430</v>
      </c>
      <c r="N1301" s="59">
        <v>0</v>
      </c>
      <c r="O1301" s="59">
        <v>0</v>
      </c>
      <c r="P1301" s="59">
        <v>0</v>
      </c>
      <c r="Q1301" s="59">
        <v>0</v>
      </c>
      <c r="R1301" s="59">
        <v>0</v>
      </c>
      <c r="S1301" s="59">
        <v>0</v>
      </c>
      <c r="T1301" s="41"/>
      <c r="U1301" s="41"/>
      <c r="V1301" s="41"/>
      <c r="W1301" s="41"/>
      <c r="X1301" s="41"/>
      <c r="Y1301" s="41"/>
      <c r="Z1301" s="41"/>
      <c r="AA1301" s="41"/>
      <c r="AB1301" s="41"/>
      <c r="AC1301" s="41"/>
      <c r="AD1301" s="41"/>
      <c r="AE1301" s="59">
        <v>0</v>
      </c>
      <c r="AF1301" s="59">
        <v>0</v>
      </c>
      <c r="AG1301" s="59" t="s">
        <v>1283</v>
      </c>
      <c r="AH1301" s="59" t="s">
        <v>1329</v>
      </c>
    </row>
    <row r="1302" spans="1:34" x14ac:dyDescent="0.35">
      <c r="A1302" s="58">
        <v>2025</v>
      </c>
      <c r="B1302" s="58">
        <v>5</v>
      </c>
      <c r="C1302">
        <v>5</v>
      </c>
      <c r="D1302" s="58" t="s">
        <v>1488</v>
      </c>
      <c r="E1302" t="s">
        <v>1275</v>
      </c>
      <c r="F1302" s="58" t="s">
        <v>1489</v>
      </c>
      <c r="G1302" t="s">
        <v>1490</v>
      </c>
      <c r="H1302" s="58" t="s">
        <v>1012</v>
      </c>
      <c r="I1302" t="s">
        <v>1012</v>
      </c>
      <c r="J1302" s="58" t="s">
        <v>1012</v>
      </c>
      <c r="K1302" t="s">
        <v>1429</v>
      </c>
      <c r="L1302" t="s">
        <v>20</v>
      </c>
      <c r="M1302" t="s">
        <v>1430</v>
      </c>
      <c r="N1302" s="59">
        <v>0</v>
      </c>
      <c r="O1302" s="59">
        <v>0</v>
      </c>
      <c r="P1302" s="59">
        <v>0</v>
      </c>
      <c r="Q1302" s="59">
        <v>0</v>
      </c>
      <c r="R1302" s="59">
        <v>0</v>
      </c>
      <c r="S1302" s="59">
        <v>0</v>
      </c>
      <c r="T1302" s="41"/>
      <c r="U1302" s="41"/>
      <c r="V1302" s="41"/>
      <c r="W1302" s="41"/>
      <c r="X1302" s="41"/>
      <c r="Y1302" s="41"/>
      <c r="Z1302" s="41"/>
      <c r="AA1302" s="41"/>
      <c r="AB1302" s="41"/>
      <c r="AC1302" s="41"/>
      <c r="AD1302" s="41"/>
      <c r="AE1302" s="59">
        <v>0</v>
      </c>
      <c r="AF1302" s="59">
        <v>0</v>
      </c>
      <c r="AG1302" s="59" t="s">
        <v>1275</v>
      </c>
      <c r="AH1302" s="59" t="s">
        <v>1274</v>
      </c>
    </row>
    <row r="1303" spans="1:34" x14ac:dyDescent="0.35">
      <c r="A1303" s="58">
        <v>2025</v>
      </c>
      <c r="B1303" s="58">
        <v>5</v>
      </c>
      <c r="C1303">
        <v>5</v>
      </c>
      <c r="D1303" s="58" t="s">
        <v>1648</v>
      </c>
      <c r="E1303" t="s">
        <v>1287</v>
      </c>
      <c r="F1303" s="58" t="s">
        <v>1468</v>
      </c>
      <c r="G1303" t="s">
        <v>1012</v>
      </c>
      <c r="H1303" s="58" t="s">
        <v>1012</v>
      </c>
      <c r="I1303" t="s">
        <v>1012</v>
      </c>
      <c r="J1303" s="58" t="s">
        <v>1012</v>
      </c>
      <c r="K1303" t="s">
        <v>1429</v>
      </c>
      <c r="L1303" t="s">
        <v>20</v>
      </c>
      <c r="M1303" t="s">
        <v>1430</v>
      </c>
      <c r="N1303" s="59">
        <v>0</v>
      </c>
      <c r="O1303" s="59">
        <v>-30880976</v>
      </c>
      <c r="P1303" s="59">
        <v>0</v>
      </c>
      <c r="Q1303" s="59">
        <v>0</v>
      </c>
      <c r="R1303" s="59">
        <v>0</v>
      </c>
      <c r="S1303" s="59">
        <v>-30880976</v>
      </c>
      <c r="T1303" s="41"/>
      <c r="U1303" s="41"/>
      <c r="V1303" s="41"/>
      <c r="W1303" s="41"/>
      <c r="X1303" s="41"/>
      <c r="Y1303" s="41"/>
      <c r="Z1303" s="41"/>
      <c r="AA1303" s="41"/>
      <c r="AB1303" s="41"/>
      <c r="AC1303" s="41"/>
      <c r="AD1303" s="41"/>
      <c r="AE1303" s="59">
        <v>-1197.9191964852382</v>
      </c>
      <c r="AF1303" s="59">
        <v>-1197.9191964852382</v>
      </c>
      <c r="AG1303" s="59" t="s">
        <v>1287</v>
      </c>
      <c r="AH1303" s="59" t="s">
        <v>1284</v>
      </c>
    </row>
    <row r="1304" spans="1:34" x14ac:dyDescent="0.35">
      <c r="A1304" s="58">
        <v>2025</v>
      </c>
      <c r="B1304" s="58">
        <v>5</v>
      </c>
      <c r="C1304">
        <v>5</v>
      </c>
      <c r="D1304" s="58" t="s">
        <v>1491</v>
      </c>
      <c r="E1304" t="s">
        <v>1264</v>
      </c>
      <c r="F1304" s="58" t="s">
        <v>1492</v>
      </c>
      <c r="G1304" t="s">
        <v>1493</v>
      </c>
      <c r="H1304" s="58" t="s">
        <v>1012</v>
      </c>
      <c r="I1304" t="s">
        <v>1012</v>
      </c>
      <c r="J1304" s="58" t="s">
        <v>1012</v>
      </c>
      <c r="K1304" t="s">
        <v>1429</v>
      </c>
      <c r="L1304" t="s">
        <v>20</v>
      </c>
      <c r="M1304" t="s">
        <v>1430</v>
      </c>
      <c r="N1304" s="59">
        <v>0</v>
      </c>
      <c r="O1304" s="59">
        <v>0</v>
      </c>
      <c r="P1304" s="59">
        <v>1650003.5734265735</v>
      </c>
      <c r="Q1304" s="59">
        <v>0</v>
      </c>
      <c r="R1304" s="59">
        <v>-80017860.940012217</v>
      </c>
      <c r="S1304" s="59">
        <v>78367857.366585642</v>
      </c>
      <c r="T1304" s="41"/>
      <c r="U1304" s="41"/>
      <c r="V1304" s="41"/>
      <c r="W1304" s="41"/>
      <c r="X1304" s="41"/>
      <c r="Y1304" s="41"/>
      <c r="Z1304" s="41"/>
      <c r="AA1304" s="41"/>
      <c r="AB1304" s="41"/>
      <c r="AC1304" s="41"/>
      <c r="AD1304" s="41"/>
      <c r="AE1304" s="59">
        <v>3040.0062720443193</v>
      </c>
      <c r="AF1304" s="59">
        <v>0</v>
      </c>
      <c r="AG1304" s="59" t="s">
        <v>1264</v>
      </c>
      <c r="AH1304" s="59" t="s">
        <v>1269</v>
      </c>
    </row>
    <row r="1305" spans="1:34" x14ac:dyDescent="0.35">
      <c r="A1305" s="58">
        <v>2025</v>
      </c>
      <c r="B1305" s="58">
        <v>5</v>
      </c>
      <c r="C1305">
        <v>5</v>
      </c>
      <c r="D1305" s="58" t="s">
        <v>1491</v>
      </c>
      <c r="E1305" t="s">
        <v>1264</v>
      </c>
      <c r="F1305" s="58" t="s">
        <v>1152</v>
      </c>
      <c r="G1305" t="s">
        <v>1153</v>
      </c>
      <c r="H1305" s="58" t="s">
        <v>1012</v>
      </c>
      <c r="I1305" t="s">
        <v>1012</v>
      </c>
      <c r="J1305" s="58" t="s">
        <v>1399</v>
      </c>
      <c r="K1305" t="s">
        <v>1429</v>
      </c>
      <c r="L1305" t="s">
        <v>20</v>
      </c>
      <c r="M1305" t="s">
        <v>1430</v>
      </c>
      <c r="N1305" s="59">
        <v>0</v>
      </c>
      <c r="O1305" s="59">
        <v>0</v>
      </c>
      <c r="P1305" s="59">
        <v>0</v>
      </c>
      <c r="Q1305" s="59">
        <v>52781.14999961853</v>
      </c>
      <c r="R1305" s="59">
        <v>-1.1570348739624023</v>
      </c>
      <c r="S1305" s="59">
        <v>-52779.992964744568</v>
      </c>
      <c r="T1305" s="41"/>
      <c r="U1305" s="41"/>
      <c r="V1305" s="41"/>
      <c r="W1305" s="41"/>
      <c r="X1305" s="41"/>
      <c r="Y1305" s="41"/>
      <c r="Z1305" s="41"/>
      <c r="AA1305" s="41"/>
      <c r="AB1305" s="41"/>
      <c r="AC1305" s="41"/>
      <c r="AD1305" s="41"/>
      <c r="AE1305" s="59">
        <v>-2.0474147825775764</v>
      </c>
      <c r="AF1305" s="59">
        <v>0</v>
      </c>
      <c r="AG1305" s="59" t="s">
        <v>1264</v>
      </c>
      <c r="AH1305" s="59" t="s">
        <v>1400</v>
      </c>
    </row>
    <row r="1306" spans="1:34" x14ac:dyDescent="0.35">
      <c r="A1306" s="58">
        <v>2025</v>
      </c>
      <c r="B1306" s="58">
        <v>5</v>
      </c>
      <c r="C1306">
        <v>5</v>
      </c>
      <c r="D1306" s="58" t="s">
        <v>1491</v>
      </c>
      <c r="E1306" t="s">
        <v>1264</v>
      </c>
      <c r="F1306" s="58" t="s">
        <v>1496</v>
      </c>
      <c r="G1306" t="s">
        <v>1497</v>
      </c>
      <c r="H1306" s="58" t="s">
        <v>1012</v>
      </c>
      <c r="I1306" t="s">
        <v>1012</v>
      </c>
      <c r="J1306" s="58" t="s">
        <v>1012</v>
      </c>
      <c r="K1306" t="s">
        <v>1429</v>
      </c>
      <c r="L1306" t="s">
        <v>20</v>
      </c>
      <c r="M1306" t="s">
        <v>1430</v>
      </c>
      <c r="N1306" s="59">
        <v>0</v>
      </c>
      <c r="O1306" s="59">
        <v>0</v>
      </c>
      <c r="P1306" s="59">
        <v>0</v>
      </c>
      <c r="Q1306" s="59">
        <v>0</v>
      </c>
      <c r="R1306" s="59">
        <v>0</v>
      </c>
      <c r="S1306" s="59">
        <v>0</v>
      </c>
      <c r="T1306" s="41"/>
      <c r="U1306" s="41"/>
      <c r="V1306" s="41"/>
      <c r="W1306" s="41"/>
      <c r="X1306" s="41"/>
      <c r="Y1306" s="41"/>
      <c r="Z1306" s="41"/>
      <c r="AA1306" s="41"/>
      <c r="AB1306" s="41"/>
      <c r="AC1306" s="41"/>
      <c r="AD1306" s="41"/>
      <c r="AE1306" s="59">
        <v>0</v>
      </c>
      <c r="AF1306" s="59">
        <v>0</v>
      </c>
      <c r="AG1306" s="59" t="s">
        <v>1264</v>
      </c>
      <c r="AH1306" s="59" t="s">
        <v>1329</v>
      </c>
    </row>
    <row r="1307" spans="1:34" x14ac:dyDescent="0.35">
      <c r="A1307" s="58">
        <v>2025</v>
      </c>
      <c r="B1307" s="58">
        <v>6</v>
      </c>
      <c r="C1307">
        <v>6</v>
      </c>
      <c r="D1307" s="58" t="s">
        <v>625</v>
      </c>
      <c r="E1307" t="s">
        <v>271</v>
      </c>
      <c r="F1307" s="58" t="s">
        <v>171</v>
      </c>
      <c r="G1307" t="s">
        <v>731</v>
      </c>
      <c r="H1307" s="58" t="s">
        <v>4</v>
      </c>
      <c r="I1307" t="s">
        <v>4</v>
      </c>
      <c r="J1307" s="58" t="s">
        <v>4</v>
      </c>
      <c r="K1307" t="s">
        <v>1429</v>
      </c>
      <c r="L1307" t="s">
        <v>20</v>
      </c>
      <c r="M1307" t="s">
        <v>1430</v>
      </c>
      <c r="N1307" s="59">
        <v>22000</v>
      </c>
      <c r="O1307" s="59">
        <v>719675000</v>
      </c>
      <c r="P1307" s="59">
        <v>3369964.3412797996</v>
      </c>
      <c r="Q1307" s="59">
        <v>0</v>
      </c>
      <c r="R1307" s="59">
        <v>0</v>
      </c>
      <c r="S1307" s="59">
        <v>716305035.65872025</v>
      </c>
      <c r="T1307" s="41"/>
      <c r="U1307" s="41"/>
      <c r="V1307" s="41"/>
      <c r="W1307" s="41"/>
      <c r="X1307" s="41"/>
      <c r="Y1307" s="41"/>
      <c r="Z1307" s="41"/>
      <c r="AA1307" s="41"/>
      <c r="AB1307" s="41"/>
      <c r="AC1307" s="41"/>
      <c r="AD1307" s="41"/>
      <c r="AE1307" s="59">
        <v>27640.650708571808</v>
      </c>
      <c r="AF1307" s="59">
        <v>27770.690290342998</v>
      </c>
      <c r="AG1307" s="59" t="s">
        <v>47</v>
      </c>
      <c r="AH1307" s="59" t="s">
        <v>1166</v>
      </c>
    </row>
    <row r="1308" spans="1:34" x14ac:dyDescent="0.35">
      <c r="A1308" s="58">
        <v>2025</v>
      </c>
      <c r="B1308" s="58">
        <v>6</v>
      </c>
      <c r="C1308">
        <v>6</v>
      </c>
      <c r="D1308" s="58" t="s">
        <v>625</v>
      </c>
      <c r="E1308" t="s">
        <v>271</v>
      </c>
      <c r="F1308" s="58" t="s">
        <v>194</v>
      </c>
      <c r="G1308" t="s">
        <v>743</v>
      </c>
      <c r="H1308" s="58" t="s">
        <v>1428</v>
      </c>
      <c r="I1308" t="s">
        <v>76</v>
      </c>
      <c r="J1308" s="58" t="s">
        <v>76</v>
      </c>
      <c r="K1308" t="s">
        <v>1429</v>
      </c>
      <c r="L1308" t="s">
        <v>20</v>
      </c>
      <c r="M1308" t="s">
        <v>1430</v>
      </c>
      <c r="N1308" s="59">
        <v>16500</v>
      </c>
      <c r="O1308" s="59">
        <v>330000000</v>
      </c>
      <c r="P1308" s="59">
        <v>0</v>
      </c>
      <c r="Q1308" s="59">
        <v>0</v>
      </c>
      <c r="R1308" s="59">
        <v>0</v>
      </c>
      <c r="S1308" s="59">
        <v>330000000</v>
      </c>
      <c r="T1308" s="41"/>
      <c r="U1308" s="41"/>
      <c r="V1308" s="41"/>
      <c r="W1308" s="41"/>
      <c r="X1308" s="41"/>
      <c r="Y1308" s="41"/>
      <c r="Z1308" s="41"/>
      <c r="AA1308" s="41"/>
      <c r="AB1308" s="41"/>
      <c r="AC1308" s="41"/>
      <c r="AD1308" s="41"/>
      <c r="AE1308" s="59">
        <v>12733.98102728758</v>
      </c>
      <c r="AF1308" s="59">
        <v>12733.98102728758</v>
      </c>
      <c r="AG1308" s="59" t="s">
        <v>47</v>
      </c>
      <c r="AH1308" s="59" t="s">
        <v>1246</v>
      </c>
    </row>
    <row r="1309" spans="1:34" x14ac:dyDescent="0.35">
      <c r="A1309" s="58">
        <v>2025</v>
      </c>
      <c r="B1309" s="58">
        <v>6</v>
      </c>
      <c r="C1309">
        <v>6</v>
      </c>
      <c r="D1309" s="58" t="s">
        <v>625</v>
      </c>
      <c r="E1309" t="s">
        <v>271</v>
      </c>
      <c r="F1309" s="58" t="s">
        <v>196</v>
      </c>
      <c r="G1309" t="s">
        <v>749</v>
      </c>
      <c r="H1309" s="58" t="s">
        <v>1428</v>
      </c>
      <c r="I1309" t="s">
        <v>76</v>
      </c>
      <c r="J1309" s="58" t="s">
        <v>76</v>
      </c>
      <c r="K1309" t="s">
        <v>1429</v>
      </c>
      <c r="L1309" t="s">
        <v>20</v>
      </c>
      <c r="M1309" t="s">
        <v>1430</v>
      </c>
      <c r="N1309" s="59">
        <v>1375</v>
      </c>
      <c r="O1309" s="59">
        <v>27500000</v>
      </c>
      <c r="P1309" s="59">
        <v>0</v>
      </c>
      <c r="Q1309" s="59">
        <v>0</v>
      </c>
      <c r="R1309" s="59">
        <v>0</v>
      </c>
      <c r="S1309" s="59">
        <v>27500000</v>
      </c>
      <c r="T1309" s="41"/>
      <c r="U1309" s="41"/>
      <c r="V1309" s="41"/>
      <c r="W1309" s="41"/>
      <c r="X1309" s="41"/>
      <c r="Y1309" s="41"/>
      <c r="Z1309" s="41"/>
      <c r="AA1309" s="41"/>
      <c r="AB1309" s="41"/>
      <c r="AC1309" s="41"/>
      <c r="AD1309" s="41"/>
      <c r="AE1309" s="59">
        <v>1061.1650856072984</v>
      </c>
      <c r="AF1309" s="59">
        <v>1061.1650856072984</v>
      </c>
      <c r="AG1309" s="59" t="s">
        <v>47</v>
      </c>
      <c r="AH1309" s="59" t="s">
        <v>1248</v>
      </c>
    </row>
    <row r="1310" spans="1:34" x14ac:dyDescent="0.35">
      <c r="A1310" s="58">
        <v>2025</v>
      </c>
      <c r="B1310" s="58">
        <v>6</v>
      </c>
      <c r="C1310">
        <v>6</v>
      </c>
      <c r="D1310" s="58" t="s">
        <v>625</v>
      </c>
      <c r="E1310" t="s">
        <v>271</v>
      </c>
      <c r="F1310" s="58" t="s">
        <v>187</v>
      </c>
      <c r="G1310" t="s">
        <v>869</v>
      </c>
      <c r="H1310" s="58" t="s">
        <v>1428</v>
      </c>
      <c r="I1310" t="s">
        <v>75</v>
      </c>
      <c r="J1310" s="58" t="s">
        <v>75</v>
      </c>
      <c r="K1310" t="s">
        <v>1429</v>
      </c>
      <c r="L1310" t="s">
        <v>20</v>
      </c>
      <c r="M1310" t="s">
        <v>1430</v>
      </c>
      <c r="N1310" s="59">
        <v>5500</v>
      </c>
      <c r="O1310" s="59">
        <v>183397500</v>
      </c>
      <c r="P1310" s="59">
        <v>0</v>
      </c>
      <c r="Q1310" s="59">
        <v>0</v>
      </c>
      <c r="R1310" s="59">
        <v>0</v>
      </c>
      <c r="S1310" s="59">
        <v>183397500</v>
      </c>
      <c r="T1310" s="41"/>
      <c r="U1310" s="41"/>
      <c r="V1310" s="41"/>
      <c r="W1310" s="41"/>
      <c r="X1310" s="41"/>
      <c r="Y1310" s="41"/>
      <c r="Z1310" s="41"/>
      <c r="AA1310" s="41"/>
      <c r="AB1310" s="41"/>
      <c r="AC1310" s="41"/>
      <c r="AD1310" s="41"/>
      <c r="AE1310" s="59">
        <v>7076.9099559150727</v>
      </c>
      <c r="AF1310" s="59">
        <v>7076.9099559150727</v>
      </c>
      <c r="AG1310" s="59" t="s">
        <v>47</v>
      </c>
      <c r="AH1310" s="59" t="s">
        <v>1203</v>
      </c>
    </row>
    <row r="1311" spans="1:34" x14ac:dyDescent="0.35">
      <c r="A1311" s="58">
        <v>2025</v>
      </c>
      <c r="B1311" s="58">
        <v>6</v>
      </c>
      <c r="C1311">
        <v>6</v>
      </c>
      <c r="D1311" s="58" t="s">
        <v>625</v>
      </c>
      <c r="E1311" t="s">
        <v>271</v>
      </c>
      <c r="F1311" s="58" t="s">
        <v>192</v>
      </c>
      <c r="G1311" t="s">
        <v>973</v>
      </c>
      <c r="H1311" s="58" t="s">
        <v>1428</v>
      </c>
      <c r="I1311" t="s">
        <v>75</v>
      </c>
      <c r="J1311" s="58" t="s">
        <v>75</v>
      </c>
      <c r="K1311" t="s">
        <v>1429</v>
      </c>
      <c r="L1311" t="s">
        <v>20</v>
      </c>
      <c r="M1311" t="s">
        <v>1430</v>
      </c>
      <c r="N1311" s="59">
        <v>350</v>
      </c>
      <c r="O1311" s="59">
        <v>11985648.999999989</v>
      </c>
      <c r="P1311" s="59">
        <v>0</v>
      </c>
      <c r="Q1311" s="59">
        <v>0</v>
      </c>
      <c r="R1311" s="59">
        <v>0</v>
      </c>
      <c r="S1311" s="59">
        <v>11985648.999999989</v>
      </c>
      <c r="T1311" s="41"/>
      <c r="U1311" s="41"/>
      <c r="V1311" s="41"/>
      <c r="W1311" s="41"/>
      <c r="X1311" s="41"/>
      <c r="Y1311" s="41"/>
      <c r="Z1311" s="41"/>
      <c r="AA1311" s="41"/>
      <c r="AB1311" s="41"/>
      <c r="AC1311" s="41"/>
      <c r="AD1311" s="41"/>
      <c r="AE1311" s="59">
        <v>462.50008171432791</v>
      </c>
      <c r="AF1311" s="59">
        <v>462.50008171432791</v>
      </c>
      <c r="AG1311" s="59" t="s">
        <v>47</v>
      </c>
      <c r="AH1311" s="59" t="s">
        <v>1209</v>
      </c>
    </row>
    <row r="1312" spans="1:34" x14ac:dyDescent="0.35">
      <c r="A1312" s="58">
        <v>2025</v>
      </c>
      <c r="B1312" s="58">
        <v>6</v>
      </c>
      <c r="C1312">
        <v>6</v>
      </c>
      <c r="D1312" s="58" t="s">
        <v>1659</v>
      </c>
      <c r="E1312" t="s">
        <v>1342</v>
      </c>
      <c r="F1312" s="58" t="s">
        <v>1496</v>
      </c>
      <c r="G1312" t="s">
        <v>1497</v>
      </c>
      <c r="H1312" s="58" t="s">
        <v>1012</v>
      </c>
      <c r="I1312" t="s">
        <v>1012</v>
      </c>
      <c r="J1312" s="58" t="s">
        <v>1012</v>
      </c>
      <c r="K1312" t="s">
        <v>1429</v>
      </c>
      <c r="L1312" t="s">
        <v>20</v>
      </c>
      <c r="M1312" t="s">
        <v>1430</v>
      </c>
      <c r="N1312" s="59">
        <v>0</v>
      </c>
      <c r="O1312" s="59">
        <v>0</v>
      </c>
      <c r="P1312" s="59">
        <v>0</v>
      </c>
      <c r="Q1312" s="59">
        <v>0</v>
      </c>
      <c r="R1312" s="59">
        <v>0</v>
      </c>
      <c r="S1312" s="59">
        <v>0</v>
      </c>
      <c r="T1312" s="41"/>
      <c r="U1312" s="41"/>
      <c r="V1312" s="41"/>
      <c r="W1312" s="41"/>
      <c r="X1312" s="41"/>
      <c r="Y1312" s="41"/>
      <c r="Z1312" s="41"/>
      <c r="AA1312" s="41"/>
      <c r="AB1312" s="41"/>
      <c r="AC1312" s="41"/>
      <c r="AD1312" s="41"/>
      <c r="AE1312" s="59">
        <v>0</v>
      </c>
      <c r="AF1312" s="59">
        <v>0</v>
      </c>
      <c r="AG1312" s="59" t="s">
        <v>1342</v>
      </c>
      <c r="AH1312" s="59" t="s">
        <v>1329</v>
      </c>
    </row>
    <row r="1313" spans="1:34" x14ac:dyDescent="0.35">
      <c r="A1313" s="58">
        <v>2025</v>
      </c>
      <c r="B1313" s="58">
        <v>6</v>
      </c>
      <c r="C1313">
        <v>6</v>
      </c>
      <c r="D1313" s="58" t="s">
        <v>1433</v>
      </c>
      <c r="E1313" t="s">
        <v>1276</v>
      </c>
      <c r="F1313" s="58" t="s">
        <v>1434</v>
      </c>
      <c r="G1313" t="s">
        <v>1435</v>
      </c>
      <c r="H1313" s="58" t="s">
        <v>1012</v>
      </c>
      <c r="I1313" t="s">
        <v>1012</v>
      </c>
      <c r="J1313" s="58" t="s">
        <v>1012</v>
      </c>
      <c r="K1313" t="s">
        <v>1429</v>
      </c>
      <c r="L1313" t="s">
        <v>20</v>
      </c>
      <c r="M1313" t="s">
        <v>1430</v>
      </c>
      <c r="N1313" s="59">
        <v>0</v>
      </c>
      <c r="O1313" s="59">
        <v>0</v>
      </c>
      <c r="P1313" s="59">
        <v>0</v>
      </c>
      <c r="Q1313" s="59">
        <v>0</v>
      </c>
      <c r="R1313" s="59">
        <v>0</v>
      </c>
      <c r="S1313" s="59">
        <v>0</v>
      </c>
      <c r="T1313" s="41"/>
      <c r="U1313" s="41"/>
      <c r="V1313" s="41"/>
      <c r="W1313" s="41"/>
      <c r="X1313" s="41"/>
      <c r="Y1313" s="41"/>
      <c r="Z1313" s="41"/>
      <c r="AA1313" s="41"/>
      <c r="AB1313" s="41"/>
      <c r="AC1313" s="41"/>
      <c r="AD1313" s="41"/>
      <c r="AE1313" s="59">
        <v>0</v>
      </c>
      <c r="AF1313" s="59">
        <v>0</v>
      </c>
      <c r="AG1313" s="59" t="s">
        <v>1276</v>
      </c>
      <c r="AH1313" s="59" t="s">
        <v>1319</v>
      </c>
    </row>
    <row r="1314" spans="1:34" x14ac:dyDescent="0.35">
      <c r="A1314" s="58">
        <v>2025</v>
      </c>
      <c r="B1314" s="58">
        <v>6</v>
      </c>
      <c r="C1314">
        <v>6</v>
      </c>
      <c r="D1314" s="58" t="s">
        <v>589</v>
      </c>
      <c r="E1314" t="s">
        <v>322</v>
      </c>
      <c r="F1314" s="58" t="s">
        <v>171</v>
      </c>
      <c r="G1314" t="s">
        <v>731</v>
      </c>
      <c r="H1314" s="58" t="s">
        <v>4</v>
      </c>
      <c r="I1314" t="s">
        <v>4</v>
      </c>
      <c r="J1314" s="58" t="s">
        <v>4</v>
      </c>
      <c r="K1314" t="s">
        <v>1429</v>
      </c>
      <c r="L1314" t="s">
        <v>20</v>
      </c>
      <c r="M1314" t="s">
        <v>1430</v>
      </c>
      <c r="N1314" s="59">
        <v>286000</v>
      </c>
      <c r="O1314" s="59">
        <v>9170018000</v>
      </c>
      <c r="P1314" s="59">
        <v>43809536.436637379</v>
      </c>
      <c r="Q1314" s="59">
        <v>0</v>
      </c>
      <c r="R1314" s="59">
        <v>40040000</v>
      </c>
      <c r="S1314" s="59">
        <v>9086168463.5633621</v>
      </c>
      <c r="T1314" s="41"/>
      <c r="U1314" s="41"/>
      <c r="V1314" s="41"/>
      <c r="W1314" s="41"/>
      <c r="X1314" s="41"/>
      <c r="Y1314" s="41"/>
      <c r="Z1314" s="41"/>
      <c r="AA1314" s="41"/>
      <c r="AB1314" s="41"/>
      <c r="AC1314" s="41"/>
      <c r="AD1314" s="41"/>
      <c r="AE1314" s="59">
        <v>350615.44492652902</v>
      </c>
      <c r="AF1314" s="59">
        <v>353851.01585419878</v>
      </c>
      <c r="AG1314" s="59" t="s">
        <v>5</v>
      </c>
      <c r="AH1314" s="59" t="s">
        <v>1166</v>
      </c>
    </row>
    <row r="1315" spans="1:34" x14ac:dyDescent="0.35">
      <c r="A1315" s="58">
        <v>2025</v>
      </c>
      <c r="B1315" s="58">
        <v>6</v>
      </c>
      <c r="C1315">
        <v>6</v>
      </c>
      <c r="D1315" s="58" t="s">
        <v>589</v>
      </c>
      <c r="E1315" t="s">
        <v>322</v>
      </c>
      <c r="F1315" s="58" t="s">
        <v>1152</v>
      </c>
      <c r="G1315" t="s">
        <v>1153</v>
      </c>
      <c r="H1315" s="58" t="s">
        <v>1012</v>
      </c>
      <c r="I1315" t="s">
        <v>1012</v>
      </c>
      <c r="J1315" s="58" t="s">
        <v>1399</v>
      </c>
      <c r="K1315" t="s">
        <v>1429</v>
      </c>
      <c r="L1315" t="s">
        <v>20</v>
      </c>
      <c r="M1315" t="s">
        <v>1430</v>
      </c>
      <c r="N1315" s="59">
        <v>0</v>
      </c>
      <c r="O1315" s="59">
        <v>0</v>
      </c>
      <c r="P1315" s="59">
        <v>0</v>
      </c>
      <c r="Q1315" s="59">
        <v>0</v>
      </c>
      <c r="R1315" s="59">
        <v>-6160000</v>
      </c>
      <c r="S1315" s="59">
        <v>6160000</v>
      </c>
      <c r="T1315" s="41"/>
      <c r="U1315" s="41"/>
      <c r="V1315" s="41"/>
      <c r="W1315" s="41"/>
      <c r="X1315" s="41"/>
      <c r="Y1315" s="41"/>
      <c r="Z1315" s="41"/>
      <c r="AA1315" s="41"/>
      <c r="AB1315" s="41"/>
      <c r="AC1315" s="41"/>
      <c r="AD1315" s="41"/>
      <c r="AE1315" s="59">
        <v>237.70097917603482</v>
      </c>
      <c r="AF1315" s="59">
        <v>0</v>
      </c>
      <c r="AG1315" s="59" t="s">
        <v>5</v>
      </c>
      <c r="AH1315" s="59" t="s">
        <v>1400</v>
      </c>
    </row>
    <row r="1316" spans="1:34" x14ac:dyDescent="0.35">
      <c r="A1316" s="58">
        <v>2025</v>
      </c>
      <c r="B1316" s="58">
        <v>6</v>
      </c>
      <c r="C1316">
        <v>6</v>
      </c>
      <c r="D1316" s="58" t="s">
        <v>621</v>
      </c>
      <c r="E1316" t="s">
        <v>257</v>
      </c>
      <c r="F1316" s="58" t="s">
        <v>1492</v>
      </c>
      <c r="G1316" t="s">
        <v>1493</v>
      </c>
      <c r="H1316" s="58" t="s">
        <v>1012</v>
      </c>
      <c r="I1316" t="s">
        <v>1012</v>
      </c>
      <c r="J1316" s="58" t="s">
        <v>1012</v>
      </c>
      <c r="K1316" t="s">
        <v>1429</v>
      </c>
      <c r="L1316" t="s">
        <v>20</v>
      </c>
      <c r="M1316" t="s">
        <v>1430</v>
      </c>
      <c r="N1316" s="59">
        <v>0</v>
      </c>
      <c r="O1316" s="59">
        <v>0</v>
      </c>
      <c r="P1316" s="59">
        <v>21293095.496292472</v>
      </c>
      <c r="Q1316" s="59">
        <v>0</v>
      </c>
      <c r="R1316" s="59">
        <v>0</v>
      </c>
      <c r="S1316" s="59">
        <v>-21293095.496292472</v>
      </c>
      <c r="T1316" s="41"/>
      <c r="U1316" s="41"/>
      <c r="V1316" s="41"/>
      <c r="W1316" s="41"/>
      <c r="X1316" s="41"/>
      <c r="Y1316" s="41"/>
      <c r="Z1316" s="41"/>
      <c r="AA1316" s="41"/>
      <c r="AB1316" s="41"/>
      <c r="AC1316" s="41"/>
      <c r="AD1316" s="41"/>
      <c r="AE1316" s="59">
        <v>-821.65416382427554</v>
      </c>
      <c r="AF1316" s="59">
        <v>0</v>
      </c>
      <c r="AG1316" s="59" t="s">
        <v>16</v>
      </c>
      <c r="AH1316" s="59" t="s">
        <v>1269</v>
      </c>
    </row>
    <row r="1317" spans="1:34" x14ac:dyDescent="0.35">
      <c r="A1317" s="58">
        <v>2025</v>
      </c>
      <c r="B1317" s="58">
        <v>6</v>
      </c>
      <c r="C1317">
        <v>6</v>
      </c>
      <c r="D1317" s="58" t="s">
        <v>665</v>
      </c>
      <c r="E1317" t="s">
        <v>498</v>
      </c>
      <c r="F1317" s="58" t="s">
        <v>168</v>
      </c>
      <c r="G1317" t="s">
        <v>700</v>
      </c>
      <c r="H1317" s="58" t="s">
        <v>4</v>
      </c>
      <c r="I1317" t="s">
        <v>4</v>
      </c>
      <c r="J1317" s="58" t="s">
        <v>4</v>
      </c>
      <c r="K1317" t="s">
        <v>1429</v>
      </c>
      <c r="L1317" t="s">
        <v>20</v>
      </c>
      <c r="M1317" t="s">
        <v>1430</v>
      </c>
      <c r="N1317" s="59">
        <v>2789.2</v>
      </c>
      <c r="O1317" s="59">
        <v>100563818</v>
      </c>
      <c r="P1317" s="59">
        <v>336996.43412797991</v>
      </c>
      <c r="Q1317" s="59">
        <v>0</v>
      </c>
      <c r="R1317" s="59">
        <v>0</v>
      </c>
      <c r="S1317" s="59">
        <v>100226821.56587201</v>
      </c>
      <c r="T1317" s="41"/>
      <c r="U1317" s="41"/>
      <c r="V1317" s="41"/>
      <c r="W1317" s="41"/>
      <c r="X1317" s="41"/>
      <c r="Y1317" s="41"/>
      <c r="Z1317" s="41"/>
      <c r="AA1317" s="41"/>
      <c r="AB1317" s="41"/>
      <c r="AC1317" s="41"/>
      <c r="AD1317" s="41"/>
      <c r="AE1317" s="59">
        <v>3867.5346795307632</v>
      </c>
      <c r="AF1317" s="59">
        <v>3880.5386377078821</v>
      </c>
      <c r="AG1317" s="59" t="s">
        <v>8</v>
      </c>
      <c r="AH1317" s="59" t="s">
        <v>1160</v>
      </c>
    </row>
    <row r="1318" spans="1:34" x14ac:dyDescent="0.35">
      <c r="A1318" s="58">
        <v>2025</v>
      </c>
      <c r="B1318" s="58">
        <v>6</v>
      </c>
      <c r="C1318">
        <v>6</v>
      </c>
      <c r="D1318" s="58" t="s">
        <v>665</v>
      </c>
      <c r="E1318" t="s">
        <v>498</v>
      </c>
      <c r="F1318" s="58" t="s">
        <v>172</v>
      </c>
      <c r="G1318" t="s">
        <v>734</v>
      </c>
      <c r="H1318" s="58" t="s">
        <v>4</v>
      </c>
      <c r="I1318" t="s">
        <v>4</v>
      </c>
      <c r="J1318" s="58" t="s">
        <v>4</v>
      </c>
      <c r="K1318" t="s">
        <v>1429</v>
      </c>
      <c r="L1318" t="s">
        <v>20</v>
      </c>
      <c r="M1318" t="s">
        <v>1508</v>
      </c>
      <c r="N1318" s="59">
        <v>-589.20000000000005</v>
      </c>
      <c r="O1318" s="59">
        <v>-20719218</v>
      </c>
      <c r="P1318" s="59">
        <v>0</v>
      </c>
      <c r="Q1318" s="59">
        <v>0</v>
      </c>
      <c r="R1318" s="59">
        <v>0</v>
      </c>
      <c r="S1318" s="59">
        <v>-20719218</v>
      </c>
      <c r="T1318" s="41"/>
      <c r="U1318" s="41"/>
      <c r="V1318" s="41"/>
      <c r="W1318" s="41"/>
      <c r="X1318" s="41"/>
      <c r="Y1318" s="41"/>
      <c r="Z1318" s="41"/>
      <c r="AA1318" s="41"/>
      <c r="AB1318" s="41"/>
      <c r="AC1318" s="41"/>
      <c r="AD1318" s="41"/>
      <c r="AE1318" s="59">
        <v>-799.50948155222818</v>
      </c>
      <c r="AF1318" s="59">
        <v>-799.50948155222818</v>
      </c>
      <c r="AG1318" s="59" t="s">
        <v>8</v>
      </c>
      <c r="AH1318" s="59" t="s">
        <v>1175</v>
      </c>
    </row>
    <row r="1319" spans="1:34" x14ac:dyDescent="0.35">
      <c r="A1319" s="58">
        <v>2025</v>
      </c>
      <c r="B1319" s="58">
        <v>6</v>
      </c>
      <c r="C1319">
        <v>6</v>
      </c>
      <c r="D1319" s="58" t="s">
        <v>590</v>
      </c>
      <c r="E1319" t="s">
        <v>500</v>
      </c>
      <c r="F1319" s="58" t="s">
        <v>168</v>
      </c>
      <c r="G1319" t="s">
        <v>700</v>
      </c>
      <c r="H1319" s="58" t="s">
        <v>4</v>
      </c>
      <c r="I1319" t="s">
        <v>4</v>
      </c>
      <c r="J1319" s="58" t="s">
        <v>4</v>
      </c>
      <c r="K1319" t="s">
        <v>1429</v>
      </c>
      <c r="L1319" t="s">
        <v>20</v>
      </c>
      <c r="M1319" t="s">
        <v>1431</v>
      </c>
      <c r="N1319" s="59">
        <v>-110000</v>
      </c>
      <c r="O1319" s="59">
        <v>0</v>
      </c>
      <c r="P1319" s="59">
        <v>-7752824.2063492052</v>
      </c>
      <c r="Q1319" s="59">
        <v>0</v>
      </c>
      <c r="R1319" s="59">
        <v>63357777</v>
      </c>
      <c r="S1319" s="59">
        <v>-55604952.793650791</v>
      </c>
      <c r="T1319" s="41"/>
      <c r="U1319" s="41"/>
      <c r="V1319" s="41"/>
      <c r="W1319" s="41"/>
      <c r="X1319" s="41"/>
      <c r="Y1319" s="41"/>
      <c r="Z1319" s="41"/>
      <c r="AA1319" s="41"/>
      <c r="AB1319" s="41"/>
      <c r="AC1319" s="41"/>
      <c r="AD1319" s="41"/>
      <c r="AE1319" s="59">
        <v>-2145.6739815077899</v>
      </c>
      <c r="AF1319" s="59">
        <v>0</v>
      </c>
      <c r="AG1319" s="59" t="s">
        <v>8</v>
      </c>
      <c r="AH1319" s="59" t="s">
        <v>1160</v>
      </c>
    </row>
    <row r="1320" spans="1:34" x14ac:dyDescent="0.35">
      <c r="A1320" s="58">
        <v>2025</v>
      </c>
      <c r="B1320" s="58">
        <v>6</v>
      </c>
      <c r="C1320">
        <v>6</v>
      </c>
      <c r="D1320" s="58" t="s">
        <v>590</v>
      </c>
      <c r="E1320" t="s">
        <v>500</v>
      </c>
      <c r="F1320" s="58" t="s">
        <v>168</v>
      </c>
      <c r="G1320" t="s">
        <v>700</v>
      </c>
      <c r="H1320" s="58" t="s">
        <v>4</v>
      </c>
      <c r="I1320" t="s">
        <v>4</v>
      </c>
      <c r="J1320" s="58" t="s">
        <v>4</v>
      </c>
      <c r="K1320" t="s">
        <v>1429</v>
      </c>
      <c r="L1320" t="s">
        <v>20</v>
      </c>
      <c r="M1320" t="s">
        <v>1430</v>
      </c>
      <c r="N1320" s="59">
        <v>411400</v>
      </c>
      <c r="O1320" s="59">
        <v>15132739600</v>
      </c>
      <c r="P1320" s="59">
        <v>29460731.984126974</v>
      </c>
      <c r="Q1320" s="59">
        <v>0</v>
      </c>
      <c r="R1320" s="59">
        <v>248240741.18518522</v>
      </c>
      <c r="S1320" s="59">
        <v>14632325667.130127</v>
      </c>
      <c r="T1320" s="41"/>
      <c r="U1320" s="41"/>
      <c r="V1320" s="41"/>
      <c r="W1320" s="41"/>
      <c r="X1320" s="41"/>
      <c r="Y1320" s="41"/>
      <c r="Z1320" s="41"/>
      <c r="AA1320" s="41"/>
      <c r="AB1320" s="41"/>
      <c r="AC1320" s="41"/>
      <c r="AD1320" s="41"/>
      <c r="AE1320" s="59">
        <v>564629.56797069137</v>
      </c>
      <c r="AF1320" s="59">
        <v>583939.45138570748</v>
      </c>
      <c r="AG1320" s="59" t="s">
        <v>8</v>
      </c>
      <c r="AH1320" s="59" t="s">
        <v>1160</v>
      </c>
    </row>
    <row r="1321" spans="1:34" x14ac:dyDescent="0.35">
      <c r="A1321" s="58">
        <v>2025</v>
      </c>
      <c r="B1321" s="58">
        <v>6</v>
      </c>
      <c r="C1321">
        <v>6</v>
      </c>
      <c r="D1321" s="58" t="s">
        <v>590</v>
      </c>
      <c r="E1321" t="s">
        <v>500</v>
      </c>
      <c r="F1321" s="58" t="s">
        <v>168</v>
      </c>
      <c r="G1321" t="s">
        <v>700</v>
      </c>
      <c r="H1321" s="58" t="s">
        <v>4</v>
      </c>
      <c r="I1321" t="s">
        <v>4</v>
      </c>
      <c r="J1321" s="58" t="s">
        <v>4</v>
      </c>
      <c r="K1321" t="s">
        <v>1429</v>
      </c>
      <c r="L1321" t="s">
        <v>20</v>
      </c>
      <c r="M1321" t="s">
        <v>1508</v>
      </c>
      <c r="N1321" s="59">
        <v>-59767</v>
      </c>
      <c r="O1321" s="59">
        <v>-2194881757</v>
      </c>
      <c r="P1321" s="59">
        <v>-6977541.7857142854</v>
      </c>
      <c r="Q1321" s="59">
        <v>0</v>
      </c>
      <c r="R1321" s="59">
        <v>46018518</v>
      </c>
      <c r="S1321" s="59">
        <v>-2201620043.8487239</v>
      </c>
      <c r="T1321" s="41"/>
      <c r="U1321" s="41"/>
      <c r="V1321" s="41"/>
      <c r="W1321" s="41"/>
      <c r="X1321" s="41"/>
      <c r="Y1321" s="41"/>
      <c r="Z1321" s="41"/>
      <c r="AA1321" s="41"/>
      <c r="AB1321" s="41"/>
      <c r="AC1321" s="41"/>
      <c r="AD1321" s="41"/>
      <c r="AE1321" s="59">
        <v>-84955.720811108185</v>
      </c>
      <c r="AF1321" s="59">
        <v>-84695.705002356452</v>
      </c>
      <c r="AG1321" s="59" t="s">
        <v>8</v>
      </c>
      <c r="AH1321" s="59" t="s">
        <v>1160</v>
      </c>
    </row>
    <row r="1322" spans="1:34" x14ac:dyDescent="0.35">
      <c r="A1322" s="58">
        <v>2025</v>
      </c>
      <c r="B1322" s="58">
        <v>6</v>
      </c>
      <c r="C1322">
        <v>6</v>
      </c>
      <c r="D1322" s="58" t="s">
        <v>590</v>
      </c>
      <c r="E1322" t="s">
        <v>500</v>
      </c>
      <c r="F1322" s="58" t="s">
        <v>168</v>
      </c>
      <c r="G1322" t="s">
        <v>700</v>
      </c>
      <c r="H1322" s="58" t="s">
        <v>4</v>
      </c>
      <c r="I1322" t="s">
        <v>4</v>
      </c>
      <c r="J1322" s="58" t="s">
        <v>4</v>
      </c>
      <c r="K1322" t="s">
        <v>1429</v>
      </c>
      <c r="L1322" t="s">
        <v>20</v>
      </c>
      <c r="M1322" t="s">
        <v>1432</v>
      </c>
      <c r="N1322" s="59">
        <v>110000</v>
      </c>
      <c r="O1322" s="59">
        <v>0</v>
      </c>
      <c r="P1322" s="59">
        <v>15505648.41269841</v>
      </c>
      <c r="Q1322" s="59">
        <v>0</v>
      </c>
      <c r="R1322" s="59">
        <v>142500000</v>
      </c>
      <c r="S1322" s="59">
        <v>-158005648.41269842</v>
      </c>
      <c r="T1322" s="41"/>
      <c r="U1322" s="41"/>
      <c r="V1322" s="41"/>
      <c r="W1322" s="41"/>
      <c r="X1322" s="41"/>
      <c r="Y1322" s="41"/>
      <c r="Z1322" s="41"/>
      <c r="AA1322" s="41"/>
      <c r="AB1322" s="41"/>
      <c r="AC1322" s="41"/>
      <c r="AD1322" s="41"/>
      <c r="AE1322" s="59">
        <v>-6097.0937245199193</v>
      </c>
      <c r="AF1322" s="59">
        <v>0</v>
      </c>
      <c r="AG1322" s="59" t="s">
        <v>8</v>
      </c>
      <c r="AH1322" s="59" t="s">
        <v>1160</v>
      </c>
    </row>
    <row r="1323" spans="1:34" x14ac:dyDescent="0.35">
      <c r="A1323" s="58">
        <v>2025</v>
      </c>
      <c r="B1323" s="58">
        <v>6</v>
      </c>
      <c r="C1323">
        <v>6</v>
      </c>
      <c r="D1323" s="58" t="s">
        <v>590</v>
      </c>
      <c r="E1323" t="s">
        <v>500</v>
      </c>
      <c r="F1323" s="58" t="s">
        <v>1152</v>
      </c>
      <c r="G1323" t="s">
        <v>1153</v>
      </c>
      <c r="H1323" s="58" t="s">
        <v>1012</v>
      </c>
      <c r="I1323" t="s">
        <v>1012</v>
      </c>
      <c r="J1323" s="58" t="s">
        <v>1399</v>
      </c>
      <c r="K1323" t="s">
        <v>1429</v>
      </c>
      <c r="L1323" t="s">
        <v>20</v>
      </c>
      <c r="M1323" t="s">
        <v>1430</v>
      </c>
      <c r="N1323" s="59">
        <v>0</v>
      </c>
      <c r="O1323" s="59">
        <v>0</v>
      </c>
      <c r="P1323" s="59">
        <v>0</v>
      </c>
      <c r="Q1323" s="59">
        <v>0</v>
      </c>
      <c r="R1323" s="59">
        <v>-92685185.185185194</v>
      </c>
      <c r="S1323" s="59">
        <v>92685185.185185194</v>
      </c>
      <c r="T1323" s="41"/>
      <c r="U1323" s="41"/>
      <c r="V1323" s="41"/>
      <c r="W1323" s="41"/>
      <c r="X1323" s="41"/>
      <c r="Y1323" s="41"/>
      <c r="Z1323" s="41"/>
      <c r="AA1323" s="41"/>
      <c r="AB1323" s="41"/>
      <c r="AC1323" s="41"/>
      <c r="AD1323" s="41"/>
      <c r="AE1323" s="59">
        <v>3576.5193626023761</v>
      </c>
      <c r="AF1323" s="59">
        <v>0</v>
      </c>
      <c r="AG1323" s="59" t="s">
        <v>8</v>
      </c>
      <c r="AH1323" s="59" t="s">
        <v>1400</v>
      </c>
    </row>
    <row r="1324" spans="1:34" x14ac:dyDescent="0.35">
      <c r="A1324" s="58">
        <v>2025</v>
      </c>
      <c r="B1324" s="58">
        <v>6</v>
      </c>
      <c r="C1324">
        <v>6</v>
      </c>
      <c r="D1324" s="58" t="s">
        <v>620</v>
      </c>
      <c r="E1324" t="s">
        <v>324</v>
      </c>
      <c r="F1324" s="58" t="s">
        <v>1468</v>
      </c>
      <c r="G1324" t="s">
        <v>1012</v>
      </c>
      <c r="H1324" s="58" t="s">
        <v>1012</v>
      </c>
      <c r="I1324" t="s">
        <v>1012</v>
      </c>
      <c r="J1324" s="58" t="s">
        <v>1012</v>
      </c>
      <c r="K1324" t="s">
        <v>1429</v>
      </c>
      <c r="L1324" t="s">
        <v>20</v>
      </c>
      <c r="M1324" t="s">
        <v>1430</v>
      </c>
      <c r="N1324" s="59">
        <v>0</v>
      </c>
      <c r="O1324" s="59">
        <v>3938925</v>
      </c>
      <c r="P1324" s="59">
        <v>0</v>
      </c>
      <c r="Q1324" s="59">
        <v>0</v>
      </c>
      <c r="R1324" s="59">
        <v>0</v>
      </c>
      <c r="S1324" s="59">
        <v>3938925</v>
      </c>
      <c r="T1324" s="41"/>
      <c r="U1324" s="41"/>
      <c r="V1324" s="41"/>
      <c r="W1324" s="41"/>
      <c r="X1324" s="41"/>
      <c r="Y1324" s="41"/>
      <c r="Z1324" s="41"/>
      <c r="AA1324" s="41"/>
      <c r="AB1324" s="41"/>
      <c r="AC1324" s="41"/>
      <c r="AD1324" s="41"/>
      <c r="AE1324" s="59">
        <v>151.99453399366283</v>
      </c>
      <c r="AF1324" s="59">
        <v>151.99453399366283</v>
      </c>
      <c r="AG1324" s="59" t="s">
        <v>8</v>
      </c>
      <c r="AH1324" s="59" t="s">
        <v>1284</v>
      </c>
    </row>
    <row r="1325" spans="1:34" x14ac:dyDescent="0.35">
      <c r="A1325" s="58">
        <v>2025</v>
      </c>
      <c r="B1325" s="58">
        <v>6</v>
      </c>
      <c r="C1325">
        <v>6</v>
      </c>
      <c r="D1325" s="58" t="s">
        <v>1531</v>
      </c>
      <c r="E1325" t="s">
        <v>1296</v>
      </c>
      <c r="F1325" s="58" t="s">
        <v>1482</v>
      </c>
      <c r="G1325" t="s">
        <v>1483</v>
      </c>
      <c r="H1325" s="58" t="s">
        <v>1012</v>
      </c>
      <c r="I1325" t="s">
        <v>1012</v>
      </c>
      <c r="J1325" s="58" t="s">
        <v>1012</v>
      </c>
      <c r="K1325" t="s">
        <v>1429</v>
      </c>
      <c r="L1325" t="s">
        <v>20</v>
      </c>
      <c r="M1325" t="s">
        <v>1430</v>
      </c>
      <c r="N1325" s="59">
        <v>0</v>
      </c>
      <c r="O1325" s="59">
        <v>12000000</v>
      </c>
      <c r="P1325" s="59">
        <v>0</v>
      </c>
      <c r="Q1325" s="59">
        <v>0</v>
      </c>
      <c r="R1325" s="59">
        <v>0</v>
      </c>
      <c r="S1325" s="59">
        <v>12000000</v>
      </c>
      <c r="T1325" s="41"/>
      <c r="U1325" s="41"/>
      <c r="V1325" s="41"/>
      <c r="W1325" s="41"/>
      <c r="X1325" s="41"/>
      <c r="Y1325" s="41"/>
      <c r="Z1325" s="41"/>
      <c r="AA1325" s="41"/>
      <c r="AB1325" s="41"/>
      <c r="AC1325" s="41"/>
      <c r="AD1325" s="41"/>
      <c r="AE1325" s="59">
        <v>463.05385553773016</v>
      </c>
      <c r="AF1325" s="59">
        <v>463.05385553773016</v>
      </c>
      <c r="AG1325" s="59" t="s">
        <v>1296</v>
      </c>
      <c r="AH1325" s="59" t="s">
        <v>1325</v>
      </c>
    </row>
    <row r="1326" spans="1:34" x14ac:dyDescent="0.35">
      <c r="A1326" s="58">
        <v>2025</v>
      </c>
      <c r="B1326" s="58">
        <v>6</v>
      </c>
      <c r="C1326">
        <v>6</v>
      </c>
      <c r="D1326" s="58" t="s">
        <v>682</v>
      </c>
      <c r="E1326" t="s">
        <v>156</v>
      </c>
      <c r="F1326" s="58" t="s">
        <v>843</v>
      </c>
      <c r="G1326" t="s">
        <v>844</v>
      </c>
      <c r="H1326" s="58" t="s">
        <v>1012</v>
      </c>
      <c r="I1326" t="s">
        <v>86</v>
      </c>
      <c r="J1326" s="58" t="s">
        <v>86</v>
      </c>
      <c r="K1326" t="s">
        <v>1429</v>
      </c>
      <c r="L1326" t="s">
        <v>20</v>
      </c>
      <c r="M1326" t="s">
        <v>1601</v>
      </c>
      <c r="N1326" s="59">
        <v>0</v>
      </c>
      <c r="O1326" s="59">
        <v>-1520000.0000000012</v>
      </c>
      <c r="P1326" s="59">
        <v>0</v>
      </c>
      <c r="Q1326" s="59">
        <v>0</v>
      </c>
      <c r="R1326" s="59">
        <v>0</v>
      </c>
      <c r="S1326" s="59">
        <v>-1520000.0000000012</v>
      </c>
      <c r="T1326" s="41"/>
      <c r="U1326" s="41"/>
      <c r="V1326" s="41"/>
      <c r="W1326" s="41"/>
      <c r="X1326" s="41"/>
      <c r="Y1326" s="41"/>
      <c r="Z1326" s="41"/>
      <c r="AA1326" s="41"/>
      <c r="AB1326" s="41"/>
      <c r="AC1326" s="41"/>
      <c r="AD1326" s="41"/>
      <c r="AE1326" s="59">
        <v>-58.653488368112534</v>
      </c>
      <c r="AF1326" s="59">
        <v>-58.653488368112534</v>
      </c>
      <c r="AG1326" s="59" t="s">
        <v>156</v>
      </c>
      <c r="AH1326" s="59" t="s">
        <v>1224</v>
      </c>
    </row>
    <row r="1327" spans="1:34" x14ac:dyDescent="0.35">
      <c r="A1327" s="58">
        <v>2025</v>
      </c>
      <c r="B1327" s="58">
        <v>6</v>
      </c>
      <c r="C1327">
        <v>6</v>
      </c>
      <c r="D1327" s="58" t="s">
        <v>682</v>
      </c>
      <c r="E1327" t="s">
        <v>156</v>
      </c>
      <c r="F1327" s="58" t="s">
        <v>843</v>
      </c>
      <c r="G1327" t="s">
        <v>844</v>
      </c>
      <c r="H1327" s="58" t="s">
        <v>1012</v>
      </c>
      <c r="I1327" t="s">
        <v>86</v>
      </c>
      <c r="J1327" s="58" t="s">
        <v>86</v>
      </c>
      <c r="K1327" t="s">
        <v>1429</v>
      </c>
      <c r="L1327" t="s">
        <v>20</v>
      </c>
      <c r="M1327" t="s">
        <v>1430</v>
      </c>
      <c r="N1327" s="59">
        <v>5130</v>
      </c>
      <c r="O1327" s="59">
        <v>20520000</v>
      </c>
      <c r="P1327" s="59">
        <v>0</v>
      </c>
      <c r="Q1327" s="59">
        <v>0</v>
      </c>
      <c r="R1327" s="59">
        <v>0</v>
      </c>
      <c r="S1327" s="59">
        <v>20520000</v>
      </c>
      <c r="T1327" s="41"/>
      <c r="U1327" s="41"/>
      <c r="V1327" s="41"/>
      <c r="W1327" s="41"/>
      <c r="X1327" s="41"/>
      <c r="Y1327" s="41"/>
      <c r="Z1327" s="41"/>
      <c r="AA1327" s="41"/>
      <c r="AB1327" s="41"/>
      <c r="AC1327" s="41"/>
      <c r="AD1327" s="41"/>
      <c r="AE1327" s="59">
        <v>791.82209296951862</v>
      </c>
      <c r="AF1327" s="59">
        <v>791.82209296951862</v>
      </c>
      <c r="AG1327" s="59" t="s">
        <v>156</v>
      </c>
      <c r="AH1327" s="59" t="s">
        <v>1224</v>
      </c>
    </row>
    <row r="1328" spans="1:34" x14ac:dyDescent="0.35">
      <c r="A1328" s="58">
        <v>2025</v>
      </c>
      <c r="B1328" s="58">
        <v>6</v>
      </c>
      <c r="C1328">
        <v>6</v>
      </c>
      <c r="D1328" s="58" t="s">
        <v>682</v>
      </c>
      <c r="E1328" t="s">
        <v>156</v>
      </c>
      <c r="F1328" s="58" t="s">
        <v>845</v>
      </c>
      <c r="G1328" t="s">
        <v>846</v>
      </c>
      <c r="H1328" s="58" t="s">
        <v>1012</v>
      </c>
      <c r="I1328" t="s">
        <v>86</v>
      </c>
      <c r="J1328" s="58" t="s">
        <v>86</v>
      </c>
      <c r="K1328" t="s">
        <v>1429</v>
      </c>
      <c r="L1328" t="s">
        <v>20</v>
      </c>
      <c r="M1328" t="s">
        <v>1601</v>
      </c>
      <c r="N1328" s="59">
        <v>0</v>
      </c>
      <c r="O1328" s="59">
        <v>-1520000.0000000012</v>
      </c>
      <c r="P1328" s="59">
        <v>0</v>
      </c>
      <c r="Q1328" s="59">
        <v>0</v>
      </c>
      <c r="R1328" s="59">
        <v>0</v>
      </c>
      <c r="S1328" s="59">
        <v>-1520000.0000000012</v>
      </c>
      <c r="T1328" s="41"/>
      <c r="U1328" s="41"/>
      <c r="V1328" s="41"/>
      <c r="W1328" s="41"/>
      <c r="X1328" s="41"/>
      <c r="Y1328" s="41"/>
      <c r="Z1328" s="41"/>
      <c r="AA1328" s="41"/>
      <c r="AB1328" s="41"/>
      <c r="AC1328" s="41"/>
      <c r="AD1328" s="41"/>
      <c r="AE1328" s="59">
        <v>-58.653488368112534</v>
      </c>
      <c r="AF1328" s="59">
        <v>-58.653488368112534</v>
      </c>
      <c r="AG1328" s="59" t="s">
        <v>156</v>
      </c>
      <c r="AH1328" s="59" t="s">
        <v>1225</v>
      </c>
    </row>
    <row r="1329" spans="1:34" x14ac:dyDescent="0.35">
      <c r="A1329" s="58">
        <v>2025</v>
      </c>
      <c r="B1329" s="58">
        <v>6</v>
      </c>
      <c r="C1329">
        <v>6</v>
      </c>
      <c r="D1329" s="58" t="s">
        <v>682</v>
      </c>
      <c r="E1329" t="s">
        <v>156</v>
      </c>
      <c r="F1329" s="58" t="s">
        <v>845</v>
      </c>
      <c r="G1329" t="s">
        <v>846</v>
      </c>
      <c r="H1329" s="58" t="s">
        <v>1012</v>
      </c>
      <c r="I1329" t="s">
        <v>86</v>
      </c>
      <c r="J1329" s="58" t="s">
        <v>86</v>
      </c>
      <c r="K1329" t="s">
        <v>1429</v>
      </c>
      <c r="L1329" t="s">
        <v>20</v>
      </c>
      <c r="M1329" t="s">
        <v>1430</v>
      </c>
      <c r="N1329" s="59">
        <v>5130</v>
      </c>
      <c r="O1329" s="59">
        <v>20520000</v>
      </c>
      <c r="P1329" s="59">
        <v>0</v>
      </c>
      <c r="Q1329" s="59">
        <v>0</v>
      </c>
      <c r="R1329" s="59">
        <v>0</v>
      </c>
      <c r="S1329" s="59">
        <v>20520000</v>
      </c>
      <c r="T1329" s="41"/>
      <c r="U1329" s="41"/>
      <c r="V1329" s="41"/>
      <c r="W1329" s="41"/>
      <c r="X1329" s="41"/>
      <c r="Y1329" s="41"/>
      <c r="Z1329" s="41"/>
      <c r="AA1329" s="41"/>
      <c r="AB1329" s="41"/>
      <c r="AC1329" s="41"/>
      <c r="AD1329" s="41"/>
      <c r="AE1329" s="59">
        <v>791.82209296951862</v>
      </c>
      <c r="AF1329" s="59">
        <v>791.82209296951862</v>
      </c>
      <c r="AG1329" s="59" t="s">
        <v>156</v>
      </c>
      <c r="AH1329" s="59" t="s">
        <v>1225</v>
      </c>
    </row>
    <row r="1330" spans="1:34" x14ac:dyDescent="0.35">
      <c r="A1330" s="58">
        <v>2025</v>
      </c>
      <c r="B1330" s="58">
        <v>6</v>
      </c>
      <c r="C1330">
        <v>6</v>
      </c>
      <c r="D1330" s="58" t="s">
        <v>682</v>
      </c>
      <c r="E1330" t="s">
        <v>156</v>
      </c>
      <c r="F1330" s="58" t="s">
        <v>847</v>
      </c>
      <c r="G1330" t="s">
        <v>848</v>
      </c>
      <c r="H1330" s="58" t="s">
        <v>1012</v>
      </c>
      <c r="I1330" t="s">
        <v>86</v>
      </c>
      <c r="J1330" s="58" t="s">
        <v>86</v>
      </c>
      <c r="K1330" t="s">
        <v>1429</v>
      </c>
      <c r="L1330" t="s">
        <v>20</v>
      </c>
      <c r="M1330" t="s">
        <v>1601</v>
      </c>
      <c r="N1330" s="59">
        <v>0</v>
      </c>
      <c r="O1330" s="59">
        <v>-11394962.962962972</v>
      </c>
      <c r="P1330" s="59">
        <v>0</v>
      </c>
      <c r="Q1330" s="59">
        <v>0</v>
      </c>
      <c r="R1330" s="59">
        <v>0</v>
      </c>
      <c r="S1330" s="59">
        <v>-11394962.962962972</v>
      </c>
      <c r="T1330" s="41"/>
      <c r="U1330" s="41"/>
      <c r="V1330" s="41"/>
      <c r="W1330" s="41"/>
      <c r="X1330" s="41"/>
      <c r="Y1330" s="41"/>
      <c r="Z1330" s="41"/>
      <c r="AA1330" s="41"/>
      <c r="AB1330" s="41"/>
      <c r="AC1330" s="41"/>
      <c r="AD1330" s="41"/>
      <c r="AE1330" s="59">
        <v>-439.70679447580346</v>
      </c>
      <c r="AF1330" s="59">
        <v>-439.70679447580346</v>
      </c>
      <c r="AG1330" s="59" t="s">
        <v>156</v>
      </c>
      <c r="AH1330" s="59" t="s">
        <v>1226</v>
      </c>
    </row>
    <row r="1331" spans="1:34" x14ac:dyDescent="0.35">
      <c r="A1331" s="58">
        <v>2025</v>
      </c>
      <c r="B1331" s="58">
        <v>6</v>
      </c>
      <c r="C1331">
        <v>6</v>
      </c>
      <c r="D1331" s="58" t="s">
        <v>682</v>
      </c>
      <c r="E1331" t="s">
        <v>156</v>
      </c>
      <c r="F1331" s="58" t="s">
        <v>847</v>
      </c>
      <c r="G1331" t="s">
        <v>848</v>
      </c>
      <c r="H1331" s="58" t="s">
        <v>1012</v>
      </c>
      <c r="I1331" t="s">
        <v>86</v>
      </c>
      <c r="J1331" s="58" t="s">
        <v>86</v>
      </c>
      <c r="K1331" t="s">
        <v>1429</v>
      </c>
      <c r="L1331" t="s">
        <v>20</v>
      </c>
      <c r="M1331" t="s">
        <v>1430</v>
      </c>
      <c r="N1331" s="59">
        <v>38458</v>
      </c>
      <c r="O1331" s="59">
        <v>153832000</v>
      </c>
      <c r="P1331" s="59">
        <v>0</v>
      </c>
      <c r="Q1331" s="59">
        <v>0</v>
      </c>
      <c r="R1331" s="59">
        <v>0</v>
      </c>
      <c r="S1331" s="59">
        <v>153832000</v>
      </c>
      <c r="T1331" s="41"/>
      <c r="U1331" s="41"/>
      <c r="V1331" s="41"/>
      <c r="W1331" s="41"/>
      <c r="X1331" s="41"/>
      <c r="Y1331" s="41"/>
      <c r="Z1331" s="41"/>
      <c r="AA1331" s="41"/>
      <c r="AB1331" s="41"/>
      <c r="AC1331" s="41"/>
      <c r="AD1331" s="41"/>
      <c r="AE1331" s="59">
        <v>5936.0417254233425</v>
      </c>
      <c r="AF1331" s="59">
        <v>5936.0417254233425</v>
      </c>
      <c r="AG1331" s="59" t="s">
        <v>156</v>
      </c>
      <c r="AH1331" s="59" t="s">
        <v>1226</v>
      </c>
    </row>
    <row r="1332" spans="1:34" x14ac:dyDescent="0.35">
      <c r="A1332" s="58">
        <v>2025</v>
      </c>
      <c r="B1332" s="58">
        <v>6</v>
      </c>
      <c r="C1332">
        <v>6</v>
      </c>
      <c r="D1332" s="58" t="s">
        <v>682</v>
      </c>
      <c r="E1332" t="s">
        <v>156</v>
      </c>
      <c r="F1332" s="58" t="s">
        <v>1468</v>
      </c>
      <c r="G1332" t="s">
        <v>1012</v>
      </c>
      <c r="H1332" s="58" t="s">
        <v>1012</v>
      </c>
      <c r="I1332" t="s">
        <v>1012</v>
      </c>
      <c r="J1332" s="58" t="s">
        <v>1012</v>
      </c>
      <c r="K1332" t="s">
        <v>1429</v>
      </c>
      <c r="L1332" t="s">
        <v>20</v>
      </c>
      <c r="M1332" t="s">
        <v>1430</v>
      </c>
      <c r="N1332" s="59">
        <v>0</v>
      </c>
      <c r="O1332" s="59">
        <v>36280493</v>
      </c>
      <c r="P1332" s="59">
        <v>0</v>
      </c>
      <c r="Q1332" s="59">
        <v>0</v>
      </c>
      <c r="R1332" s="59">
        <v>0</v>
      </c>
      <c r="S1332" s="59">
        <v>36280493</v>
      </c>
      <c r="T1332" s="41"/>
      <c r="U1332" s="41"/>
      <c r="V1332" s="41"/>
      <c r="W1332" s="41"/>
      <c r="X1332" s="41"/>
      <c r="Y1332" s="41"/>
      <c r="Z1332" s="41"/>
      <c r="AA1332" s="41"/>
      <c r="AB1332" s="41"/>
      <c r="AC1332" s="41"/>
      <c r="AD1332" s="41"/>
      <c r="AE1332" s="59">
        <v>1399.985180371636</v>
      </c>
      <c r="AF1332" s="59">
        <v>1399.985180371636</v>
      </c>
      <c r="AG1332" s="59" t="s">
        <v>156</v>
      </c>
      <c r="AH1332" s="59" t="s">
        <v>1284</v>
      </c>
    </row>
    <row r="1333" spans="1:34" x14ac:dyDescent="0.35">
      <c r="A1333" s="58">
        <v>2025</v>
      </c>
      <c r="B1333" s="58">
        <v>6</v>
      </c>
      <c r="C1333">
        <v>6</v>
      </c>
      <c r="D1333" s="58" t="s">
        <v>605</v>
      </c>
      <c r="E1333" t="s">
        <v>479</v>
      </c>
      <c r="F1333" s="58" t="s">
        <v>184</v>
      </c>
      <c r="G1333" t="s">
        <v>717</v>
      </c>
      <c r="H1333" s="58" t="s">
        <v>1428</v>
      </c>
      <c r="I1333" t="s">
        <v>75</v>
      </c>
      <c r="J1333" s="58" t="s">
        <v>75</v>
      </c>
      <c r="K1333" t="s">
        <v>1429</v>
      </c>
      <c r="L1333" t="s">
        <v>20</v>
      </c>
      <c r="M1333" t="s">
        <v>1430</v>
      </c>
      <c r="N1333" s="59">
        <v>24750</v>
      </c>
      <c r="O1333" s="59">
        <v>877041000</v>
      </c>
      <c r="P1333" s="59">
        <v>0</v>
      </c>
      <c r="Q1333" s="59">
        <v>0</v>
      </c>
      <c r="R1333" s="59">
        <v>17685185</v>
      </c>
      <c r="S1333" s="59">
        <v>859355815</v>
      </c>
      <c r="T1333" s="41"/>
      <c r="U1333" s="41"/>
      <c r="V1333" s="41"/>
      <c r="W1333" s="41"/>
      <c r="X1333" s="41"/>
      <c r="Y1333" s="41"/>
      <c r="Z1333" s="41"/>
      <c r="AA1333" s="41"/>
      <c r="AB1333" s="41"/>
      <c r="AC1333" s="41"/>
      <c r="AD1333" s="41"/>
      <c r="AE1333" s="59">
        <v>33160.66861787653</v>
      </c>
      <c r="AF1333" s="59">
        <v>33843.101376222199</v>
      </c>
      <c r="AG1333" s="59" t="s">
        <v>5</v>
      </c>
      <c r="AH1333" s="59" t="s">
        <v>1198</v>
      </c>
    </row>
    <row r="1334" spans="1:34" x14ac:dyDescent="0.35">
      <c r="A1334" s="58">
        <v>2025</v>
      </c>
      <c r="B1334" s="58">
        <v>6</v>
      </c>
      <c r="C1334">
        <v>6</v>
      </c>
      <c r="D1334" s="58" t="s">
        <v>1502</v>
      </c>
      <c r="E1334" t="s">
        <v>1236</v>
      </c>
      <c r="F1334" s="58" t="s">
        <v>879</v>
      </c>
      <c r="G1334" t="s">
        <v>880</v>
      </c>
      <c r="H1334" s="58" t="s">
        <v>1234</v>
      </c>
      <c r="I1334" t="s">
        <v>1234</v>
      </c>
      <c r="J1334" s="58" t="s">
        <v>1234</v>
      </c>
      <c r="K1334" t="s">
        <v>1429</v>
      </c>
      <c r="L1334" t="s">
        <v>20</v>
      </c>
      <c r="M1334" t="s">
        <v>1430</v>
      </c>
      <c r="N1334" s="59">
        <v>100000</v>
      </c>
      <c r="O1334" s="59">
        <v>1780000000</v>
      </c>
      <c r="P1334" s="59">
        <v>0</v>
      </c>
      <c r="Q1334" s="59">
        <v>128000000</v>
      </c>
      <c r="R1334" s="59">
        <v>0</v>
      </c>
      <c r="S1334" s="59">
        <v>1652000000</v>
      </c>
      <c r="T1334" s="41"/>
      <c r="U1334" s="41"/>
      <c r="V1334" s="41"/>
      <c r="W1334" s="41"/>
      <c r="X1334" s="41"/>
      <c r="Y1334" s="41"/>
      <c r="Z1334" s="41"/>
      <c r="AA1334" s="41"/>
      <c r="AB1334" s="41"/>
      <c r="AC1334" s="41"/>
      <c r="AD1334" s="41"/>
      <c r="AE1334" s="59">
        <v>63747.080779027521</v>
      </c>
      <c r="AF1334" s="59">
        <v>68686.321904763303</v>
      </c>
      <c r="AG1334" s="59" t="s">
        <v>1236</v>
      </c>
      <c r="AH1334" s="59" t="s">
        <v>1235</v>
      </c>
    </row>
    <row r="1335" spans="1:34" x14ac:dyDescent="0.35">
      <c r="A1335" s="58">
        <v>2025</v>
      </c>
      <c r="B1335" s="58">
        <v>6</v>
      </c>
      <c r="C1335">
        <v>6</v>
      </c>
      <c r="D1335" s="58" t="s">
        <v>1469</v>
      </c>
      <c r="E1335" t="s">
        <v>1211</v>
      </c>
      <c r="F1335" s="58" t="s">
        <v>1472</v>
      </c>
      <c r="G1335" t="s">
        <v>1473</v>
      </c>
      <c r="H1335" s="58" t="s">
        <v>1012</v>
      </c>
      <c r="I1335" t="s">
        <v>86</v>
      </c>
      <c r="J1335" s="58" t="s">
        <v>86</v>
      </c>
      <c r="K1335" t="s">
        <v>1429</v>
      </c>
      <c r="L1335" t="s">
        <v>20</v>
      </c>
      <c r="M1335" t="s">
        <v>1430</v>
      </c>
      <c r="N1335" s="59">
        <v>8310</v>
      </c>
      <c r="O1335" s="59">
        <v>162045000</v>
      </c>
      <c r="P1335" s="59">
        <v>0</v>
      </c>
      <c r="Q1335" s="59">
        <v>0</v>
      </c>
      <c r="R1335" s="59">
        <v>0</v>
      </c>
      <c r="S1335" s="59">
        <v>162045000</v>
      </c>
      <c r="T1335" s="41"/>
      <c r="U1335" s="41"/>
      <c r="V1335" s="41"/>
      <c r="W1335" s="41"/>
      <c r="X1335" s="41"/>
      <c r="Y1335" s="41"/>
      <c r="Z1335" s="41"/>
      <c r="AA1335" s="41"/>
      <c r="AB1335" s="41"/>
      <c r="AC1335" s="41"/>
      <c r="AD1335" s="41"/>
      <c r="AE1335" s="59">
        <v>6252.9635017176233</v>
      </c>
      <c r="AF1335" s="59">
        <v>6252.9635017176233</v>
      </c>
      <c r="AG1335" s="59" t="s">
        <v>1211</v>
      </c>
      <c r="AH1335" s="59" t="s">
        <v>1215</v>
      </c>
    </row>
    <row r="1336" spans="1:34" x14ac:dyDescent="0.35">
      <c r="A1336" s="58">
        <v>2025</v>
      </c>
      <c r="B1336" s="58">
        <v>6</v>
      </c>
      <c r="C1336">
        <v>6</v>
      </c>
      <c r="D1336" s="58" t="s">
        <v>635</v>
      </c>
      <c r="E1336" t="s">
        <v>62</v>
      </c>
      <c r="F1336" s="58" t="s">
        <v>197</v>
      </c>
      <c r="G1336" t="s">
        <v>752</v>
      </c>
      <c r="H1336" s="58" t="s">
        <v>1428</v>
      </c>
      <c r="I1336" t="s">
        <v>76</v>
      </c>
      <c r="J1336" s="58" t="s">
        <v>76</v>
      </c>
      <c r="K1336" t="s">
        <v>1429</v>
      </c>
      <c r="L1336" t="s">
        <v>20</v>
      </c>
      <c r="M1336" t="s">
        <v>1430</v>
      </c>
      <c r="N1336" s="59">
        <v>5500</v>
      </c>
      <c r="O1336" s="59">
        <v>99305556</v>
      </c>
      <c r="P1336" s="59">
        <v>556044.1163111669</v>
      </c>
      <c r="Q1336" s="59">
        <v>0</v>
      </c>
      <c r="R1336" s="59">
        <v>0</v>
      </c>
      <c r="S1336" s="59">
        <v>98749511.883688837</v>
      </c>
      <c r="T1336" s="41"/>
      <c r="U1336" s="41"/>
      <c r="V1336" s="41"/>
      <c r="W1336" s="41"/>
      <c r="X1336" s="41"/>
      <c r="Y1336" s="41"/>
      <c r="Z1336" s="41"/>
      <c r="AA1336" s="41"/>
      <c r="AB1336" s="41"/>
      <c r="AC1336" s="41"/>
      <c r="AD1336" s="41"/>
      <c r="AE1336" s="59">
        <v>3810.528517517585</v>
      </c>
      <c r="AF1336" s="59">
        <v>3831.9850485098309</v>
      </c>
      <c r="AG1336" s="59" t="s">
        <v>62</v>
      </c>
      <c r="AH1336" s="59" t="s">
        <v>1249</v>
      </c>
    </row>
    <row r="1337" spans="1:34" x14ac:dyDescent="0.35">
      <c r="A1337" s="58">
        <v>2025</v>
      </c>
      <c r="B1337" s="58">
        <v>6</v>
      </c>
      <c r="C1337">
        <v>6</v>
      </c>
      <c r="D1337" s="58" t="s">
        <v>635</v>
      </c>
      <c r="E1337" t="s">
        <v>62</v>
      </c>
      <c r="F1337" s="58" t="s">
        <v>200</v>
      </c>
      <c r="G1337" t="s">
        <v>470</v>
      </c>
      <c r="H1337" s="58" t="s">
        <v>1428</v>
      </c>
      <c r="I1337" t="s">
        <v>76</v>
      </c>
      <c r="J1337" s="58" t="s">
        <v>76</v>
      </c>
      <c r="K1337" t="s">
        <v>1429</v>
      </c>
      <c r="L1337" t="s">
        <v>20</v>
      </c>
      <c r="M1337" t="s">
        <v>1430</v>
      </c>
      <c r="N1337" s="59">
        <v>4500</v>
      </c>
      <c r="O1337" s="59">
        <v>75000000</v>
      </c>
      <c r="P1337" s="59">
        <v>454945.18607277289</v>
      </c>
      <c r="Q1337" s="59">
        <v>0</v>
      </c>
      <c r="R1337" s="59">
        <v>0</v>
      </c>
      <c r="S1337" s="59">
        <v>74545054.813927233</v>
      </c>
      <c r="T1337" s="41"/>
      <c r="U1337" s="41"/>
      <c r="V1337" s="41"/>
      <c r="W1337" s="41"/>
      <c r="X1337" s="41"/>
      <c r="Y1337" s="41"/>
      <c r="Z1337" s="41"/>
      <c r="AA1337" s="41"/>
      <c r="AB1337" s="41"/>
      <c r="AC1337" s="41"/>
      <c r="AD1337" s="41"/>
      <c r="AE1337" s="59">
        <v>2876.531253571703</v>
      </c>
      <c r="AF1337" s="59">
        <v>2894.0865971108137</v>
      </c>
      <c r="AG1337" s="59" t="s">
        <v>62</v>
      </c>
      <c r="AH1337" s="59" t="s">
        <v>79</v>
      </c>
    </row>
    <row r="1338" spans="1:34" x14ac:dyDescent="0.35">
      <c r="A1338" s="58">
        <v>2025</v>
      </c>
      <c r="B1338" s="58">
        <v>6</v>
      </c>
      <c r="C1338">
        <v>6</v>
      </c>
      <c r="D1338" s="58" t="s">
        <v>595</v>
      </c>
      <c r="E1338" t="s">
        <v>478</v>
      </c>
      <c r="F1338" s="58" t="s">
        <v>184</v>
      </c>
      <c r="G1338" t="s">
        <v>717</v>
      </c>
      <c r="H1338" s="58" t="s">
        <v>1428</v>
      </c>
      <c r="I1338" t="s">
        <v>75</v>
      </c>
      <c r="J1338" s="58" t="s">
        <v>75</v>
      </c>
      <c r="K1338" t="s">
        <v>1429</v>
      </c>
      <c r="L1338" t="s">
        <v>20</v>
      </c>
      <c r="M1338" t="s">
        <v>1430</v>
      </c>
      <c r="N1338" s="59">
        <v>88000</v>
      </c>
      <c r="O1338" s="59">
        <v>3047220000</v>
      </c>
      <c r="P1338" s="59">
        <v>0</v>
      </c>
      <c r="Q1338" s="59">
        <v>0</v>
      </c>
      <c r="R1338" s="59">
        <v>0</v>
      </c>
      <c r="S1338" s="59">
        <v>3047220000</v>
      </c>
      <c r="T1338" s="41"/>
      <c r="U1338" s="41"/>
      <c r="V1338" s="41"/>
      <c r="W1338" s="41"/>
      <c r="X1338" s="41"/>
      <c r="Y1338" s="41"/>
      <c r="Z1338" s="41"/>
      <c r="AA1338" s="41"/>
      <c r="AB1338" s="41"/>
      <c r="AC1338" s="41"/>
      <c r="AD1338" s="41"/>
      <c r="AE1338" s="59">
        <v>117585.58080597351</v>
      </c>
      <c r="AF1338" s="59">
        <v>117585.58080597351</v>
      </c>
      <c r="AG1338" s="59" t="s">
        <v>5</v>
      </c>
      <c r="AH1338" s="59" t="s">
        <v>1198</v>
      </c>
    </row>
    <row r="1339" spans="1:34" x14ac:dyDescent="0.35">
      <c r="A1339" s="58">
        <v>2025</v>
      </c>
      <c r="B1339" s="58">
        <v>6</v>
      </c>
      <c r="C1339">
        <v>6</v>
      </c>
      <c r="D1339" s="58" t="s">
        <v>595</v>
      </c>
      <c r="E1339" t="s">
        <v>478</v>
      </c>
      <c r="F1339" s="58" t="s">
        <v>171</v>
      </c>
      <c r="G1339" t="s">
        <v>731</v>
      </c>
      <c r="H1339" s="58" t="s">
        <v>4</v>
      </c>
      <c r="I1339" t="s">
        <v>4</v>
      </c>
      <c r="J1339" s="58" t="s">
        <v>4</v>
      </c>
      <c r="K1339" t="s">
        <v>1429</v>
      </c>
      <c r="L1339" t="s">
        <v>20</v>
      </c>
      <c r="M1339" t="s">
        <v>1430</v>
      </c>
      <c r="N1339" s="59">
        <v>11000</v>
      </c>
      <c r="O1339" s="59">
        <v>352687500</v>
      </c>
      <c r="P1339" s="59">
        <v>1684982.1706398998</v>
      </c>
      <c r="Q1339" s="59">
        <v>0</v>
      </c>
      <c r="R1339" s="59">
        <v>0</v>
      </c>
      <c r="S1339" s="59">
        <v>351002517.82936013</v>
      </c>
      <c r="T1339" s="41"/>
      <c r="U1339" s="41"/>
      <c r="V1339" s="41"/>
      <c r="W1339" s="41"/>
      <c r="X1339" s="41"/>
      <c r="Y1339" s="41"/>
      <c r="Z1339" s="41"/>
      <c r="AA1339" s="41"/>
      <c r="AB1339" s="41"/>
      <c r="AC1339" s="41"/>
      <c r="AD1339" s="41"/>
      <c r="AE1339" s="59">
        <v>13544.422432028006</v>
      </c>
      <c r="AF1339" s="59">
        <v>13609.4422229136</v>
      </c>
      <c r="AG1339" s="59" t="s">
        <v>5</v>
      </c>
      <c r="AH1339" s="59" t="s">
        <v>1166</v>
      </c>
    </row>
    <row r="1340" spans="1:34" x14ac:dyDescent="0.35">
      <c r="A1340" s="58">
        <v>2025</v>
      </c>
      <c r="B1340" s="58">
        <v>6</v>
      </c>
      <c r="C1340">
        <v>6</v>
      </c>
      <c r="D1340" s="58" t="s">
        <v>595</v>
      </c>
      <c r="E1340" t="s">
        <v>478</v>
      </c>
      <c r="F1340" s="58" t="s">
        <v>188</v>
      </c>
      <c r="G1340" t="s">
        <v>872</v>
      </c>
      <c r="H1340" s="58" t="s">
        <v>1428</v>
      </c>
      <c r="I1340" t="s">
        <v>75</v>
      </c>
      <c r="J1340" s="58" t="s">
        <v>75</v>
      </c>
      <c r="K1340" t="s">
        <v>1429</v>
      </c>
      <c r="L1340" t="s">
        <v>20</v>
      </c>
      <c r="M1340" t="s">
        <v>1430</v>
      </c>
      <c r="N1340" s="59">
        <v>44000</v>
      </c>
      <c r="O1340" s="59">
        <v>1467180000</v>
      </c>
      <c r="P1340" s="59">
        <v>0</v>
      </c>
      <c r="Q1340" s="59">
        <v>0</v>
      </c>
      <c r="R1340" s="59">
        <v>0</v>
      </c>
      <c r="S1340" s="59">
        <v>1467180000</v>
      </c>
      <c r="T1340" s="41"/>
      <c r="U1340" s="41"/>
      <c r="V1340" s="41"/>
      <c r="W1340" s="41"/>
      <c r="X1340" s="41"/>
      <c r="Y1340" s="41"/>
      <c r="Z1340" s="41"/>
      <c r="AA1340" s="41"/>
      <c r="AB1340" s="41"/>
      <c r="AC1340" s="41"/>
      <c r="AD1340" s="41"/>
      <c r="AE1340" s="59">
        <v>56615.279647320574</v>
      </c>
      <c r="AF1340" s="59">
        <v>56615.279647320574</v>
      </c>
      <c r="AG1340" s="59" t="s">
        <v>5</v>
      </c>
      <c r="AH1340" s="59" t="s">
        <v>1204</v>
      </c>
    </row>
    <row r="1341" spans="1:34" x14ac:dyDescent="0.35">
      <c r="A1341" s="58">
        <v>2025</v>
      </c>
      <c r="B1341" s="58">
        <v>6</v>
      </c>
      <c r="C1341">
        <v>6</v>
      </c>
      <c r="D1341" s="58" t="s">
        <v>595</v>
      </c>
      <c r="E1341" t="s">
        <v>478</v>
      </c>
      <c r="F1341" s="58" t="s">
        <v>191</v>
      </c>
      <c r="G1341" t="s">
        <v>941</v>
      </c>
      <c r="H1341" s="58" t="s">
        <v>1428</v>
      </c>
      <c r="I1341" t="s">
        <v>75</v>
      </c>
      <c r="J1341" s="58" t="s">
        <v>75</v>
      </c>
      <c r="K1341" t="s">
        <v>1429</v>
      </c>
      <c r="L1341" t="s">
        <v>20</v>
      </c>
      <c r="M1341" t="s">
        <v>1430</v>
      </c>
      <c r="N1341" s="59">
        <v>33000</v>
      </c>
      <c r="O1341" s="59">
        <v>1142707500</v>
      </c>
      <c r="P1341" s="59">
        <v>0</v>
      </c>
      <c r="Q1341" s="59">
        <v>0</v>
      </c>
      <c r="R1341" s="59">
        <v>0</v>
      </c>
      <c r="S1341" s="59">
        <v>1142707500</v>
      </c>
      <c r="T1341" s="41"/>
      <c r="U1341" s="41"/>
      <c r="V1341" s="41"/>
      <c r="W1341" s="41"/>
      <c r="X1341" s="41"/>
      <c r="Y1341" s="41"/>
      <c r="Z1341" s="41"/>
      <c r="AA1341" s="41"/>
      <c r="AB1341" s="41"/>
      <c r="AC1341" s="41"/>
      <c r="AD1341" s="41"/>
      <c r="AE1341" s="59">
        <v>44094.592802240069</v>
      </c>
      <c r="AF1341" s="59">
        <v>44094.592802240069</v>
      </c>
      <c r="AG1341" s="59" t="s">
        <v>5</v>
      </c>
      <c r="AH1341" s="59" t="s">
        <v>1208</v>
      </c>
    </row>
    <row r="1342" spans="1:34" x14ac:dyDescent="0.35">
      <c r="A1342" s="58">
        <v>2025</v>
      </c>
      <c r="B1342" s="58">
        <v>6</v>
      </c>
      <c r="C1342">
        <v>6</v>
      </c>
      <c r="D1342" s="58" t="s">
        <v>654</v>
      </c>
      <c r="E1342" t="s">
        <v>118</v>
      </c>
      <c r="F1342" s="58" t="s">
        <v>171</v>
      </c>
      <c r="G1342" t="s">
        <v>731</v>
      </c>
      <c r="H1342" s="58" t="s">
        <v>4</v>
      </c>
      <c r="I1342" t="s">
        <v>4</v>
      </c>
      <c r="J1342" s="58" t="s">
        <v>4</v>
      </c>
      <c r="K1342" t="s">
        <v>1429</v>
      </c>
      <c r="L1342" t="s">
        <v>20</v>
      </c>
      <c r="M1342" t="s">
        <v>1430</v>
      </c>
      <c r="N1342" s="59">
        <v>3300</v>
      </c>
      <c r="O1342" s="59">
        <v>107951250</v>
      </c>
      <c r="P1342" s="59">
        <v>505494.65119196993</v>
      </c>
      <c r="Q1342" s="59">
        <v>0</v>
      </c>
      <c r="R1342" s="59">
        <v>0</v>
      </c>
      <c r="S1342" s="59">
        <v>107445755.34880804</v>
      </c>
      <c r="T1342" s="41"/>
      <c r="U1342" s="41"/>
      <c r="V1342" s="41"/>
      <c r="W1342" s="41"/>
      <c r="X1342" s="41"/>
      <c r="Y1342" s="41"/>
      <c r="Z1342" s="41"/>
      <c r="AA1342" s="41"/>
      <c r="AB1342" s="41"/>
      <c r="AC1342" s="41"/>
      <c r="AD1342" s="41"/>
      <c r="AE1342" s="59">
        <v>4146.0976062857708</v>
      </c>
      <c r="AF1342" s="59">
        <v>4165.6035435514495</v>
      </c>
      <c r="AG1342" s="59" t="s">
        <v>118</v>
      </c>
      <c r="AH1342" s="59" t="s">
        <v>1166</v>
      </c>
    </row>
    <row r="1343" spans="1:34" x14ac:dyDescent="0.35">
      <c r="A1343" s="58">
        <v>2025</v>
      </c>
      <c r="B1343" s="58">
        <v>6</v>
      </c>
      <c r="C1343">
        <v>6</v>
      </c>
      <c r="D1343" s="58" t="s">
        <v>606</v>
      </c>
      <c r="E1343" t="s">
        <v>325</v>
      </c>
      <c r="F1343" s="58" t="s">
        <v>168</v>
      </c>
      <c r="G1343" t="s">
        <v>700</v>
      </c>
      <c r="H1343" s="58" t="s">
        <v>4</v>
      </c>
      <c r="I1343" t="s">
        <v>4</v>
      </c>
      <c r="J1343" s="58" t="s">
        <v>4</v>
      </c>
      <c r="K1343" t="s">
        <v>1429</v>
      </c>
      <c r="L1343" t="s">
        <v>20</v>
      </c>
      <c r="M1343" t="s">
        <v>1430</v>
      </c>
      <c r="N1343" s="59">
        <v>22000</v>
      </c>
      <c r="O1343" s="59">
        <v>798443800</v>
      </c>
      <c r="P1343" s="59">
        <v>3369964.3412797996</v>
      </c>
      <c r="Q1343" s="59">
        <v>0</v>
      </c>
      <c r="R1343" s="59">
        <v>3080000</v>
      </c>
      <c r="S1343" s="59">
        <v>780103341.65872025</v>
      </c>
      <c r="T1343" s="41"/>
      <c r="U1343" s="41"/>
      <c r="V1343" s="41"/>
      <c r="W1343" s="41"/>
      <c r="X1343" s="41"/>
      <c r="Y1343" s="41"/>
      <c r="Z1343" s="41"/>
      <c r="AA1343" s="41"/>
      <c r="AB1343" s="41"/>
      <c r="AC1343" s="41"/>
      <c r="AD1343" s="41"/>
      <c r="AE1343" s="59">
        <v>30102.488339411466</v>
      </c>
      <c r="AF1343" s="59">
        <v>30810.206668349692</v>
      </c>
      <c r="AG1343" s="59" t="s">
        <v>8</v>
      </c>
      <c r="AH1343" s="59" t="s">
        <v>1160</v>
      </c>
    </row>
    <row r="1344" spans="1:34" x14ac:dyDescent="0.35">
      <c r="A1344" s="58">
        <v>2025</v>
      </c>
      <c r="B1344" s="58">
        <v>6</v>
      </c>
      <c r="C1344">
        <v>6</v>
      </c>
      <c r="D1344" s="58" t="s">
        <v>634</v>
      </c>
      <c r="E1344" t="s">
        <v>148</v>
      </c>
      <c r="F1344" s="58" t="s">
        <v>183</v>
      </c>
      <c r="G1344" t="s">
        <v>924</v>
      </c>
      <c r="H1344" s="58" t="s">
        <v>74</v>
      </c>
      <c r="I1344" t="s">
        <v>74</v>
      </c>
      <c r="J1344" s="58" t="s">
        <v>74</v>
      </c>
      <c r="K1344" t="s">
        <v>1429</v>
      </c>
      <c r="L1344" t="s">
        <v>20</v>
      </c>
      <c r="M1344" t="s">
        <v>1430</v>
      </c>
      <c r="N1344" s="59">
        <v>10500</v>
      </c>
      <c r="O1344" s="59">
        <v>173250000</v>
      </c>
      <c r="P1344" s="59">
        <v>1684982.1706398996</v>
      </c>
      <c r="Q1344" s="59">
        <v>0</v>
      </c>
      <c r="R1344" s="59">
        <v>0</v>
      </c>
      <c r="S1344" s="59">
        <v>171565017.8293601</v>
      </c>
      <c r="T1344" s="41"/>
      <c r="U1344" s="41"/>
      <c r="V1344" s="41"/>
      <c r="W1344" s="41"/>
      <c r="X1344" s="41"/>
      <c r="Y1344" s="41"/>
      <c r="Z1344" s="41"/>
      <c r="AA1344" s="41"/>
      <c r="AB1344" s="41"/>
      <c r="AC1344" s="41"/>
      <c r="AD1344" s="41"/>
      <c r="AE1344" s="59">
        <v>6620.3202484403846</v>
      </c>
      <c r="AF1344" s="59">
        <v>6685.340039325979</v>
      </c>
      <c r="AG1344" s="59" t="s">
        <v>148</v>
      </c>
      <c r="AH1344" s="59" t="s">
        <v>1245</v>
      </c>
    </row>
    <row r="1345" spans="1:34" x14ac:dyDescent="0.35">
      <c r="A1345" s="58">
        <v>2025</v>
      </c>
      <c r="B1345" s="58">
        <v>6</v>
      </c>
      <c r="C1345">
        <v>6</v>
      </c>
      <c r="D1345" s="58" t="s">
        <v>596</v>
      </c>
      <c r="E1345" t="s">
        <v>266</v>
      </c>
      <c r="F1345" s="58" t="s">
        <v>171</v>
      </c>
      <c r="G1345" t="s">
        <v>731</v>
      </c>
      <c r="H1345" s="58" t="s">
        <v>4</v>
      </c>
      <c r="I1345" t="s">
        <v>4</v>
      </c>
      <c r="J1345" s="58" t="s">
        <v>4</v>
      </c>
      <c r="K1345" t="s">
        <v>1429</v>
      </c>
      <c r="L1345" t="s">
        <v>20</v>
      </c>
      <c r="M1345" t="s">
        <v>1430</v>
      </c>
      <c r="N1345" s="59">
        <v>66000</v>
      </c>
      <c r="O1345" s="59">
        <v>2159025000</v>
      </c>
      <c r="P1345" s="59">
        <v>10109893.023839399</v>
      </c>
      <c r="Q1345" s="59">
        <v>0</v>
      </c>
      <c r="R1345" s="59">
        <v>0</v>
      </c>
      <c r="S1345" s="59">
        <v>2148915106.9761605</v>
      </c>
      <c r="T1345" s="41"/>
      <c r="U1345" s="41"/>
      <c r="V1345" s="41"/>
      <c r="W1345" s="41"/>
      <c r="X1345" s="41"/>
      <c r="Y1345" s="41"/>
      <c r="Z1345" s="41"/>
      <c r="AA1345" s="41"/>
      <c r="AB1345" s="41"/>
      <c r="AC1345" s="41"/>
      <c r="AD1345" s="41"/>
      <c r="AE1345" s="59">
        <v>82921.952125715427</v>
      </c>
      <c r="AF1345" s="59">
        <v>83312.070871028991</v>
      </c>
      <c r="AG1345" s="59" t="s">
        <v>100</v>
      </c>
      <c r="AH1345" s="59" t="s">
        <v>1166</v>
      </c>
    </row>
    <row r="1346" spans="1:34" x14ac:dyDescent="0.35">
      <c r="A1346" s="58">
        <v>2025</v>
      </c>
      <c r="B1346" s="58">
        <v>6</v>
      </c>
      <c r="C1346">
        <v>6</v>
      </c>
      <c r="D1346" s="58" t="s">
        <v>610</v>
      </c>
      <c r="E1346" t="s">
        <v>44</v>
      </c>
      <c r="F1346" s="58" t="s">
        <v>186</v>
      </c>
      <c r="G1346" t="s">
        <v>781</v>
      </c>
      <c r="H1346" s="58" t="s">
        <v>1428</v>
      </c>
      <c r="I1346" t="s">
        <v>75</v>
      </c>
      <c r="J1346" s="58" t="s">
        <v>75</v>
      </c>
      <c r="K1346" t="s">
        <v>1429</v>
      </c>
      <c r="L1346" t="s">
        <v>20</v>
      </c>
      <c r="M1346" t="s">
        <v>1431</v>
      </c>
      <c r="N1346" s="59">
        <v>-1375</v>
      </c>
      <c r="O1346" s="59">
        <v>0</v>
      </c>
      <c r="P1346" s="59">
        <v>0</v>
      </c>
      <c r="Q1346" s="59">
        <v>0</v>
      </c>
      <c r="R1346" s="59">
        <v>0</v>
      </c>
      <c r="S1346" s="59">
        <v>0</v>
      </c>
      <c r="T1346" s="41"/>
      <c r="U1346" s="41"/>
      <c r="V1346" s="41"/>
      <c r="W1346" s="41"/>
      <c r="X1346" s="41"/>
      <c r="Y1346" s="41"/>
      <c r="Z1346" s="41"/>
      <c r="AA1346" s="41"/>
      <c r="AB1346" s="41"/>
      <c r="AC1346" s="41"/>
      <c r="AD1346" s="41"/>
      <c r="AE1346" s="59">
        <v>0</v>
      </c>
      <c r="AF1346" s="59">
        <v>0</v>
      </c>
      <c r="AG1346" s="59" t="s">
        <v>44</v>
      </c>
      <c r="AH1346" s="59" t="s">
        <v>1202</v>
      </c>
    </row>
    <row r="1347" spans="1:34" x14ac:dyDescent="0.35">
      <c r="A1347" s="58">
        <v>2025</v>
      </c>
      <c r="B1347" s="58">
        <v>6</v>
      </c>
      <c r="C1347">
        <v>6</v>
      </c>
      <c r="D1347" s="58" t="s">
        <v>610</v>
      </c>
      <c r="E1347" t="s">
        <v>44</v>
      </c>
      <c r="F1347" s="58" t="s">
        <v>186</v>
      </c>
      <c r="G1347" t="s">
        <v>781</v>
      </c>
      <c r="H1347" s="58" t="s">
        <v>1428</v>
      </c>
      <c r="I1347" t="s">
        <v>75</v>
      </c>
      <c r="J1347" s="58" t="s">
        <v>75</v>
      </c>
      <c r="K1347" t="s">
        <v>1429</v>
      </c>
      <c r="L1347" t="s">
        <v>20</v>
      </c>
      <c r="M1347" t="s">
        <v>1430</v>
      </c>
      <c r="N1347" s="59">
        <v>33000</v>
      </c>
      <c r="O1347" s="59">
        <v>1078687500</v>
      </c>
      <c r="P1347" s="59">
        <v>0</v>
      </c>
      <c r="Q1347" s="59">
        <v>0</v>
      </c>
      <c r="R1347" s="59">
        <v>0</v>
      </c>
      <c r="S1347" s="59">
        <v>1078687500</v>
      </c>
      <c r="T1347" s="41"/>
      <c r="U1347" s="41"/>
      <c r="V1347" s="41"/>
      <c r="W1347" s="41"/>
      <c r="X1347" s="41"/>
      <c r="Y1347" s="41"/>
      <c r="Z1347" s="41"/>
      <c r="AA1347" s="41"/>
      <c r="AB1347" s="41"/>
      <c r="AC1347" s="41"/>
      <c r="AD1347" s="41"/>
      <c r="AE1347" s="59">
        <v>41624.200482946275</v>
      </c>
      <c r="AF1347" s="59">
        <v>41624.200482946275</v>
      </c>
      <c r="AG1347" s="59" t="s">
        <v>44</v>
      </c>
      <c r="AH1347" s="59" t="s">
        <v>1202</v>
      </c>
    </row>
    <row r="1348" spans="1:34" x14ac:dyDescent="0.35">
      <c r="A1348" s="58">
        <v>2025</v>
      </c>
      <c r="B1348" s="58">
        <v>6</v>
      </c>
      <c r="C1348">
        <v>6</v>
      </c>
      <c r="D1348" s="58" t="s">
        <v>610</v>
      </c>
      <c r="E1348" t="s">
        <v>44</v>
      </c>
      <c r="F1348" s="58" t="s">
        <v>186</v>
      </c>
      <c r="G1348" t="s">
        <v>781</v>
      </c>
      <c r="H1348" s="58" t="s">
        <v>1428</v>
      </c>
      <c r="I1348" t="s">
        <v>75</v>
      </c>
      <c r="J1348" s="58" t="s">
        <v>75</v>
      </c>
      <c r="K1348" t="s">
        <v>1429</v>
      </c>
      <c r="L1348" t="s">
        <v>20</v>
      </c>
      <c r="M1348" t="s">
        <v>1432</v>
      </c>
      <c r="N1348" s="59">
        <v>1375</v>
      </c>
      <c r="O1348" s="59">
        <v>0</v>
      </c>
      <c r="P1348" s="59">
        <v>0</v>
      </c>
      <c r="Q1348" s="59">
        <v>0</v>
      </c>
      <c r="R1348" s="59">
        <v>0</v>
      </c>
      <c r="S1348" s="59">
        <v>0</v>
      </c>
      <c r="T1348" s="41"/>
      <c r="U1348" s="41"/>
      <c r="V1348" s="41"/>
      <c r="W1348" s="41"/>
      <c r="X1348" s="41"/>
      <c r="Y1348" s="41"/>
      <c r="Z1348" s="41"/>
      <c r="AA1348" s="41"/>
      <c r="AB1348" s="41"/>
      <c r="AC1348" s="41"/>
      <c r="AD1348" s="41"/>
      <c r="AE1348" s="59">
        <v>0</v>
      </c>
      <c r="AF1348" s="59">
        <v>0</v>
      </c>
      <c r="AG1348" s="59" t="s">
        <v>44</v>
      </c>
      <c r="AH1348" s="59" t="s">
        <v>1202</v>
      </c>
    </row>
    <row r="1349" spans="1:34" x14ac:dyDescent="0.35">
      <c r="A1349" s="58">
        <v>2025</v>
      </c>
      <c r="B1349" s="58">
        <v>6</v>
      </c>
      <c r="C1349">
        <v>6</v>
      </c>
      <c r="D1349" s="58" t="s">
        <v>624</v>
      </c>
      <c r="E1349" t="s">
        <v>272</v>
      </c>
      <c r="F1349" s="58" t="s">
        <v>172</v>
      </c>
      <c r="G1349" t="s">
        <v>734</v>
      </c>
      <c r="H1349" s="58" t="s">
        <v>4</v>
      </c>
      <c r="I1349" t="s">
        <v>4</v>
      </c>
      <c r="J1349" s="58" t="s">
        <v>4</v>
      </c>
      <c r="K1349" t="s">
        <v>1429</v>
      </c>
      <c r="L1349" t="s">
        <v>20</v>
      </c>
      <c r="M1349" t="s">
        <v>1430</v>
      </c>
      <c r="N1349" s="59">
        <v>44000</v>
      </c>
      <c r="O1349" s="59">
        <v>1495146400</v>
      </c>
      <c r="P1349" s="59">
        <v>6739928.6825595992</v>
      </c>
      <c r="Q1349" s="59">
        <v>0</v>
      </c>
      <c r="R1349" s="59">
        <v>0</v>
      </c>
      <c r="S1349" s="59">
        <v>1488406471.3174405</v>
      </c>
      <c r="T1349" s="41"/>
      <c r="U1349" s="41"/>
      <c r="V1349" s="41"/>
      <c r="W1349" s="41"/>
      <c r="X1349" s="41"/>
      <c r="Y1349" s="41"/>
      <c r="Z1349" s="41"/>
      <c r="AA1349" s="41"/>
      <c r="AB1349" s="41"/>
      <c r="AC1349" s="41"/>
      <c r="AD1349" s="41"/>
      <c r="AE1349" s="59">
        <v>57434.362929237403</v>
      </c>
      <c r="AF1349" s="59">
        <v>57694.442092779776</v>
      </c>
      <c r="AG1349" s="59" t="s">
        <v>103</v>
      </c>
      <c r="AH1349" s="59" t="s">
        <v>1175</v>
      </c>
    </row>
    <row r="1350" spans="1:34" x14ac:dyDescent="0.35">
      <c r="A1350" s="58">
        <v>2025</v>
      </c>
      <c r="B1350" s="58">
        <v>6</v>
      </c>
      <c r="C1350">
        <v>6</v>
      </c>
      <c r="D1350" s="58" t="s">
        <v>1558</v>
      </c>
      <c r="E1350" t="s">
        <v>1223</v>
      </c>
      <c r="F1350" s="58" t="s">
        <v>841</v>
      </c>
      <c r="G1350" t="s">
        <v>842</v>
      </c>
      <c r="H1350" s="58" t="s">
        <v>1012</v>
      </c>
      <c r="I1350" t="s">
        <v>86</v>
      </c>
      <c r="J1350" s="58" t="s">
        <v>86</v>
      </c>
      <c r="K1350" t="s">
        <v>1429</v>
      </c>
      <c r="L1350" t="s">
        <v>20</v>
      </c>
      <c r="M1350" t="s">
        <v>1430</v>
      </c>
      <c r="N1350" s="59">
        <v>3432</v>
      </c>
      <c r="O1350" s="59">
        <v>17160000</v>
      </c>
      <c r="P1350" s="59">
        <v>0</v>
      </c>
      <c r="Q1350" s="59">
        <v>0</v>
      </c>
      <c r="R1350" s="59">
        <v>0</v>
      </c>
      <c r="S1350" s="59">
        <v>17160000</v>
      </c>
      <c r="T1350" s="41"/>
      <c r="U1350" s="41"/>
      <c r="V1350" s="41"/>
      <c r="W1350" s="41"/>
      <c r="X1350" s="41"/>
      <c r="Y1350" s="41"/>
      <c r="Z1350" s="41"/>
      <c r="AA1350" s="41"/>
      <c r="AB1350" s="41"/>
      <c r="AC1350" s="41"/>
      <c r="AD1350" s="41"/>
      <c r="AE1350" s="59">
        <v>662.16701341895418</v>
      </c>
      <c r="AF1350" s="59">
        <v>662.16701341895418</v>
      </c>
      <c r="AG1350" s="59" t="s">
        <v>1223</v>
      </c>
      <c r="AH1350" s="59" t="s">
        <v>1222</v>
      </c>
    </row>
    <row r="1351" spans="1:34" x14ac:dyDescent="0.35">
      <c r="A1351" s="58">
        <v>2025</v>
      </c>
      <c r="B1351" s="58">
        <v>6</v>
      </c>
      <c r="C1351">
        <v>6</v>
      </c>
      <c r="D1351" s="58" t="s">
        <v>1558</v>
      </c>
      <c r="E1351" t="s">
        <v>1223</v>
      </c>
      <c r="F1351" s="58" t="s">
        <v>843</v>
      </c>
      <c r="G1351" t="s">
        <v>844</v>
      </c>
      <c r="H1351" s="58" t="s">
        <v>1012</v>
      </c>
      <c r="I1351" t="s">
        <v>86</v>
      </c>
      <c r="J1351" s="58" t="s">
        <v>86</v>
      </c>
      <c r="K1351" t="s">
        <v>1429</v>
      </c>
      <c r="L1351" t="s">
        <v>20</v>
      </c>
      <c r="M1351" t="s">
        <v>1430</v>
      </c>
      <c r="N1351" s="59">
        <v>15188</v>
      </c>
      <c r="O1351" s="59">
        <v>75940000</v>
      </c>
      <c r="P1351" s="59">
        <v>0</v>
      </c>
      <c r="Q1351" s="59">
        <v>0</v>
      </c>
      <c r="R1351" s="59">
        <v>0</v>
      </c>
      <c r="S1351" s="59">
        <v>75940000</v>
      </c>
      <c r="T1351" s="41"/>
      <c r="U1351" s="41"/>
      <c r="V1351" s="41"/>
      <c r="W1351" s="41"/>
      <c r="X1351" s="41"/>
      <c r="Y1351" s="41"/>
      <c r="Z1351" s="41"/>
      <c r="AA1351" s="41"/>
      <c r="AB1351" s="41"/>
      <c r="AC1351" s="41"/>
      <c r="AD1351" s="41"/>
      <c r="AE1351" s="59">
        <v>2930.3591491279358</v>
      </c>
      <c r="AF1351" s="59">
        <v>2930.3591491279358</v>
      </c>
      <c r="AG1351" s="59" t="s">
        <v>1223</v>
      </c>
      <c r="AH1351" s="59" t="s">
        <v>1224</v>
      </c>
    </row>
    <row r="1352" spans="1:34" x14ac:dyDescent="0.35">
      <c r="A1352" s="58">
        <v>2025</v>
      </c>
      <c r="B1352" s="58">
        <v>6</v>
      </c>
      <c r="C1352">
        <v>6</v>
      </c>
      <c r="D1352" s="58" t="s">
        <v>1558</v>
      </c>
      <c r="E1352" t="s">
        <v>1223</v>
      </c>
      <c r="F1352" s="58" t="s">
        <v>845</v>
      </c>
      <c r="G1352" t="s">
        <v>846</v>
      </c>
      <c r="H1352" s="58" t="s">
        <v>1012</v>
      </c>
      <c r="I1352" t="s">
        <v>86</v>
      </c>
      <c r="J1352" s="58" t="s">
        <v>86</v>
      </c>
      <c r="K1352" t="s">
        <v>1429</v>
      </c>
      <c r="L1352" t="s">
        <v>20</v>
      </c>
      <c r="M1352" t="s">
        <v>1430</v>
      </c>
      <c r="N1352" s="59">
        <v>13978</v>
      </c>
      <c r="O1352" s="59">
        <v>69890000</v>
      </c>
      <c r="P1352" s="59">
        <v>0</v>
      </c>
      <c r="Q1352" s="59">
        <v>0</v>
      </c>
      <c r="R1352" s="59">
        <v>0</v>
      </c>
      <c r="S1352" s="59">
        <v>69890000</v>
      </c>
      <c r="T1352" s="41"/>
      <c r="U1352" s="41"/>
      <c r="V1352" s="41"/>
      <c r="W1352" s="41"/>
      <c r="X1352" s="41"/>
      <c r="Y1352" s="41"/>
      <c r="Z1352" s="41"/>
      <c r="AA1352" s="41"/>
      <c r="AB1352" s="41"/>
      <c r="AC1352" s="41"/>
      <c r="AD1352" s="41"/>
      <c r="AE1352" s="59">
        <v>2696.9028302943302</v>
      </c>
      <c r="AF1352" s="59">
        <v>2696.9028302943302</v>
      </c>
      <c r="AG1352" s="59" t="s">
        <v>1223</v>
      </c>
      <c r="AH1352" s="59" t="s">
        <v>1225</v>
      </c>
    </row>
    <row r="1353" spans="1:34" x14ac:dyDescent="0.35">
      <c r="A1353" s="58">
        <v>2025</v>
      </c>
      <c r="B1353" s="58">
        <v>6</v>
      </c>
      <c r="C1353">
        <v>6</v>
      </c>
      <c r="D1353" s="58" t="s">
        <v>1558</v>
      </c>
      <c r="E1353" t="s">
        <v>1223</v>
      </c>
      <c r="F1353" s="58" t="s">
        <v>847</v>
      </c>
      <c r="G1353" t="s">
        <v>848</v>
      </c>
      <c r="H1353" s="58" t="s">
        <v>1012</v>
      </c>
      <c r="I1353" t="s">
        <v>86</v>
      </c>
      <c r="J1353" s="58" t="s">
        <v>86</v>
      </c>
      <c r="K1353" t="s">
        <v>1429</v>
      </c>
      <c r="L1353" t="s">
        <v>20</v>
      </c>
      <c r="M1353" t="s">
        <v>1430</v>
      </c>
      <c r="N1353" s="59">
        <v>32861</v>
      </c>
      <c r="O1353" s="59">
        <v>164305000</v>
      </c>
      <c r="P1353" s="59">
        <v>0</v>
      </c>
      <c r="Q1353" s="59">
        <v>0</v>
      </c>
      <c r="R1353" s="59">
        <v>0</v>
      </c>
      <c r="S1353" s="59">
        <v>164305000</v>
      </c>
      <c r="T1353" s="41"/>
      <c r="U1353" s="41"/>
      <c r="V1353" s="41"/>
      <c r="W1353" s="41"/>
      <c r="X1353" s="41"/>
      <c r="Y1353" s="41"/>
      <c r="Z1353" s="41"/>
      <c r="AA1353" s="41"/>
      <c r="AB1353" s="41"/>
      <c r="AC1353" s="41"/>
      <c r="AD1353" s="41"/>
      <c r="AE1353" s="59">
        <v>6340.1719778438965</v>
      </c>
      <c r="AF1353" s="59">
        <v>6340.1719778438965</v>
      </c>
      <c r="AG1353" s="59" t="s">
        <v>1223</v>
      </c>
      <c r="AH1353" s="59" t="s">
        <v>1226</v>
      </c>
    </row>
    <row r="1354" spans="1:34" x14ac:dyDescent="0.35">
      <c r="A1354" s="58">
        <v>2025</v>
      </c>
      <c r="B1354" s="58">
        <v>6</v>
      </c>
      <c r="C1354">
        <v>6</v>
      </c>
      <c r="D1354" s="58" t="s">
        <v>652</v>
      </c>
      <c r="E1354" t="s">
        <v>71</v>
      </c>
      <c r="F1354" s="58" t="s">
        <v>171</v>
      </c>
      <c r="G1354" t="s">
        <v>731</v>
      </c>
      <c r="H1354" s="58" t="s">
        <v>4</v>
      </c>
      <c r="I1354" t="s">
        <v>4</v>
      </c>
      <c r="J1354" s="58" t="s">
        <v>4</v>
      </c>
      <c r="K1354" t="s">
        <v>1429</v>
      </c>
      <c r="L1354" t="s">
        <v>20</v>
      </c>
      <c r="M1354" t="s">
        <v>1430</v>
      </c>
      <c r="N1354" s="59">
        <v>4400</v>
      </c>
      <c r="O1354" s="59">
        <v>146527773</v>
      </c>
      <c r="P1354" s="59">
        <v>673992.86825595982</v>
      </c>
      <c r="Q1354" s="59">
        <v>0</v>
      </c>
      <c r="R1354" s="59">
        <v>0</v>
      </c>
      <c r="S1354" s="59">
        <v>145853780.13174403</v>
      </c>
      <c r="T1354" s="41"/>
      <c r="U1354" s="41"/>
      <c r="V1354" s="41"/>
      <c r="W1354" s="41"/>
      <c r="X1354" s="41"/>
      <c r="Y1354" s="41"/>
      <c r="Z1354" s="41"/>
      <c r="AA1354" s="41"/>
      <c r="AB1354" s="41"/>
      <c r="AC1354" s="41"/>
      <c r="AD1354" s="41"/>
      <c r="AE1354" s="59">
        <v>5628.1796028963718</v>
      </c>
      <c r="AF1354" s="59">
        <v>5654.1875192506095</v>
      </c>
      <c r="AG1354" s="59" t="s">
        <v>71</v>
      </c>
      <c r="AH1354" s="59" t="s">
        <v>1166</v>
      </c>
    </row>
    <row r="1355" spans="1:34" x14ac:dyDescent="0.35">
      <c r="A1355" s="58">
        <v>2025</v>
      </c>
      <c r="B1355" s="58">
        <v>6</v>
      </c>
      <c r="C1355">
        <v>6</v>
      </c>
      <c r="D1355" s="58" t="s">
        <v>636</v>
      </c>
      <c r="E1355" t="s">
        <v>270</v>
      </c>
      <c r="F1355" s="58" t="s">
        <v>171</v>
      </c>
      <c r="G1355" t="s">
        <v>731</v>
      </c>
      <c r="H1355" s="58" t="s">
        <v>4</v>
      </c>
      <c r="I1355" t="s">
        <v>4</v>
      </c>
      <c r="J1355" s="58" t="s">
        <v>4</v>
      </c>
      <c r="K1355" t="s">
        <v>1429</v>
      </c>
      <c r="L1355" t="s">
        <v>20</v>
      </c>
      <c r="M1355" t="s">
        <v>1430</v>
      </c>
      <c r="N1355" s="59">
        <v>22000</v>
      </c>
      <c r="O1355" s="59">
        <v>727425600.00000012</v>
      </c>
      <c r="P1355" s="59">
        <v>3369964.3412797996</v>
      </c>
      <c r="Q1355" s="59">
        <v>0</v>
      </c>
      <c r="R1355" s="59">
        <v>0</v>
      </c>
      <c r="S1355" s="59">
        <v>724055635.65872037</v>
      </c>
      <c r="T1355" s="41"/>
      <c r="U1355" s="41"/>
      <c r="V1355" s="41"/>
      <c r="W1355" s="41"/>
      <c r="X1355" s="41"/>
      <c r="Y1355" s="41"/>
      <c r="Z1355" s="41"/>
      <c r="AA1355" s="41"/>
      <c r="AB1355" s="41"/>
      <c r="AC1355" s="41"/>
      <c r="AD1355" s="41"/>
      <c r="AE1355" s="59">
        <v>27939.729476299373</v>
      </c>
      <c r="AF1355" s="59">
        <v>28069.76905807056</v>
      </c>
      <c r="AG1355" s="59" t="s">
        <v>102</v>
      </c>
      <c r="AH1355" s="59" t="s">
        <v>1166</v>
      </c>
    </row>
    <row r="1356" spans="1:34" x14ac:dyDescent="0.35">
      <c r="A1356" s="58">
        <v>2025</v>
      </c>
      <c r="B1356" s="58">
        <v>6</v>
      </c>
      <c r="C1356">
        <v>6</v>
      </c>
      <c r="D1356" s="58" t="s">
        <v>657</v>
      </c>
      <c r="E1356" t="s">
        <v>26</v>
      </c>
      <c r="F1356" s="58" t="s">
        <v>182</v>
      </c>
      <c r="G1356" t="s">
        <v>905</v>
      </c>
      <c r="H1356" s="58" t="s">
        <v>74</v>
      </c>
      <c r="I1356" t="s">
        <v>74</v>
      </c>
      <c r="J1356" s="58" t="s">
        <v>74</v>
      </c>
      <c r="K1356" t="s">
        <v>1429</v>
      </c>
      <c r="L1356" t="s">
        <v>20</v>
      </c>
      <c r="M1356" t="s">
        <v>1430</v>
      </c>
      <c r="N1356" s="59">
        <v>5500</v>
      </c>
      <c r="O1356" s="59">
        <v>90750000</v>
      </c>
      <c r="P1356" s="59">
        <v>842491.0853199499</v>
      </c>
      <c r="Q1356" s="59">
        <v>0</v>
      </c>
      <c r="R1356" s="59">
        <v>0</v>
      </c>
      <c r="S1356" s="59">
        <v>89907508.914680049</v>
      </c>
      <c r="T1356" s="41"/>
      <c r="U1356" s="41"/>
      <c r="V1356" s="41"/>
      <c r="W1356" s="41"/>
      <c r="X1356" s="41"/>
      <c r="Y1356" s="41"/>
      <c r="Z1356" s="41"/>
      <c r="AA1356" s="41"/>
      <c r="AB1356" s="41"/>
      <c r="AC1356" s="41"/>
      <c r="AD1356" s="41"/>
      <c r="AE1356" s="59">
        <v>3469.3348870612867</v>
      </c>
      <c r="AF1356" s="59">
        <v>3501.8447825040844</v>
      </c>
      <c r="AG1356" s="59" t="s">
        <v>26</v>
      </c>
      <c r="AH1356" s="59" t="s">
        <v>1242</v>
      </c>
    </row>
    <row r="1357" spans="1:34" x14ac:dyDescent="0.35">
      <c r="A1357" s="58">
        <v>2025</v>
      </c>
      <c r="B1357" s="58">
        <v>6</v>
      </c>
      <c r="C1357">
        <v>6</v>
      </c>
      <c r="D1357" s="58" t="s">
        <v>627</v>
      </c>
      <c r="E1357" t="s">
        <v>58</v>
      </c>
      <c r="F1357" s="58" t="s">
        <v>200</v>
      </c>
      <c r="G1357" t="s">
        <v>470</v>
      </c>
      <c r="H1357" s="58" t="s">
        <v>1428</v>
      </c>
      <c r="I1357" t="s">
        <v>76</v>
      </c>
      <c r="J1357" s="58" t="s">
        <v>76</v>
      </c>
      <c r="K1357" t="s">
        <v>1429</v>
      </c>
      <c r="L1357" t="s">
        <v>20</v>
      </c>
      <c r="M1357" t="s">
        <v>1430</v>
      </c>
      <c r="N1357" s="59">
        <v>12000</v>
      </c>
      <c r="O1357" s="59">
        <v>188888888</v>
      </c>
      <c r="P1357" s="59">
        <v>2695971.4730238393</v>
      </c>
      <c r="Q1357" s="59">
        <v>0</v>
      </c>
      <c r="R1357" s="59">
        <v>0</v>
      </c>
      <c r="S1357" s="59">
        <v>186192916.52697617</v>
      </c>
      <c r="T1357" s="41"/>
      <c r="U1357" s="41"/>
      <c r="V1357" s="41"/>
      <c r="W1357" s="41"/>
      <c r="X1357" s="41"/>
      <c r="Y1357" s="41"/>
      <c r="Z1357" s="41"/>
      <c r="AA1357" s="41"/>
      <c r="AB1357" s="41"/>
      <c r="AC1357" s="41"/>
      <c r="AD1357" s="41"/>
      <c r="AE1357" s="59">
        <v>7184.7789893025893</v>
      </c>
      <c r="AF1357" s="59">
        <v>7288.8106547195412</v>
      </c>
      <c r="AG1357" s="59" t="s">
        <v>58</v>
      </c>
      <c r="AH1357" s="59" t="s">
        <v>79</v>
      </c>
    </row>
    <row r="1358" spans="1:34" x14ac:dyDescent="0.35">
      <c r="A1358" s="58">
        <v>2025</v>
      </c>
      <c r="B1358" s="58">
        <v>6</v>
      </c>
      <c r="C1358">
        <v>6</v>
      </c>
      <c r="D1358" s="58" t="s">
        <v>611</v>
      </c>
      <c r="E1358" t="s">
        <v>269</v>
      </c>
      <c r="F1358" s="58" t="s">
        <v>168</v>
      </c>
      <c r="G1358" t="s">
        <v>700</v>
      </c>
      <c r="H1358" s="58" t="s">
        <v>4</v>
      </c>
      <c r="I1358" t="s">
        <v>4</v>
      </c>
      <c r="J1358" s="58" t="s">
        <v>4</v>
      </c>
      <c r="K1358" t="s">
        <v>1429</v>
      </c>
      <c r="L1358" t="s">
        <v>20</v>
      </c>
      <c r="M1358" t="s">
        <v>1430</v>
      </c>
      <c r="N1358" s="59">
        <v>88000</v>
      </c>
      <c r="O1358" s="59">
        <v>3243416000</v>
      </c>
      <c r="P1358" s="59">
        <v>13479857.365119198</v>
      </c>
      <c r="Q1358" s="59">
        <v>0</v>
      </c>
      <c r="R1358" s="59">
        <v>14960000</v>
      </c>
      <c r="S1358" s="59">
        <v>3214976142.634881</v>
      </c>
      <c r="T1358" s="41"/>
      <c r="U1358" s="41"/>
      <c r="V1358" s="41"/>
      <c r="W1358" s="41"/>
      <c r="X1358" s="41"/>
      <c r="Y1358" s="41"/>
      <c r="Z1358" s="41"/>
      <c r="AA1358" s="41"/>
      <c r="AB1358" s="41"/>
      <c r="AC1358" s="41"/>
      <c r="AD1358" s="41"/>
      <c r="AE1358" s="59">
        <v>124058.92485907508</v>
      </c>
      <c r="AF1358" s="59">
        <v>125156.35699273022</v>
      </c>
      <c r="AG1358" s="59" t="s">
        <v>99</v>
      </c>
      <c r="AH1358" s="59" t="s">
        <v>1160</v>
      </c>
    </row>
    <row r="1359" spans="1:34" x14ac:dyDescent="0.35">
      <c r="A1359" s="58">
        <v>2025</v>
      </c>
      <c r="B1359" s="58">
        <v>6</v>
      </c>
      <c r="C1359">
        <v>6</v>
      </c>
      <c r="D1359" s="58" t="s">
        <v>611</v>
      </c>
      <c r="E1359" t="s">
        <v>269</v>
      </c>
      <c r="F1359" s="58" t="s">
        <v>168</v>
      </c>
      <c r="G1359" t="s">
        <v>700</v>
      </c>
      <c r="H1359" s="58" t="s">
        <v>4</v>
      </c>
      <c r="I1359" t="s">
        <v>4</v>
      </c>
      <c r="J1359" s="58" t="s">
        <v>4</v>
      </c>
      <c r="K1359" t="s">
        <v>1429</v>
      </c>
      <c r="L1359" t="s">
        <v>20</v>
      </c>
      <c r="M1359" t="s">
        <v>1591</v>
      </c>
      <c r="N1359" s="59">
        <v>0</v>
      </c>
      <c r="O1359" s="59">
        <v>-96613440</v>
      </c>
      <c r="P1359" s="59">
        <v>0</v>
      </c>
      <c r="Q1359" s="59">
        <v>0</v>
      </c>
      <c r="R1359" s="59">
        <v>0</v>
      </c>
      <c r="S1359" s="59">
        <v>-96613440</v>
      </c>
      <c r="T1359" s="41"/>
      <c r="U1359" s="41"/>
      <c r="V1359" s="41"/>
      <c r="W1359" s="41"/>
      <c r="X1359" s="41"/>
      <c r="Y1359" s="41"/>
      <c r="Z1359" s="41"/>
      <c r="AA1359" s="41"/>
      <c r="AB1359" s="41"/>
      <c r="AC1359" s="41"/>
      <c r="AD1359" s="41"/>
      <c r="AE1359" s="59">
        <v>-3728.1021573969301</v>
      </c>
      <c r="AF1359" s="59">
        <v>-3728.1021573969301</v>
      </c>
      <c r="AG1359" s="59" t="s">
        <v>99</v>
      </c>
      <c r="AH1359" s="59" t="s">
        <v>1160</v>
      </c>
    </row>
    <row r="1360" spans="1:34" x14ac:dyDescent="0.35">
      <c r="A1360" s="58">
        <v>2025</v>
      </c>
      <c r="B1360" s="58">
        <v>6</v>
      </c>
      <c r="C1360">
        <v>6</v>
      </c>
      <c r="D1360" s="58" t="s">
        <v>603</v>
      </c>
      <c r="E1360" t="s">
        <v>56</v>
      </c>
      <c r="F1360" s="58" t="s">
        <v>203</v>
      </c>
      <c r="G1360" t="s">
        <v>472</v>
      </c>
      <c r="H1360" s="58" t="s">
        <v>1428</v>
      </c>
      <c r="I1360" t="s">
        <v>76</v>
      </c>
      <c r="J1360" s="58" t="s">
        <v>76</v>
      </c>
      <c r="K1360" t="s">
        <v>1429</v>
      </c>
      <c r="L1360" t="s">
        <v>20</v>
      </c>
      <c r="M1360" t="s">
        <v>1430</v>
      </c>
      <c r="N1360" s="59">
        <v>26250</v>
      </c>
      <c r="O1360" s="59">
        <v>406875000</v>
      </c>
      <c r="P1360" s="59">
        <v>5897437.5972396489</v>
      </c>
      <c r="Q1360" s="59">
        <v>0</v>
      </c>
      <c r="R1360" s="59">
        <v>0</v>
      </c>
      <c r="S1360" s="59">
        <v>400977562.40276039</v>
      </c>
      <c r="T1360" s="41"/>
      <c r="U1360" s="41"/>
      <c r="V1360" s="41"/>
      <c r="W1360" s="41"/>
      <c r="X1360" s="41"/>
      <c r="Y1360" s="41"/>
      <c r="Z1360" s="41"/>
      <c r="AA1360" s="41"/>
      <c r="AB1360" s="41"/>
      <c r="AC1360" s="41"/>
      <c r="AD1360" s="41"/>
      <c r="AE1360" s="59">
        <v>15472.850521226583</v>
      </c>
      <c r="AF1360" s="59">
        <v>15700.419789326163</v>
      </c>
      <c r="AG1360" s="59" t="s">
        <v>56</v>
      </c>
      <c r="AH1360" s="59" t="s">
        <v>78</v>
      </c>
    </row>
    <row r="1361" spans="1:34" x14ac:dyDescent="0.35">
      <c r="A1361" s="58">
        <v>2025</v>
      </c>
      <c r="B1361" s="58">
        <v>6</v>
      </c>
      <c r="C1361">
        <v>6</v>
      </c>
      <c r="D1361" s="58" t="s">
        <v>603</v>
      </c>
      <c r="E1361" t="s">
        <v>56</v>
      </c>
      <c r="F1361" s="58" t="s">
        <v>204</v>
      </c>
      <c r="G1361" t="s">
        <v>474</v>
      </c>
      <c r="H1361" s="58" t="s">
        <v>1428</v>
      </c>
      <c r="I1361" t="s">
        <v>76</v>
      </c>
      <c r="J1361" s="58" t="s">
        <v>76</v>
      </c>
      <c r="K1361" t="s">
        <v>1429</v>
      </c>
      <c r="L1361" t="s">
        <v>20</v>
      </c>
      <c r="M1361" t="s">
        <v>1430</v>
      </c>
      <c r="N1361" s="59">
        <v>5250</v>
      </c>
      <c r="O1361" s="59">
        <v>81375000</v>
      </c>
      <c r="P1361" s="59">
        <v>1179487.5194479297</v>
      </c>
      <c r="Q1361" s="59">
        <v>0</v>
      </c>
      <c r="R1361" s="59">
        <v>0</v>
      </c>
      <c r="S1361" s="59">
        <v>80195512.480552077</v>
      </c>
      <c r="T1361" s="41"/>
      <c r="U1361" s="41"/>
      <c r="V1361" s="41"/>
      <c r="W1361" s="41"/>
      <c r="X1361" s="41"/>
      <c r="Y1361" s="41"/>
      <c r="Z1361" s="41"/>
      <c r="AA1361" s="41"/>
      <c r="AB1361" s="41"/>
      <c r="AC1361" s="41"/>
      <c r="AD1361" s="41"/>
      <c r="AE1361" s="59">
        <v>3094.5701042453165</v>
      </c>
      <c r="AF1361" s="59">
        <v>3140.0839578652326</v>
      </c>
      <c r="AG1361" s="59" t="s">
        <v>56</v>
      </c>
      <c r="AH1361" s="59" t="s">
        <v>81</v>
      </c>
    </row>
    <row r="1362" spans="1:34" x14ac:dyDescent="0.35">
      <c r="A1362" s="58">
        <v>2025</v>
      </c>
      <c r="B1362" s="58">
        <v>6</v>
      </c>
      <c r="C1362">
        <v>6</v>
      </c>
      <c r="D1362" s="58" t="s">
        <v>628</v>
      </c>
      <c r="E1362" t="s">
        <v>57</v>
      </c>
      <c r="F1362" s="58" t="s">
        <v>199</v>
      </c>
      <c r="G1362" t="s">
        <v>758</v>
      </c>
      <c r="H1362" s="58" t="s">
        <v>1428</v>
      </c>
      <c r="I1362" t="s">
        <v>76</v>
      </c>
      <c r="J1362" s="58" t="s">
        <v>76</v>
      </c>
      <c r="K1362" t="s">
        <v>1429</v>
      </c>
      <c r="L1362" t="s">
        <v>20</v>
      </c>
      <c r="M1362" t="s">
        <v>1430</v>
      </c>
      <c r="N1362" s="59">
        <v>33000</v>
      </c>
      <c r="O1362" s="59">
        <v>628833333</v>
      </c>
      <c r="P1362" s="59">
        <v>0</v>
      </c>
      <c r="Q1362" s="59">
        <v>33000000</v>
      </c>
      <c r="R1362" s="59">
        <v>0</v>
      </c>
      <c r="S1362" s="59">
        <v>595833333</v>
      </c>
      <c r="T1362" s="41"/>
      <c r="U1362" s="41"/>
      <c r="V1362" s="41"/>
      <c r="W1362" s="41"/>
      <c r="X1362" s="41"/>
      <c r="Y1362" s="41"/>
      <c r="Z1362" s="41"/>
      <c r="AA1362" s="41"/>
      <c r="AB1362" s="41"/>
      <c r="AC1362" s="41"/>
      <c r="AD1362" s="41"/>
      <c r="AE1362" s="59">
        <v>22991.910175295525</v>
      </c>
      <c r="AF1362" s="59">
        <v>24265.30827802428</v>
      </c>
      <c r="AG1362" s="59" t="s">
        <v>57</v>
      </c>
      <c r="AH1362" s="59" t="s">
        <v>1254</v>
      </c>
    </row>
    <row r="1363" spans="1:34" x14ac:dyDescent="0.35">
      <c r="A1363" s="58">
        <v>2025</v>
      </c>
      <c r="B1363" s="58">
        <v>6</v>
      </c>
      <c r="C1363">
        <v>6</v>
      </c>
      <c r="D1363" s="58" t="s">
        <v>628</v>
      </c>
      <c r="E1363" t="s">
        <v>57</v>
      </c>
      <c r="F1363" s="58" t="s">
        <v>200</v>
      </c>
      <c r="G1363" t="s">
        <v>470</v>
      </c>
      <c r="H1363" s="58" t="s">
        <v>1428</v>
      </c>
      <c r="I1363" t="s">
        <v>76</v>
      </c>
      <c r="J1363" s="58" t="s">
        <v>76</v>
      </c>
      <c r="K1363" t="s">
        <v>1429</v>
      </c>
      <c r="L1363" t="s">
        <v>20</v>
      </c>
      <c r="M1363" t="s">
        <v>1430</v>
      </c>
      <c r="N1363" s="59">
        <v>6000</v>
      </c>
      <c r="O1363" s="59">
        <v>102777778</v>
      </c>
      <c r="P1363" s="59">
        <v>1347985.7365119196</v>
      </c>
      <c r="Q1363" s="59">
        <v>6000000</v>
      </c>
      <c r="R1363" s="59">
        <v>0</v>
      </c>
      <c r="S1363" s="59">
        <v>95429792.263488084</v>
      </c>
      <c r="T1363" s="41"/>
      <c r="U1363" s="41"/>
      <c r="V1363" s="41"/>
      <c r="W1363" s="41"/>
      <c r="X1363" s="41"/>
      <c r="Y1363" s="41"/>
      <c r="Z1363" s="41"/>
      <c r="AA1363" s="41"/>
      <c r="AB1363" s="41"/>
      <c r="AC1363" s="41"/>
      <c r="AD1363" s="41"/>
      <c r="AE1363" s="59">
        <v>3682.4277700644011</v>
      </c>
      <c r="AF1363" s="59">
        <v>3965.9705305417419</v>
      </c>
      <c r="AG1363" s="59" t="s">
        <v>57</v>
      </c>
      <c r="AH1363" s="59" t="s">
        <v>79</v>
      </c>
    </row>
    <row r="1364" spans="1:34" x14ac:dyDescent="0.35">
      <c r="A1364" s="58">
        <v>2025</v>
      </c>
      <c r="B1364" s="58">
        <v>6</v>
      </c>
      <c r="C1364">
        <v>6</v>
      </c>
      <c r="D1364" s="58" t="s">
        <v>628</v>
      </c>
      <c r="E1364" t="s">
        <v>57</v>
      </c>
      <c r="F1364" s="58" t="s">
        <v>205</v>
      </c>
      <c r="G1364" t="s">
        <v>475</v>
      </c>
      <c r="H1364" s="58" t="s">
        <v>1428</v>
      </c>
      <c r="I1364" t="s">
        <v>76</v>
      </c>
      <c r="J1364" s="58" t="s">
        <v>76</v>
      </c>
      <c r="K1364" t="s">
        <v>1429</v>
      </c>
      <c r="L1364" t="s">
        <v>20</v>
      </c>
      <c r="M1364" t="s">
        <v>1430</v>
      </c>
      <c r="N1364" s="59">
        <v>28000</v>
      </c>
      <c r="O1364" s="59">
        <v>362962961</v>
      </c>
      <c r="P1364" s="59">
        <v>6402932.2484316183</v>
      </c>
      <c r="Q1364" s="59">
        <v>0</v>
      </c>
      <c r="R1364" s="59">
        <v>0</v>
      </c>
      <c r="S1364" s="59">
        <v>356560028.75156838</v>
      </c>
      <c r="T1364" s="41"/>
      <c r="U1364" s="41"/>
      <c r="V1364" s="41"/>
      <c r="W1364" s="41"/>
      <c r="X1364" s="41"/>
      <c r="Y1364" s="41"/>
      <c r="Z1364" s="41"/>
      <c r="AA1364" s="41"/>
      <c r="AB1364" s="41"/>
      <c r="AC1364" s="41"/>
      <c r="AD1364" s="41"/>
      <c r="AE1364" s="59">
        <v>13758.874670338137</v>
      </c>
      <c r="AF1364" s="59">
        <v>14005.949875703398</v>
      </c>
      <c r="AG1364" s="59" t="s">
        <v>57</v>
      </c>
      <c r="AH1364" s="59" t="s">
        <v>82</v>
      </c>
    </row>
    <row r="1365" spans="1:34" x14ac:dyDescent="0.35">
      <c r="A1365" s="58">
        <v>2025</v>
      </c>
      <c r="B1365" s="58">
        <v>6</v>
      </c>
      <c r="C1365">
        <v>6</v>
      </c>
      <c r="D1365" s="58" t="s">
        <v>638</v>
      </c>
      <c r="E1365" t="s">
        <v>52</v>
      </c>
      <c r="F1365" s="58" t="s">
        <v>185</v>
      </c>
      <c r="G1365" t="s">
        <v>720</v>
      </c>
      <c r="H1365" s="58" t="s">
        <v>1428</v>
      </c>
      <c r="I1365" t="s">
        <v>75</v>
      </c>
      <c r="J1365" s="58" t="s">
        <v>75</v>
      </c>
      <c r="K1365" t="s">
        <v>1429</v>
      </c>
      <c r="L1365" t="s">
        <v>20</v>
      </c>
      <c r="M1365" t="s">
        <v>1431</v>
      </c>
      <c r="N1365" s="59">
        <v>-6875</v>
      </c>
      <c r="O1365" s="59">
        <v>0</v>
      </c>
      <c r="P1365" s="59">
        <v>0</v>
      </c>
      <c r="Q1365" s="59">
        <v>0</v>
      </c>
      <c r="R1365" s="59">
        <v>0</v>
      </c>
      <c r="S1365" s="59">
        <v>0</v>
      </c>
      <c r="T1365" s="41"/>
      <c r="U1365" s="41"/>
      <c r="V1365" s="41"/>
      <c r="W1365" s="41"/>
      <c r="X1365" s="41"/>
      <c r="Y1365" s="41"/>
      <c r="Z1365" s="41"/>
      <c r="AA1365" s="41"/>
      <c r="AB1365" s="41"/>
      <c r="AC1365" s="41"/>
      <c r="AD1365" s="41"/>
      <c r="AE1365" s="59">
        <v>0</v>
      </c>
      <c r="AF1365" s="59">
        <v>0</v>
      </c>
      <c r="AG1365" s="59" t="s">
        <v>52</v>
      </c>
      <c r="AH1365" s="59" t="s">
        <v>1199</v>
      </c>
    </row>
    <row r="1366" spans="1:34" x14ac:dyDescent="0.35">
      <c r="A1366" s="58">
        <v>2025</v>
      </c>
      <c r="B1366" s="58">
        <v>6</v>
      </c>
      <c r="C1366">
        <v>6</v>
      </c>
      <c r="D1366" s="58" t="s">
        <v>638</v>
      </c>
      <c r="E1366" t="s">
        <v>52</v>
      </c>
      <c r="F1366" s="58" t="s">
        <v>185</v>
      </c>
      <c r="G1366" t="s">
        <v>720</v>
      </c>
      <c r="H1366" s="58" t="s">
        <v>1428</v>
      </c>
      <c r="I1366" t="s">
        <v>75</v>
      </c>
      <c r="J1366" s="58" t="s">
        <v>75</v>
      </c>
      <c r="K1366" t="s">
        <v>1429</v>
      </c>
      <c r="L1366" t="s">
        <v>20</v>
      </c>
      <c r="M1366" t="s">
        <v>1430</v>
      </c>
      <c r="N1366" s="59">
        <v>28125</v>
      </c>
      <c r="O1366" s="59">
        <v>447932292</v>
      </c>
      <c r="P1366" s="59">
        <v>0</v>
      </c>
      <c r="Q1366" s="59">
        <v>0</v>
      </c>
      <c r="R1366" s="59">
        <v>2700000</v>
      </c>
      <c r="S1366" s="59">
        <v>445232292</v>
      </c>
      <c r="T1366" s="41"/>
      <c r="U1366" s="41"/>
      <c r="V1366" s="41"/>
      <c r="W1366" s="41"/>
      <c r="X1366" s="41"/>
      <c r="Y1366" s="41"/>
      <c r="Z1366" s="41"/>
      <c r="AA1366" s="41"/>
      <c r="AB1366" s="41"/>
      <c r="AC1366" s="41"/>
      <c r="AD1366" s="41"/>
      <c r="AE1366" s="59">
        <v>17180.544118375041</v>
      </c>
      <c r="AF1366" s="59">
        <v>17284.73123587103</v>
      </c>
      <c r="AG1366" s="59" t="s">
        <v>52</v>
      </c>
      <c r="AH1366" s="59" t="s">
        <v>1199</v>
      </c>
    </row>
    <row r="1367" spans="1:34" x14ac:dyDescent="0.35">
      <c r="A1367" s="58">
        <v>2025</v>
      </c>
      <c r="B1367" s="58">
        <v>6</v>
      </c>
      <c r="C1367">
        <v>6</v>
      </c>
      <c r="D1367" s="58" t="s">
        <v>638</v>
      </c>
      <c r="E1367" t="s">
        <v>52</v>
      </c>
      <c r="F1367" s="58" t="s">
        <v>185</v>
      </c>
      <c r="G1367" t="s">
        <v>720</v>
      </c>
      <c r="H1367" s="58" t="s">
        <v>1428</v>
      </c>
      <c r="I1367" t="s">
        <v>75</v>
      </c>
      <c r="J1367" s="58" t="s">
        <v>75</v>
      </c>
      <c r="K1367" t="s">
        <v>1429</v>
      </c>
      <c r="L1367" t="s">
        <v>20</v>
      </c>
      <c r="M1367" t="s">
        <v>1432</v>
      </c>
      <c r="N1367" s="59">
        <v>6875</v>
      </c>
      <c r="O1367" s="59">
        <v>0</v>
      </c>
      <c r="P1367" s="59">
        <v>0</v>
      </c>
      <c r="Q1367" s="59">
        <v>0</v>
      </c>
      <c r="R1367" s="59">
        <v>0</v>
      </c>
      <c r="S1367" s="59">
        <v>0</v>
      </c>
      <c r="T1367" s="41"/>
      <c r="U1367" s="41"/>
      <c r="V1367" s="41"/>
      <c r="W1367" s="41"/>
      <c r="X1367" s="41"/>
      <c r="Y1367" s="41"/>
      <c r="Z1367" s="41"/>
      <c r="AA1367" s="41"/>
      <c r="AB1367" s="41"/>
      <c r="AC1367" s="41"/>
      <c r="AD1367" s="41"/>
      <c r="AE1367" s="59">
        <v>0</v>
      </c>
      <c r="AF1367" s="59">
        <v>0</v>
      </c>
      <c r="AG1367" s="59" t="s">
        <v>52</v>
      </c>
      <c r="AH1367" s="59" t="s">
        <v>1199</v>
      </c>
    </row>
    <row r="1368" spans="1:34" x14ac:dyDescent="0.35">
      <c r="A1368" s="58">
        <v>2025</v>
      </c>
      <c r="B1368" s="58">
        <v>6</v>
      </c>
      <c r="C1368">
        <v>6</v>
      </c>
      <c r="D1368" s="58" t="s">
        <v>664</v>
      </c>
      <c r="E1368" t="s">
        <v>326</v>
      </c>
      <c r="F1368" s="58" t="s">
        <v>1152</v>
      </c>
      <c r="G1368" t="s">
        <v>1153</v>
      </c>
      <c r="H1368" s="58" t="s">
        <v>1012</v>
      </c>
      <c r="I1368" t="s">
        <v>1012</v>
      </c>
      <c r="J1368" s="58" t="s">
        <v>1399</v>
      </c>
      <c r="K1368" t="s">
        <v>1429</v>
      </c>
      <c r="L1368" t="s">
        <v>20</v>
      </c>
      <c r="M1368" t="s">
        <v>1430</v>
      </c>
      <c r="N1368" s="59">
        <v>0</v>
      </c>
      <c r="O1368" s="59">
        <v>0</v>
      </c>
      <c r="P1368" s="59">
        <v>0</v>
      </c>
      <c r="Q1368" s="59">
        <v>0</v>
      </c>
      <c r="R1368" s="59">
        <v>3080000</v>
      </c>
      <c r="S1368" s="59">
        <v>-3080000</v>
      </c>
      <c r="T1368" s="41"/>
      <c r="U1368" s="41"/>
      <c r="V1368" s="41"/>
      <c r="W1368" s="41"/>
      <c r="X1368" s="41"/>
      <c r="Y1368" s="41"/>
      <c r="Z1368" s="41"/>
      <c r="AA1368" s="41"/>
      <c r="AB1368" s="41"/>
      <c r="AC1368" s="41"/>
      <c r="AD1368" s="41"/>
      <c r="AE1368" s="59">
        <v>-118.85048958801741</v>
      </c>
      <c r="AF1368" s="59">
        <v>0</v>
      </c>
      <c r="AG1368" s="59" t="s">
        <v>8</v>
      </c>
      <c r="AH1368" s="59" t="s">
        <v>1400</v>
      </c>
    </row>
    <row r="1369" spans="1:34" x14ac:dyDescent="0.35">
      <c r="A1369" s="58">
        <v>2025</v>
      </c>
      <c r="B1369" s="58">
        <v>6</v>
      </c>
      <c r="C1369">
        <v>6</v>
      </c>
      <c r="D1369" s="58" t="s">
        <v>600</v>
      </c>
      <c r="E1369" t="s">
        <v>323</v>
      </c>
      <c r="F1369" s="58" t="s">
        <v>171</v>
      </c>
      <c r="G1369" t="s">
        <v>731</v>
      </c>
      <c r="H1369" s="58" t="s">
        <v>4</v>
      </c>
      <c r="I1369" t="s">
        <v>4</v>
      </c>
      <c r="J1369" s="58" t="s">
        <v>4</v>
      </c>
      <c r="K1369" t="s">
        <v>1429</v>
      </c>
      <c r="L1369" t="s">
        <v>20</v>
      </c>
      <c r="M1369" t="s">
        <v>1430</v>
      </c>
      <c r="N1369" s="59">
        <v>44000</v>
      </c>
      <c r="O1369" s="59">
        <v>1410772000</v>
      </c>
      <c r="P1369" s="59">
        <v>6739928.6825595992</v>
      </c>
      <c r="Q1369" s="59">
        <v>0</v>
      </c>
      <c r="R1369" s="59">
        <v>6160000</v>
      </c>
      <c r="S1369" s="59">
        <v>1397872071.3174405</v>
      </c>
      <c r="T1369" s="41"/>
      <c r="U1369" s="41"/>
      <c r="V1369" s="41"/>
      <c r="W1369" s="41"/>
      <c r="X1369" s="41"/>
      <c r="Y1369" s="41"/>
      <c r="Z1369" s="41"/>
      <c r="AA1369" s="41"/>
      <c r="AB1369" s="41"/>
      <c r="AC1369" s="41"/>
      <c r="AD1369" s="41"/>
      <c r="AE1369" s="59">
        <v>53940.837681004479</v>
      </c>
      <c r="AF1369" s="59">
        <v>54438.617823722889</v>
      </c>
      <c r="AG1369" s="59" t="s">
        <v>5</v>
      </c>
      <c r="AH1369" s="59" t="s">
        <v>1166</v>
      </c>
    </row>
    <row r="1370" spans="1:34" x14ac:dyDescent="0.35">
      <c r="A1370" s="58">
        <v>2025</v>
      </c>
      <c r="B1370" s="58">
        <v>6</v>
      </c>
      <c r="C1370">
        <v>6</v>
      </c>
      <c r="D1370" s="58" t="s">
        <v>667</v>
      </c>
      <c r="E1370" t="s">
        <v>114</v>
      </c>
      <c r="F1370" s="58" t="s">
        <v>171</v>
      </c>
      <c r="G1370" t="s">
        <v>731</v>
      </c>
      <c r="H1370" s="58" t="s">
        <v>4</v>
      </c>
      <c r="I1370" t="s">
        <v>4</v>
      </c>
      <c r="J1370" s="58" t="s">
        <v>4</v>
      </c>
      <c r="K1370" t="s">
        <v>1429</v>
      </c>
      <c r="L1370" t="s">
        <v>20</v>
      </c>
      <c r="M1370" t="s">
        <v>1430</v>
      </c>
      <c r="N1370" s="59">
        <v>25</v>
      </c>
      <c r="O1370" s="59">
        <v>835500</v>
      </c>
      <c r="P1370" s="59">
        <v>0</v>
      </c>
      <c r="Q1370" s="59">
        <v>0</v>
      </c>
      <c r="R1370" s="59">
        <v>0</v>
      </c>
      <c r="S1370" s="59">
        <v>835500</v>
      </c>
      <c r="T1370" s="41"/>
      <c r="U1370" s="41"/>
      <c r="V1370" s="41"/>
      <c r="W1370" s="41"/>
      <c r="X1370" s="41"/>
      <c r="Y1370" s="41"/>
      <c r="Z1370" s="41"/>
      <c r="AA1370" s="41"/>
      <c r="AB1370" s="41"/>
      <c r="AC1370" s="41"/>
      <c r="AD1370" s="41"/>
      <c r="AE1370" s="59">
        <v>32.240124691814465</v>
      </c>
      <c r="AF1370" s="59">
        <v>32.240124691814465</v>
      </c>
      <c r="AG1370" s="59" t="s">
        <v>114</v>
      </c>
      <c r="AH1370" s="59" t="s">
        <v>1166</v>
      </c>
    </row>
    <row r="1371" spans="1:34" x14ac:dyDescent="0.35">
      <c r="A1371" s="58">
        <v>2025</v>
      </c>
      <c r="B1371" s="58">
        <v>6</v>
      </c>
      <c r="C1371">
        <v>6</v>
      </c>
      <c r="D1371" s="58" t="s">
        <v>667</v>
      </c>
      <c r="E1371" t="s">
        <v>114</v>
      </c>
      <c r="F1371" s="58" t="s">
        <v>172</v>
      </c>
      <c r="G1371" t="s">
        <v>734</v>
      </c>
      <c r="H1371" s="58" t="s">
        <v>4</v>
      </c>
      <c r="I1371" t="s">
        <v>4</v>
      </c>
      <c r="J1371" s="58" t="s">
        <v>4</v>
      </c>
      <c r="K1371" t="s">
        <v>1429</v>
      </c>
      <c r="L1371" t="s">
        <v>20</v>
      </c>
      <c r="M1371" t="s">
        <v>1430</v>
      </c>
      <c r="N1371" s="59">
        <v>25</v>
      </c>
      <c r="O1371" s="59">
        <v>855000</v>
      </c>
      <c r="P1371" s="59">
        <v>0</v>
      </c>
      <c r="Q1371" s="59">
        <v>0</v>
      </c>
      <c r="R1371" s="59">
        <v>0</v>
      </c>
      <c r="S1371" s="59">
        <v>855000</v>
      </c>
      <c r="T1371" s="41"/>
      <c r="U1371" s="41"/>
      <c r="V1371" s="41"/>
      <c r="W1371" s="41"/>
      <c r="X1371" s="41"/>
      <c r="Y1371" s="41"/>
      <c r="Z1371" s="41"/>
      <c r="AA1371" s="41"/>
      <c r="AB1371" s="41"/>
      <c r="AC1371" s="41"/>
      <c r="AD1371" s="41"/>
      <c r="AE1371" s="59">
        <v>32.992587207063274</v>
      </c>
      <c r="AF1371" s="59">
        <v>32.992587207063274</v>
      </c>
      <c r="AG1371" s="59" t="s">
        <v>114</v>
      </c>
      <c r="AH1371" s="59" t="s">
        <v>1175</v>
      </c>
    </row>
    <row r="1372" spans="1:34" x14ac:dyDescent="0.35">
      <c r="A1372" s="58">
        <v>2025</v>
      </c>
      <c r="B1372" s="58">
        <v>6</v>
      </c>
      <c r="C1372">
        <v>6</v>
      </c>
      <c r="D1372" s="58" t="s">
        <v>592</v>
      </c>
      <c r="E1372" t="s">
        <v>23</v>
      </c>
      <c r="F1372" s="58" t="s">
        <v>182</v>
      </c>
      <c r="G1372" t="s">
        <v>905</v>
      </c>
      <c r="H1372" s="58" t="s">
        <v>74</v>
      </c>
      <c r="I1372" t="s">
        <v>74</v>
      </c>
      <c r="J1372" s="58" t="s">
        <v>74</v>
      </c>
      <c r="K1372" t="s">
        <v>1429</v>
      </c>
      <c r="L1372" t="s">
        <v>20</v>
      </c>
      <c r="M1372" t="s">
        <v>1430</v>
      </c>
      <c r="N1372" s="59">
        <v>46900</v>
      </c>
      <c r="O1372" s="59">
        <v>820750000</v>
      </c>
      <c r="P1372" s="59">
        <v>7245423.3337515686</v>
      </c>
      <c r="Q1372" s="59">
        <v>0</v>
      </c>
      <c r="R1372" s="59">
        <v>0</v>
      </c>
      <c r="S1372" s="59">
        <v>813504576.66624844</v>
      </c>
      <c r="T1372" s="41"/>
      <c r="U1372" s="41"/>
      <c r="V1372" s="41"/>
      <c r="W1372" s="41"/>
      <c r="X1372" s="41"/>
      <c r="Y1372" s="41"/>
      <c r="Z1372" s="41"/>
      <c r="AA1372" s="41"/>
      <c r="AB1372" s="41"/>
      <c r="AC1372" s="41"/>
      <c r="AD1372" s="41"/>
      <c r="AE1372" s="59">
        <v>31391.369226907947</v>
      </c>
      <c r="AF1372" s="59">
        <v>31670.954327715997</v>
      </c>
      <c r="AG1372" s="59" t="s">
        <v>23</v>
      </c>
      <c r="AH1372" s="59" t="s">
        <v>1242</v>
      </c>
    </row>
    <row r="1373" spans="1:34" x14ac:dyDescent="0.35">
      <c r="A1373" s="58">
        <v>2025</v>
      </c>
      <c r="B1373" s="58">
        <v>6</v>
      </c>
      <c r="C1373">
        <v>6</v>
      </c>
      <c r="D1373" s="58" t="s">
        <v>653</v>
      </c>
      <c r="E1373" t="s">
        <v>108</v>
      </c>
      <c r="F1373" s="58" t="s">
        <v>175</v>
      </c>
      <c r="G1373" t="s">
        <v>947</v>
      </c>
      <c r="H1373" s="58" t="s">
        <v>4</v>
      </c>
      <c r="I1373" t="s">
        <v>4</v>
      </c>
      <c r="J1373" s="58" t="s">
        <v>4</v>
      </c>
      <c r="K1373" t="s">
        <v>1429</v>
      </c>
      <c r="L1373" t="s">
        <v>20</v>
      </c>
      <c r="M1373" t="s">
        <v>1430</v>
      </c>
      <c r="N1373" s="59">
        <v>500</v>
      </c>
      <c r="O1373" s="59">
        <v>16375000</v>
      </c>
      <c r="P1373" s="59">
        <v>0</v>
      </c>
      <c r="Q1373" s="59">
        <v>0</v>
      </c>
      <c r="R1373" s="59">
        <v>0</v>
      </c>
      <c r="S1373" s="59">
        <v>16375000</v>
      </c>
      <c r="T1373" s="41"/>
      <c r="U1373" s="41"/>
      <c r="V1373" s="41"/>
      <c r="W1373" s="41"/>
      <c r="X1373" s="41"/>
      <c r="Y1373" s="41"/>
      <c r="Z1373" s="41"/>
      <c r="AA1373" s="41"/>
      <c r="AB1373" s="41"/>
      <c r="AC1373" s="41"/>
      <c r="AD1373" s="41"/>
      <c r="AE1373" s="59">
        <v>631.87557370252762</v>
      </c>
      <c r="AF1373" s="59">
        <v>631.87557370252762</v>
      </c>
      <c r="AG1373" s="59" t="s">
        <v>108</v>
      </c>
      <c r="AH1373" s="59" t="s">
        <v>1190</v>
      </c>
    </row>
    <row r="1374" spans="1:34" x14ac:dyDescent="0.35">
      <c r="A1374" s="58">
        <v>2025</v>
      </c>
      <c r="B1374" s="58">
        <v>6</v>
      </c>
      <c r="C1374">
        <v>6</v>
      </c>
      <c r="D1374" s="58" t="s">
        <v>1596</v>
      </c>
      <c r="E1374" t="s">
        <v>1297</v>
      </c>
      <c r="F1374" s="58" t="s">
        <v>1597</v>
      </c>
      <c r="G1374" t="s">
        <v>1598</v>
      </c>
      <c r="H1374" s="58" t="s">
        <v>1012</v>
      </c>
      <c r="I1374" t="s">
        <v>1012</v>
      </c>
      <c r="J1374" s="58" t="s">
        <v>1012</v>
      </c>
      <c r="K1374" t="s">
        <v>1429</v>
      </c>
      <c r="L1374" t="s">
        <v>20</v>
      </c>
      <c r="M1374" t="s">
        <v>1430</v>
      </c>
      <c r="N1374" s="59">
        <v>0</v>
      </c>
      <c r="O1374" s="59">
        <v>0</v>
      </c>
      <c r="P1374" s="59">
        <v>0</v>
      </c>
      <c r="Q1374" s="59">
        <v>0</v>
      </c>
      <c r="R1374" s="59">
        <v>0</v>
      </c>
      <c r="S1374" s="59">
        <v>0</v>
      </c>
      <c r="T1374" s="41"/>
      <c r="U1374" s="41"/>
      <c r="V1374" s="41"/>
      <c r="W1374" s="41"/>
      <c r="X1374" s="41"/>
      <c r="Y1374" s="41"/>
      <c r="Z1374" s="41"/>
      <c r="AA1374" s="41"/>
      <c r="AB1374" s="41"/>
      <c r="AC1374" s="41"/>
      <c r="AD1374" s="41"/>
      <c r="AE1374" s="59">
        <v>0</v>
      </c>
      <c r="AF1374" s="59">
        <v>0</v>
      </c>
      <c r="AG1374" s="59" t="s">
        <v>1297</v>
      </c>
      <c r="AH1374" s="59" t="s">
        <v>1327</v>
      </c>
    </row>
    <row r="1375" spans="1:34" x14ac:dyDescent="0.35">
      <c r="A1375" s="58">
        <v>2025</v>
      </c>
      <c r="B1375" s="58">
        <v>6</v>
      </c>
      <c r="C1375">
        <v>6</v>
      </c>
      <c r="D1375" s="58" t="s">
        <v>1652</v>
      </c>
      <c r="E1375" t="s">
        <v>1280</v>
      </c>
      <c r="F1375" s="58" t="s">
        <v>1524</v>
      </c>
      <c r="G1375" t="s">
        <v>1525</v>
      </c>
      <c r="H1375" s="58" t="s">
        <v>1012</v>
      </c>
      <c r="I1375" t="s">
        <v>1012</v>
      </c>
      <c r="J1375" s="58" t="s">
        <v>1012</v>
      </c>
      <c r="K1375" t="s">
        <v>1429</v>
      </c>
      <c r="L1375" t="s">
        <v>20</v>
      </c>
      <c r="M1375" t="s">
        <v>1430</v>
      </c>
      <c r="N1375" s="59">
        <v>0</v>
      </c>
      <c r="O1375" s="59">
        <v>0</v>
      </c>
      <c r="P1375" s="59">
        <v>0</v>
      </c>
      <c r="Q1375" s="59">
        <v>0</v>
      </c>
      <c r="R1375" s="59">
        <v>0</v>
      </c>
      <c r="S1375" s="59">
        <v>0</v>
      </c>
      <c r="T1375" s="41"/>
      <c r="U1375" s="41"/>
      <c r="V1375" s="41"/>
      <c r="W1375" s="41"/>
      <c r="X1375" s="41"/>
      <c r="Y1375" s="41"/>
      <c r="Z1375" s="41"/>
      <c r="AA1375" s="41"/>
      <c r="AB1375" s="41"/>
      <c r="AC1375" s="41"/>
      <c r="AD1375" s="41"/>
      <c r="AE1375" s="59">
        <v>0</v>
      </c>
      <c r="AF1375" s="59">
        <v>0</v>
      </c>
      <c r="AG1375" s="59" t="s">
        <v>1280</v>
      </c>
      <c r="AH1375" s="59" t="s">
        <v>1277</v>
      </c>
    </row>
    <row r="1376" spans="1:34" x14ac:dyDescent="0.35">
      <c r="A1376" s="58">
        <v>2025</v>
      </c>
      <c r="B1376" s="58">
        <v>6</v>
      </c>
      <c r="C1376">
        <v>6</v>
      </c>
      <c r="D1376" s="58" t="s">
        <v>1652</v>
      </c>
      <c r="E1376" t="s">
        <v>1280</v>
      </c>
      <c r="F1376" s="58" t="s">
        <v>1496</v>
      </c>
      <c r="G1376" t="s">
        <v>1497</v>
      </c>
      <c r="H1376" s="58" t="s">
        <v>1012</v>
      </c>
      <c r="I1376" t="s">
        <v>1012</v>
      </c>
      <c r="J1376" s="58" t="s">
        <v>1012</v>
      </c>
      <c r="K1376" t="s">
        <v>1429</v>
      </c>
      <c r="L1376" t="s">
        <v>20</v>
      </c>
      <c r="M1376" t="s">
        <v>1430</v>
      </c>
      <c r="N1376" s="59">
        <v>0</v>
      </c>
      <c r="O1376" s="59">
        <v>0</v>
      </c>
      <c r="P1376" s="59">
        <v>0</v>
      </c>
      <c r="Q1376" s="59">
        <v>0</v>
      </c>
      <c r="R1376" s="59">
        <v>0</v>
      </c>
      <c r="S1376" s="59">
        <v>0</v>
      </c>
      <c r="T1376" s="41"/>
      <c r="U1376" s="41"/>
      <c r="V1376" s="41"/>
      <c r="W1376" s="41"/>
      <c r="X1376" s="41"/>
      <c r="Y1376" s="41"/>
      <c r="Z1376" s="41"/>
      <c r="AA1376" s="41"/>
      <c r="AB1376" s="41"/>
      <c r="AC1376" s="41"/>
      <c r="AD1376" s="41"/>
      <c r="AE1376" s="59">
        <v>0</v>
      </c>
      <c r="AF1376" s="59">
        <v>0</v>
      </c>
      <c r="AG1376" s="59" t="s">
        <v>1280</v>
      </c>
      <c r="AH1376" s="59" t="s">
        <v>1329</v>
      </c>
    </row>
    <row r="1377" spans="1:34" x14ac:dyDescent="0.35">
      <c r="A1377" s="58">
        <v>2025</v>
      </c>
      <c r="B1377" s="58">
        <v>6</v>
      </c>
      <c r="C1377">
        <v>6</v>
      </c>
      <c r="D1377" s="58" t="s">
        <v>1617</v>
      </c>
      <c r="E1377" t="s">
        <v>1278</v>
      </c>
      <c r="F1377" s="58" t="s">
        <v>1524</v>
      </c>
      <c r="G1377" t="s">
        <v>1525</v>
      </c>
      <c r="H1377" s="58" t="s">
        <v>1012</v>
      </c>
      <c r="I1377" t="s">
        <v>1012</v>
      </c>
      <c r="J1377" s="58" t="s">
        <v>1012</v>
      </c>
      <c r="K1377" t="s">
        <v>1429</v>
      </c>
      <c r="L1377" t="s">
        <v>20</v>
      </c>
      <c r="M1377" t="s">
        <v>1430</v>
      </c>
      <c r="N1377" s="59">
        <v>0</v>
      </c>
      <c r="O1377" s="59">
        <v>0</v>
      </c>
      <c r="P1377" s="59">
        <v>0</v>
      </c>
      <c r="Q1377" s="59">
        <v>0</v>
      </c>
      <c r="R1377" s="59">
        <v>0</v>
      </c>
      <c r="S1377" s="59">
        <v>0</v>
      </c>
      <c r="T1377" s="41"/>
      <c r="U1377" s="41"/>
      <c r="V1377" s="41"/>
      <c r="W1377" s="41"/>
      <c r="X1377" s="41"/>
      <c r="Y1377" s="41"/>
      <c r="Z1377" s="41"/>
      <c r="AA1377" s="41"/>
      <c r="AB1377" s="41"/>
      <c r="AC1377" s="41"/>
      <c r="AD1377" s="41"/>
      <c r="AE1377" s="59">
        <v>0</v>
      </c>
      <c r="AF1377" s="59">
        <v>0</v>
      </c>
      <c r="AG1377" s="59" t="s">
        <v>1278</v>
      </c>
      <c r="AH1377" s="59" t="s">
        <v>1277</v>
      </c>
    </row>
    <row r="1378" spans="1:34" x14ac:dyDescent="0.35">
      <c r="A1378" s="58">
        <v>2025</v>
      </c>
      <c r="B1378" s="58">
        <v>6</v>
      </c>
      <c r="C1378">
        <v>6</v>
      </c>
      <c r="D1378" s="58" t="s">
        <v>1617</v>
      </c>
      <c r="E1378" t="s">
        <v>1278</v>
      </c>
      <c r="F1378" s="58" t="s">
        <v>1496</v>
      </c>
      <c r="G1378" t="s">
        <v>1497</v>
      </c>
      <c r="H1378" s="58" t="s">
        <v>1012</v>
      </c>
      <c r="I1378" t="s">
        <v>1012</v>
      </c>
      <c r="J1378" s="58" t="s">
        <v>1012</v>
      </c>
      <c r="K1378" t="s">
        <v>1429</v>
      </c>
      <c r="L1378" t="s">
        <v>20</v>
      </c>
      <c r="M1378" t="s">
        <v>1430</v>
      </c>
      <c r="N1378" s="59">
        <v>0</v>
      </c>
      <c r="O1378" s="59">
        <v>0</v>
      </c>
      <c r="P1378" s="59">
        <v>0</v>
      </c>
      <c r="Q1378" s="59">
        <v>0</v>
      </c>
      <c r="R1378" s="59">
        <v>0</v>
      </c>
      <c r="S1378" s="59">
        <v>0</v>
      </c>
      <c r="T1378" s="41"/>
      <c r="U1378" s="41"/>
      <c r="V1378" s="41"/>
      <c r="W1378" s="41"/>
      <c r="X1378" s="41"/>
      <c r="Y1378" s="41"/>
      <c r="Z1378" s="41"/>
      <c r="AA1378" s="41"/>
      <c r="AB1378" s="41"/>
      <c r="AC1378" s="41"/>
      <c r="AD1378" s="41"/>
      <c r="AE1378" s="59">
        <v>0</v>
      </c>
      <c r="AF1378" s="59">
        <v>0</v>
      </c>
      <c r="AG1378" s="59" t="s">
        <v>1278</v>
      </c>
      <c r="AH1378" s="59" t="s">
        <v>1329</v>
      </c>
    </row>
    <row r="1379" spans="1:34" x14ac:dyDescent="0.35">
      <c r="A1379" s="58">
        <v>2025</v>
      </c>
      <c r="B1379" s="58">
        <v>6</v>
      </c>
      <c r="C1379">
        <v>6</v>
      </c>
      <c r="D1379" s="58" t="s">
        <v>1630</v>
      </c>
      <c r="E1379" t="s">
        <v>1272</v>
      </c>
      <c r="F1379" s="58" t="s">
        <v>1631</v>
      </c>
      <c r="G1379" t="s">
        <v>1632</v>
      </c>
      <c r="H1379" s="58" t="s">
        <v>1012</v>
      </c>
      <c r="I1379" t="s">
        <v>1012</v>
      </c>
      <c r="J1379" s="58" t="s">
        <v>1012</v>
      </c>
      <c r="K1379" t="s">
        <v>1429</v>
      </c>
      <c r="L1379" t="s">
        <v>20</v>
      </c>
      <c r="M1379" t="s">
        <v>1430</v>
      </c>
      <c r="N1379" s="59">
        <v>0</v>
      </c>
      <c r="O1379" s="59">
        <v>0</v>
      </c>
      <c r="P1379" s="59">
        <v>0</v>
      </c>
      <c r="Q1379" s="59">
        <v>0</v>
      </c>
      <c r="R1379" s="59">
        <v>0</v>
      </c>
      <c r="S1379" s="59">
        <v>0</v>
      </c>
      <c r="T1379" s="41"/>
      <c r="U1379" s="41"/>
      <c r="V1379" s="41"/>
      <c r="W1379" s="41"/>
      <c r="X1379" s="41"/>
      <c r="Y1379" s="41"/>
      <c r="Z1379" s="41"/>
      <c r="AA1379" s="41"/>
      <c r="AB1379" s="41"/>
      <c r="AC1379" s="41"/>
      <c r="AD1379" s="41"/>
      <c r="AE1379" s="59">
        <v>0</v>
      </c>
      <c r="AF1379" s="59">
        <v>0</v>
      </c>
      <c r="AG1379" s="59" t="s">
        <v>1272</v>
      </c>
      <c r="AH1379" s="59" t="s">
        <v>1271</v>
      </c>
    </row>
    <row r="1380" spans="1:34" x14ac:dyDescent="0.35">
      <c r="A1380" s="58">
        <v>2025</v>
      </c>
      <c r="B1380" s="58">
        <v>6</v>
      </c>
      <c r="C1380">
        <v>6</v>
      </c>
      <c r="D1380" s="58" t="s">
        <v>1618</v>
      </c>
      <c r="E1380" t="s">
        <v>1343</v>
      </c>
      <c r="F1380" s="58" t="s">
        <v>1496</v>
      </c>
      <c r="G1380" t="s">
        <v>1497</v>
      </c>
      <c r="H1380" s="58" t="s">
        <v>1012</v>
      </c>
      <c r="I1380" t="s">
        <v>1012</v>
      </c>
      <c r="J1380" s="58" t="s">
        <v>1012</v>
      </c>
      <c r="K1380" t="s">
        <v>1429</v>
      </c>
      <c r="L1380" t="s">
        <v>20</v>
      </c>
      <c r="M1380" t="s">
        <v>1430</v>
      </c>
      <c r="N1380" s="59">
        <v>0</v>
      </c>
      <c r="O1380" s="59">
        <v>0</v>
      </c>
      <c r="P1380" s="59">
        <v>0</v>
      </c>
      <c r="Q1380" s="59">
        <v>0</v>
      </c>
      <c r="R1380" s="59">
        <v>0</v>
      </c>
      <c r="S1380" s="59">
        <v>0</v>
      </c>
      <c r="T1380" s="41"/>
      <c r="U1380" s="41"/>
      <c r="V1380" s="41"/>
      <c r="W1380" s="41"/>
      <c r="X1380" s="41"/>
      <c r="Y1380" s="41"/>
      <c r="Z1380" s="41"/>
      <c r="AA1380" s="41"/>
      <c r="AB1380" s="41"/>
      <c r="AC1380" s="41"/>
      <c r="AD1380" s="41"/>
      <c r="AE1380" s="59">
        <v>0</v>
      </c>
      <c r="AF1380" s="59">
        <v>0</v>
      </c>
      <c r="AG1380" s="59" t="s">
        <v>1343</v>
      </c>
      <c r="AH1380" s="59" t="s">
        <v>1329</v>
      </c>
    </row>
    <row r="1381" spans="1:34" x14ac:dyDescent="0.35">
      <c r="A1381" s="58">
        <v>2025</v>
      </c>
      <c r="B1381" s="58">
        <v>6</v>
      </c>
      <c r="C1381">
        <v>6</v>
      </c>
      <c r="D1381" s="58" t="s">
        <v>1660</v>
      </c>
      <c r="E1381" t="s">
        <v>1338</v>
      </c>
      <c r="F1381" s="58" t="s">
        <v>1496</v>
      </c>
      <c r="G1381" t="s">
        <v>1497</v>
      </c>
      <c r="H1381" s="58" t="s">
        <v>1012</v>
      </c>
      <c r="I1381" t="s">
        <v>1012</v>
      </c>
      <c r="J1381" s="58" t="s">
        <v>1012</v>
      </c>
      <c r="K1381" t="s">
        <v>1429</v>
      </c>
      <c r="L1381" t="s">
        <v>20</v>
      </c>
      <c r="M1381" t="s">
        <v>1430</v>
      </c>
      <c r="N1381" s="59">
        <v>0</v>
      </c>
      <c r="O1381" s="59">
        <v>0</v>
      </c>
      <c r="P1381" s="59">
        <v>0</v>
      </c>
      <c r="Q1381" s="59">
        <v>0</v>
      </c>
      <c r="R1381" s="59">
        <v>0</v>
      </c>
      <c r="S1381" s="59">
        <v>0</v>
      </c>
      <c r="T1381" s="41"/>
      <c r="U1381" s="41"/>
      <c r="V1381" s="41"/>
      <c r="W1381" s="41"/>
      <c r="X1381" s="41"/>
      <c r="Y1381" s="41"/>
      <c r="Z1381" s="41"/>
      <c r="AA1381" s="41"/>
      <c r="AB1381" s="41"/>
      <c r="AC1381" s="41"/>
      <c r="AD1381" s="41"/>
      <c r="AE1381" s="59">
        <v>0</v>
      </c>
      <c r="AF1381" s="59">
        <v>0</v>
      </c>
      <c r="AG1381" s="59" t="s">
        <v>1338</v>
      </c>
      <c r="AH1381" s="59" t="s">
        <v>1329</v>
      </c>
    </row>
    <row r="1382" spans="1:34" x14ac:dyDescent="0.35">
      <c r="A1382" s="58">
        <v>2025</v>
      </c>
      <c r="B1382" s="58">
        <v>6</v>
      </c>
      <c r="C1382">
        <v>6</v>
      </c>
      <c r="D1382" s="58" t="s">
        <v>1661</v>
      </c>
      <c r="E1382" t="s">
        <v>1337</v>
      </c>
      <c r="F1382" s="58" t="s">
        <v>1496</v>
      </c>
      <c r="G1382" t="s">
        <v>1497</v>
      </c>
      <c r="H1382" s="58" t="s">
        <v>1012</v>
      </c>
      <c r="I1382" t="s">
        <v>1012</v>
      </c>
      <c r="J1382" s="58" t="s">
        <v>1012</v>
      </c>
      <c r="K1382" t="s">
        <v>1429</v>
      </c>
      <c r="L1382" t="s">
        <v>20</v>
      </c>
      <c r="M1382" t="s">
        <v>1430</v>
      </c>
      <c r="N1382" s="59">
        <v>0</v>
      </c>
      <c r="O1382" s="59">
        <v>0</v>
      </c>
      <c r="P1382" s="59">
        <v>0</v>
      </c>
      <c r="Q1382" s="59">
        <v>0</v>
      </c>
      <c r="R1382" s="59">
        <v>0</v>
      </c>
      <c r="S1382" s="59">
        <v>0</v>
      </c>
      <c r="T1382" s="41"/>
      <c r="U1382" s="41"/>
      <c r="V1382" s="41"/>
      <c r="W1382" s="41"/>
      <c r="X1382" s="41"/>
      <c r="Y1382" s="41"/>
      <c r="Z1382" s="41"/>
      <c r="AA1382" s="41"/>
      <c r="AB1382" s="41"/>
      <c r="AC1382" s="41"/>
      <c r="AD1382" s="41"/>
      <c r="AE1382" s="59">
        <v>0</v>
      </c>
      <c r="AF1382" s="59">
        <v>0</v>
      </c>
      <c r="AG1382" s="59" t="s">
        <v>1337</v>
      </c>
      <c r="AH1382" s="59" t="s">
        <v>1329</v>
      </c>
    </row>
    <row r="1383" spans="1:34" x14ac:dyDescent="0.35">
      <c r="A1383" s="58">
        <v>2025</v>
      </c>
      <c r="B1383" s="58">
        <v>6</v>
      </c>
      <c r="C1383">
        <v>6</v>
      </c>
      <c r="D1383" s="58" t="s">
        <v>602</v>
      </c>
      <c r="E1383" t="s">
        <v>122</v>
      </c>
      <c r="F1383" s="58" t="s">
        <v>171</v>
      </c>
      <c r="G1383" t="s">
        <v>731</v>
      </c>
      <c r="H1383" s="58" t="s">
        <v>4</v>
      </c>
      <c r="I1383" t="s">
        <v>4</v>
      </c>
      <c r="J1383" s="58" t="s">
        <v>4</v>
      </c>
      <c r="K1383" t="s">
        <v>1476</v>
      </c>
      <c r="L1383" t="s">
        <v>1477</v>
      </c>
      <c r="M1383" t="s">
        <v>1430</v>
      </c>
      <c r="N1383" s="59">
        <v>44000</v>
      </c>
      <c r="O1383" s="59">
        <v>1427250000</v>
      </c>
      <c r="P1383" s="59">
        <v>3300003.5328753679</v>
      </c>
      <c r="Q1383" s="59">
        <v>0</v>
      </c>
      <c r="R1383" s="59">
        <v>20906194</v>
      </c>
      <c r="S1383" s="59">
        <v>1403043802.4671247</v>
      </c>
      <c r="T1383" s="41"/>
      <c r="U1383" s="41"/>
      <c r="V1383" s="41"/>
      <c r="W1383" s="41"/>
      <c r="X1383" s="41"/>
      <c r="Y1383" s="41"/>
      <c r="Z1383" s="41"/>
      <c r="AA1383" s="41"/>
      <c r="AB1383" s="41"/>
      <c r="AC1383" s="41"/>
      <c r="AD1383" s="41"/>
      <c r="AE1383" s="59">
        <v>54067.198553646427</v>
      </c>
      <c r="AF1383" s="59">
        <v>55000</v>
      </c>
      <c r="AG1383" s="59" t="s">
        <v>122</v>
      </c>
      <c r="AH1383" s="59" t="s">
        <v>1166</v>
      </c>
    </row>
    <row r="1384" spans="1:34" x14ac:dyDescent="0.35">
      <c r="A1384" s="58">
        <v>2025</v>
      </c>
      <c r="B1384" s="58">
        <v>6</v>
      </c>
      <c r="C1384">
        <v>6</v>
      </c>
      <c r="D1384" s="58" t="s">
        <v>602</v>
      </c>
      <c r="E1384" t="s">
        <v>122</v>
      </c>
      <c r="F1384" s="58" t="s">
        <v>1152</v>
      </c>
      <c r="G1384" t="s">
        <v>1153</v>
      </c>
      <c r="H1384" s="58" t="s">
        <v>1012</v>
      </c>
      <c r="I1384" t="s">
        <v>1012</v>
      </c>
      <c r="J1384" s="58" t="s">
        <v>1399</v>
      </c>
      <c r="K1384" t="s">
        <v>1429</v>
      </c>
      <c r="L1384" t="s">
        <v>20</v>
      </c>
      <c r="M1384" t="s">
        <v>1430</v>
      </c>
      <c r="N1384" s="59">
        <v>0</v>
      </c>
      <c r="O1384" s="59">
        <v>0</v>
      </c>
      <c r="P1384" s="59">
        <v>0</v>
      </c>
      <c r="Q1384" s="59">
        <v>0</v>
      </c>
      <c r="R1384" s="59">
        <v>-2068940</v>
      </c>
      <c r="S1384" s="59">
        <v>2068940</v>
      </c>
      <c r="T1384" s="41"/>
      <c r="U1384" s="41"/>
      <c r="V1384" s="41"/>
      <c r="W1384" s="41"/>
      <c r="X1384" s="41"/>
      <c r="Y1384" s="41"/>
      <c r="Z1384" s="41"/>
      <c r="AA1384" s="41"/>
      <c r="AB1384" s="41"/>
      <c r="AC1384" s="41"/>
      <c r="AD1384" s="41"/>
      <c r="AE1384" s="59">
        <v>79.83588698968596</v>
      </c>
      <c r="AF1384" s="59">
        <v>0</v>
      </c>
      <c r="AG1384" s="59" t="s">
        <v>122</v>
      </c>
      <c r="AH1384" s="59" t="s">
        <v>1400</v>
      </c>
    </row>
    <row r="1385" spans="1:34" x14ac:dyDescent="0.35">
      <c r="A1385" s="58">
        <v>2025</v>
      </c>
      <c r="B1385" s="58">
        <v>6</v>
      </c>
      <c r="C1385">
        <v>6</v>
      </c>
      <c r="D1385" s="58" t="s">
        <v>587</v>
      </c>
      <c r="E1385" t="s">
        <v>6</v>
      </c>
      <c r="F1385" s="58" t="s">
        <v>171</v>
      </c>
      <c r="G1385" t="s">
        <v>731</v>
      </c>
      <c r="H1385" s="58" t="s">
        <v>4</v>
      </c>
      <c r="I1385" t="s">
        <v>4</v>
      </c>
      <c r="J1385" s="58" t="s">
        <v>4</v>
      </c>
      <c r="K1385" t="s">
        <v>1476</v>
      </c>
      <c r="L1385" t="s">
        <v>1509</v>
      </c>
      <c r="M1385" t="s">
        <v>1430</v>
      </c>
      <c r="N1385" s="59">
        <v>110000</v>
      </c>
      <c r="O1385" s="59">
        <v>3499293600</v>
      </c>
      <c r="P1385" s="59">
        <v>8250008.83218842</v>
      </c>
      <c r="Q1385" s="59">
        <v>52489403.999999993</v>
      </c>
      <c r="R1385" s="59">
        <v>46367931</v>
      </c>
      <c r="S1385" s="59">
        <v>3392186256.1678119</v>
      </c>
      <c r="T1385" s="41"/>
      <c r="U1385" s="41"/>
      <c r="V1385" s="41"/>
      <c r="W1385" s="41"/>
      <c r="X1385" s="41"/>
      <c r="Y1385" s="41"/>
      <c r="Z1385" s="41"/>
      <c r="AA1385" s="41"/>
      <c r="AB1385" s="41"/>
      <c r="AC1385" s="41"/>
      <c r="AD1385" s="41"/>
      <c r="AE1385" s="59">
        <v>130518.90173789195</v>
      </c>
      <c r="AF1385" s="59">
        <v>134640</v>
      </c>
      <c r="AG1385" s="59" t="s">
        <v>6</v>
      </c>
      <c r="AH1385" s="59" t="s">
        <v>1166</v>
      </c>
    </row>
    <row r="1386" spans="1:34" x14ac:dyDescent="0.35">
      <c r="A1386" s="58">
        <v>2025</v>
      </c>
      <c r="B1386" s="58">
        <v>6</v>
      </c>
      <c r="C1386">
        <v>6</v>
      </c>
      <c r="D1386" s="58" t="s">
        <v>587</v>
      </c>
      <c r="E1386" t="s">
        <v>6</v>
      </c>
      <c r="F1386" s="58" t="s">
        <v>171</v>
      </c>
      <c r="G1386" t="s">
        <v>731</v>
      </c>
      <c r="H1386" s="58" t="s">
        <v>4</v>
      </c>
      <c r="I1386" t="s">
        <v>4</v>
      </c>
      <c r="J1386" s="58" t="s">
        <v>4</v>
      </c>
      <c r="K1386" t="s">
        <v>1476</v>
      </c>
      <c r="L1386" t="s">
        <v>1477</v>
      </c>
      <c r="M1386" t="s">
        <v>1430</v>
      </c>
      <c r="N1386" s="59">
        <v>638000</v>
      </c>
      <c r="O1386" s="59">
        <v>20231006400</v>
      </c>
      <c r="P1386" s="59">
        <v>47850051.226692848</v>
      </c>
      <c r="Q1386" s="59">
        <v>303465096</v>
      </c>
      <c r="R1386" s="59">
        <v>267642056.99999991</v>
      </c>
      <c r="S1386" s="59">
        <v>19612049195.773312</v>
      </c>
      <c r="T1386" s="41"/>
      <c r="U1386" s="41"/>
      <c r="V1386" s="41"/>
      <c r="W1386" s="41"/>
      <c r="X1386" s="41"/>
      <c r="Y1386" s="41"/>
      <c r="Z1386" s="41"/>
      <c r="AA1386" s="41"/>
      <c r="AB1386" s="41"/>
      <c r="AC1386" s="41"/>
      <c r="AD1386" s="41"/>
      <c r="AE1386" s="59">
        <v>757020.46800296754</v>
      </c>
      <c r="AF1386" s="59">
        <v>780912</v>
      </c>
      <c r="AG1386" s="59" t="s">
        <v>6</v>
      </c>
      <c r="AH1386" s="59" t="s">
        <v>1166</v>
      </c>
    </row>
    <row r="1387" spans="1:34" x14ac:dyDescent="0.35">
      <c r="A1387" s="58">
        <v>2025</v>
      </c>
      <c r="B1387" s="58">
        <v>6</v>
      </c>
      <c r="C1387">
        <v>6</v>
      </c>
      <c r="D1387" s="58" t="s">
        <v>587</v>
      </c>
      <c r="E1387" t="s">
        <v>6</v>
      </c>
      <c r="F1387" s="58" t="s">
        <v>1152</v>
      </c>
      <c r="G1387" t="s">
        <v>1153</v>
      </c>
      <c r="H1387" s="58" t="s">
        <v>1012</v>
      </c>
      <c r="I1387" t="s">
        <v>1012</v>
      </c>
      <c r="J1387" s="58" t="s">
        <v>1399</v>
      </c>
      <c r="K1387" t="s">
        <v>1429</v>
      </c>
      <c r="L1387" t="s">
        <v>20</v>
      </c>
      <c r="M1387" t="s">
        <v>1430</v>
      </c>
      <c r="N1387" s="59">
        <v>0</v>
      </c>
      <c r="O1387" s="59">
        <v>0</v>
      </c>
      <c r="P1387" s="59">
        <v>0</v>
      </c>
      <c r="Q1387" s="59">
        <v>0</v>
      </c>
      <c r="R1387" s="59">
        <v>-31670879.999999996</v>
      </c>
      <c r="S1387" s="59">
        <v>31670879.999999996</v>
      </c>
      <c r="T1387" s="41"/>
      <c r="U1387" s="41"/>
      <c r="V1387" s="41"/>
      <c r="W1387" s="41"/>
      <c r="X1387" s="41"/>
      <c r="Y1387" s="41"/>
      <c r="Z1387" s="41"/>
      <c r="AA1387" s="41"/>
      <c r="AB1387" s="41"/>
      <c r="AC1387" s="41"/>
      <c r="AD1387" s="41"/>
      <c r="AE1387" s="59">
        <v>1222.1102576893991</v>
      </c>
      <c r="AF1387" s="59">
        <v>0</v>
      </c>
      <c r="AG1387" s="59" t="s">
        <v>6</v>
      </c>
      <c r="AH1387" s="59" t="s">
        <v>1400</v>
      </c>
    </row>
    <row r="1388" spans="1:34" x14ac:dyDescent="0.35">
      <c r="A1388" s="58">
        <v>2025</v>
      </c>
      <c r="B1388" s="58">
        <v>6</v>
      </c>
      <c r="C1388">
        <v>6</v>
      </c>
      <c r="D1388" s="58" t="s">
        <v>587</v>
      </c>
      <c r="E1388" t="s">
        <v>6</v>
      </c>
      <c r="F1388" s="58" t="s">
        <v>1468</v>
      </c>
      <c r="G1388" t="s">
        <v>1012</v>
      </c>
      <c r="H1388" s="58" t="s">
        <v>1012</v>
      </c>
      <c r="I1388" t="s">
        <v>1012</v>
      </c>
      <c r="J1388" s="58" t="s">
        <v>1012</v>
      </c>
      <c r="K1388" t="s">
        <v>1429</v>
      </c>
      <c r="L1388" t="s">
        <v>20</v>
      </c>
      <c r="M1388" t="s">
        <v>1430</v>
      </c>
      <c r="N1388" s="59">
        <v>0</v>
      </c>
      <c r="O1388" s="59">
        <v>0</v>
      </c>
      <c r="P1388" s="59">
        <v>0</v>
      </c>
      <c r="Q1388" s="59">
        <v>-68520.000000059605</v>
      </c>
      <c r="R1388" s="59">
        <v>0</v>
      </c>
      <c r="S1388" s="59">
        <v>68520.000000059605</v>
      </c>
      <c r="T1388" s="41"/>
      <c r="U1388" s="41"/>
      <c r="V1388" s="41"/>
      <c r="W1388" s="41"/>
      <c r="X1388" s="41"/>
      <c r="Y1388" s="41"/>
      <c r="Z1388" s="41"/>
      <c r="AA1388" s="41"/>
      <c r="AB1388" s="41"/>
      <c r="AC1388" s="41"/>
      <c r="AD1388" s="41"/>
      <c r="AE1388" s="59">
        <v>2.6440375151227391</v>
      </c>
      <c r="AF1388" s="59">
        <v>0</v>
      </c>
      <c r="AG1388" s="59" t="s">
        <v>6</v>
      </c>
      <c r="AH1388" s="59" t="s">
        <v>1284</v>
      </c>
    </row>
    <row r="1389" spans="1:34" x14ac:dyDescent="0.35">
      <c r="A1389" s="58">
        <v>2025</v>
      </c>
      <c r="B1389" s="58">
        <v>6</v>
      </c>
      <c r="C1389">
        <v>6</v>
      </c>
      <c r="D1389" s="58" t="s">
        <v>588</v>
      </c>
      <c r="E1389" t="s">
        <v>9</v>
      </c>
      <c r="F1389" s="58" t="s">
        <v>172</v>
      </c>
      <c r="G1389" t="s">
        <v>734</v>
      </c>
      <c r="H1389" s="58" t="s">
        <v>4</v>
      </c>
      <c r="I1389" t="s">
        <v>4</v>
      </c>
      <c r="J1389" s="58" t="s">
        <v>4</v>
      </c>
      <c r="K1389" t="s">
        <v>1476</v>
      </c>
      <c r="L1389" t="s">
        <v>1501</v>
      </c>
      <c r="M1389" t="s">
        <v>1430</v>
      </c>
      <c r="N1389" s="59">
        <v>880000</v>
      </c>
      <c r="O1389" s="59">
        <v>28484500000</v>
      </c>
      <c r="P1389" s="59">
        <v>66000070.657507405</v>
      </c>
      <c r="Q1389" s="59">
        <v>0</v>
      </c>
      <c r="R1389" s="59">
        <v>371733517.00000042</v>
      </c>
      <c r="S1389" s="59">
        <v>28046766412.342525</v>
      </c>
      <c r="T1389" s="41"/>
      <c r="U1389" s="41"/>
      <c r="V1389" s="41"/>
      <c r="W1389" s="41"/>
      <c r="X1389" s="41"/>
      <c r="Y1389" s="41"/>
      <c r="Z1389" s="41"/>
      <c r="AA1389" s="41"/>
      <c r="AB1389" s="41"/>
      <c r="AC1389" s="41"/>
      <c r="AD1389" s="41"/>
      <c r="AE1389" s="59">
        <v>1083095.7465340008</v>
      </c>
      <c r="AF1389" s="59">
        <v>1100000</v>
      </c>
      <c r="AG1389" s="59" t="s">
        <v>9</v>
      </c>
      <c r="AH1389" s="59" t="s">
        <v>1175</v>
      </c>
    </row>
    <row r="1390" spans="1:34" x14ac:dyDescent="0.35">
      <c r="A1390" s="58">
        <v>2025</v>
      </c>
      <c r="B1390" s="58">
        <v>6</v>
      </c>
      <c r="C1390">
        <v>6</v>
      </c>
      <c r="D1390" s="58" t="s">
        <v>588</v>
      </c>
      <c r="E1390" t="s">
        <v>9</v>
      </c>
      <c r="F1390" s="58" t="s">
        <v>1152</v>
      </c>
      <c r="G1390" t="s">
        <v>1153</v>
      </c>
      <c r="H1390" s="58" t="s">
        <v>1012</v>
      </c>
      <c r="I1390" t="s">
        <v>1012</v>
      </c>
      <c r="J1390" s="58" t="s">
        <v>1399</v>
      </c>
      <c r="K1390" t="s">
        <v>1429</v>
      </c>
      <c r="L1390" t="s">
        <v>20</v>
      </c>
      <c r="M1390" t="s">
        <v>1430</v>
      </c>
      <c r="N1390" s="59">
        <v>0</v>
      </c>
      <c r="O1390" s="59">
        <v>0</v>
      </c>
      <c r="P1390" s="59">
        <v>0</v>
      </c>
      <c r="Q1390" s="59">
        <v>0</v>
      </c>
      <c r="R1390" s="59">
        <v>2134452.0000000019</v>
      </c>
      <c r="S1390" s="59">
        <v>-2134452.0000000019</v>
      </c>
      <c r="T1390" s="41"/>
      <c r="U1390" s="41"/>
      <c r="V1390" s="41"/>
      <c r="W1390" s="41"/>
      <c r="X1390" s="41"/>
      <c r="Y1390" s="41"/>
      <c r="Z1390" s="41"/>
      <c r="AA1390" s="41"/>
      <c r="AB1390" s="41"/>
      <c r="AC1390" s="41"/>
      <c r="AD1390" s="41"/>
      <c r="AE1390" s="59">
        <v>-82.363852338351549</v>
      </c>
      <c r="AF1390" s="59">
        <v>0</v>
      </c>
      <c r="AG1390" s="59" t="s">
        <v>9</v>
      </c>
      <c r="AH1390" s="59" t="s">
        <v>1400</v>
      </c>
    </row>
    <row r="1391" spans="1:34" x14ac:dyDescent="0.35">
      <c r="A1391" s="58">
        <v>2025</v>
      </c>
      <c r="B1391" s="58">
        <v>6</v>
      </c>
      <c r="C1391">
        <v>6</v>
      </c>
      <c r="D1391" s="58" t="s">
        <v>623</v>
      </c>
      <c r="E1391" t="s">
        <v>137</v>
      </c>
      <c r="F1391" s="58" t="s">
        <v>1152</v>
      </c>
      <c r="G1391" t="s">
        <v>1153</v>
      </c>
      <c r="H1391" s="58" t="s">
        <v>1012</v>
      </c>
      <c r="I1391" t="s">
        <v>1012</v>
      </c>
      <c r="J1391" s="58" t="s">
        <v>1399</v>
      </c>
      <c r="K1391" t="s">
        <v>1429</v>
      </c>
      <c r="L1391" t="s">
        <v>20</v>
      </c>
      <c r="M1391" t="s">
        <v>1430</v>
      </c>
      <c r="N1391" s="59">
        <v>0</v>
      </c>
      <c r="O1391" s="59">
        <v>0</v>
      </c>
      <c r="P1391" s="59">
        <v>0</v>
      </c>
      <c r="Q1391" s="59">
        <v>0</v>
      </c>
      <c r="R1391" s="59">
        <v>1329167</v>
      </c>
      <c r="S1391" s="59">
        <v>-1329167</v>
      </c>
      <c r="T1391" s="41"/>
      <c r="U1391" s="41"/>
      <c r="V1391" s="41"/>
      <c r="W1391" s="41"/>
      <c r="X1391" s="41"/>
      <c r="Y1391" s="41"/>
      <c r="Z1391" s="41"/>
      <c r="AA1391" s="41"/>
      <c r="AB1391" s="41"/>
      <c r="AC1391" s="41"/>
      <c r="AD1391" s="41"/>
      <c r="AE1391" s="59">
        <v>-51.289658666959852</v>
      </c>
      <c r="AF1391" s="59">
        <v>0</v>
      </c>
      <c r="AG1391" s="59" t="s">
        <v>137</v>
      </c>
      <c r="AH1391" s="59" t="s">
        <v>1400</v>
      </c>
    </row>
    <row r="1392" spans="1:34" x14ac:dyDescent="0.35">
      <c r="A1392" s="58">
        <v>2025</v>
      </c>
      <c r="B1392" s="58">
        <v>6</v>
      </c>
      <c r="C1392">
        <v>6</v>
      </c>
      <c r="D1392" s="58" t="s">
        <v>607</v>
      </c>
      <c r="E1392" t="s">
        <v>126</v>
      </c>
      <c r="F1392" s="58" t="s">
        <v>1152</v>
      </c>
      <c r="G1392" t="s">
        <v>1153</v>
      </c>
      <c r="H1392" s="58" t="s">
        <v>1012</v>
      </c>
      <c r="I1392" t="s">
        <v>1012</v>
      </c>
      <c r="J1392" s="58" t="s">
        <v>1399</v>
      </c>
      <c r="K1392" t="s">
        <v>1429</v>
      </c>
      <c r="L1392" t="s">
        <v>20</v>
      </c>
      <c r="M1392" t="s">
        <v>1430</v>
      </c>
      <c r="N1392" s="59">
        <v>0</v>
      </c>
      <c r="O1392" s="59">
        <v>0</v>
      </c>
      <c r="P1392" s="59">
        <v>0</v>
      </c>
      <c r="Q1392" s="59">
        <v>0</v>
      </c>
      <c r="R1392" s="59">
        <v>1180252.0000000002</v>
      </c>
      <c r="S1392" s="59">
        <v>-1180252.0000000002</v>
      </c>
      <c r="T1392" s="41"/>
      <c r="U1392" s="41"/>
      <c r="V1392" s="41"/>
      <c r="W1392" s="41"/>
      <c r="X1392" s="41"/>
      <c r="Y1392" s="41"/>
      <c r="Z1392" s="41"/>
      <c r="AA1392" s="41"/>
      <c r="AB1392" s="41"/>
      <c r="AC1392" s="41"/>
      <c r="AD1392" s="41"/>
      <c r="AE1392" s="59">
        <v>-45.543353258843098</v>
      </c>
      <c r="AF1392" s="59">
        <v>0</v>
      </c>
      <c r="AG1392" s="59" t="s">
        <v>126</v>
      </c>
      <c r="AH1392" s="59" t="s">
        <v>1400</v>
      </c>
    </row>
    <row r="1393" spans="1:34" x14ac:dyDescent="0.35">
      <c r="A1393" s="58">
        <v>2025</v>
      </c>
      <c r="B1393" s="58">
        <v>6</v>
      </c>
      <c r="C1393">
        <v>6</v>
      </c>
      <c r="D1393" s="58" t="s">
        <v>637</v>
      </c>
      <c r="E1393" t="s">
        <v>64</v>
      </c>
      <c r="F1393" s="58" t="s">
        <v>216</v>
      </c>
      <c r="G1393" t="s">
        <v>935</v>
      </c>
      <c r="H1393" s="58" t="s">
        <v>21</v>
      </c>
      <c r="I1393" t="s">
        <v>21</v>
      </c>
      <c r="J1393" s="58" t="s">
        <v>21</v>
      </c>
      <c r="K1393" t="s">
        <v>1476</v>
      </c>
      <c r="L1393" t="s">
        <v>301</v>
      </c>
      <c r="M1393" t="s">
        <v>1430</v>
      </c>
      <c r="N1393" s="59">
        <v>20000</v>
      </c>
      <c r="O1393" s="59">
        <v>558360000.00000012</v>
      </c>
      <c r="P1393" s="59">
        <v>0</v>
      </c>
      <c r="Q1393" s="59">
        <v>0</v>
      </c>
      <c r="R1393" s="59">
        <v>12559713.333333334</v>
      </c>
      <c r="S1393" s="59">
        <v>545800286.66666675</v>
      </c>
      <c r="T1393" s="41"/>
      <c r="U1393" s="41"/>
      <c r="V1393" s="41"/>
      <c r="W1393" s="41"/>
      <c r="X1393" s="41"/>
      <c r="Y1393" s="41"/>
      <c r="Z1393" s="41"/>
      <c r="AA1393" s="41"/>
      <c r="AB1393" s="41"/>
      <c r="AC1393" s="41"/>
      <c r="AD1393" s="41"/>
      <c r="AE1393" s="59">
        <v>21114.131012250164</v>
      </c>
      <c r="AF1393" s="59">
        <v>21600.000000000004</v>
      </c>
      <c r="AG1393" s="59" t="s">
        <v>64</v>
      </c>
      <c r="AH1393" s="59" t="s">
        <v>1358</v>
      </c>
    </row>
    <row r="1394" spans="1:34" x14ac:dyDescent="0.35">
      <c r="A1394" s="58">
        <v>2025</v>
      </c>
      <c r="B1394" s="58">
        <v>6</v>
      </c>
      <c r="C1394">
        <v>6</v>
      </c>
      <c r="D1394" s="58" t="s">
        <v>637</v>
      </c>
      <c r="E1394" t="s">
        <v>64</v>
      </c>
      <c r="F1394" s="58" t="s">
        <v>217</v>
      </c>
      <c r="G1394" t="s">
        <v>938</v>
      </c>
      <c r="H1394" s="58" t="s">
        <v>21</v>
      </c>
      <c r="I1394" t="s">
        <v>21</v>
      </c>
      <c r="J1394" s="58" t="s">
        <v>21</v>
      </c>
      <c r="K1394" t="s">
        <v>1476</v>
      </c>
      <c r="L1394" t="s">
        <v>301</v>
      </c>
      <c r="M1394" t="s">
        <v>1430</v>
      </c>
      <c r="N1394" s="59">
        <v>4000</v>
      </c>
      <c r="O1394" s="59">
        <v>111672000.00000001</v>
      </c>
      <c r="P1394" s="59">
        <v>0</v>
      </c>
      <c r="Q1394" s="59">
        <v>0</v>
      </c>
      <c r="R1394" s="59">
        <v>2511942.6666666665</v>
      </c>
      <c r="S1394" s="59">
        <v>109160057.33333334</v>
      </c>
      <c r="T1394" s="41"/>
      <c r="U1394" s="41"/>
      <c r="V1394" s="41"/>
      <c r="W1394" s="41"/>
      <c r="X1394" s="41"/>
      <c r="Y1394" s="41"/>
      <c r="Z1394" s="41"/>
      <c r="AA1394" s="41"/>
      <c r="AB1394" s="41"/>
      <c r="AC1394" s="41"/>
      <c r="AD1394" s="41"/>
      <c r="AE1394" s="59">
        <v>4222.8262024500327</v>
      </c>
      <c r="AF1394" s="59">
        <v>4320.0000000000009</v>
      </c>
      <c r="AG1394" s="59" t="s">
        <v>64</v>
      </c>
      <c r="AH1394" s="59" t="s">
        <v>1359</v>
      </c>
    </row>
    <row r="1395" spans="1:34" x14ac:dyDescent="0.35">
      <c r="A1395" s="58">
        <v>2025</v>
      </c>
      <c r="B1395" s="58">
        <v>6</v>
      </c>
      <c r="C1395">
        <v>6</v>
      </c>
      <c r="D1395" s="58" t="s">
        <v>604</v>
      </c>
      <c r="E1395" t="s">
        <v>145</v>
      </c>
      <c r="F1395" s="58" t="s">
        <v>174</v>
      </c>
      <c r="G1395" t="s">
        <v>740</v>
      </c>
      <c r="H1395" s="58" t="s">
        <v>4</v>
      </c>
      <c r="I1395" t="s">
        <v>4</v>
      </c>
      <c r="J1395" s="58" t="s">
        <v>4</v>
      </c>
      <c r="K1395" t="s">
        <v>1476</v>
      </c>
      <c r="L1395" t="s">
        <v>1477</v>
      </c>
      <c r="M1395" t="s">
        <v>1430</v>
      </c>
      <c r="N1395" s="59">
        <v>220000</v>
      </c>
      <c r="O1395" s="59">
        <v>6051540000</v>
      </c>
      <c r="P1395" s="59">
        <v>16500017.664376836</v>
      </c>
      <c r="Q1395" s="59">
        <v>0</v>
      </c>
      <c r="R1395" s="59">
        <v>90017315</v>
      </c>
      <c r="S1395" s="59">
        <v>5945022667.3356237</v>
      </c>
      <c r="T1395" s="41"/>
      <c r="U1395" s="41"/>
      <c r="V1395" s="41"/>
      <c r="W1395" s="41"/>
      <c r="X1395" s="41"/>
      <c r="Y1395" s="41"/>
      <c r="Z1395" s="41"/>
      <c r="AA1395" s="41"/>
      <c r="AB1395" s="41"/>
      <c r="AC1395" s="41"/>
      <c r="AD1395" s="41"/>
      <c r="AE1395" s="59">
        <v>229095.28583181588</v>
      </c>
      <c r="AF1395" s="59">
        <v>233200</v>
      </c>
      <c r="AG1395" s="59" t="s">
        <v>145</v>
      </c>
      <c r="AH1395" s="59" t="s">
        <v>1185</v>
      </c>
    </row>
    <row r="1396" spans="1:34" x14ac:dyDescent="0.35">
      <c r="A1396" s="58">
        <v>2025</v>
      </c>
      <c r="B1396" s="58">
        <v>6</v>
      </c>
      <c r="C1396">
        <v>6</v>
      </c>
      <c r="D1396" s="58" t="s">
        <v>616</v>
      </c>
      <c r="E1396" t="s">
        <v>128</v>
      </c>
      <c r="F1396" s="58" t="s">
        <v>174</v>
      </c>
      <c r="G1396" t="s">
        <v>740</v>
      </c>
      <c r="H1396" s="58" t="s">
        <v>4</v>
      </c>
      <c r="I1396" t="s">
        <v>4</v>
      </c>
      <c r="J1396" s="58" t="s">
        <v>4</v>
      </c>
      <c r="K1396" t="s">
        <v>1476</v>
      </c>
      <c r="L1396" t="s">
        <v>1510</v>
      </c>
      <c r="M1396" t="s">
        <v>1430</v>
      </c>
      <c r="N1396" s="59">
        <v>22000</v>
      </c>
      <c r="O1396" s="59">
        <v>656281999.99999988</v>
      </c>
      <c r="P1396" s="59">
        <v>1650001.766437684</v>
      </c>
      <c r="Q1396" s="59">
        <v>0</v>
      </c>
      <c r="R1396" s="59">
        <v>10711550</v>
      </c>
      <c r="S1396" s="59">
        <v>643920448.23356223</v>
      </c>
      <c r="T1396" s="41"/>
      <c r="U1396" s="41"/>
      <c r="V1396" s="41"/>
      <c r="W1396" s="41"/>
      <c r="X1396" s="41"/>
      <c r="Y1396" s="41"/>
      <c r="Z1396" s="41"/>
      <c r="AA1396" s="41"/>
      <c r="AB1396" s="41"/>
      <c r="AC1396" s="41"/>
      <c r="AD1396" s="41"/>
      <c r="AE1396" s="59">
        <v>24823.45598433162</v>
      </c>
      <c r="AF1396" s="59">
        <v>25299.999999999996</v>
      </c>
      <c r="AG1396" s="59" t="s">
        <v>128</v>
      </c>
      <c r="AH1396" s="59" t="s">
        <v>1185</v>
      </c>
    </row>
    <row r="1397" spans="1:34" x14ac:dyDescent="0.35">
      <c r="A1397" s="58">
        <v>2025</v>
      </c>
      <c r="B1397" s="58">
        <v>6</v>
      </c>
      <c r="C1397">
        <v>6</v>
      </c>
      <c r="D1397" s="58" t="s">
        <v>616</v>
      </c>
      <c r="E1397" t="s">
        <v>128</v>
      </c>
      <c r="F1397" s="58" t="s">
        <v>1152</v>
      </c>
      <c r="G1397" t="s">
        <v>1153</v>
      </c>
      <c r="H1397" s="58" t="s">
        <v>1012</v>
      </c>
      <c r="I1397" t="s">
        <v>1012</v>
      </c>
      <c r="J1397" s="58" t="s">
        <v>1399</v>
      </c>
      <c r="K1397" t="s">
        <v>1429</v>
      </c>
      <c r="L1397" t="s">
        <v>20</v>
      </c>
      <c r="M1397" t="s">
        <v>1430</v>
      </c>
      <c r="N1397" s="59">
        <v>0</v>
      </c>
      <c r="O1397" s="59">
        <v>0</v>
      </c>
      <c r="P1397" s="59">
        <v>0</v>
      </c>
      <c r="Q1397" s="59">
        <v>0</v>
      </c>
      <c r="R1397" s="59">
        <v>1329167</v>
      </c>
      <c r="S1397" s="59">
        <v>-1329167</v>
      </c>
      <c r="T1397" s="41"/>
      <c r="U1397" s="41"/>
      <c r="V1397" s="41"/>
      <c r="W1397" s="41"/>
      <c r="X1397" s="41"/>
      <c r="Y1397" s="41"/>
      <c r="Z1397" s="41"/>
      <c r="AA1397" s="41"/>
      <c r="AB1397" s="41"/>
      <c r="AC1397" s="41"/>
      <c r="AD1397" s="41"/>
      <c r="AE1397" s="59">
        <v>-51.289658666959852</v>
      </c>
      <c r="AF1397" s="59">
        <v>0</v>
      </c>
      <c r="AG1397" s="59" t="s">
        <v>128</v>
      </c>
      <c r="AH1397" s="59" t="s">
        <v>1400</v>
      </c>
    </row>
    <row r="1398" spans="1:34" x14ac:dyDescent="0.35">
      <c r="A1398" s="58">
        <v>2025</v>
      </c>
      <c r="B1398" s="58">
        <v>6</v>
      </c>
      <c r="C1398">
        <v>6</v>
      </c>
      <c r="D1398" s="58" t="s">
        <v>591</v>
      </c>
      <c r="E1398" t="s">
        <v>121</v>
      </c>
      <c r="F1398" s="58" t="s">
        <v>172</v>
      </c>
      <c r="G1398" t="s">
        <v>734</v>
      </c>
      <c r="H1398" s="58" t="s">
        <v>4</v>
      </c>
      <c r="I1398" t="s">
        <v>4</v>
      </c>
      <c r="J1398" s="58" t="s">
        <v>4</v>
      </c>
      <c r="K1398" t="s">
        <v>1476</v>
      </c>
      <c r="L1398" t="s">
        <v>1633</v>
      </c>
      <c r="M1398" t="s">
        <v>1430</v>
      </c>
      <c r="N1398" s="59">
        <v>154000</v>
      </c>
      <c r="O1398" s="59">
        <v>5123256600</v>
      </c>
      <c r="P1398" s="59">
        <v>14466702.365063787</v>
      </c>
      <c r="Q1398" s="59">
        <v>0</v>
      </c>
      <c r="R1398" s="59">
        <v>63849035</v>
      </c>
      <c r="S1398" s="59">
        <v>5044940862.6349363</v>
      </c>
      <c r="T1398" s="41"/>
      <c r="U1398" s="41"/>
      <c r="V1398" s="41"/>
      <c r="W1398" s="41"/>
      <c r="X1398" s="41"/>
      <c r="Y1398" s="41"/>
      <c r="Z1398" s="41"/>
      <c r="AA1398" s="41"/>
      <c r="AB1398" s="41"/>
      <c r="AC1398" s="41"/>
      <c r="AD1398" s="41"/>
      <c r="AE1398" s="59">
        <v>194410.05251001683</v>
      </c>
      <c r="AF1398" s="59">
        <v>197428</v>
      </c>
      <c r="AG1398" s="59" t="s">
        <v>121</v>
      </c>
      <c r="AH1398" s="59" t="s">
        <v>1175</v>
      </c>
    </row>
    <row r="1399" spans="1:34" x14ac:dyDescent="0.35">
      <c r="A1399" s="58">
        <v>2025</v>
      </c>
      <c r="B1399" s="58">
        <v>6</v>
      </c>
      <c r="C1399">
        <v>6</v>
      </c>
      <c r="D1399" s="58" t="s">
        <v>591</v>
      </c>
      <c r="E1399" t="s">
        <v>121</v>
      </c>
      <c r="F1399" s="58" t="s">
        <v>1152</v>
      </c>
      <c r="G1399" t="s">
        <v>1153</v>
      </c>
      <c r="H1399" s="58" t="s">
        <v>1012</v>
      </c>
      <c r="I1399" t="s">
        <v>1012</v>
      </c>
      <c r="J1399" s="58" t="s">
        <v>1399</v>
      </c>
      <c r="K1399" t="s">
        <v>1429</v>
      </c>
      <c r="L1399" t="s">
        <v>20</v>
      </c>
      <c r="M1399" t="s">
        <v>1430</v>
      </c>
      <c r="N1399" s="59">
        <v>0</v>
      </c>
      <c r="O1399" s="59">
        <v>0</v>
      </c>
      <c r="P1399" s="59">
        <v>0</v>
      </c>
      <c r="Q1399" s="59">
        <v>0</v>
      </c>
      <c r="R1399" s="59">
        <v>-964738.99999999988</v>
      </c>
      <c r="S1399" s="59">
        <v>964738.99999999988</v>
      </c>
      <c r="T1399" s="41"/>
      <c r="U1399" s="41"/>
      <c r="V1399" s="41"/>
      <c r="W1399" s="41"/>
      <c r="X1399" s="41"/>
      <c r="Y1399" s="41"/>
      <c r="Z1399" s="41"/>
      <c r="AA1399" s="41"/>
      <c r="AB1399" s="41"/>
      <c r="AC1399" s="41"/>
      <c r="AD1399" s="41"/>
      <c r="AE1399" s="59">
        <v>37.227176128134531</v>
      </c>
      <c r="AF1399" s="59">
        <v>0</v>
      </c>
      <c r="AG1399" s="59" t="s">
        <v>121</v>
      </c>
      <c r="AH1399" s="59" t="s">
        <v>1400</v>
      </c>
    </row>
    <row r="1400" spans="1:34" x14ac:dyDescent="0.35">
      <c r="A1400" s="58">
        <v>2025</v>
      </c>
      <c r="B1400" s="58">
        <v>6</v>
      </c>
      <c r="C1400">
        <v>6</v>
      </c>
      <c r="D1400" s="58" t="s">
        <v>613</v>
      </c>
      <c r="E1400" t="s">
        <v>132</v>
      </c>
      <c r="F1400" s="58" t="s">
        <v>1152</v>
      </c>
      <c r="G1400" t="s">
        <v>1153</v>
      </c>
      <c r="H1400" s="58" t="s">
        <v>1012</v>
      </c>
      <c r="I1400" t="s">
        <v>1012</v>
      </c>
      <c r="J1400" s="58" t="s">
        <v>1399</v>
      </c>
      <c r="K1400" t="s">
        <v>1429</v>
      </c>
      <c r="L1400" t="s">
        <v>20</v>
      </c>
      <c r="M1400" t="s">
        <v>1430</v>
      </c>
      <c r="N1400" s="59">
        <v>0</v>
      </c>
      <c r="O1400" s="59">
        <v>0</v>
      </c>
      <c r="P1400" s="59">
        <v>0</v>
      </c>
      <c r="Q1400" s="59">
        <v>0</v>
      </c>
      <c r="R1400" s="59">
        <v>1546666</v>
      </c>
      <c r="S1400" s="59">
        <v>-1546666</v>
      </c>
      <c r="T1400" s="41"/>
      <c r="U1400" s="41"/>
      <c r="V1400" s="41"/>
      <c r="W1400" s="41"/>
      <c r="X1400" s="41"/>
      <c r="Y1400" s="41"/>
      <c r="Z1400" s="41"/>
      <c r="AA1400" s="41"/>
      <c r="AB1400" s="41"/>
      <c r="AC1400" s="41"/>
      <c r="AD1400" s="41"/>
      <c r="AE1400" s="59">
        <v>-59.682471210759914</v>
      </c>
      <c r="AF1400" s="59">
        <v>0</v>
      </c>
      <c r="AG1400" s="59" t="s">
        <v>132</v>
      </c>
      <c r="AH1400" s="59" t="s">
        <v>1400</v>
      </c>
    </row>
    <row r="1401" spans="1:34" x14ac:dyDescent="0.35">
      <c r="A1401" s="58">
        <v>2025</v>
      </c>
      <c r="B1401" s="58">
        <v>6</v>
      </c>
      <c r="C1401">
        <v>6</v>
      </c>
      <c r="D1401" s="58" t="s">
        <v>593</v>
      </c>
      <c r="E1401" t="s">
        <v>46</v>
      </c>
      <c r="F1401" s="58" t="s">
        <v>1522</v>
      </c>
      <c r="G1401" t="s">
        <v>1523</v>
      </c>
      <c r="H1401" s="58" t="s">
        <v>1012</v>
      </c>
      <c r="I1401" t="s">
        <v>1012</v>
      </c>
      <c r="J1401" s="58" t="s">
        <v>1389</v>
      </c>
      <c r="K1401" t="s">
        <v>1429</v>
      </c>
      <c r="L1401" t="s">
        <v>20</v>
      </c>
      <c r="M1401" t="s">
        <v>1430</v>
      </c>
      <c r="N1401" s="59">
        <v>0</v>
      </c>
      <c r="O1401" s="59">
        <v>0</v>
      </c>
      <c r="P1401" s="59">
        <v>0</v>
      </c>
      <c r="Q1401" s="59">
        <v>0</v>
      </c>
      <c r="R1401" s="59">
        <v>759524</v>
      </c>
      <c r="S1401" s="59">
        <v>-759524</v>
      </c>
      <c r="T1401" s="41"/>
      <c r="U1401" s="41"/>
      <c r="V1401" s="41"/>
      <c r="W1401" s="41"/>
      <c r="X1401" s="41"/>
      <c r="Y1401" s="41"/>
      <c r="Z1401" s="41"/>
      <c r="AA1401" s="41"/>
      <c r="AB1401" s="41"/>
      <c r="AC1401" s="41"/>
      <c r="AD1401" s="41"/>
      <c r="AE1401" s="59">
        <v>-29.308376381119913</v>
      </c>
      <c r="AF1401" s="59">
        <v>0</v>
      </c>
      <c r="AG1401" s="59" t="s">
        <v>46</v>
      </c>
      <c r="AH1401" s="59" t="s">
        <v>1390</v>
      </c>
    </row>
    <row r="1402" spans="1:34" x14ac:dyDescent="0.35">
      <c r="A1402" s="58">
        <v>2025</v>
      </c>
      <c r="B1402" s="58">
        <v>6</v>
      </c>
      <c r="C1402">
        <v>6</v>
      </c>
      <c r="D1402" s="58" t="s">
        <v>593</v>
      </c>
      <c r="E1402" t="s">
        <v>46</v>
      </c>
      <c r="F1402" s="58" t="s">
        <v>1152</v>
      </c>
      <c r="G1402" t="s">
        <v>1153</v>
      </c>
      <c r="H1402" s="58" t="s">
        <v>1012</v>
      </c>
      <c r="I1402" t="s">
        <v>1012</v>
      </c>
      <c r="J1402" s="58" t="s">
        <v>1399</v>
      </c>
      <c r="K1402" t="s">
        <v>1429</v>
      </c>
      <c r="L1402" t="s">
        <v>20</v>
      </c>
      <c r="M1402" t="s">
        <v>1430</v>
      </c>
      <c r="N1402" s="59">
        <v>0</v>
      </c>
      <c r="O1402" s="59">
        <v>0</v>
      </c>
      <c r="P1402" s="59">
        <v>0</v>
      </c>
      <c r="Q1402" s="59">
        <v>0</v>
      </c>
      <c r="R1402" s="59">
        <v>26458574.000000007</v>
      </c>
      <c r="S1402" s="59">
        <v>-26458574.000000007</v>
      </c>
      <c r="T1402" s="41"/>
      <c r="U1402" s="41"/>
      <c r="V1402" s="41"/>
      <c r="W1402" s="41"/>
      <c r="X1402" s="41"/>
      <c r="Y1402" s="41"/>
      <c r="Z1402" s="41"/>
      <c r="AA1402" s="41"/>
      <c r="AB1402" s="41"/>
      <c r="AC1402" s="41"/>
      <c r="AD1402" s="41"/>
      <c r="AE1402" s="59">
        <v>-1020.9787252275283</v>
      </c>
      <c r="AF1402" s="59">
        <v>0</v>
      </c>
      <c r="AG1402" s="59" t="s">
        <v>46</v>
      </c>
      <c r="AH1402" s="59" t="s">
        <v>1400</v>
      </c>
    </row>
    <row r="1403" spans="1:34" x14ac:dyDescent="0.35">
      <c r="A1403" s="58">
        <v>2025</v>
      </c>
      <c r="B1403" s="58">
        <v>6</v>
      </c>
      <c r="C1403">
        <v>6</v>
      </c>
      <c r="D1403" s="58" t="s">
        <v>656</v>
      </c>
      <c r="E1403" t="s">
        <v>141</v>
      </c>
      <c r="F1403" s="58" t="s">
        <v>1522</v>
      </c>
      <c r="G1403" t="s">
        <v>1523</v>
      </c>
      <c r="H1403" s="58" t="s">
        <v>1012</v>
      </c>
      <c r="I1403" t="s">
        <v>1012</v>
      </c>
      <c r="J1403" s="58" t="s">
        <v>1389</v>
      </c>
      <c r="K1403" t="s">
        <v>1429</v>
      </c>
      <c r="L1403" t="s">
        <v>20</v>
      </c>
      <c r="M1403" t="s">
        <v>1430</v>
      </c>
      <c r="N1403" s="59">
        <v>0</v>
      </c>
      <c r="O1403" s="59">
        <v>0</v>
      </c>
      <c r="P1403" s="59">
        <v>0</v>
      </c>
      <c r="Q1403" s="59">
        <v>0</v>
      </c>
      <c r="R1403" s="59">
        <v>6306843</v>
      </c>
      <c r="S1403" s="59">
        <v>-6306843</v>
      </c>
      <c r="T1403" s="41"/>
      <c r="U1403" s="41"/>
      <c r="V1403" s="41"/>
      <c r="W1403" s="41"/>
      <c r="X1403" s="41"/>
      <c r="Y1403" s="41"/>
      <c r="Z1403" s="41"/>
      <c r="AA1403" s="41"/>
      <c r="AB1403" s="41"/>
      <c r="AC1403" s="41"/>
      <c r="AD1403" s="41"/>
      <c r="AE1403" s="59">
        <v>-243.36733061842872</v>
      </c>
      <c r="AF1403" s="59">
        <v>0</v>
      </c>
      <c r="AG1403" s="59" t="s">
        <v>141</v>
      </c>
      <c r="AH1403" s="59" t="s">
        <v>1390</v>
      </c>
    </row>
    <row r="1404" spans="1:34" x14ac:dyDescent="0.35">
      <c r="A1404" s="58">
        <v>2025</v>
      </c>
      <c r="B1404" s="58">
        <v>6</v>
      </c>
      <c r="C1404">
        <v>6</v>
      </c>
      <c r="D1404" s="58" t="s">
        <v>656</v>
      </c>
      <c r="E1404" t="s">
        <v>141</v>
      </c>
      <c r="F1404" s="58" t="s">
        <v>1152</v>
      </c>
      <c r="G1404" t="s">
        <v>1153</v>
      </c>
      <c r="H1404" s="58" t="s">
        <v>1012</v>
      </c>
      <c r="I1404" t="s">
        <v>1012</v>
      </c>
      <c r="J1404" s="58" t="s">
        <v>1399</v>
      </c>
      <c r="K1404" t="s">
        <v>1429</v>
      </c>
      <c r="L1404" t="s">
        <v>20</v>
      </c>
      <c r="M1404" t="s">
        <v>1430</v>
      </c>
      <c r="N1404" s="59">
        <v>0</v>
      </c>
      <c r="O1404" s="59">
        <v>0</v>
      </c>
      <c r="P1404" s="59">
        <v>0</v>
      </c>
      <c r="Q1404" s="59">
        <v>0</v>
      </c>
      <c r="R1404" s="59">
        <v>34276786.00000003</v>
      </c>
      <c r="S1404" s="59">
        <v>-34276786.00000003</v>
      </c>
      <c r="T1404" s="41"/>
      <c r="U1404" s="41"/>
      <c r="V1404" s="41"/>
      <c r="W1404" s="41"/>
      <c r="X1404" s="41"/>
      <c r="Y1404" s="41"/>
      <c r="Z1404" s="41"/>
      <c r="AA1404" s="41"/>
      <c r="AB1404" s="41"/>
      <c r="AC1404" s="41"/>
      <c r="AD1404" s="41"/>
      <c r="AE1404" s="59">
        <v>-1322.6664927284753</v>
      </c>
      <c r="AF1404" s="59">
        <v>0</v>
      </c>
      <c r="AG1404" s="59" t="s">
        <v>141</v>
      </c>
      <c r="AH1404" s="59" t="s">
        <v>1400</v>
      </c>
    </row>
    <row r="1405" spans="1:34" x14ac:dyDescent="0.35">
      <c r="A1405" s="58">
        <v>2025</v>
      </c>
      <c r="B1405" s="58">
        <v>6</v>
      </c>
      <c r="C1405">
        <v>6</v>
      </c>
      <c r="D1405" s="58" t="s">
        <v>656</v>
      </c>
      <c r="E1405" t="s">
        <v>141</v>
      </c>
      <c r="F1405" s="58" t="s">
        <v>1514</v>
      </c>
      <c r="G1405" t="s">
        <v>1515</v>
      </c>
      <c r="H1405" s="58" t="s">
        <v>1012</v>
      </c>
      <c r="I1405" t="s">
        <v>1012</v>
      </c>
      <c r="J1405" s="58" t="s">
        <v>1401</v>
      </c>
      <c r="K1405" t="s">
        <v>1429</v>
      </c>
      <c r="L1405" t="s">
        <v>20</v>
      </c>
      <c r="M1405" t="s">
        <v>1430</v>
      </c>
      <c r="N1405" s="59">
        <v>0</v>
      </c>
      <c r="O1405" s="59">
        <v>0</v>
      </c>
      <c r="P1405" s="59">
        <v>0</v>
      </c>
      <c r="Q1405" s="59">
        <v>0</v>
      </c>
      <c r="R1405" s="59">
        <v>1133333</v>
      </c>
      <c r="S1405" s="59">
        <v>-1133333</v>
      </c>
      <c r="T1405" s="41"/>
      <c r="U1405" s="41"/>
      <c r="V1405" s="41"/>
      <c r="W1405" s="41"/>
      <c r="X1405" s="41"/>
      <c r="Y1405" s="41"/>
      <c r="Z1405" s="41"/>
      <c r="AA1405" s="41"/>
      <c r="AB1405" s="41"/>
      <c r="AC1405" s="41"/>
      <c r="AD1405" s="41"/>
      <c r="AE1405" s="59">
        <v>-43.732851271511862</v>
      </c>
      <c r="AF1405" s="59">
        <v>0</v>
      </c>
      <c r="AG1405" s="59" t="s">
        <v>141</v>
      </c>
      <c r="AH1405" s="59" t="s">
        <v>1402</v>
      </c>
    </row>
    <row r="1406" spans="1:34" x14ac:dyDescent="0.35">
      <c r="A1406" s="58">
        <v>2025</v>
      </c>
      <c r="B1406" s="58">
        <v>6</v>
      </c>
      <c r="C1406">
        <v>6</v>
      </c>
      <c r="D1406" s="58" t="s">
        <v>608</v>
      </c>
      <c r="E1406" t="s">
        <v>294</v>
      </c>
      <c r="F1406" s="58" t="s">
        <v>1152</v>
      </c>
      <c r="G1406" t="s">
        <v>1153</v>
      </c>
      <c r="H1406" s="58" t="s">
        <v>1012</v>
      </c>
      <c r="I1406" t="s">
        <v>1012</v>
      </c>
      <c r="J1406" s="58" t="s">
        <v>1399</v>
      </c>
      <c r="K1406" t="s">
        <v>1429</v>
      </c>
      <c r="L1406" t="s">
        <v>20</v>
      </c>
      <c r="M1406" t="s">
        <v>1430</v>
      </c>
      <c r="N1406" s="59">
        <v>0</v>
      </c>
      <c r="O1406" s="59">
        <v>0</v>
      </c>
      <c r="P1406" s="59">
        <v>0</v>
      </c>
      <c r="Q1406" s="59">
        <v>0</v>
      </c>
      <c r="R1406" s="59">
        <v>1046001</v>
      </c>
      <c r="S1406" s="59">
        <v>-1046001</v>
      </c>
      <c r="T1406" s="41"/>
      <c r="U1406" s="41"/>
      <c r="V1406" s="41"/>
      <c r="W1406" s="41"/>
      <c r="X1406" s="41"/>
      <c r="Y1406" s="41"/>
      <c r="Z1406" s="41"/>
      <c r="AA1406" s="41"/>
      <c r="AB1406" s="41"/>
      <c r="AC1406" s="41"/>
      <c r="AD1406" s="41"/>
      <c r="AE1406" s="59">
        <v>-40.362899662193435</v>
      </c>
      <c r="AF1406" s="59">
        <v>0</v>
      </c>
      <c r="AG1406" s="59" t="s">
        <v>124</v>
      </c>
      <c r="AH1406" s="59" t="s">
        <v>1400</v>
      </c>
    </row>
    <row r="1407" spans="1:34" x14ac:dyDescent="0.35">
      <c r="A1407" s="58">
        <v>2025</v>
      </c>
      <c r="B1407" s="58">
        <v>6</v>
      </c>
      <c r="C1407">
        <v>6</v>
      </c>
      <c r="D1407" s="58" t="s">
        <v>632</v>
      </c>
      <c r="E1407" t="s">
        <v>131</v>
      </c>
      <c r="F1407" s="58" t="s">
        <v>1152</v>
      </c>
      <c r="G1407" t="s">
        <v>1153</v>
      </c>
      <c r="H1407" s="58" t="s">
        <v>1012</v>
      </c>
      <c r="I1407" t="s">
        <v>1012</v>
      </c>
      <c r="J1407" s="58" t="s">
        <v>1399</v>
      </c>
      <c r="K1407" t="s">
        <v>1429</v>
      </c>
      <c r="L1407" t="s">
        <v>20</v>
      </c>
      <c r="M1407" t="s">
        <v>1430</v>
      </c>
      <c r="N1407" s="59">
        <v>0</v>
      </c>
      <c r="O1407" s="59">
        <v>0</v>
      </c>
      <c r="P1407" s="59">
        <v>0</v>
      </c>
      <c r="Q1407" s="59">
        <v>0</v>
      </c>
      <c r="R1407" s="59">
        <v>1329167</v>
      </c>
      <c r="S1407" s="59">
        <v>-1329167</v>
      </c>
      <c r="T1407" s="41"/>
      <c r="U1407" s="41"/>
      <c r="V1407" s="41"/>
      <c r="W1407" s="41"/>
      <c r="X1407" s="41"/>
      <c r="Y1407" s="41"/>
      <c r="Z1407" s="41"/>
      <c r="AA1407" s="41"/>
      <c r="AB1407" s="41"/>
      <c r="AC1407" s="41"/>
      <c r="AD1407" s="41"/>
      <c r="AE1407" s="59">
        <v>-51.289658666959852</v>
      </c>
      <c r="AF1407" s="59">
        <v>0</v>
      </c>
      <c r="AG1407" s="59" t="s">
        <v>131</v>
      </c>
      <c r="AH1407" s="59" t="s">
        <v>1400</v>
      </c>
    </row>
    <row r="1408" spans="1:34" x14ac:dyDescent="0.35">
      <c r="A1408" s="58">
        <v>2025</v>
      </c>
      <c r="B1408" s="58">
        <v>6</v>
      </c>
      <c r="C1408">
        <v>6</v>
      </c>
      <c r="D1408" s="58" t="s">
        <v>647</v>
      </c>
      <c r="E1408" t="s">
        <v>136</v>
      </c>
      <c r="F1408" s="58" t="s">
        <v>1152</v>
      </c>
      <c r="G1408" t="s">
        <v>1153</v>
      </c>
      <c r="H1408" s="58" t="s">
        <v>1012</v>
      </c>
      <c r="I1408" t="s">
        <v>1012</v>
      </c>
      <c r="J1408" s="58" t="s">
        <v>1399</v>
      </c>
      <c r="K1408" t="s">
        <v>1429</v>
      </c>
      <c r="L1408" t="s">
        <v>20</v>
      </c>
      <c r="M1408" t="s">
        <v>1430</v>
      </c>
      <c r="N1408" s="59">
        <v>0</v>
      </c>
      <c r="O1408" s="59">
        <v>0</v>
      </c>
      <c r="P1408" s="59">
        <v>0</v>
      </c>
      <c r="Q1408" s="59">
        <v>0</v>
      </c>
      <c r="R1408" s="59">
        <v>807298</v>
      </c>
      <c r="S1408" s="59">
        <v>-807298</v>
      </c>
      <c r="T1408" s="41"/>
      <c r="U1408" s="41"/>
      <c r="V1408" s="41"/>
      <c r="W1408" s="41"/>
      <c r="X1408" s="41"/>
      <c r="Y1408" s="41"/>
      <c r="Z1408" s="41"/>
      <c r="AA1408" s="41"/>
      <c r="AB1408" s="41"/>
      <c r="AC1408" s="41"/>
      <c r="AD1408" s="41"/>
      <c r="AE1408" s="59">
        <v>-31.151870955658207</v>
      </c>
      <c r="AF1408" s="59">
        <v>0</v>
      </c>
      <c r="AG1408" s="59" t="s">
        <v>136</v>
      </c>
      <c r="AH1408" s="59" t="s">
        <v>1400</v>
      </c>
    </row>
    <row r="1409" spans="1:34" x14ac:dyDescent="0.35">
      <c r="A1409" s="58">
        <v>2025</v>
      </c>
      <c r="B1409" s="58">
        <v>6</v>
      </c>
      <c r="C1409">
        <v>6</v>
      </c>
      <c r="D1409" s="58" t="s">
        <v>614</v>
      </c>
      <c r="E1409" t="s">
        <v>304</v>
      </c>
      <c r="F1409" s="58" t="s">
        <v>1152</v>
      </c>
      <c r="G1409" t="s">
        <v>1153</v>
      </c>
      <c r="H1409" s="58" t="s">
        <v>1012</v>
      </c>
      <c r="I1409" t="s">
        <v>1012</v>
      </c>
      <c r="J1409" s="58" t="s">
        <v>1399</v>
      </c>
      <c r="K1409" t="s">
        <v>1429</v>
      </c>
      <c r="L1409" t="s">
        <v>20</v>
      </c>
      <c r="M1409" t="s">
        <v>1430</v>
      </c>
      <c r="N1409" s="59">
        <v>0</v>
      </c>
      <c r="O1409" s="59">
        <v>0</v>
      </c>
      <c r="P1409" s="59">
        <v>0</v>
      </c>
      <c r="Q1409" s="59">
        <v>0</v>
      </c>
      <c r="R1409" s="59">
        <v>3422667</v>
      </c>
      <c r="S1409" s="59">
        <v>-3422667</v>
      </c>
      <c r="T1409" s="41"/>
      <c r="U1409" s="41"/>
      <c r="V1409" s="41"/>
      <c r="W1409" s="41"/>
      <c r="X1409" s="41"/>
      <c r="Y1409" s="41"/>
      <c r="Z1409" s="41"/>
      <c r="AA1409" s="41"/>
      <c r="AB1409" s="41"/>
      <c r="AC1409" s="41"/>
      <c r="AD1409" s="41"/>
      <c r="AE1409" s="59">
        <v>-132.07326254764635</v>
      </c>
      <c r="AF1409" s="59">
        <v>0</v>
      </c>
      <c r="AG1409" s="59" t="s">
        <v>130</v>
      </c>
      <c r="AH1409" s="59" t="s">
        <v>1400</v>
      </c>
    </row>
    <row r="1410" spans="1:34" x14ac:dyDescent="0.35">
      <c r="A1410" s="58">
        <v>2025</v>
      </c>
      <c r="B1410" s="58">
        <v>6</v>
      </c>
      <c r="C1410">
        <v>6</v>
      </c>
      <c r="D1410" s="58" t="s">
        <v>650</v>
      </c>
      <c r="E1410" t="s">
        <v>134</v>
      </c>
      <c r="F1410" s="58" t="s">
        <v>171</v>
      </c>
      <c r="G1410" t="s">
        <v>731</v>
      </c>
      <c r="H1410" s="58" t="s">
        <v>4</v>
      </c>
      <c r="I1410" t="s">
        <v>4</v>
      </c>
      <c r="J1410" s="58" t="s">
        <v>4</v>
      </c>
      <c r="K1410" t="s">
        <v>1476</v>
      </c>
      <c r="L1410" t="s">
        <v>301</v>
      </c>
      <c r="M1410" t="s">
        <v>1430</v>
      </c>
      <c r="N1410" s="59">
        <v>22000</v>
      </c>
      <c r="O1410" s="59">
        <v>711700000</v>
      </c>
      <c r="P1410" s="59">
        <v>1650001.766437684</v>
      </c>
      <c r="Q1410" s="59">
        <v>0</v>
      </c>
      <c r="R1410" s="59">
        <v>9165185</v>
      </c>
      <c r="S1410" s="59">
        <v>700884813.23356235</v>
      </c>
      <c r="T1410" s="41"/>
      <c r="U1410" s="41"/>
      <c r="V1410" s="41"/>
      <c r="W1410" s="41"/>
      <c r="X1410" s="41"/>
      <c r="Y1410" s="41"/>
      <c r="Z1410" s="41"/>
      <c r="AA1410" s="41"/>
      <c r="AB1410" s="41"/>
      <c r="AC1410" s="41"/>
      <c r="AD1410" s="41"/>
      <c r="AE1410" s="59">
        <v>27082.102520616783</v>
      </c>
      <c r="AF1410" s="59">
        <v>27500</v>
      </c>
      <c r="AG1410" s="59" t="s">
        <v>134</v>
      </c>
      <c r="AH1410" s="59" t="s">
        <v>1166</v>
      </c>
    </row>
    <row r="1411" spans="1:34" x14ac:dyDescent="0.35">
      <c r="A1411" s="58">
        <v>2025</v>
      </c>
      <c r="B1411" s="58">
        <v>6</v>
      </c>
      <c r="C1411">
        <v>6</v>
      </c>
      <c r="D1411" s="58" t="s">
        <v>662</v>
      </c>
      <c r="E1411" t="s">
        <v>42</v>
      </c>
      <c r="F1411" s="58" t="s">
        <v>190</v>
      </c>
      <c r="G1411" t="s">
        <v>1066</v>
      </c>
      <c r="H1411" s="58" t="s">
        <v>1428</v>
      </c>
      <c r="I1411" t="s">
        <v>75</v>
      </c>
      <c r="J1411" s="58" t="s">
        <v>75</v>
      </c>
      <c r="K1411" t="s">
        <v>1476</v>
      </c>
      <c r="L1411" t="s">
        <v>1477</v>
      </c>
      <c r="M1411" t="s">
        <v>1430</v>
      </c>
      <c r="N1411" s="59">
        <v>4125</v>
      </c>
      <c r="O1411" s="59">
        <v>174771850</v>
      </c>
      <c r="P1411" s="59">
        <v>0</v>
      </c>
      <c r="Q1411" s="59">
        <v>0</v>
      </c>
      <c r="R1411" s="59">
        <v>25326490</v>
      </c>
      <c r="S1411" s="59">
        <v>149445360</v>
      </c>
      <c r="T1411" s="41"/>
      <c r="U1411" s="41"/>
      <c r="V1411" s="41"/>
      <c r="W1411" s="41"/>
      <c r="X1411" s="41"/>
      <c r="Y1411" s="41"/>
      <c r="Z1411" s="41"/>
      <c r="AA1411" s="41"/>
      <c r="AB1411" s="41"/>
      <c r="AC1411" s="41"/>
      <c r="AD1411" s="41"/>
      <c r="AE1411" s="59">
        <v>5781.251837524178</v>
      </c>
      <c r="AF1411" s="59">
        <v>6761</v>
      </c>
      <c r="AG1411" s="59" t="s">
        <v>42</v>
      </c>
      <c r="AH1411" s="59" t="s">
        <v>1206</v>
      </c>
    </row>
    <row r="1412" spans="1:34" x14ac:dyDescent="0.35">
      <c r="A1412" s="58">
        <v>2025</v>
      </c>
      <c r="B1412" s="58">
        <v>6</v>
      </c>
      <c r="C1412">
        <v>6</v>
      </c>
      <c r="D1412" s="58" t="s">
        <v>631</v>
      </c>
      <c r="E1412" t="s">
        <v>129</v>
      </c>
      <c r="F1412" s="58" t="s">
        <v>168</v>
      </c>
      <c r="G1412" t="s">
        <v>700</v>
      </c>
      <c r="H1412" s="58" t="s">
        <v>4</v>
      </c>
      <c r="I1412" t="s">
        <v>4</v>
      </c>
      <c r="J1412" s="58" t="s">
        <v>4</v>
      </c>
      <c r="K1412" t="s">
        <v>1476</v>
      </c>
      <c r="L1412" t="s">
        <v>308</v>
      </c>
      <c r="M1412" t="s">
        <v>1430</v>
      </c>
      <c r="N1412" s="59">
        <v>22000</v>
      </c>
      <c r="O1412" s="59">
        <v>847946880</v>
      </c>
      <c r="P1412" s="59">
        <v>1650001.766437684</v>
      </c>
      <c r="Q1412" s="59">
        <v>0</v>
      </c>
      <c r="R1412" s="59">
        <v>92728655</v>
      </c>
      <c r="S1412" s="59">
        <v>753568223.23356235</v>
      </c>
      <c r="T1412" s="41"/>
      <c r="U1412" s="41"/>
      <c r="V1412" s="41"/>
      <c r="W1412" s="41"/>
      <c r="X1412" s="41"/>
      <c r="Y1412" s="41"/>
      <c r="Z1412" s="41"/>
      <c r="AA1412" s="41"/>
      <c r="AB1412" s="41"/>
      <c r="AC1412" s="41"/>
      <c r="AD1412" s="41"/>
      <c r="AE1412" s="59">
        <v>29072.848118578793</v>
      </c>
      <c r="AF1412" s="59">
        <v>32714</v>
      </c>
      <c r="AG1412" s="59" t="s">
        <v>129</v>
      </c>
      <c r="AH1412" s="59" t="s">
        <v>1160</v>
      </c>
    </row>
    <row r="1413" spans="1:34" x14ac:dyDescent="0.35">
      <c r="A1413" s="58">
        <v>2025</v>
      </c>
      <c r="B1413" s="58">
        <v>6</v>
      </c>
      <c r="C1413">
        <v>6</v>
      </c>
      <c r="D1413" s="58" t="s">
        <v>633</v>
      </c>
      <c r="E1413" t="s">
        <v>27</v>
      </c>
      <c r="F1413" s="58" t="s">
        <v>182</v>
      </c>
      <c r="G1413" t="s">
        <v>905</v>
      </c>
      <c r="H1413" s="58" t="s">
        <v>74</v>
      </c>
      <c r="I1413" t="s">
        <v>74</v>
      </c>
      <c r="J1413" s="58" t="s">
        <v>74</v>
      </c>
      <c r="K1413" t="s">
        <v>1476</v>
      </c>
      <c r="L1413" t="s">
        <v>1479</v>
      </c>
      <c r="M1413" t="s">
        <v>1430</v>
      </c>
      <c r="N1413" s="59">
        <v>21000</v>
      </c>
      <c r="O1413" s="59">
        <v>441544110</v>
      </c>
      <c r="P1413" s="59">
        <v>1650001.7664376842</v>
      </c>
      <c r="Q1413" s="59">
        <v>0</v>
      </c>
      <c r="R1413" s="59">
        <v>74075000</v>
      </c>
      <c r="S1413" s="59">
        <v>365819108.23356229</v>
      </c>
      <c r="T1413" s="41"/>
      <c r="U1413" s="41"/>
      <c r="V1413" s="41"/>
      <c r="W1413" s="41"/>
      <c r="X1413" s="41"/>
      <c r="Y1413" s="41"/>
      <c r="Z1413" s="41"/>
      <c r="AA1413" s="41"/>
      <c r="AB1413" s="41"/>
      <c r="AC1413" s="41"/>
      <c r="AD1413" s="41"/>
      <c r="AE1413" s="59">
        <v>14075.379308717287</v>
      </c>
      <c r="AF1413" s="59">
        <v>16989</v>
      </c>
      <c r="AG1413" s="59" t="s">
        <v>27</v>
      </c>
      <c r="AH1413" s="59" t="s">
        <v>1242</v>
      </c>
    </row>
    <row r="1414" spans="1:34" x14ac:dyDescent="0.35">
      <c r="A1414" s="58">
        <v>2025</v>
      </c>
      <c r="B1414" s="58">
        <v>6</v>
      </c>
      <c r="C1414">
        <v>6</v>
      </c>
      <c r="D1414" s="58" t="s">
        <v>644</v>
      </c>
      <c r="E1414" t="s">
        <v>150</v>
      </c>
      <c r="F1414" s="58" t="s">
        <v>183</v>
      </c>
      <c r="G1414" t="s">
        <v>924</v>
      </c>
      <c r="H1414" s="58" t="s">
        <v>74</v>
      </c>
      <c r="I1414" t="s">
        <v>74</v>
      </c>
      <c r="J1414" s="58" t="s">
        <v>74</v>
      </c>
      <c r="K1414" t="s">
        <v>1476</v>
      </c>
      <c r="L1414" t="s">
        <v>1662</v>
      </c>
      <c r="M1414" t="s">
        <v>1430</v>
      </c>
      <c r="N1414" s="59">
        <v>63000</v>
      </c>
      <c r="O1414" s="59">
        <v>1013607000</v>
      </c>
      <c r="P1414" s="59">
        <v>4950005.2993130526</v>
      </c>
      <c r="Q1414" s="59">
        <v>0</v>
      </c>
      <c r="R1414" s="59">
        <v>28584888</v>
      </c>
      <c r="S1414" s="59">
        <v>980072106.70068693</v>
      </c>
      <c r="T1414" s="41"/>
      <c r="U1414" s="41"/>
      <c r="V1414" s="41"/>
      <c r="W1414" s="41"/>
      <c r="X1414" s="41"/>
      <c r="Y1414" s="41"/>
      <c r="Z1414" s="41"/>
      <c r="AA1414" s="41"/>
      <c r="AB1414" s="41"/>
      <c r="AC1414" s="41"/>
      <c r="AD1414" s="41"/>
      <c r="AE1414" s="59">
        <v>37767.711240874254</v>
      </c>
      <c r="AF1414" s="59">
        <v>39060</v>
      </c>
      <c r="AG1414" s="59" t="s">
        <v>150</v>
      </c>
      <c r="AH1414" s="59" t="s">
        <v>1245</v>
      </c>
    </row>
    <row r="1415" spans="1:34" x14ac:dyDescent="0.35">
      <c r="A1415" s="58">
        <v>2025</v>
      </c>
      <c r="B1415" s="58">
        <v>6</v>
      </c>
      <c r="C1415">
        <v>6</v>
      </c>
      <c r="D1415" s="58" t="s">
        <v>630</v>
      </c>
      <c r="E1415" t="s">
        <v>328</v>
      </c>
      <c r="F1415" s="58" t="s">
        <v>174</v>
      </c>
      <c r="G1415" t="s">
        <v>740</v>
      </c>
      <c r="H1415" s="58" t="s">
        <v>4</v>
      </c>
      <c r="I1415" t="s">
        <v>4</v>
      </c>
      <c r="J1415" s="58" t="s">
        <v>4</v>
      </c>
      <c r="K1415" t="s">
        <v>1476</v>
      </c>
      <c r="L1415" t="s">
        <v>1510</v>
      </c>
      <c r="M1415" t="s">
        <v>1430</v>
      </c>
      <c r="N1415" s="59">
        <v>22000</v>
      </c>
      <c r="O1415" s="59">
        <v>656281999.99999988</v>
      </c>
      <c r="P1415" s="59">
        <v>1650001.766437684</v>
      </c>
      <c r="Q1415" s="59">
        <v>0</v>
      </c>
      <c r="R1415" s="59">
        <v>10711550</v>
      </c>
      <c r="S1415" s="59">
        <v>643920448.23356223</v>
      </c>
      <c r="T1415" s="41"/>
      <c r="U1415" s="41"/>
      <c r="V1415" s="41"/>
      <c r="W1415" s="41"/>
      <c r="X1415" s="41"/>
      <c r="Y1415" s="41"/>
      <c r="Z1415" s="41"/>
      <c r="AA1415" s="41"/>
      <c r="AB1415" s="41"/>
      <c r="AC1415" s="41"/>
      <c r="AD1415" s="41"/>
      <c r="AE1415" s="59">
        <v>24823.45598433162</v>
      </c>
      <c r="AF1415" s="59">
        <v>25299.999999999996</v>
      </c>
      <c r="AG1415" s="59" t="s">
        <v>125</v>
      </c>
      <c r="AH1415" s="59" t="s">
        <v>1185</v>
      </c>
    </row>
    <row r="1416" spans="1:34" x14ac:dyDescent="0.35">
      <c r="A1416" s="58">
        <v>2025</v>
      </c>
      <c r="B1416" s="58">
        <v>6</v>
      </c>
      <c r="C1416">
        <v>6</v>
      </c>
      <c r="D1416" s="58" t="s">
        <v>598</v>
      </c>
      <c r="E1416" t="s">
        <v>35</v>
      </c>
      <c r="F1416" s="58" t="s">
        <v>179</v>
      </c>
      <c r="G1416" t="s">
        <v>14</v>
      </c>
      <c r="H1416" s="58" t="s">
        <v>4</v>
      </c>
      <c r="I1416" t="s">
        <v>4</v>
      </c>
      <c r="J1416" s="58" t="s">
        <v>4</v>
      </c>
      <c r="K1416" t="s">
        <v>1476</v>
      </c>
      <c r="L1416" t="s">
        <v>1509</v>
      </c>
      <c r="M1416" t="s">
        <v>1430</v>
      </c>
      <c r="N1416" s="59">
        <v>2000</v>
      </c>
      <c r="O1416" s="59">
        <v>65400060</v>
      </c>
      <c r="P1416" s="59">
        <v>825000.88321884209</v>
      </c>
      <c r="Q1416" s="59">
        <v>5188000</v>
      </c>
      <c r="R1416" s="59">
        <v>6907450</v>
      </c>
      <c r="S1416" s="59">
        <v>52479609.11678116</v>
      </c>
      <c r="T1416" s="41"/>
      <c r="U1416" s="41"/>
      <c r="V1416" s="41"/>
      <c r="W1416" s="41"/>
      <c r="X1416" s="41"/>
      <c r="Y1416" s="41"/>
      <c r="Z1416" s="41"/>
      <c r="AA1416" s="41"/>
      <c r="AB1416" s="41"/>
      <c r="AC1416" s="41"/>
      <c r="AD1416" s="41"/>
      <c r="AE1416" s="59">
        <v>2024.6762776535941</v>
      </c>
      <c r="AF1416" s="59">
        <v>2523.150462962963</v>
      </c>
      <c r="AG1416" s="59" t="s">
        <v>35</v>
      </c>
      <c r="AH1416" s="59" t="s">
        <v>73</v>
      </c>
    </row>
    <row r="1417" spans="1:34" x14ac:dyDescent="0.35">
      <c r="A1417" s="58">
        <v>2025</v>
      </c>
      <c r="B1417" s="58">
        <v>6</v>
      </c>
      <c r="C1417">
        <v>6</v>
      </c>
      <c r="D1417" s="58" t="s">
        <v>598</v>
      </c>
      <c r="E1417" t="s">
        <v>35</v>
      </c>
      <c r="F1417" s="58" t="s">
        <v>1152</v>
      </c>
      <c r="G1417" t="s">
        <v>1153</v>
      </c>
      <c r="H1417" s="58" t="s">
        <v>1012</v>
      </c>
      <c r="I1417" t="s">
        <v>1012</v>
      </c>
      <c r="J1417" s="58" t="s">
        <v>1399</v>
      </c>
      <c r="K1417" t="s">
        <v>1476</v>
      </c>
      <c r="L1417" t="s">
        <v>20</v>
      </c>
      <c r="M1417" t="s">
        <v>1430</v>
      </c>
      <c r="N1417" s="59">
        <v>0</v>
      </c>
      <c r="O1417" s="59">
        <v>0</v>
      </c>
      <c r="P1417" s="59">
        <v>0</v>
      </c>
      <c r="Q1417" s="59">
        <v>-5188000</v>
      </c>
      <c r="R1417" s="59">
        <v>0</v>
      </c>
      <c r="S1417" s="59">
        <v>5188000</v>
      </c>
      <c r="T1417" s="41"/>
      <c r="U1417" s="41"/>
      <c r="V1417" s="41"/>
      <c r="W1417" s="41"/>
      <c r="X1417" s="41"/>
      <c r="Y1417" s="41"/>
      <c r="Z1417" s="41"/>
      <c r="AA1417" s="41"/>
      <c r="AB1417" s="41"/>
      <c r="AC1417" s="41"/>
      <c r="AD1417" s="41"/>
      <c r="AE1417" s="59">
        <v>171.90192180251822</v>
      </c>
      <c r="AF1417" s="59">
        <v>0</v>
      </c>
      <c r="AG1417" s="59" t="s">
        <v>35</v>
      </c>
      <c r="AH1417" s="59" t="s">
        <v>1400</v>
      </c>
    </row>
    <row r="1418" spans="1:34" x14ac:dyDescent="0.35">
      <c r="A1418" s="58">
        <v>2025</v>
      </c>
      <c r="B1418" s="58">
        <v>6</v>
      </c>
      <c r="C1418">
        <v>6</v>
      </c>
      <c r="D1418" s="58" t="s">
        <v>1555</v>
      </c>
      <c r="E1418" t="s">
        <v>1289</v>
      </c>
      <c r="F1418" s="58" t="s">
        <v>1468</v>
      </c>
      <c r="G1418" t="s">
        <v>1012</v>
      </c>
      <c r="H1418" s="58" t="s">
        <v>1012</v>
      </c>
      <c r="I1418" t="s">
        <v>1012</v>
      </c>
      <c r="J1418" s="58" t="s">
        <v>1012</v>
      </c>
      <c r="K1418" t="s">
        <v>1429</v>
      </c>
      <c r="L1418" t="s">
        <v>20</v>
      </c>
      <c r="M1418" t="s">
        <v>1430</v>
      </c>
      <c r="N1418" s="59">
        <v>0</v>
      </c>
      <c r="O1418" s="59">
        <v>0</v>
      </c>
      <c r="P1418" s="59">
        <v>0</v>
      </c>
      <c r="Q1418" s="59">
        <v>0</v>
      </c>
      <c r="R1418" s="59">
        <v>0</v>
      </c>
      <c r="S1418" s="59">
        <v>0</v>
      </c>
      <c r="T1418" s="41"/>
      <c r="U1418" s="41"/>
      <c r="V1418" s="41"/>
      <c r="W1418" s="41"/>
      <c r="X1418" s="41"/>
      <c r="Y1418" s="41"/>
      <c r="Z1418" s="41"/>
      <c r="AA1418" s="41"/>
      <c r="AB1418" s="41"/>
      <c r="AC1418" s="41"/>
      <c r="AD1418" s="41"/>
      <c r="AE1418" s="59">
        <v>0</v>
      </c>
      <c r="AF1418" s="59">
        <v>0</v>
      </c>
      <c r="AG1418" s="59" t="s">
        <v>1289</v>
      </c>
      <c r="AH1418" s="59" t="s">
        <v>1284</v>
      </c>
    </row>
    <row r="1419" spans="1:34" x14ac:dyDescent="0.35">
      <c r="A1419" s="58">
        <v>2025</v>
      </c>
      <c r="B1419" s="58">
        <v>6</v>
      </c>
      <c r="C1419">
        <v>6</v>
      </c>
      <c r="D1419" s="58" t="s">
        <v>1555</v>
      </c>
      <c r="E1419" t="s">
        <v>1289</v>
      </c>
      <c r="F1419" s="58" t="s">
        <v>1486</v>
      </c>
      <c r="G1419" t="s">
        <v>1487</v>
      </c>
      <c r="H1419" s="58" t="s">
        <v>1012</v>
      </c>
      <c r="I1419" t="s">
        <v>1012</v>
      </c>
      <c r="J1419" s="58" t="s">
        <v>1012</v>
      </c>
      <c r="K1419" t="s">
        <v>1429</v>
      </c>
      <c r="L1419" t="s">
        <v>20</v>
      </c>
      <c r="M1419" t="s">
        <v>1430</v>
      </c>
      <c r="N1419" s="59">
        <v>0</v>
      </c>
      <c r="O1419" s="59">
        <v>0</v>
      </c>
      <c r="P1419" s="59">
        <v>0</v>
      </c>
      <c r="Q1419" s="59">
        <v>0</v>
      </c>
      <c r="R1419" s="59">
        <v>0</v>
      </c>
      <c r="S1419" s="59">
        <v>0</v>
      </c>
      <c r="T1419" s="41"/>
      <c r="U1419" s="41"/>
      <c r="V1419" s="41"/>
      <c r="W1419" s="41"/>
      <c r="X1419" s="41"/>
      <c r="Y1419" s="41"/>
      <c r="Z1419" s="41"/>
      <c r="AA1419" s="41"/>
      <c r="AB1419" s="41"/>
      <c r="AC1419" s="41"/>
      <c r="AD1419" s="41"/>
      <c r="AE1419" s="59">
        <v>0</v>
      </c>
      <c r="AF1419" s="59">
        <v>0</v>
      </c>
      <c r="AG1419" s="59" t="s">
        <v>1289</v>
      </c>
      <c r="AH1419" s="59" t="s">
        <v>1317</v>
      </c>
    </row>
    <row r="1420" spans="1:34" x14ac:dyDescent="0.35">
      <c r="A1420" s="58">
        <v>2025</v>
      </c>
      <c r="B1420" s="58">
        <v>6</v>
      </c>
      <c r="C1420">
        <v>6</v>
      </c>
      <c r="D1420" s="58" t="s">
        <v>1620</v>
      </c>
      <c r="E1420" t="s">
        <v>1295</v>
      </c>
      <c r="F1420" s="58" t="s">
        <v>1597</v>
      </c>
      <c r="G1420" t="s">
        <v>1598</v>
      </c>
      <c r="H1420" s="58" t="s">
        <v>1012</v>
      </c>
      <c r="I1420" t="s">
        <v>1012</v>
      </c>
      <c r="J1420" s="58" t="s">
        <v>1012</v>
      </c>
      <c r="K1420" t="s">
        <v>1429</v>
      </c>
      <c r="L1420" t="s">
        <v>20</v>
      </c>
      <c r="M1420" t="s">
        <v>1430</v>
      </c>
      <c r="N1420" s="59">
        <v>0</v>
      </c>
      <c r="O1420" s="59">
        <v>0</v>
      </c>
      <c r="P1420" s="59">
        <v>0</v>
      </c>
      <c r="Q1420" s="59">
        <v>0</v>
      </c>
      <c r="R1420" s="59">
        <v>0</v>
      </c>
      <c r="S1420" s="59">
        <v>0</v>
      </c>
      <c r="T1420" s="41"/>
      <c r="U1420" s="41"/>
      <c r="V1420" s="41"/>
      <c r="W1420" s="41"/>
      <c r="X1420" s="41"/>
      <c r="Y1420" s="41"/>
      <c r="Z1420" s="41"/>
      <c r="AA1420" s="41"/>
      <c r="AB1420" s="41"/>
      <c r="AC1420" s="41"/>
      <c r="AD1420" s="41"/>
      <c r="AE1420" s="59">
        <v>0</v>
      </c>
      <c r="AF1420" s="59">
        <v>0</v>
      </c>
      <c r="AG1420" s="59" t="s">
        <v>1295</v>
      </c>
      <c r="AH1420" s="59" t="s">
        <v>1327</v>
      </c>
    </row>
    <row r="1421" spans="1:34" x14ac:dyDescent="0.35">
      <c r="A1421" s="58">
        <v>2025</v>
      </c>
      <c r="B1421" s="58">
        <v>6</v>
      </c>
      <c r="C1421">
        <v>6</v>
      </c>
      <c r="D1421" s="58" t="s">
        <v>1484</v>
      </c>
      <c r="E1421" t="s">
        <v>1298</v>
      </c>
      <c r="F1421" s="58" t="s">
        <v>1482</v>
      </c>
      <c r="G1421" t="s">
        <v>1483</v>
      </c>
      <c r="H1421" s="58" t="s">
        <v>1012</v>
      </c>
      <c r="I1421" t="s">
        <v>1012</v>
      </c>
      <c r="J1421" s="58" t="s">
        <v>1012</v>
      </c>
      <c r="K1421" t="s">
        <v>1429</v>
      </c>
      <c r="L1421" t="s">
        <v>20</v>
      </c>
      <c r="M1421" t="s">
        <v>1430</v>
      </c>
      <c r="N1421" s="59">
        <v>0</v>
      </c>
      <c r="O1421" s="59">
        <v>57000000</v>
      </c>
      <c r="P1421" s="59">
        <v>0</v>
      </c>
      <c r="Q1421" s="59">
        <v>0</v>
      </c>
      <c r="R1421" s="59">
        <v>0</v>
      </c>
      <c r="S1421" s="59">
        <v>57000000</v>
      </c>
      <c r="T1421" s="41"/>
      <c r="U1421" s="41"/>
      <c r="V1421" s="41"/>
      <c r="W1421" s="41"/>
      <c r="X1421" s="41"/>
      <c r="Y1421" s="41"/>
      <c r="Z1421" s="41"/>
      <c r="AA1421" s="41"/>
      <c r="AB1421" s="41"/>
      <c r="AC1421" s="41"/>
      <c r="AD1421" s="41"/>
      <c r="AE1421" s="59">
        <v>2199.5058138042182</v>
      </c>
      <c r="AF1421" s="59">
        <v>2199.5058138042182</v>
      </c>
      <c r="AG1421" s="59" t="s">
        <v>1298</v>
      </c>
      <c r="AH1421" s="59" t="s">
        <v>1325</v>
      </c>
    </row>
    <row r="1422" spans="1:34" x14ac:dyDescent="0.35">
      <c r="A1422" s="58">
        <v>2025</v>
      </c>
      <c r="B1422" s="58">
        <v>6</v>
      </c>
      <c r="C1422">
        <v>6</v>
      </c>
      <c r="D1422" s="58" t="s">
        <v>1485</v>
      </c>
      <c r="E1422" t="s">
        <v>1318</v>
      </c>
      <c r="F1422" s="58" t="s">
        <v>1486</v>
      </c>
      <c r="G1422" t="s">
        <v>1487</v>
      </c>
      <c r="H1422" s="58" t="s">
        <v>1012</v>
      </c>
      <c r="I1422" t="s">
        <v>1012</v>
      </c>
      <c r="J1422" s="58" t="s">
        <v>1012</v>
      </c>
      <c r="K1422" t="s">
        <v>1429</v>
      </c>
      <c r="L1422" t="s">
        <v>20</v>
      </c>
      <c r="M1422" t="s">
        <v>1430</v>
      </c>
      <c r="N1422" s="59">
        <v>0</v>
      </c>
      <c r="O1422" s="59">
        <v>0</v>
      </c>
      <c r="P1422" s="59">
        <v>0</v>
      </c>
      <c r="Q1422" s="59">
        <v>0</v>
      </c>
      <c r="R1422" s="59">
        <v>0</v>
      </c>
      <c r="S1422" s="59">
        <v>0</v>
      </c>
      <c r="T1422" s="41"/>
      <c r="U1422" s="41"/>
      <c r="V1422" s="41"/>
      <c r="W1422" s="41"/>
      <c r="X1422" s="41"/>
      <c r="Y1422" s="41"/>
      <c r="Z1422" s="41"/>
      <c r="AA1422" s="41"/>
      <c r="AB1422" s="41"/>
      <c r="AC1422" s="41"/>
      <c r="AD1422" s="41"/>
      <c r="AE1422" s="59">
        <v>0</v>
      </c>
      <c r="AF1422" s="59">
        <v>0</v>
      </c>
      <c r="AG1422" s="59" t="s">
        <v>1318</v>
      </c>
      <c r="AH1422" s="59" t="s">
        <v>1317</v>
      </c>
    </row>
    <row r="1423" spans="1:34" x14ac:dyDescent="0.35">
      <c r="A1423" s="58">
        <v>2025</v>
      </c>
      <c r="B1423" s="58">
        <v>6</v>
      </c>
      <c r="C1423">
        <v>6</v>
      </c>
      <c r="D1423" s="58" t="s">
        <v>1653</v>
      </c>
      <c r="E1423" t="s">
        <v>1281</v>
      </c>
      <c r="F1423" s="58" t="s">
        <v>1524</v>
      </c>
      <c r="G1423" t="s">
        <v>1525</v>
      </c>
      <c r="H1423" s="58" t="s">
        <v>1012</v>
      </c>
      <c r="I1423" t="s">
        <v>1012</v>
      </c>
      <c r="J1423" s="58" t="s">
        <v>1012</v>
      </c>
      <c r="K1423" t="s">
        <v>1429</v>
      </c>
      <c r="L1423" t="s">
        <v>20</v>
      </c>
      <c r="M1423" t="s">
        <v>1430</v>
      </c>
      <c r="N1423" s="59">
        <v>0</v>
      </c>
      <c r="O1423" s="59">
        <v>0</v>
      </c>
      <c r="P1423" s="59">
        <v>0</v>
      </c>
      <c r="Q1423" s="59">
        <v>0</v>
      </c>
      <c r="R1423" s="59">
        <v>0</v>
      </c>
      <c r="S1423" s="59">
        <v>0</v>
      </c>
      <c r="T1423" s="41"/>
      <c r="U1423" s="41"/>
      <c r="V1423" s="41"/>
      <c r="W1423" s="41"/>
      <c r="X1423" s="41"/>
      <c r="Y1423" s="41"/>
      <c r="Z1423" s="41"/>
      <c r="AA1423" s="41"/>
      <c r="AB1423" s="41"/>
      <c r="AC1423" s="41"/>
      <c r="AD1423" s="41"/>
      <c r="AE1423" s="59">
        <v>0</v>
      </c>
      <c r="AF1423" s="59">
        <v>0</v>
      </c>
      <c r="AG1423" s="59" t="s">
        <v>1281</v>
      </c>
      <c r="AH1423" s="59" t="s">
        <v>1277</v>
      </c>
    </row>
    <row r="1424" spans="1:34" x14ac:dyDescent="0.35">
      <c r="A1424" s="58">
        <v>2025</v>
      </c>
      <c r="B1424" s="58">
        <v>6</v>
      </c>
      <c r="C1424">
        <v>6</v>
      </c>
      <c r="D1424" s="58" t="s">
        <v>1624</v>
      </c>
      <c r="E1424" t="s">
        <v>1286</v>
      </c>
      <c r="F1424" s="58" t="s">
        <v>1496</v>
      </c>
      <c r="G1424" t="s">
        <v>1497</v>
      </c>
      <c r="H1424" s="58" t="s">
        <v>1012</v>
      </c>
      <c r="I1424" t="s">
        <v>1012</v>
      </c>
      <c r="J1424" s="58" t="s">
        <v>1012</v>
      </c>
      <c r="K1424" t="s">
        <v>1429</v>
      </c>
      <c r="L1424" t="s">
        <v>20</v>
      </c>
      <c r="M1424" t="s">
        <v>1430</v>
      </c>
      <c r="N1424" s="59">
        <v>0</v>
      </c>
      <c r="O1424" s="59">
        <v>0</v>
      </c>
      <c r="P1424" s="59">
        <v>0</v>
      </c>
      <c r="Q1424" s="59">
        <v>0</v>
      </c>
      <c r="R1424" s="59">
        <v>0</v>
      </c>
      <c r="S1424" s="59">
        <v>0</v>
      </c>
      <c r="T1424" s="41"/>
      <c r="U1424" s="41"/>
      <c r="V1424" s="41"/>
      <c r="W1424" s="41"/>
      <c r="X1424" s="41"/>
      <c r="Y1424" s="41"/>
      <c r="Z1424" s="41"/>
      <c r="AA1424" s="41"/>
      <c r="AB1424" s="41"/>
      <c r="AC1424" s="41"/>
      <c r="AD1424" s="41"/>
      <c r="AE1424" s="59">
        <v>0</v>
      </c>
      <c r="AF1424" s="59">
        <v>0</v>
      </c>
      <c r="AG1424" s="59" t="s">
        <v>1286</v>
      </c>
      <c r="AH1424" s="59" t="s">
        <v>1329</v>
      </c>
    </row>
    <row r="1425" spans="1:34" x14ac:dyDescent="0.35">
      <c r="A1425" s="58">
        <v>2025</v>
      </c>
      <c r="B1425" s="58">
        <v>6</v>
      </c>
      <c r="C1425">
        <v>6</v>
      </c>
      <c r="D1425" s="58" t="s">
        <v>1570</v>
      </c>
      <c r="E1425" t="s">
        <v>1282</v>
      </c>
      <c r="F1425" s="58" t="s">
        <v>1524</v>
      </c>
      <c r="G1425" t="s">
        <v>1525</v>
      </c>
      <c r="H1425" s="58" t="s">
        <v>1012</v>
      </c>
      <c r="I1425" t="s">
        <v>1012</v>
      </c>
      <c r="J1425" s="58" t="s">
        <v>1012</v>
      </c>
      <c r="K1425" t="s">
        <v>1429</v>
      </c>
      <c r="L1425" t="s">
        <v>20</v>
      </c>
      <c r="M1425" t="s">
        <v>1430</v>
      </c>
      <c r="N1425" s="59">
        <v>0</v>
      </c>
      <c r="O1425" s="59">
        <v>0</v>
      </c>
      <c r="P1425" s="59">
        <v>0</v>
      </c>
      <c r="Q1425" s="59">
        <v>0</v>
      </c>
      <c r="R1425" s="59">
        <v>0</v>
      </c>
      <c r="S1425" s="59">
        <v>0</v>
      </c>
      <c r="T1425" s="41"/>
      <c r="U1425" s="41"/>
      <c r="V1425" s="41"/>
      <c r="W1425" s="41"/>
      <c r="X1425" s="41"/>
      <c r="Y1425" s="41"/>
      <c r="Z1425" s="41"/>
      <c r="AA1425" s="41"/>
      <c r="AB1425" s="41"/>
      <c r="AC1425" s="41"/>
      <c r="AD1425" s="41"/>
      <c r="AE1425" s="59">
        <v>0</v>
      </c>
      <c r="AF1425" s="59">
        <v>0</v>
      </c>
      <c r="AG1425" s="59" t="s">
        <v>1282</v>
      </c>
      <c r="AH1425" s="59" t="s">
        <v>1277</v>
      </c>
    </row>
    <row r="1426" spans="1:34" x14ac:dyDescent="0.35">
      <c r="A1426" s="58">
        <v>2025</v>
      </c>
      <c r="B1426" s="58">
        <v>6</v>
      </c>
      <c r="C1426">
        <v>6</v>
      </c>
      <c r="D1426" s="58" t="s">
        <v>1570</v>
      </c>
      <c r="E1426" t="s">
        <v>1282</v>
      </c>
      <c r="F1426" s="58" t="s">
        <v>1496</v>
      </c>
      <c r="G1426" t="s">
        <v>1497</v>
      </c>
      <c r="H1426" s="58" t="s">
        <v>1012</v>
      </c>
      <c r="I1426" t="s">
        <v>1012</v>
      </c>
      <c r="J1426" s="58" t="s">
        <v>1012</v>
      </c>
      <c r="K1426" t="s">
        <v>1429</v>
      </c>
      <c r="L1426" t="s">
        <v>20</v>
      </c>
      <c r="M1426" t="s">
        <v>1430</v>
      </c>
      <c r="N1426" s="59">
        <v>0</v>
      </c>
      <c r="O1426" s="59">
        <v>0</v>
      </c>
      <c r="P1426" s="59">
        <v>0</v>
      </c>
      <c r="Q1426" s="59">
        <v>0</v>
      </c>
      <c r="R1426" s="59">
        <v>0</v>
      </c>
      <c r="S1426" s="59">
        <v>0</v>
      </c>
      <c r="T1426" s="41"/>
      <c r="U1426" s="41"/>
      <c r="V1426" s="41"/>
      <c r="W1426" s="41"/>
      <c r="X1426" s="41"/>
      <c r="Y1426" s="41"/>
      <c r="Z1426" s="41"/>
      <c r="AA1426" s="41"/>
      <c r="AB1426" s="41"/>
      <c r="AC1426" s="41"/>
      <c r="AD1426" s="41"/>
      <c r="AE1426" s="59">
        <v>0</v>
      </c>
      <c r="AF1426" s="59">
        <v>0</v>
      </c>
      <c r="AG1426" s="59" t="s">
        <v>1282</v>
      </c>
      <c r="AH1426" s="59" t="s">
        <v>1329</v>
      </c>
    </row>
    <row r="1427" spans="1:34" x14ac:dyDescent="0.35">
      <c r="A1427" s="58">
        <v>2025</v>
      </c>
      <c r="B1427" s="58">
        <v>6</v>
      </c>
      <c r="C1427">
        <v>6</v>
      </c>
      <c r="D1427" s="58" t="s">
        <v>1571</v>
      </c>
      <c r="E1427" t="s">
        <v>1283</v>
      </c>
      <c r="F1427" s="58" t="s">
        <v>1524</v>
      </c>
      <c r="G1427" t="s">
        <v>1525</v>
      </c>
      <c r="H1427" s="58" t="s">
        <v>1012</v>
      </c>
      <c r="I1427" t="s">
        <v>1012</v>
      </c>
      <c r="J1427" s="58" t="s">
        <v>1012</v>
      </c>
      <c r="K1427" t="s">
        <v>1429</v>
      </c>
      <c r="L1427" t="s">
        <v>20</v>
      </c>
      <c r="M1427" t="s">
        <v>1430</v>
      </c>
      <c r="N1427" s="59">
        <v>0</v>
      </c>
      <c r="O1427" s="59">
        <v>0</v>
      </c>
      <c r="P1427" s="59">
        <v>0</v>
      </c>
      <c r="Q1427" s="59">
        <v>0</v>
      </c>
      <c r="R1427" s="59">
        <v>0</v>
      </c>
      <c r="S1427" s="59">
        <v>0</v>
      </c>
      <c r="T1427" s="41"/>
      <c r="U1427" s="41"/>
      <c r="V1427" s="41"/>
      <c r="W1427" s="41"/>
      <c r="X1427" s="41"/>
      <c r="Y1427" s="41"/>
      <c r="Z1427" s="41"/>
      <c r="AA1427" s="41"/>
      <c r="AB1427" s="41"/>
      <c r="AC1427" s="41"/>
      <c r="AD1427" s="41"/>
      <c r="AE1427" s="59">
        <v>0</v>
      </c>
      <c r="AF1427" s="59">
        <v>0</v>
      </c>
      <c r="AG1427" s="59" t="s">
        <v>1283</v>
      </c>
      <c r="AH1427" s="59" t="s">
        <v>1277</v>
      </c>
    </row>
    <row r="1428" spans="1:34" x14ac:dyDescent="0.35">
      <c r="A1428" s="58">
        <v>2025</v>
      </c>
      <c r="B1428" s="58">
        <v>6</v>
      </c>
      <c r="C1428">
        <v>6</v>
      </c>
      <c r="D1428" s="58" t="s">
        <v>1571</v>
      </c>
      <c r="E1428" t="s">
        <v>1283</v>
      </c>
      <c r="F1428" s="58" t="s">
        <v>1496</v>
      </c>
      <c r="G1428" t="s">
        <v>1497</v>
      </c>
      <c r="H1428" s="58" t="s">
        <v>1012</v>
      </c>
      <c r="I1428" t="s">
        <v>1012</v>
      </c>
      <c r="J1428" s="58" t="s">
        <v>1012</v>
      </c>
      <c r="K1428" t="s">
        <v>1429</v>
      </c>
      <c r="L1428" t="s">
        <v>20</v>
      </c>
      <c r="M1428" t="s">
        <v>1430</v>
      </c>
      <c r="N1428" s="59">
        <v>0</v>
      </c>
      <c r="O1428" s="59">
        <v>0</v>
      </c>
      <c r="P1428" s="59">
        <v>0</v>
      </c>
      <c r="Q1428" s="59">
        <v>0</v>
      </c>
      <c r="R1428" s="59">
        <v>0</v>
      </c>
      <c r="S1428" s="59">
        <v>0</v>
      </c>
      <c r="T1428" s="41"/>
      <c r="U1428" s="41"/>
      <c r="V1428" s="41"/>
      <c r="W1428" s="41"/>
      <c r="X1428" s="41"/>
      <c r="Y1428" s="41"/>
      <c r="Z1428" s="41"/>
      <c r="AA1428" s="41"/>
      <c r="AB1428" s="41"/>
      <c r="AC1428" s="41"/>
      <c r="AD1428" s="41"/>
      <c r="AE1428" s="59">
        <v>0</v>
      </c>
      <c r="AF1428" s="59">
        <v>0</v>
      </c>
      <c r="AG1428" s="59" t="s">
        <v>1283</v>
      </c>
      <c r="AH1428" s="59" t="s">
        <v>1329</v>
      </c>
    </row>
    <row r="1429" spans="1:34" x14ac:dyDescent="0.35">
      <c r="A1429" s="58">
        <v>2025</v>
      </c>
      <c r="B1429" s="58">
        <v>6</v>
      </c>
      <c r="C1429">
        <v>6</v>
      </c>
      <c r="D1429" s="58" t="s">
        <v>1488</v>
      </c>
      <c r="E1429" t="s">
        <v>1275</v>
      </c>
      <c r="F1429" s="58" t="s">
        <v>1489</v>
      </c>
      <c r="G1429" t="s">
        <v>1490</v>
      </c>
      <c r="H1429" s="58" t="s">
        <v>1012</v>
      </c>
      <c r="I1429" t="s">
        <v>1012</v>
      </c>
      <c r="J1429" s="58" t="s">
        <v>1012</v>
      </c>
      <c r="K1429" t="s">
        <v>1429</v>
      </c>
      <c r="L1429" t="s">
        <v>20</v>
      </c>
      <c r="M1429" t="s">
        <v>1430</v>
      </c>
      <c r="N1429" s="59">
        <v>0</v>
      </c>
      <c r="O1429" s="59">
        <v>0</v>
      </c>
      <c r="P1429" s="59">
        <v>0</v>
      </c>
      <c r="Q1429" s="59">
        <v>0</v>
      </c>
      <c r="R1429" s="59">
        <v>0</v>
      </c>
      <c r="S1429" s="59">
        <v>0</v>
      </c>
      <c r="T1429" s="41"/>
      <c r="U1429" s="41"/>
      <c r="V1429" s="41"/>
      <c r="W1429" s="41"/>
      <c r="X1429" s="41"/>
      <c r="Y1429" s="41"/>
      <c r="Z1429" s="41"/>
      <c r="AA1429" s="41"/>
      <c r="AB1429" s="41"/>
      <c r="AC1429" s="41"/>
      <c r="AD1429" s="41"/>
      <c r="AE1429" s="59">
        <v>0</v>
      </c>
      <c r="AF1429" s="59">
        <v>0</v>
      </c>
      <c r="AG1429" s="59" t="s">
        <v>1275</v>
      </c>
      <c r="AH1429" s="59" t="s">
        <v>1274</v>
      </c>
    </row>
    <row r="1430" spans="1:34" x14ac:dyDescent="0.35">
      <c r="A1430" s="58">
        <v>2025</v>
      </c>
      <c r="B1430" s="58">
        <v>6</v>
      </c>
      <c r="C1430">
        <v>6</v>
      </c>
      <c r="D1430" s="58" t="s">
        <v>1648</v>
      </c>
      <c r="E1430" t="s">
        <v>1287</v>
      </c>
      <c r="F1430" s="58" t="s">
        <v>1468</v>
      </c>
      <c r="G1430" t="s">
        <v>1012</v>
      </c>
      <c r="H1430" s="58" t="s">
        <v>1012</v>
      </c>
      <c r="I1430" t="s">
        <v>1012</v>
      </c>
      <c r="J1430" s="58" t="s">
        <v>1012</v>
      </c>
      <c r="K1430" t="s">
        <v>1429</v>
      </c>
      <c r="L1430" t="s">
        <v>20</v>
      </c>
      <c r="M1430" t="s">
        <v>1430</v>
      </c>
      <c r="N1430" s="59">
        <v>0</v>
      </c>
      <c r="O1430" s="59">
        <v>-11410123</v>
      </c>
      <c r="P1430" s="59">
        <v>0</v>
      </c>
      <c r="Q1430" s="59">
        <v>0</v>
      </c>
      <c r="R1430" s="59">
        <v>0</v>
      </c>
      <c r="S1430" s="59">
        <v>-11410123</v>
      </c>
      <c r="T1430" s="41"/>
      <c r="U1430" s="41"/>
      <c r="V1430" s="41"/>
      <c r="W1430" s="41"/>
      <c r="X1430" s="41"/>
      <c r="Y1430" s="41"/>
      <c r="Z1430" s="41"/>
      <c r="AA1430" s="41"/>
      <c r="AB1430" s="41"/>
      <c r="AC1430" s="41"/>
      <c r="AD1430" s="41"/>
      <c r="AE1430" s="59">
        <v>-440.29178727581103</v>
      </c>
      <c r="AF1430" s="59">
        <v>-440.29178727581103</v>
      </c>
      <c r="AG1430" s="59" t="s">
        <v>1287</v>
      </c>
      <c r="AH1430" s="59" t="s">
        <v>1284</v>
      </c>
    </row>
    <row r="1431" spans="1:34" x14ac:dyDescent="0.35">
      <c r="A1431" s="58">
        <v>2025</v>
      </c>
      <c r="B1431" s="58">
        <v>6</v>
      </c>
      <c r="C1431">
        <v>6</v>
      </c>
      <c r="D1431" s="58" t="s">
        <v>1491</v>
      </c>
      <c r="E1431" t="s">
        <v>1264</v>
      </c>
      <c r="F1431" s="58" t="s">
        <v>1492</v>
      </c>
      <c r="G1431" t="s">
        <v>1493</v>
      </c>
      <c r="H1431" s="58" t="s">
        <v>1012</v>
      </c>
      <c r="I1431" t="s">
        <v>1012</v>
      </c>
      <c r="J1431" s="58" t="s">
        <v>1012</v>
      </c>
      <c r="K1431" t="s">
        <v>1429</v>
      </c>
      <c r="L1431" t="s">
        <v>20</v>
      </c>
      <c r="M1431" t="s">
        <v>1430</v>
      </c>
      <c r="N1431" s="59">
        <v>0</v>
      </c>
      <c r="O1431" s="59">
        <v>0</v>
      </c>
      <c r="P1431" s="59">
        <v>0</v>
      </c>
      <c r="Q1431" s="59">
        <v>0</v>
      </c>
      <c r="R1431" s="59">
        <v>4200000</v>
      </c>
      <c r="S1431" s="59">
        <v>-4200000</v>
      </c>
      <c r="T1431" s="41"/>
      <c r="U1431" s="41"/>
      <c r="V1431" s="41"/>
      <c r="W1431" s="41"/>
      <c r="X1431" s="41"/>
      <c r="Y1431" s="41"/>
      <c r="Z1431" s="41"/>
      <c r="AA1431" s="41"/>
      <c r="AB1431" s="41"/>
      <c r="AC1431" s="41"/>
      <c r="AD1431" s="41"/>
      <c r="AE1431" s="59">
        <v>-162.06884943820558</v>
      </c>
      <c r="AF1431" s="59">
        <v>0</v>
      </c>
      <c r="AG1431" s="59" t="s">
        <v>1264</v>
      </c>
      <c r="AH1431" s="59" t="s">
        <v>1269</v>
      </c>
    </row>
    <row r="1432" spans="1:34" x14ac:dyDescent="0.35">
      <c r="A1432" s="58">
        <v>2025</v>
      </c>
      <c r="B1432" s="58">
        <v>6</v>
      </c>
      <c r="C1432">
        <v>6</v>
      </c>
      <c r="D1432" s="58" t="s">
        <v>1491</v>
      </c>
      <c r="E1432" t="s">
        <v>1264</v>
      </c>
      <c r="F1432" s="58" t="s">
        <v>1535</v>
      </c>
      <c r="G1432" t="s">
        <v>1536</v>
      </c>
      <c r="H1432" s="58" t="s">
        <v>1012</v>
      </c>
      <c r="I1432" t="s">
        <v>1012</v>
      </c>
      <c r="J1432" s="58" t="s">
        <v>1012</v>
      </c>
      <c r="K1432" t="s">
        <v>1429</v>
      </c>
      <c r="L1432" t="s">
        <v>20</v>
      </c>
      <c r="M1432" t="s">
        <v>1430</v>
      </c>
      <c r="N1432" s="59">
        <v>0</v>
      </c>
      <c r="O1432" s="59">
        <v>1618011181.96297</v>
      </c>
      <c r="P1432" s="59">
        <v>0</v>
      </c>
      <c r="Q1432" s="59">
        <v>0</v>
      </c>
      <c r="R1432" s="59">
        <v>0</v>
      </c>
      <c r="S1432" s="59">
        <v>-0.70202994346618652</v>
      </c>
      <c r="T1432" s="41"/>
      <c r="U1432" s="41"/>
      <c r="V1432" s="41"/>
      <c r="W1432" s="41"/>
      <c r="X1432" s="41"/>
      <c r="Y1432" s="41"/>
      <c r="Z1432" s="41"/>
      <c r="AA1432" s="41"/>
      <c r="AB1432" s="41"/>
      <c r="AC1432" s="41"/>
      <c r="AD1432" s="41"/>
      <c r="AE1432" s="59">
        <v>-2.7089806002079367E-5</v>
      </c>
      <c r="AF1432" s="59">
        <v>62435.526342592762</v>
      </c>
      <c r="AG1432" s="59" t="s">
        <v>1264</v>
      </c>
      <c r="AH1432" s="59" t="s">
        <v>1270</v>
      </c>
    </row>
    <row r="1433" spans="1:34" x14ac:dyDescent="0.35">
      <c r="A1433" s="58">
        <v>2025</v>
      </c>
      <c r="B1433" s="58">
        <v>6</v>
      </c>
      <c r="C1433">
        <v>6</v>
      </c>
      <c r="D1433" s="58" t="s">
        <v>1491</v>
      </c>
      <c r="E1433" t="s">
        <v>1264</v>
      </c>
      <c r="F1433" s="58" t="s">
        <v>1524</v>
      </c>
      <c r="G1433" t="s">
        <v>1525</v>
      </c>
      <c r="H1433" s="58" t="s">
        <v>1012</v>
      </c>
      <c r="I1433" t="s">
        <v>1012</v>
      </c>
      <c r="J1433" s="58" t="s">
        <v>1012</v>
      </c>
      <c r="K1433" t="s">
        <v>1429</v>
      </c>
      <c r="L1433" t="s">
        <v>20</v>
      </c>
      <c r="M1433" t="s">
        <v>1430</v>
      </c>
      <c r="N1433" s="59">
        <v>0</v>
      </c>
      <c r="O1433" s="59">
        <v>0</v>
      </c>
      <c r="P1433" s="59">
        <v>0</v>
      </c>
      <c r="Q1433" s="59">
        <v>0</v>
      </c>
      <c r="R1433" s="59">
        <v>0</v>
      </c>
      <c r="S1433" s="59">
        <v>0</v>
      </c>
      <c r="T1433" s="41"/>
      <c r="U1433" s="41"/>
      <c r="V1433" s="41"/>
      <c r="W1433" s="41"/>
      <c r="X1433" s="41"/>
      <c r="Y1433" s="41"/>
      <c r="Z1433" s="41"/>
      <c r="AA1433" s="41"/>
      <c r="AB1433" s="41"/>
      <c r="AC1433" s="41"/>
      <c r="AD1433" s="41"/>
      <c r="AE1433" s="59">
        <v>0</v>
      </c>
      <c r="AF1433" s="59">
        <v>0</v>
      </c>
      <c r="AG1433" s="59" t="s">
        <v>1264</v>
      </c>
      <c r="AH1433" s="59" t="s">
        <v>1277</v>
      </c>
    </row>
    <row r="1434" spans="1:34" x14ac:dyDescent="0.35">
      <c r="A1434" s="58">
        <v>2025</v>
      </c>
      <c r="B1434" s="58">
        <v>6</v>
      </c>
      <c r="C1434">
        <v>6</v>
      </c>
      <c r="D1434" s="58" t="s">
        <v>1491</v>
      </c>
      <c r="E1434" t="s">
        <v>1264</v>
      </c>
      <c r="F1434" s="58" t="s">
        <v>1496</v>
      </c>
      <c r="G1434" t="s">
        <v>1497</v>
      </c>
      <c r="H1434" s="58" t="s">
        <v>1012</v>
      </c>
      <c r="I1434" t="s">
        <v>1012</v>
      </c>
      <c r="J1434" s="58" t="s">
        <v>1012</v>
      </c>
      <c r="K1434" t="s">
        <v>1429</v>
      </c>
      <c r="L1434" t="s">
        <v>20</v>
      </c>
      <c r="M1434" t="s">
        <v>1430</v>
      </c>
      <c r="N1434" s="59">
        <v>0</v>
      </c>
      <c r="O1434" s="59">
        <v>0</v>
      </c>
      <c r="P1434" s="59">
        <v>0</v>
      </c>
      <c r="Q1434" s="59">
        <v>0</v>
      </c>
      <c r="R1434" s="59">
        <v>0</v>
      </c>
      <c r="S1434" s="59">
        <v>0</v>
      </c>
      <c r="T1434" s="41"/>
      <c r="U1434" s="41"/>
      <c r="V1434" s="41"/>
      <c r="W1434" s="41"/>
      <c r="X1434" s="41"/>
      <c r="Y1434" s="41"/>
      <c r="Z1434" s="41"/>
      <c r="AA1434" s="41"/>
      <c r="AB1434" s="41"/>
      <c r="AC1434" s="41"/>
      <c r="AD1434" s="41"/>
      <c r="AE1434" s="59">
        <v>0</v>
      </c>
      <c r="AF1434" s="59">
        <v>0</v>
      </c>
      <c r="AG1434" s="59" t="s">
        <v>1264</v>
      </c>
      <c r="AH1434" s="59" t="s">
        <v>1329</v>
      </c>
    </row>
    <row r="1435" spans="1:34" x14ac:dyDescent="0.35">
      <c r="A1435" s="58">
        <v>2025</v>
      </c>
      <c r="B1435" s="58">
        <v>7</v>
      </c>
      <c r="C1435">
        <v>7</v>
      </c>
      <c r="D1435" s="58" t="s">
        <v>625</v>
      </c>
      <c r="E1435" t="s">
        <v>271</v>
      </c>
      <c r="F1435" s="58" t="s">
        <v>194</v>
      </c>
      <c r="G1435" t="s">
        <v>743</v>
      </c>
      <c r="H1435" s="58" t="s">
        <v>1428</v>
      </c>
      <c r="I1435" t="s">
        <v>76</v>
      </c>
      <c r="J1435" s="58" t="s">
        <v>76</v>
      </c>
      <c r="K1435" t="s">
        <v>1429</v>
      </c>
      <c r="L1435" t="s">
        <v>20</v>
      </c>
      <c r="M1435" t="s">
        <v>1430</v>
      </c>
      <c r="N1435" s="59">
        <v>11000</v>
      </c>
      <c r="O1435" s="59">
        <v>220000000</v>
      </c>
      <c r="P1435" s="59">
        <v>0</v>
      </c>
      <c r="Q1435" s="59">
        <v>0</v>
      </c>
      <c r="R1435" s="59">
        <v>0</v>
      </c>
      <c r="S1435" s="59">
        <v>220000000</v>
      </c>
      <c r="T1435" s="41"/>
      <c r="U1435" s="41"/>
      <c r="V1435" s="41"/>
      <c r="W1435" s="41"/>
      <c r="X1435" s="41"/>
      <c r="Y1435" s="41"/>
      <c r="Z1435" s="41"/>
      <c r="AA1435" s="41"/>
      <c r="AB1435" s="41"/>
      <c r="AC1435" s="41"/>
      <c r="AD1435" s="41"/>
      <c r="AE1435" s="59">
        <v>8465.4268505139426</v>
      </c>
      <c r="AF1435" s="59">
        <v>8465.4268505139426</v>
      </c>
      <c r="AG1435" s="59" t="s">
        <v>47</v>
      </c>
      <c r="AH1435" s="59" t="s">
        <v>1246</v>
      </c>
    </row>
    <row r="1436" spans="1:34" x14ac:dyDescent="0.35">
      <c r="A1436" s="58">
        <v>2025</v>
      </c>
      <c r="B1436" s="58">
        <v>7</v>
      </c>
      <c r="C1436">
        <v>7</v>
      </c>
      <c r="D1436" s="58" t="s">
        <v>625</v>
      </c>
      <c r="E1436" t="s">
        <v>271</v>
      </c>
      <c r="F1436" s="58" t="s">
        <v>195</v>
      </c>
      <c r="G1436" t="s">
        <v>746</v>
      </c>
      <c r="H1436" s="58" t="s">
        <v>1428</v>
      </c>
      <c r="I1436" t="s">
        <v>76</v>
      </c>
      <c r="J1436" s="58" t="s">
        <v>76</v>
      </c>
      <c r="K1436" t="s">
        <v>1429</v>
      </c>
      <c r="L1436" t="s">
        <v>20</v>
      </c>
      <c r="M1436" t="s">
        <v>1430</v>
      </c>
      <c r="N1436" s="59">
        <v>11000</v>
      </c>
      <c r="O1436" s="59">
        <v>220000000</v>
      </c>
      <c r="P1436" s="59">
        <v>0</v>
      </c>
      <c r="Q1436" s="59">
        <v>0</v>
      </c>
      <c r="R1436" s="59">
        <v>0</v>
      </c>
      <c r="S1436" s="59">
        <v>220000000</v>
      </c>
      <c r="T1436" s="41"/>
      <c r="U1436" s="41"/>
      <c r="V1436" s="41"/>
      <c r="W1436" s="41"/>
      <c r="X1436" s="41"/>
      <c r="Y1436" s="41"/>
      <c r="Z1436" s="41"/>
      <c r="AA1436" s="41"/>
      <c r="AB1436" s="41"/>
      <c r="AC1436" s="41"/>
      <c r="AD1436" s="41"/>
      <c r="AE1436" s="59">
        <v>8465.4268505139426</v>
      </c>
      <c r="AF1436" s="59">
        <v>8465.4268505139426</v>
      </c>
      <c r="AG1436" s="59" t="s">
        <v>47</v>
      </c>
      <c r="AH1436" s="59" t="s">
        <v>1247</v>
      </c>
    </row>
    <row r="1437" spans="1:34" x14ac:dyDescent="0.35">
      <c r="A1437" s="58">
        <v>2025</v>
      </c>
      <c r="B1437" s="58">
        <v>7</v>
      </c>
      <c r="C1437">
        <v>7</v>
      </c>
      <c r="D1437" s="58" t="s">
        <v>625</v>
      </c>
      <c r="E1437" t="s">
        <v>271</v>
      </c>
      <c r="F1437" s="58" t="s">
        <v>196</v>
      </c>
      <c r="G1437" t="s">
        <v>749</v>
      </c>
      <c r="H1437" s="58" t="s">
        <v>1428</v>
      </c>
      <c r="I1437" t="s">
        <v>76</v>
      </c>
      <c r="J1437" s="58" t="s">
        <v>76</v>
      </c>
      <c r="K1437" t="s">
        <v>1429</v>
      </c>
      <c r="L1437" t="s">
        <v>20</v>
      </c>
      <c r="M1437" t="s">
        <v>1430</v>
      </c>
      <c r="N1437" s="59">
        <v>1375</v>
      </c>
      <c r="O1437" s="59">
        <v>27500000</v>
      </c>
      <c r="P1437" s="59">
        <v>0</v>
      </c>
      <c r="Q1437" s="59">
        <v>0</v>
      </c>
      <c r="R1437" s="59">
        <v>0</v>
      </c>
      <c r="S1437" s="59">
        <v>27500000</v>
      </c>
      <c r="T1437" s="41"/>
      <c r="U1437" s="41"/>
      <c r="V1437" s="41"/>
      <c r="W1437" s="41"/>
      <c r="X1437" s="41"/>
      <c r="Y1437" s="41"/>
      <c r="Z1437" s="41"/>
      <c r="AA1437" s="41"/>
      <c r="AB1437" s="41"/>
      <c r="AC1437" s="41"/>
      <c r="AD1437" s="41"/>
      <c r="AE1437" s="59">
        <v>1058.1783563142428</v>
      </c>
      <c r="AF1437" s="59">
        <v>1058.1783563142428</v>
      </c>
      <c r="AG1437" s="59" t="s">
        <v>47</v>
      </c>
      <c r="AH1437" s="59" t="s">
        <v>1248</v>
      </c>
    </row>
    <row r="1438" spans="1:34" x14ac:dyDescent="0.35">
      <c r="A1438" s="58">
        <v>2025</v>
      </c>
      <c r="B1438" s="58">
        <v>7</v>
      </c>
      <c r="C1438">
        <v>7</v>
      </c>
      <c r="D1438" s="58" t="s">
        <v>625</v>
      </c>
      <c r="E1438" t="s">
        <v>271</v>
      </c>
      <c r="F1438" s="58" t="s">
        <v>197</v>
      </c>
      <c r="G1438" t="s">
        <v>752</v>
      </c>
      <c r="H1438" s="58" t="s">
        <v>1428</v>
      </c>
      <c r="I1438" t="s">
        <v>76</v>
      </c>
      <c r="J1438" s="58" t="s">
        <v>76</v>
      </c>
      <c r="K1438" t="s">
        <v>1429</v>
      </c>
      <c r="L1438" t="s">
        <v>20</v>
      </c>
      <c r="M1438" t="s">
        <v>1430</v>
      </c>
      <c r="N1438" s="59">
        <v>5500</v>
      </c>
      <c r="O1438" s="59">
        <v>110000000</v>
      </c>
      <c r="P1438" s="59">
        <v>0</v>
      </c>
      <c r="Q1438" s="59">
        <v>0</v>
      </c>
      <c r="R1438" s="59">
        <v>0</v>
      </c>
      <c r="S1438" s="59">
        <v>110000000</v>
      </c>
      <c r="T1438" s="41"/>
      <c r="U1438" s="41"/>
      <c r="V1438" s="41"/>
      <c r="W1438" s="41"/>
      <c r="X1438" s="41"/>
      <c r="Y1438" s="41"/>
      <c r="Z1438" s="41"/>
      <c r="AA1438" s="41"/>
      <c r="AB1438" s="41"/>
      <c r="AC1438" s="41"/>
      <c r="AD1438" s="41"/>
      <c r="AE1438" s="59">
        <v>4232.7134252569713</v>
      </c>
      <c r="AF1438" s="59">
        <v>4232.7134252569713</v>
      </c>
      <c r="AG1438" s="59" t="s">
        <v>47</v>
      </c>
      <c r="AH1438" s="59" t="s">
        <v>1249</v>
      </c>
    </row>
    <row r="1439" spans="1:34" x14ac:dyDescent="0.35">
      <c r="A1439" s="58">
        <v>2025</v>
      </c>
      <c r="B1439" s="58">
        <v>7</v>
      </c>
      <c r="C1439">
        <v>7</v>
      </c>
      <c r="D1439" s="58" t="s">
        <v>625</v>
      </c>
      <c r="E1439" t="s">
        <v>271</v>
      </c>
      <c r="F1439" s="58" t="s">
        <v>199</v>
      </c>
      <c r="G1439" t="s">
        <v>758</v>
      </c>
      <c r="H1439" s="58" t="s">
        <v>1428</v>
      </c>
      <c r="I1439" t="s">
        <v>76</v>
      </c>
      <c r="J1439" s="58" t="s">
        <v>76</v>
      </c>
      <c r="K1439" t="s">
        <v>1429</v>
      </c>
      <c r="L1439" t="s">
        <v>20</v>
      </c>
      <c r="M1439" t="s">
        <v>1430</v>
      </c>
      <c r="N1439" s="59">
        <v>2750</v>
      </c>
      <c r="O1439" s="59">
        <v>55000000</v>
      </c>
      <c r="P1439" s="59">
        <v>0</v>
      </c>
      <c r="Q1439" s="59">
        <v>0</v>
      </c>
      <c r="R1439" s="59">
        <v>0</v>
      </c>
      <c r="S1439" s="59">
        <v>55000000</v>
      </c>
      <c r="T1439" s="41"/>
      <c r="U1439" s="41"/>
      <c r="V1439" s="41"/>
      <c r="W1439" s="41"/>
      <c r="X1439" s="41"/>
      <c r="Y1439" s="41"/>
      <c r="Z1439" s="41"/>
      <c r="AA1439" s="41"/>
      <c r="AB1439" s="41"/>
      <c r="AC1439" s="41"/>
      <c r="AD1439" s="41"/>
      <c r="AE1439" s="59">
        <v>2116.3567126284856</v>
      </c>
      <c r="AF1439" s="59">
        <v>2116.3567126284856</v>
      </c>
      <c r="AG1439" s="59" t="s">
        <v>47</v>
      </c>
      <c r="AH1439" s="59" t="s">
        <v>1254</v>
      </c>
    </row>
    <row r="1440" spans="1:34" x14ac:dyDescent="0.35">
      <c r="A1440" s="58">
        <v>2025</v>
      </c>
      <c r="B1440" s="58">
        <v>7</v>
      </c>
      <c r="C1440">
        <v>7</v>
      </c>
      <c r="D1440" s="58" t="s">
        <v>625</v>
      </c>
      <c r="E1440" t="s">
        <v>271</v>
      </c>
      <c r="F1440" s="58" t="s">
        <v>192</v>
      </c>
      <c r="G1440" t="s">
        <v>973</v>
      </c>
      <c r="H1440" s="58" t="s">
        <v>1428</v>
      </c>
      <c r="I1440" t="s">
        <v>75</v>
      </c>
      <c r="J1440" s="58" t="s">
        <v>75</v>
      </c>
      <c r="K1440" t="s">
        <v>1429</v>
      </c>
      <c r="L1440" t="s">
        <v>20</v>
      </c>
      <c r="M1440" t="s">
        <v>1431</v>
      </c>
      <c r="N1440" s="59">
        <v>-350</v>
      </c>
      <c r="O1440" s="59">
        <v>0</v>
      </c>
      <c r="P1440" s="59">
        <v>0</v>
      </c>
      <c r="Q1440" s="59">
        <v>0</v>
      </c>
      <c r="R1440" s="59">
        <v>0</v>
      </c>
      <c r="S1440" s="59">
        <v>0</v>
      </c>
      <c r="T1440" s="41"/>
      <c r="U1440" s="41"/>
      <c r="V1440" s="41"/>
      <c r="W1440" s="41"/>
      <c r="X1440" s="41"/>
      <c r="Y1440" s="41"/>
      <c r="Z1440" s="41"/>
      <c r="AA1440" s="41"/>
      <c r="AB1440" s="41"/>
      <c r="AC1440" s="41"/>
      <c r="AD1440" s="41"/>
      <c r="AE1440" s="59">
        <v>0</v>
      </c>
      <c r="AF1440" s="59">
        <v>0</v>
      </c>
      <c r="AG1440" s="59" t="s">
        <v>47</v>
      </c>
      <c r="AH1440" s="59" t="s">
        <v>1209</v>
      </c>
    </row>
    <row r="1441" spans="1:34" x14ac:dyDescent="0.35">
      <c r="A1441" s="58">
        <v>2025</v>
      </c>
      <c r="B1441" s="58">
        <v>7</v>
      </c>
      <c r="C1441">
        <v>7</v>
      </c>
      <c r="D1441" s="58" t="s">
        <v>625</v>
      </c>
      <c r="E1441" t="s">
        <v>271</v>
      </c>
      <c r="F1441" s="58" t="s">
        <v>192</v>
      </c>
      <c r="G1441" t="s">
        <v>973</v>
      </c>
      <c r="H1441" s="58" t="s">
        <v>1428</v>
      </c>
      <c r="I1441" t="s">
        <v>75</v>
      </c>
      <c r="J1441" s="58" t="s">
        <v>75</v>
      </c>
      <c r="K1441" t="s">
        <v>1429</v>
      </c>
      <c r="L1441" t="s">
        <v>20</v>
      </c>
      <c r="M1441" t="s">
        <v>1432</v>
      </c>
      <c r="N1441" s="59">
        <v>350</v>
      </c>
      <c r="O1441" s="59">
        <v>0</v>
      </c>
      <c r="P1441" s="59">
        <v>0</v>
      </c>
      <c r="Q1441" s="59">
        <v>0</v>
      </c>
      <c r="R1441" s="59">
        <v>0</v>
      </c>
      <c r="S1441" s="59">
        <v>0</v>
      </c>
      <c r="T1441" s="41"/>
      <c r="U1441" s="41"/>
      <c r="V1441" s="41"/>
      <c r="W1441" s="41"/>
      <c r="X1441" s="41"/>
      <c r="Y1441" s="41"/>
      <c r="Z1441" s="41"/>
      <c r="AA1441" s="41"/>
      <c r="AB1441" s="41"/>
      <c r="AC1441" s="41"/>
      <c r="AD1441" s="41"/>
      <c r="AE1441" s="59">
        <v>0</v>
      </c>
      <c r="AF1441" s="59">
        <v>0</v>
      </c>
      <c r="AG1441" s="59" t="s">
        <v>47</v>
      </c>
      <c r="AH1441" s="59" t="s">
        <v>1209</v>
      </c>
    </row>
    <row r="1442" spans="1:34" x14ac:dyDescent="0.35">
      <c r="A1442" s="58">
        <v>2025</v>
      </c>
      <c r="B1442" s="58">
        <v>7</v>
      </c>
      <c r="C1442">
        <v>7</v>
      </c>
      <c r="D1442" s="58" t="s">
        <v>1433</v>
      </c>
      <c r="E1442" t="s">
        <v>1276</v>
      </c>
      <c r="F1442" s="58" t="s">
        <v>1434</v>
      </c>
      <c r="G1442" t="s">
        <v>1435</v>
      </c>
      <c r="H1442" s="58" t="s">
        <v>1012</v>
      </c>
      <c r="I1442" t="s">
        <v>1012</v>
      </c>
      <c r="J1442" s="58" t="s">
        <v>1012</v>
      </c>
      <c r="K1442" t="s">
        <v>1429</v>
      </c>
      <c r="L1442" t="s">
        <v>20</v>
      </c>
      <c r="M1442" t="s">
        <v>1430</v>
      </c>
      <c r="N1442" s="59">
        <v>0</v>
      </c>
      <c r="O1442" s="59">
        <v>0</v>
      </c>
      <c r="P1442" s="59">
        <v>0</v>
      </c>
      <c r="Q1442" s="59">
        <v>0</v>
      </c>
      <c r="R1442" s="59">
        <v>0</v>
      </c>
      <c r="S1442" s="59">
        <v>0</v>
      </c>
      <c r="T1442" s="41"/>
      <c r="U1442" s="41"/>
      <c r="V1442" s="41"/>
      <c r="W1442" s="41"/>
      <c r="X1442" s="41"/>
      <c r="Y1442" s="41"/>
      <c r="Z1442" s="41"/>
      <c r="AA1442" s="41"/>
      <c r="AB1442" s="41"/>
      <c r="AC1442" s="41"/>
      <c r="AD1442" s="41"/>
      <c r="AE1442" s="59">
        <v>0</v>
      </c>
      <c r="AF1442" s="59">
        <v>0</v>
      </c>
      <c r="AG1442" s="59" t="s">
        <v>1276</v>
      </c>
      <c r="AH1442" s="59" t="s">
        <v>1319</v>
      </c>
    </row>
    <row r="1443" spans="1:34" x14ac:dyDescent="0.35">
      <c r="A1443" s="58">
        <v>2025</v>
      </c>
      <c r="B1443" s="58">
        <v>7</v>
      </c>
      <c r="C1443">
        <v>7</v>
      </c>
      <c r="D1443" s="58" t="s">
        <v>609</v>
      </c>
      <c r="E1443" t="s">
        <v>263</v>
      </c>
      <c r="F1443" s="58" t="s">
        <v>174</v>
      </c>
      <c r="G1443" t="s">
        <v>740</v>
      </c>
      <c r="H1443" s="58" t="s">
        <v>4</v>
      </c>
      <c r="I1443" t="s">
        <v>4</v>
      </c>
      <c r="J1443" s="58" t="s">
        <v>4</v>
      </c>
      <c r="K1443" t="s">
        <v>1429</v>
      </c>
      <c r="L1443" t="s">
        <v>20</v>
      </c>
      <c r="M1443" t="s">
        <v>1430</v>
      </c>
      <c r="N1443" s="59">
        <v>330850</v>
      </c>
      <c r="O1443" s="59">
        <v>9415329300</v>
      </c>
      <c r="P1443" s="59">
        <v>50508474.815361887</v>
      </c>
      <c r="Q1443" s="59">
        <v>0</v>
      </c>
      <c r="R1443" s="59">
        <v>72600000</v>
      </c>
      <c r="S1443" s="59">
        <v>9292220825.1846371</v>
      </c>
      <c r="T1443" s="41"/>
      <c r="U1443" s="41"/>
      <c r="V1443" s="41"/>
      <c r="W1443" s="41"/>
      <c r="X1443" s="41"/>
      <c r="Y1443" s="41"/>
      <c r="Z1443" s="41"/>
      <c r="AA1443" s="41"/>
      <c r="AB1443" s="41"/>
      <c r="AC1443" s="41"/>
      <c r="AD1443" s="41"/>
      <c r="AE1443" s="59">
        <v>357557.3439746495</v>
      </c>
      <c r="AF1443" s="59">
        <v>362294.46119386668</v>
      </c>
      <c r="AG1443" s="59" t="s">
        <v>15</v>
      </c>
      <c r="AH1443" s="59" t="s">
        <v>1185</v>
      </c>
    </row>
    <row r="1444" spans="1:34" x14ac:dyDescent="0.35">
      <c r="A1444" s="58">
        <v>2025</v>
      </c>
      <c r="B1444" s="58">
        <v>7</v>
      </c>
      <c r="C1444">
        <v>7</v>
      </c>
      <c r="D1444" s="58" t="s">
        <v>609</v>
      </c>
      <c r="E1444" t="s">
        <v>263</v>
      </c>
      <c r="F1444" s="58" t="s">
        <v>1152</v>
      </c>
      <c r="G1444" t="s">
        <v>1153</v>
      </c>
      <c r="H1444" s="58" t="s">
        <v>1012</v>
      </c>
      <c r="I1444" t="s">
        <v>1012</v>
      </c>
      <c r="J1444" s="58" t="s">
        <v>1399</v>
      </c>
      <c r="K1444" t="s">
        <v>1429</v>
      </c>
      <c r="L1444" t="s">
        <v>20</v>
      </c>
      <c r="M1444" t="s">
        <v>1430</v>
      </c>
      <c r="N1444" s="59">
        <v>0</v>
      </c>
      <c r="O1444" s="59">
        <v>0</v>
      </c>
      <c r="P1444" s="59">
        <v>0</v>
      </c>
      <c r="Q1444" s="59">
        <v>0</v>
      </c>
      <c r="R1444" s="59">
        <v>-33880000</v>
      </c>
      <c r="S1444" s="59">
        <v>33880000</v>
      </c>
      <c r="T1444" s="41"/>
      <c r="U1444" s="41"/>
      <c r="V1444" s="41"/>
      <c r="W1444" s="41"/>
      <c r="X1444" s="41"/>
      <c r="Y1444" s="41"/>
      <c r="Z1444" s="41"/>
      <c r="AA1444" s="41"/>
      <c r="AB1444" s="41"/>
      <c r="AC1444" s="41"/>
      <c r="AD1444" s="41"/>
      <c r="AE1444" s="59">
        <v>1303.6757349791471</v>
      </c>
      <c r="AF1444" s="59">
        <v>0</v>
      </c>
      <c r="AG1444" s="59" t="s">
        <v>15</v>
      </c>
      <c r="AH1444" s="59" t="s">
        <v>1400</v>
      </c>
    </row>
    <row r="1445" spans="1:34" x14ac:dyDescent="0.35">
      <c r="A1445" s="58">
        <v>2025</v>
      </c>
      <c r="B1445" s="58">
        <v>7</v>
      </c>
      <c r="C1445">
        <v>7</v>
      </c>
      <c r="D1445" s="58" t="s">
        <v>589</v>
      </c>
      <c r="E1445" t="s">
        <v>322</v>
      </c>
      <c r="F1445" s="58" t="s">
        <v>171</v>
      </c>
      <c r="G1445" t="s">
        <v>731</v>
      </c>
      <c r="H1445" s="58" t="s">
        <v>4</v>
      </c>
      <c r="I1445" t="s">
        <v>4</v>
      </c>
      <c r="J1445" s="58" t="s">
        <v>4</v>
      </c>
      <c r="K1445" t="s">
        <v>1429</v>
      </c>
      <c r="L1445" t="s">
        <v>20</v>
      </c>
      <c r="M1445" t="s">
        <v>1430</v>
      </c>
      <c r="N1445" s="59">
        <v>176000</v>
      </c>
      <c r="O1445" s="59">
        <v>5695096000</v>
      </c>
      <c r="P1445" s="59">
        <v>26937853.234859675</v>
      </c>
      <c r="Q1445" s="59">
        <v>0</v>
      </c>
      <c r="R1445" s="59">
        <v>24640000</v>
      </c>
      <c r="S1445" s="59">
        <v>5643518146.7651405</v>
      </c>
      <c r="T1445" s="41"/>
      <c r="U1445" s="41"/>
      <c r="V1445" s="41"/>
      <c r="W1445" s="41"/>
      <c r="X1445" s="41"/>
      <c r="Y1445" s="41"/>
      <c r="Z1445" s="41"/>
      <c r="AA1445" s="41"/>
      <c r="AB1445" s="41"/>
      <c r="AC1445" s="41"/>
      <c r="AD1445" s="41"/>
      <c r="AE1445" s="59">
        <v>217158.13659540145</v>
      </c>
      <c r="AF1445" s="59">
        <v>219142.81179388432</v>
      </c>
      <c r="AG1445" s="59" t="s">
        <v>5</v>
      </c>
      <c r="AH1445" s="59" t="s">
        <v>1166</v>
      </c>
    </row>
    <row r="1446" spans="1:34" x14ac:dyDescent="0.35">
      <c r="A1446" s="58">
        <v>2025</v>
      </c>
      <c r="B1446" s="58">
        <v>7</v>
      </c>
      <c r="C1446">
        <v>7</v>
      </c>
      <c r="D1446" s="58" t="s">
        <v>589</v>
      </c>
      <c r="E1446" t="s">
        <v>322</v>
      </c>
      <c r="F1446" s="58" t="s">
        <v>172</v>
      </c>
      <c r="G1446" t="s">
        <v>734</v>
      </c>
      <c r="H1446" s="58" t="s">
        <v>4</v>
      </c>
      <c r="I1446" t="s">
        <v>4</v>
      </c>
      <c r="J1446" s="58" t="s">
        <v>4</v>
      </c>
      <c r="K1446" t="s">
        <v>1429</v>
      </c>
      <c r="L1446" t="s">
        <v>20</v>
      </c>
      <c r="M1446" t="s">
        <v>1430</v>
      </c>
      <c r="N1446" s="59">
        <v>0</v>
      </c>
      <c r="O1446" s="59">
        <v>0</v>
      </c>
      <c r="P1446" s="59">
        <v>0</v>
      </c>
      <c r="Q1446" s="59">
        <v>0</v>
      </c>
      <c r="R1446" s="59">
        <v>0</v>
      </c>
      <c r="S1446" s="59">
        <v>0</v>
      </c>
      <c r="T1446" s="41"/>
      <c r="U1446" s="41"/>
      <c r="V1446" s="41"/>
      <c r="W1446" s="41"/>
      <c r="X1446" s="41"/>
      <c r="Y1446" s="41"/>
      <c r="Z1446" s="41"/>
      <c r="AA1446" s="41"/>
      <c r="AB1446" s="41"/>
      <c r="AC1446" s="41"/>
      <c r="AD1446" s="41"/>
      <c r="AE1446" s="59">
        <v>0</v>
      </c>
      <c r="AF1446" s="59">
        <v>0</v>
      </c>
      <c r="AG1446" s="59" t="s">
        <v>5</v>
      </c>
      <c r="AH1446" s="59" t="s">
        <v>1175</v>
      </c>
    </row>
    <row r="1447" spans="1:34" x14ac:dyDescent="0.35">
      <c r="A1447" s="58">
        <v>2025</v>
      </c>
      <c r="B1447" s="58">
        <v>7</v>
      </c>
      <c r="C1447">
        <v>7</v>
      </c>
      <c r="D1447" s="58" t="s">
        <v>589</v>
      </c>
      <c r="E1447" t="s">
        <v>322</v>
      </c>
      <c r="F1447" s="58" t="s">
        <v>1152</v>
      </c>
      <c r="G1447" t="s">
        <v>1153</v>
      </c>
      <c r="H1447" s="58" t="s">
        <v>1012</v>
      </c>
      <c r="I1447" t="s">
        <v>1012</v>
      </c>
      <c r="J1447" s="58" t="s">
        <v>1399</v>
      </c>
      <c r="K1447" t="s">
        <v>1429</v>
      </c>
      <c r="L1447" t="s">
        <v>20</v>
      </c>
      <c r="M1447" t="s">
        <v>1430</v>
      </c>
      <c r="N1447" s="59">
        <v>0</v>
      </c>
      <c r="O1447" s="59">
        <v>0</v>
      </c>
      <c r="P1447" s="59">
        <v>0</v>
      </c>
      <c r="Q1447" s="59">
        <v>0</v>
      </c>
      <c r="R1447" s="59">
        <v>9240000</v>
      </c>
      <c r="S1447" s="59">
        <v>-9240000</v>
      </c>
      <c r="T1447" s="41"/>
      <c r="U1447" s="41"/>
      <c r="V1447" s="41"/>
      <c r="W1447" s="41"/>
      <c r="X1447" s="41"/>
      <c r="Y1447" s="41"/>
      <c r="Z1447" s="41"/>
      <c r="AA1447" s="41"/>
      <c r="AB1447" s="41"/>
      <c r="AC1447" s="41"/>
      <c r="AD1447" s="41"/>
      <c r="AE1447" s="59">
        <v>-355.54792772158567</v>
      </c>
      <c r="AF1447" s="59">
        <v>0</v>
      </c>
      <c r="AG1447" s="59" t="s">
        <v>5</v>
      </c>
      <c r="AH1447" s="59" t="s">
        <v>1400</v>
      </c>
    </row>
    <row r="1448" spans="1:34" x14ac:dyDescent="0.35">
      <c r="A1448" s="58">
        <v>2025</v>
      </c>
      <c r="B1448" s="58">
        <v>7</v>
      </c>
      <c r="C1448">
        <v>7</v>
      </c>
      <c r="D1448" s="58" t="s">
        <v>621</v>
      </c>
      <c r="E1448" t="s">
        <v>257</v>
      </c>
      <c r="F1448" s="58" t="s">
        <v>167</v>
      </c>
      <c r="G1448" t="s">
        <v>693</v>
      </c>
      <c r="H1448" s="58" t="s">
        <v>4</v>
      </c>
      <c r="I1448" t="s">
        <v>4</v>
      </c>
      <c r="J1448" s="58" t="s">
        <v>4</v>
      </c>
      <c r="K1448" t="s">
        <v>1429</v>
      </c>
      <c r="L1448" t="s">
        <v>20</v>
      </c>
      <c r="M1448" t="s">
        <v>1431</v>
      </c>
      <c r="N1448" s="59">
        <v>-25300</v>
      </c>
      <c r="O1448" s="59">
        <v>0</v>
      </c>
      <c r="P1448" s="59">
        <v>-3586147.0171875004</v>
      </c>
      <c r="Q1448" s="59">
        <v>0</v>
      </c>
      <c r="R1448" s="59">
        <v>0</v>
      </c>
      <c r="S1448" s="59">
        <v>3586147.0171875004</v>
      </c>
      <c r="T1448" s="41"/>
      <c r="U1448" s="41"/>
      <c r="V1448" s="41"/>
      <c r="W1448" s="41"/>
      <c r="X1448" s="41"/>
      <c r="Y1448" s="41"/>
      <c r="Z1448" s="41"/>
      <c r="AA1448" s="41"/>
      <c r="AB1448" s="41"/>
      <c r="AC1448" s="41"/>
      <c r="AD1448" s="41"/>
      <c r="AE1448" s="59">
        <v>137.99211476904344</v>
      </c>
      <c r="AF1448" s="59">
        <v>0</v>
      </c>
      <c r="AG1448" s="59" t="s">
        <v>16</v>
      </c>
      <c r="AH1448" s="59" t="s">
        <v>1156</v>
      </c>
    </row>
    <row r="1449" spans="1:34" x14ac:dyDescent="0.35">
      <c r="A1449" s="58">
        <v>2025</v>
      </c>
      <c r="B1449" s="58">
        <v>7</v>
      </c>
      <c r="C1449">
        <v>7</v>
      </c>
      <c r="D1449" s="58" t="s">
        <v>621</v>
      </c>
      <c r="E1449" t="s">
        <v>257</v>
      </c>
      <c r="F1449" s="58" t="s">
        <v>167</v>
      </c>
      <c r="G1449" t="s">
        <v>693</v>
      </c>
      <c r="H1449" s="58" t="s">
        <v>4</v>
      </c>
      <c r="I1449" t="s">
        <v>4</v>
      </c>
      <c r="J1449" s="58" t="s">
        <v>4</v>
      </c>
      <c r="K1449" t="s">
        <v>1429</v>
      </c>
      <c r="L1449" t="s">
        <v>20</v>
      </c>
      <c r="M1449" t="s">
        <v>1432</v>
      </c>
      <c r="N1449" s="59">
        <v>25300</v>
      </c>
      <c r="O1449" s="59">
        <v>0</v>
      </c>
      <c r="P1449" s="59">
        <v>2035600.8505208336</v>
      </c>
      <c r="Q1449" s="59">
        <v>0</v>
      </c>
      <c r="R1449" s="59">
        <v>0</v>
      </c>
      <c r="S1449" s="59">
        <v>-2035600.8505208336</v>
      </c>
      <c r="T1449" s="41"/>
      <c r="U1449" s="41"/>
      <c r="V1449" s="41"/>
      <c r="W1449" s="41"/>
      <c r="X1449" s="41"/>
      <c r="Y1449" s="41"/>
      <c r="Z1449" s="41"/>
      <c r="AA1449" s="41"/>
      <c r="AB1449" s="41"/>
      <c r="AC1449" s="41"/>
      <c r="AD1449" s="41"/>
      <c r="AE1449" s="59">
        <v>-78.328318622400388</v>
      </c>
      <c r="AF1449" s="59">
        <v>0</v>
      </c>
      <c r="AG1449" s="59" t="s">
        <v>16</v>
      </c>
      <c r="AH1449" s="59" t="s">
        <v>1156</v>
      </c>
    </row>
    <row r="1450" spans="1:34" x14ac:dyDescent="0.35">
      <c r="A1450" s="58">
        <v>2025</v>
      </c>
      <c r="B1450" s="58">
        <v>7</v>
      </c>
      <c r="C1450">
        <v>7</v>
      </c>
      <c r="D1450" s="58" t="s">
        <v>590</v>
      </c>
      <c r="E1450" t="s">
        <v>500</v>
      </c>
      <c r="F1450" s="58" t="s">
        <v>168</v>
      </c>
      <c r="G1450" t="s">
        <v>700</v>
      </c>
      <c r="H1450" s="58" t="s">
        <v>4</v>
      </c>
      <c r="I1450" t="s">
        <v>4</v>
      </c>
      <c r="J1450" s="58" t="s">
        <v>4</v>
      </c>
      <c r="K1450" t="s">
        <v>1429</v>
      </c>
      <c r="L1450" t="s">
        <v>20</v>
      </c>
      <c r="M1450" t="s">
        <v>1430</v>
      </c>
      <c r="N1450" s="59">
        <v>132000</v>
      </c>
      <c r="O1450" s="59">
        <v>4868556000</v>
      </c>
      <c r="P1450" s="59">
        <v>9502185.3385416679</v>
      </c>
      <c r="Q1450" s="59">
        <v>0</v>
      </c>
      <c r="R1450" s="59">
        <v>79444444.444444448</v>
      </c>
      <c r="S1450" s="59">
        <v>4707957645.2170134</v>
      </c>
      <c r="T1450" s="41"/>
      <c r="U1450" s="41"/>
      <c r="V1450" s="41"/>
      <c r="W1450" s="41"/>
      <c r="X1450" s="41"/>
      <c r="Y1450" s="41"/>
      <c r="Z1450" s="41"/>
      <c r="AA1450" s="41"/>
      <c r="AB1450" s="41"/>
      <c r="AC1450" s="41"/>
      <c r="AD1450" s="41"/>
      <c r="AE1450" s="59">
        <v>181158.5048222841</v>
      </c>
      <c r="AF1450" s="59">
        <v>187338.20311650346</v>
      </c>
      <c r="AG1450" s="59" t="s">
        <v>8</v>
      </c>
      <c r="AH1450" s="59" t="s">
        <v>1160</v>
      </c>
    </row>
    <row r="1451" spans="1:34" x14ac:dyDescent="0.35">
      <c r="A1451" s="58">
        <v>2025</v>
      </c>
      <c r="B1451" s="58">
        <v>7</v>
      </c>
      <c r="C1451">
        <v>7</v>
      </c>
      <c r="D1451" s="58" t="s">
        <v>590</v>
      </c>
      <c r="E1451" t="s">
        <v>500</v>
      </c>
      <c r="F1451" s="58" t="s">
        <v>1152</v>
      </c>
      <c r="G1451" t="s">
        <v>1153</v>
      </c>
      <c r="H1451" s="58" t="s">
        <v>1012</v>
      </c>
      <c r="I1451" t="s">
        <v>1012</v>
      </c>
      <c r="J1451" s="58" t="s">
        <v>1399</v>
      </c>
      <c r="K1451" t="s">
        <v>1429</v>
      </c>
      <c r="L1451" t="s">
        <v>20</v>
      </c>
      <c r="M1451" t="s">
        <v>1430</v>
      </c>
      <c r="N1451" s="59">
        <v>0</v>
      </c>
      <c r="O1451" s="59">
        <v>0</v>
      </c>
      <c r="P1451" s="59">
        <v>0</v>
      </c>
      <c r="Q1451" s="59">
        <v>0</v>
      </c>
      <c r="R1451" s="59">
        <v>92685185.185185194</v>
      </c>
      <c r="S1451" s="59">
        <v>-92685185.185185194</v>
      </c>
      <c r="T1451" s="41"/>
      <c r="U1451" s="41"/>
      <c r="V1451" s="41"/>
      <c r="W1451" s="41"/>
      <c r="X1451" s="41"/>
      <c r="Y1451" s="41"/>
      <c r="Z1451" s="41"/>
      <c r="AA1451" s="41"/>
      <c r="AB1451" s="41"/>
      <c r="AC1451" s="41"/>
      <c r="AD1451" s="41"/>
      <c r="AE1451" s="59">
        <v>-3566.4529786887442</v>
      </c>
      <c r="AF1451" s="59">
        <v>0</v>
      </c>
      <c r="AG1451" s="59" t="s">
        <v>8</v>
      </c>
      <c r="AH1451" s="59" t="s">
        <v>1400</v>
      </c>
    </row>
    <row r="1452" spans="1:34" x14ac:dyDescent="0.35">
      <c r="A1452" s="58">
        <v>2025</v>
      </c>
      <c r="B1452" s="58">
        <v>7</v>
      </c>
      <c r="C1452">
        <v>7</v>
      </c>
      <c r="D1452" s="58" t="s">
        <v>620</v>
      </c>
      <c r="E1452" t="s">
        <v>324</v>
      </c>
      <c r="F1452" s="58" t="s">
        <v>168</v>
      </c>
      <c r="G1452" t="s">
        <v>700</v>
      </c>
      <c r="H1452" s="58" t="s">
        <v>4</v>
      </c>
      <c r="I1452" t="s">
        <v>4</v>
      </c>
      <c r="J1452" s="58" t="s">
        <v>4</v>
      </c>
      <c r="K1452" t="s">
        <v>1429</v>
      </c>
      <c r="L1452" t="s">
        <v>20</v>
      </c>
      <c r="M1452" t="s">
        <v>1430</v>
      </c>
      <c r="N1452" s="59">
        <v>51700</v>
      </c>
      <c r="O1452" s="59">
        <v>1884463449</v>
      </c>
      <c r="P1452" s="59">
        <v>7912994.387740029</v>
      </c>
      <c r="Q1452" s="59">
        <v>0</v>
      </c>
      <c r="R1452" s="59">
        <v>7040000</v>
      </c>
      <c r="S1452" s="59">
        <v>1841446862.6122601</v>
      </c>
      <c r="T1452" s="41"/>
      <c r="U1452" s="41"/>
      <c r="V1452" s="41"/>
      <c r="W1452" s="41"/>
      <c r="X1452" s="41"/>
      <c r="Y1452" s="41"/>
      <c r="Z1452" s="41"/>
      <c r="AA1452" s="41"/>
      <c r="AB1452" s="41"/>
      <c r="AC1452" s="41"/>
      <c r="AD1452" s="41"/>
      <c r="AE1452" s="59">
        <v>70857.42597523857</v>
      </c>
      <c r="AF1452" s="59">
        <v>72512.670363530517</v>
      </c>
      <c r="AG1452" s="59" t="s">
        <v>8</v>
      </c>
      <c r="AH1452" s="59" t="s">
        <v>1160</v>
      </c>
    </row>
    <row r="1453" spans="1:34" x14ac:dyDescent="0.35">
      <c r="A1453" s="58">
        <v>2025</v>
      </c>
      <c r="B1453" s="58">
        <v>7</v>
      </c>
      <c r="C1453">
        <v>7</v>
      </c>
      <c r="D1453" s="58" t="s">
        <v>620</v>
      </c>
      <c r="E1453" t="s">
        <v>324</v>
      </c>
      <c r="F1453" s="58" t="s">
        <v>168</v>
      </c>
      <c r="G1453" t="s">
        <v>700</v>
      </c>
      <c r="H1453" s="58" t="s">
        <v>4</v>
      </c>
      <c r="I1453" t="s">
        <v>4</v>
      </c>
      <c r="J1453" s="58" t="s">
        <v>4</v>
      </c>
      <c r="K1453" t="s">
        <v>1429</v>
      </c>
      <c r="L1453" t="s">
        <v>20</v>
      </c>
      <c r="M1453" t="s">
        <v>1508</v>
      </c>
      <c r="N1453" s="59">
        <v>-730.9</v>
      </c>
      <c r="O1453" s="59">
        <v>-26026143</v>
      </c>
      <c r="P1453" s="59">
        <v>0</v>
      </c>
      <c r="Q1453" s="59">
        <v>0</v>
      </c>
      <c r="R1453" s="59">
        <v>0</v>
      </c>
      <c r="S1453" s="59">
        <v>-25638570</v>
      </c>
      <c r="T1453" s="41"/>
      <c r="U1453" s="41"/>
      <c r="V1453" s="41"/>
      <c r="W1453" s="41"/>
      <c r="X1453" s="41"/>
      <c r="Y1453" s="41"/>
      <c r="Z1453" s="41"/>
      <c r="AA1453" s="41"/>
      <c r="AB1453" s="41"/>
      <c r="AC1453" s="41"/>
      <c r="AD1453" s="41"/>
      <c r="AE1453" s="59">
        <v>-986.55199493991483</v>
      </c>
      <c r="AF1453" s="59">
        <v>-1001.4654989432523</v>
      </c>
      <c r="AG1453" s="59" t="s">
        <v>8</v>
      </c>
      <c r="AH1453" s="59" t="s">
        <v>1160</v>
      </c>
    </row>
    <row r="1454" spans="1:34" x14ac:dyDescent="0.35">
      <c r="A1454" s="58">
        <v>2025</v>
      </c>
      <c r="B1454" s="58">
        <v>7</v>
      </c>
      <c r="C1454">
        <v>7</v>
      </c>
      <c r="D1454" s="58" t="s">
        <v>620</v>
      </c>
      <c r="E1454" t="s">
        <v>324</v>
      </c>
      <c r="F1454" s="58" t="s">
        <v>1468</v>
      </c>
      <c r="G1454" t="s">
        <v>1012</v>
      </c>
      <c r="H1454" s="58" t="s">
        <v>1012</v>
      </c>
      <c r="I1454" t="s">
        <v>1012</v>
      </c>
      <c r="J1454" s="58" t="s">
        <v>1012</v>
      </c>
      <c r="K1454" t="s">
        <v>1429</v>
      </c>
      <c r="L1454" t="s">
        <v>20</v>
      </c>
      <c r="M1454" t="s">
        <v>1430</v>
      </c>
      <c r="N1454" s="59">
        <v>0</v>
      </c>
      <c r="O1454" s="59">
        <v>1974750</v>
      </c>
      <c r="P1454" s="59">
        <v>0</v>
      </c>
      <c r="Q1454" s="59">
        <v>0</v>
      </c>
      <c r="R1454" s="59">
        <v>0</v>
      </c>
      <c r="S1454" s="59">
        <v>1974750</v>
      </c>
      <c r="T1454" s="41"/>
      <c r="U1454" s="41"/>
      <c r="V1454" s="41"/>
      <c r="W1454" s="41"/>
      <c r="X1454" s="41"/>
      <c r="Y1454" s="41"/>
      <c r="Z1454" s="41"/>
      <c r="AA1454" s="41"/>
      <c r="AB1454" s="41"/>
      <c r="AC1454" s="41"/>
      <c r="AD1454" s="41"/>
      <c r="AE1454" s="59">
        <v>75.986825786601855</v>
      </c>
      <c r="AF1454" s="59">
        <v>75.986825786601855</v>
      </c>
      <c r="AG1454" s="59" t="s">
        <v>8</v>
      </c>
      <c r="AH1454" s="59" t="s">
        <v>1284</v>
      </c>
    </row>
    <row r="1455" spans="1:34" x14ac:dyDescent="0.35">
      <c r="A1455" s="58">
        <v>2025</v>
      </c>
      <c r="B1455" s="58">
        <v>7</v>
      </c>
      <c r="C1455">
        <v>7</v>
      </c>
      <c r="D1455" s="58" t="s">
        <v>1531</v>
      </c>
      <c r="E1455" t="s">
        <v>1296</v>
      </c>
      <c r="F1455" s="58" t="s">
        <v>1482</v>
      </c>
      <c r="G1455" t="s">
        <v>1483</v>
      </c>
      <c r="H1455" s="58" t="s">
        <v>1012</v>
      </c>
      <c r="I1455" t="s">
        <v>1012</v>
      </c>
      <c r="J1455" s="58" t="s">
        <v>1012</v>
      </c>
      <c r="K1455" t="s">
        <v>1429</v>
      </c>
      <c r="L1455" t="s">
        <v>20</v>
      </c>
      <c r="M1455" t="s">
        <v>1430</v>
      </c>
      <c r="N1455" s="59">
        <v>0</v>
      </c>
      <c r="O1455" s="59">
        <v>4000000</v>
      </c>
      <c r="P1455" s="59">
        <v>0</v>
      </c>
      <c r="Q1455" s="59">
        <v>0</v>
      </c>
      <c r="R1455" s="59">
        <v>0</v>
      </c>
      <c r="S1455" s="59">
        <v>4000000</v>
      </c>
      <c r="T1455" s="41"/>
      <c r="U1455" s="41"/>
      <c r="V1455" s="41"/>
      <c r="W1455" s="41"/>
      <c r="X1455" s="41"/>
      <c r="Y1455" s="41"/>
      <c r="Z1455" s="41"/>
      <c r="AA1455" s="41"/>
      <c r="AB1455" s="41"/>
      <c r="AC1455" s="41"/>
      <c r="AD1455" s="41"/>
      <c r="AE1455" s="59">
        <v>153.91685182752624</v>
      </c>
      <c r="AF1455" s="59">
        <v>153.91685182752624</v>
      </c>
      <c r="AG1455" s="59" t="s">
        <v>1296</v>
      </c>
      <c r="AH1455" s="59" t="s">
        <v>1325</v>
      </c>
    </row>
    <row r="1456" spans="1:34" x14ac:dyDescent="0.35">
      <c r="A1456" s="58">
        <v>2025</v>
      </c>
      <c r="B1456" s="58">
        <v>7</v>
      </c>
      <c r="C1456">
        <v>7</v>
      </c>
      <c r="D1456" s="58" t="s">
        <v>682</v>
      </c>
      <c r="E1456" t="s">
        <v>156</v>
      </c>
      <c r="F1456" s="58" t="s">
        <v>948</v>
      </c>
      <c r="G1456" t="s">
        <v>949</v>
      </c>
      <c r="H1456" s="58" t="s">
        <v>1012</v>
      </c>
      <c r="I1456" t="s">
        <v>86</v>
      </c>
      <c r="J1456" s="58" t="s">
        <v>86</v>
      </c>
      <c r="K1456" t="s">
        <v>1429</v>
      </c>
      <c r="L1456" t="s">
        <v>20</v>
      </c>
      <c r="M1456" t="s">
        <v>1430</v>
      </c>
      <c r="N1456" s="59">
        <v>41387</v>
      </c>
      <c r="O1456" s="59">
        <v>80474722</v>
      </c>
      <c r="P1456" s="59">
        <v>0</v>
      </c>
      <c r="Q1456" s="59">
        <v>0</v>
      </c>
      <c r="R1456" s="59">
        <v>0</v>
      </c>
      <c r="S1456" s="59">
        <v>80474722</v>
      </c>
      <c r="T1456" s="41"/>
      <c r="U1456" s="41"/>
      <c r="V1456" s="41"/>
      <c r="W1456" s="41"/>
      <c r="X1456" s="41"/>
      <c r="Y1456" s="41"/>
      <c r="Z1456" s="41"/>
      <c r="AA1456" s="41"/>
      <c r="AB1456" s="41"/>
      <c r="AC1456" s="41"/>
      <c r="AD1456" s="41"/>
      <c r="AE1456" s="59">
        <v>3096.6039654838419</v>
      </c>
      <c r="AF1456" s="59">
        <v>3096.6039654838419</v>
      </c>
      <c r="AG1456" s="59" t="s">
        <v>156</v>
      </c>
      <c r="AH1456" s="59" t="s">
        <v>1229</v>
      </c>
    </row>
    <row r="1457" spans="1:34" x14ac:dyDescent="0.35">
      <c r="A1457" s="58">
        <v>2025</v>
      </c>
      <c r="B1457" s="58">
        <v>7</v>
      </c>
      <c r="C1457">
        <v>7</v>
      </c>
      <c r="D1457" s="58" t="s">
        <v>682</v>
      </c>
      <c r="E1457" t="s">
        <v>156</v>
      </c>
      <c r="F1457" s="58" t="s">
        <v>1468</v>
      </c>
      <c r="G1457" t="s">
        <v>1012</v>
      </c>
      <c r="H1457" s="58" t="s">
        <v>1012</v>
      </c>
      <c r="I1457" t="s">
        <v>1012</v>
      </c>
      <c r="J1457" s="58" t="s">
        <v>1012</v>
      </c>
      <c r="K1457" t="s">
        <v>1429</v>
      </c>
      <c r="L1457" t="s">
        <v>20</v>
      </c>
      <c r="M1457" t="s">
        <v>1430</v>
      </c>
      <c r="N1457" s="59">
        <v>0</v>
      </c>
      <c r="O1457" s="59">
        <v>158472643</v>
      </c>
      <c r="P1457" s="59">
        <v>0</v>
      </c>
      <c r="Q1457" s="59">
        <v>0</v>
      </c>
      <c r="R1457" s="59">
        <v>0</v>
      </c>
      <c r="S1457" s="59">
        <v>158472643</v>
      </c>
      <c r="T1457" s="41"/>
      <c r="U1457" s="41"/>
      <c r="V1457" s="41"/>
      <c r="W1457" s="41"/>
      <c r="X1457" s="41"/>
      <c r="Y1457" s="41"/>
      <c r="Z1457" s="41"/>
      <c r="AA1457" s="41"/>
      <c r="AB1457" s="41"/>
      <c r="AC1457" s="41"/>
      <c r="AD1457" s="41"/>
      <c r="AE1457" s="59">
        <v>6097.9025778368659</v>
      </c>
      <c r="AF1457" s="59">
        <v>6097.9025778368659</v>
      </c>
      <c r="AG1457" s="59" t="s">
        <v>156</v>
      </c>
      <c r="AH1457" s="59" t="s">
        <v>1284</v>
      </c>
    </row>
    <row r="1458" spans="1:34" x14ac:dyDescent="0.35">
      <c r="A1458" s="58">
        <v>2025</v>
      </c>
      <c r="B1458" s="58">
        <v>7</v>
      </c>
      <c r="C1458">
        <v>7</v>
      </c>
      <c r="D1458" s="58" t="s">
        <v>1578</v>
      </c>
      <c r="E1458" t="s">
        <v>1157</v>
      </c>
      <c r="F1458" s="58" t="s">
        <v>1468</v>
      </c>
      <c r="G1458" t="s">
        <v>1012</v>
      </c>
      <c r="H1458" s="58" t="s">
        <v>1012</v>
      </c>
      <c r="I1458" t="s">
        <v>1012</v>
      </c>
      <c r="J1458" s="58" t="s">
        <v>1012</v>
      </c>
      <c r="K1458" t="s">
        <v>1429</v>
      </c>
      <c r="L1458" t="s">
        <v>20</v>
      </c>
      <c r="M1458" t="s">
        <v>1430</v>
      </c>
      <c r="N1458" s="59">
        <v>0</v>
      </c>
      <c r="O1458" s="59">
        <v>10000000</v>
      </c>
      <c r="P1458" s="59">
        <v>0</v>
      </c>
      <c r="Q1458" s="59">
        <v>0</v>
      </c>
      <c r="R1458" s="59">
        <v>0</v>
      </c>
      <c r="S1458" s="59">
        <v>10000000</v>
      </c>
      <c r="T1458" s="41"/>
      <c r="U1458" s="41"/>
      <c r="V1458" s="41"/>
      <c r="W1458" s="41"/>
      <c r="X1458" s="41"/>
      <c r="Y1458" s="41"/>
      <c r="Z1458" s="41"/>
      <c r="AA1458" s="41"/>
      <c r="AB1458" s="41"/>
      <c r="AC1458" s="41"/>
      <c r="AD1458" s="41"/>
      <c r="AE1458" s="59">
        <v>384.7921295688156</v>
      </c>
      <c r="AF1458" s="59">
        <v>384.7921295688156</v>
      </c>
      <c r="AG1458" s="59" t="s">
        <v>1157</v>
      </c>
      <c r="AH1458" s="59" t="s">
        <v>1284</v>
      </c>
    </row>
    <row r="1459" spans="1:34" x14ac:dyDescent="0.35">
      <c r="A1459" s="58">
        <v>2025</v>
      </c>
      <c r="B1459" s="58">
        <v>7</v>
      </c>
      <c r="C1459">
        <v>7</v>
      </c>
      <c r="D1459" s="58" t="s">
        <v>605</v>
      </c>
      <c r="E1459" t="s">
        <v>479</v>
      </c>
      <c r="F1459" s="58" t="s">
        <v>184</v>
      </c>
      <c r="G1459" t="s">
        <v>717</v>
      </c>
      <c r="H1459" s="58" t="s">
        <v>1428</v>
      </c>
      <c r="I1459" t="s">
        <v>75</v>
      </c>
      <c r="J1459" s="58" t="s">
        <v>75</v>
      </c>
      <c r="K1459" t="s">
        <v>1429</v>
      </c>
      <c r="L1459" t="s">
        <v>20</v>
      </c>
      <c r="M1459" t="s">
        <v>1430</v>
      </c>
      <c r="N1459" s="59">
        <v>35750</v>
      </c>
      <c r="O1459" s="59">
        <v>1315883250</v>
      </c>
      <c r="P1459" s="59">
        <v>0</v>
      </c>
      <c r="Q1459" s="59">
        <v>0</v>
      </c>
      <c r="R1459" s="59">
        <v>30925925.925925925</v>
      </c>
      <c r="S1459" s="59">
        <v>1284957324.074074</v>
      </c>
      <c r="T1459" s="41"/>
      <c r="U1459" s="41"/>
      <c r="V1459" s="41"/>
      <c r="W1459" s="41"/>
      <c r="X1459" s="41"/>
      <c r="Y1459" s="41"/>
      <c r="Z1459" s="41"/>
      <c r="AA1459" s="41"/>
      <c r="AB1459" s="41"/>
      <c r="AC1459" s="41"/>
      <c r="AD1459" s="41"/>
      <c r="AE1459" s="59">
        <v>49444.146513550972</v>
      </c>
      <c r="AF1459" s="59">
        <v>50634.151803143424</v>
      </c>
      <c r="AG1459" s="59" t="s">
        <v>5</v>
      </c>
      <c r="AH1459" s="59" t="s">
        <v>1198</v>
      </c>
    </row>
    <row r="1460" spans="1:34" x14ac:dyDescent="0.35">
      <c r="A1460" s="58">
        <v>2025</v>
      </c>
      <c r="B1460" s="58">
        <v>7</v>
      </c>
      <c r="C1460">
        <v>7</v>
      </c>
      <c r="D1460" s="58" t="s">
        <v>1502</v>
      </c>
      <c r="E1460" t="s">
        <v>1236</v>
      </c>
      <c r="F1460" s="58" t="s">
        <v>879</v>
      </c>
      <c r="G1460" t="s">
        <v>880</v>
      </c>
      <c r="H1460" s="58" t="s">
        <v>1234</v>
      </c>
      <c r="I1460" t="s">
        <v>1234</v>
      </c>
      <c r="J1460" s="58" t="s">
        <v>1234</v>
      </c>
      <c r="K1460" t="s">
        <v>1429</v>
      </c>
      <c r="L1460" t="s">
        <v>20</v>
      </c>
      <c r="M1460" t="s">
        <v>1430</v>
      </c>
      <c r="N1460" s="59">
        <v>20000</v>
      </c>
      <c r="O1460" s="59">
        <v>340000000</v>
      </c>
      <c r="P1460" s="59">
        <v>0</v>
      </c>
      <c r="Q1460" s="59">
        <v>24000000</v>
      </c>
      <c r="R1460" s="59">
        <v>0</v>
      </c>
      <c r="S1460" s="59">
        <v>316000000</v>
      </c>
      <c r="T1460" s="41"/>
      <c r="U1460" s="41"/>
      <c r="V1460" s="41"/>
      <c r="W1460" s="41"/>
      <c r="X1460" s="41"/>
      <c r="Y1460" s="41"/>
      <c r="Z1460" s="41"/>
      <c r="AA1460" s="41"/>
      <c r="AB1460" s="41"/>
      <c r="AC1460" s="41"/>
      <c r="AD1460" s="41"/>
      <c r="AE1460" s="59">
        <v>12159.431294374574</v>
      </c>
      <c r="AF1460" s="59">
        <v>13082.93240533973</v>
      </c>
      <c r="AG1460" s="59" t="s">
        <v>1236</v>
      </c>
      <c r="AH1460" s="59" t="s">
        <v>1235</v>
      </c>
    </row>
    <row r="1461" spans="1:34" x14ac:dyDescent="0.35">
      <c r="A1461" s="58">
        <v>2025</v>
      </c>
      <c r="B1461" s="58">
        <v>7</v>
      </c>
      <c r="C1461">
        <v>7</v>
      </c>
      <c r="D1461" s="58" t="s">
        <v>1469</v>
      </c>
      <c r="E1461" t="s">
        <v>1211</v>
      </c>
      <c r="F1461" s="58" t="s">
        <v>1472</v>
      </c>
      <c r="G1461" t="s">
        <v>1473</v>
      </c>
      <c r="H1461" s="58" t="s">
        <v>1012</v>
      </c>
      <c r="I1461" t="s">
        <v>86</v>
      </c>
      <c r="J1461" s="58" t="s">
        <v>86</v>
      </c>
      <c r="K1461" t="s">
        <v>1429</v>
      </c>
      <c r="L1461" t="s">
        <v>20</v>
      </c>
      <c r="M1461" t="s">
        <v>1430</v>
      </c>
      <c r="N1461" s="59">
        <v>15788</v>
      </c>
      <c r="O1461" s="59">
        <v>307866000</v>
      </c>
      <c r="P1461" s="59">
        <v>0</v>
      </c>
      <c r="Q1461" s="59">
        <v>0</v>
      </c>
      <c r="R1461" s="59">
        <v>0</v>
      </c>
      <c r="S1461" s="59">
        <v>307866000</v>
      </c>
      <c r="T1461" s="41"/>
      <c r="U1461" s="41"/>
      <c r="V1461" s="41"/>
      <c r="W1461" s="41"/>
      <c r="X1461" s="41"/>
      <c r="Y1461" s="41"/>
      <c r="Z1461" s="41"/>
      <c r="AA1461" s="41"/>
      <c r="AB1461" s="41"/>
      <c r="AC1461" s="41"/>
      <c r="AD1461" s="41"/>
      <c r="AE1461" s="59">
        <v>11846.441376183298</v>
      </c>
      <c r="AF1461" s="59">
        <v>11846.441376183298</v>
      </c>
      <c r="AG1461" s="59" t="s">
        <v>1211</v>
      </c>
      <c r="AH1461" s="59" t="s">
        <v>1215</v>
      </c>
    </row>
    <row r="1462" spans="1:34" x14ac:dyDescent="0.35">
      <c r="A1462" s="58">
        <v>2025</v>
      </c>
      <c r="B1462" s="58">
        <v>7</v>
      </c>
      <c r="C1462">
        <v>7</v>
      </c>
      <c r="D1462" s="58" t="s">
        <v>635</v>
      </c>
      <c r="E1462" t="s">
        <v>62</v>
      </c>
      <c r="F1462" s="58" t="s">
        <v>209</v>
      </c>
      <c r="G1462" t="s">
        <v>822</v>
      </c>
      <c r="H1462" s="58" t="s">
        <v>21</v>
      </c>
      <c r="I1462" t="s">
        <v>21</v>
      </c>
      <c r="J1462" s="58" t="s">
        <v>21</v>
      </c>
      <c r="K1462" t="s">
        <v>1429</v>
      </c>
      <c r="L1462" t="s">
        <v>20</v>
      </c>
      <c r="M1462" t="s">
        <v>1430</v>
      </c>
      <c r="N1462" s="59">
        <v>11000</v>
      </c>
      <c r="O1462" s="59">
        <v>208796296</v>
      </c>
      <c r="P1462" s="59">
        <v>0</v>
      </c>
      <c r="Q1462" s="59">
        <v>0</v>
      </c>
      <c r="R1462" s="59">
        <v>0</v>
      </c>
      <c r="S1462" s="59">
        <v>208796296</v>
      </c>
      <c r="T1462" s="41"/>
      <c r="U1462" s="41"/>
      <c r="V1462" s="41"/>
      <c r="W1462" s="41"/>
      <c r="X1462" s="41"/>
      <c r="Y1462" s="41"/>
      <c r="Z1462" s="41"/>
      <c r="AA1462" s="41"/>
      <c r="AB1462" s="41"/>
      <c r="AC1462" s="41"/>
      <c r="AD1462" s="41"/>
      <c r="AE1462" s="59">
        <v>8034.317138392078</v>
      </c>
      <c r="AF1462" s="59">
        <v>8034.317138392078</v>
      </c>
      <c r="AG1462" s="59" t="s">
        <v>62</v>
      </c>
      <c r="AH1462" s="59" t="s">
        <v>1353</v>
      </c>
    </row>
    <row r="1463" spans="1:34" x14ac:dyDescent="0.35">
      <c r="A1463" s="58">
        <v>2025</v>
      </c>
      <c r="B1463" s="58">
        <v>7</v>
      </c>
      <c r="C1463">
        <v>7</v>
      </c>
      <c r="D1463" s="58" t="s">
        <v>635</v>
      </c>
      <c r="E1463" t="s">
        <v>62</v>
      </c>
      <c r="F1463" s="58" t="s">
        <v>212</v>
      </c>
      <c r="G1463" t="s">
        <v>481</v>
      </c>
      <c r="H1463" s="58" t="s">
        <v>21</v>
      </c>
      <c r="I1463" t="s">
        <v>21</v>
      </c>
      <c r="J1463" s="58" t="s">
        <v>21</v>
      </c>
      <c r="K1463" t="s">
        <v>1429</v>
      </c>
      <c r="L1463" t="s">
        <v>20</v>
      </c>
      <c r="M1463" t="s">
        <v>1430</v>
      </c>
      <c r="N1463" s="59">
        <v>9750</v>
      </c>
      <c r="O1463" s="59">
        <v>176041667</v>
      </c>
      <c r="P1463" s="59">
        <v>2188700.5753323487</v>
      </c>
      <c r="Q1463" s="59">
        <v>0</v>
      </c>
      <c r="R1463" s="59">
        <v>0</v>
      </c>
      <c r="S1463" s="59">
        <v>173852966.42466766</v>
      </c>
      <c r="T1463" s="41"/>
      <c r="U1463" s="41"/>
      <c r="V1463" s="41"/>
      <c r="W1463" s="41"/>
      <c r="X1463" s="41"/>
      <c r="Y1463" s="41"/>
      <c r="Z1463" s="41"/>
      <c r="AA1463" s="41"/>
      <c r="AB1463" s="41"/>
      <c r="AC1463" s="41"/>
      <c r="AD1463" s="41"/>
      <c r="AE1463" s="59">
        <v>6689.7253182403665</v>
      </c>
      <c r="AF1463" s="59">
        <v>6773.9447937774294</v>
      </c>
      <c r="AG1463" s="59" t="s">
        <v>62</v>
      </c>
      <c r="AH1463" s="59" t="s">
        <v>84</v>
      </c>
    </row>
    <row r="1464" spans="1:34" x14ac:dyDescent="0.35">
      <c r="A1464" s="58">
        <v>2025</v>
      </c>
      <c r="B1464" s="58">
        <v>7</v>
      </c>
      <c r="C1464">
        <v>7</v>
      </c>
      <c r="D1464" s="58" t="s">
        <v>595</v>
      </c>
      <c r="E1464" t="s">
        <v>478</v>
      </c>
      <c r="F1464" s="58" t="s">
        <v>184</v>
      </c>
      <c r="G1464" t="s">
        <v>717</v>
      </c>
      <c r="H1464" s="58" t="s">
        <v>1428</v>
      </c>
      <c r="I1464" t="s">
        <v>75</v>
      </c>
      <c r="J1464" s="58" t="s">
        <v>75</v>
      </c>
      <c r="K1464" t="s">
        <v>1429</v>
      </c>
      <c r="L1464" t="s">
        <v>20</v>
      </c>
      <c r="M1464" t="s">
        <v>1430</v>
      </c>
      <c r="N1464" s="59">
        <v>99000</v>
      </c>
      <c r="O1464" s="59">
        <v>3481593060</v>
      </c>
      <c r="P1464" s="59">
        <v>0</v>
      </c>
      <c r="Q1464" s="59">
        <v>0</v>
      </c>
      <c r="R1464" s="59">
        <v>0</v>
      </c>
      <c r="S1464" s="59">
        <v>3481593060</v>
      </c>
      <c r="T1464" s="41"/>
      <c r="U1464" s="41"/>
      <c r="V1464" s="41"/>
      <c r="W1464" s="41"/>
      <c r="X1464" s="41"/>
      <c r="Y1464" s="41"/>
      <c r="Z1464" s="41"/>
      <c r="AA1464" s="41"/>
      <c r="AB1464" s="41"/>
      <c r="AC1464" s="41"/>
      <c r="AD1464" s="41"/>
      <c r="AE1464" s="59">
        <v>133968.96078494092</v>
      </c>
      <c r="AF1464" s="59">
        <v>133968.96078494092</v>
      </c>
      <c r="AG1464" s="59" t="s">
        <v>5</v>
      </c>
      <c r="AH1464" s="59" t="s">
        <v>1198</v>
      </c>
    </row>
    <row r="1465" spans="1:34" x14ac:dyDescent="0.35">
      <c r="A1465" s="58">
        <v>2025</v>
      </c>
      <c r="B1465" s="58">
        <v>7</v>
      </c>
      <c r="C1465">
        <v>7</v>
      </c>
      <c r="D1465" s="58" t="s">
        <v>595</v>
      </c>
      <c r="E1465" t="s">
        <v>478</v>
      </c>
      <c r="F1465" s="58" t="s">
        <v>187</v>
      </c>
      <c r="G1465" t="s">
        <v>869</v>
      </c>
      <c r="H1465" s="58" t="s">
        <v>1428</v>
      </c>
      <c r="I1465" t="s">
        <v>75</v>
      </c>
      <c r="J1465" s="58" t="s">
        <v>75</v>
      </c>
      <c r="K1465" t="s">
        <v>1429</v>
      </c>
      <c r="L1465" t="s">
        <v>20</v>
      </c>
      <c r="M1465" t="s">
        <v>1430</v>
      </c>
      <c r="N1465" s="59">
        <v>9625</v>
      </c>
      <c r="O1465" s="59">
        <v>323749099</v>
      </c>
      <c r="P1465" s="59">
        <v>0</v>
      </c>
      <c r="Q1465" s="59">
        <v>0</v>
      </c>
      <c r="R1465" s="59">
        <v>0</v>
      </c>
      <c r="S1465" s="59">
        <v>323749099</v>
      </c>
      <c r="T1465" s="41"/>
      <c r="U1465" s="41"/>
      <c r="V1465" s="41"/>
      <c r="W1465" s="41"/>
      <c r="X1465" s="41"/>
      <c r="Y1465" s="41"/>
      <c r="Z1465" s="41"/>
      <c r="AA1465" s="41"/>
      <c r="AB1465" s="41"/>
      <c r="AC1465" s="41"/>
      <c r="AD1465" s="41"/>
      <c r="AE1465" s="59">
        <v>12457.610525019531</v>
      </c>
      <c r="AF1465" s="59">
        <v>12457.610525019531</v>
      </c>
      <c r="AG1465" s="59" t="s">
        <v>5</v>
      </c>
      <c r="AH1465" s="59" t="s">
        <v>1203</v>
      </c>
    </row>
    <row r="1466" spans="1:34" x14ac:dyDescent="0.35">
      <c r="A1466" s="58">
        <v>2025</v>
      </c>
      <c r="B1466" s="58">
        <v>7</v>
      </c>
      <c r="C1466">
        <v>7</v>
      </c>
      <c r="D1466" s="58" t="s">
        <v>595</v>
      </c>
      <c r="E1466" t="s">
        <v>478</v>
      </c>
      <c r="F1466" s="58" t="s">
        <v>188</v>
      </c>
      <c r="G1466" t="s">
        <v>872</v>
      </c>
      <c r="H1466" s="58" t="s">
        <v>1428</v>
      </c>
      <c r="I1466" t="s">
        <v>75</v>
      </c>
      <c r="J1466" s="58" t="s">
        <v>75</v>
      </c>
      <c r="K1466" t="s">
        <v>1429</v>
      </c>
      <c r="L1466" t="s">
        <v>20</v>
      </c>
      <c r="M1466" t="s">
        <v>1430</v>
      </c>
      <c r="N1466" s="59">
        <v>11000</v>
      </c>
      <c r="O1466" s="59">
        <v>374270930</v>
      </c>
      <c r="P1466" s="59">
        <v>0</v>
      </c>
      <c r="Q1466" s="59">
        <v>0</v>
      </c>
      <c r="R1466" s="59">
        <v>0</v>
      </c>
      <c r="S1466" s="59">
        <v>374270930</v>
      </c>
      <c r="T1466" s="41"/>
      <c r="U1466" s="41"/>
      <c r="V1466" s="41"/>
      <c r="W1466" s="41"/>
      <c r="X1466" s="41"/>
      <c r="Y1466" s="41"/>
      <c r="Z1466" s="41"/>
      <c r="AA1466" s="41"/>
      <c r="AB1466" s="41"/>
      <c r="AC1466" s="41"/>
      <c r="AD1466" s="41"/>
      <c r="AE1466" s="59">
        <v>14401.650819040111</v>
      </c>
      <c r="AF1466" s="59">
        <v>14401.650819040111</v>
      </c>
      <c r="AG1466" s="59" t="s">
        <v>5</v>
      </c>
      <c r="AH1466" s="59" t="s">
        <v>1204</v>
      </c>
    </row>
    <row r="1467" spans="1:34" x14ac:dyDescent="0.35">
      <c r="A1467" s="58">
        <v>2025</v>
      </c>
      <c r="B1467" s="58">
        <v>7</v>
      </c>
      <c r="C1467">
        <v>7</v>
      </c>
      <c r="D1467" s="58" t="s">
        <v>606</v>
      </c>
      <c r="E1467" t="s">
        <v>325</v>
      </c>
      <c r="F1467" s="58" t="s">
        <v>168</v>
      </c>
      <c r="G1467" t="s">
        <v>700</v>
      </c>
      <c r="H1467" s="58" t="s">
        <v>4</v>
      </c>
      <c r="I1467" t="s">
        <v>4</v>
      </c>
      <c r="J1467" s="58" t="s">
        <v>4</v>
      </c>
      <c r="K1467" t="s">
        <v>1429</v>
      </c>
      <c r="L1467" t="s">
        <v>20</v>
      </c>
      <c r="M1467" t="s">
        <v>1431</v>
      </c>
      <c r="N1467" s="59">
        <v>-2200</v>
      </c>
      <c r="O1467" s="59">
        <v>0</v>
      </c>
      <c r="P1467" s="59">
        <v>-336723.1654357459</v>
      </c>
      <c r="Q1467" s="59">
        <v>0</v>
      </c>
      <c r="R1467" s="59">
        <v>0</v>
      </c>
      <c r="S1467" s="59">
        <v>336723.1654357459</v>
      </c>
      <c r="T1467" s="41"/>
      <c r="U1467" s="41"/>
      <c r="V1467" s="41"/>
      <c r="W1467" s="41"/>
      <c r="X1467" s="41"/>
      <c r="Y1467" s="41"/>
      <c r="Z1467" s="41"/>
      <c r="AA1467" s="41"/>
      <c r="AB1467" s="41"/>
      <c r="AC1467" s="41"/>
      <c r="AD1467" s="41"/>
      <c r="AE1467" s="59">
        <v>12.956842390317327</v>
      </c>
      <c r="AF1467" s="59">
        <v>0</v>
      </c>
      <c r="AG1467" s="59" t="s">
        <v>8</v>
      </c>
      <c r="AH1467" s="59" t="s">
        <v>1160</v>
      </c>
    </row>
    <row r="1468" spans="1:34" x14ac:dyDescent="0.35">
      <c r="A1468" s="58">
        <v>2025</v>
      </c>
      <c r="B1468" s="58">
        <v>7</v>
      </c>
      <c r="C1468">
        <v>7</v>
      </c>
      <c r="D1468" s="58" t="s">
        <v>606</v>
      </c>
      <c r="E1468" t="s">
        <v>325</v>
      </c>
      <c r="F1468" s="58" t="s">
        <v>168</v>
      </c>
      <c r="G1468" t="s">
        <v>700</v>
      </c>
      <c r="H1468" s="58" t="s">
        <v>4</v>
      </c>
      <c r="I1468" t="s">
        <v>4</v>
      </c>
      <c r="J1468" s="58" t="s">
        <v>4</v>
      </c>
      <c r="K1468" t="s">
        <v>1429</v>
      </c>
      <c r="L1468" t="s">
        <v>20</v>
      </c>
      <c r="M1468" t="s">
        <v>1430</v>
      </c>
      <c r="N1468" s="59">
        <v>66000</v>
      </c>
      <c r="O1468" s="59">
        <v>2405040000</v>
      </c>
      <c r="P1468" s="59">
        <v>10101694.963072378</v>
      </c>
      <c r="Q1468" s="59">
        <v>0</v>
      </c>
      <c r="R1468" s="59">
        <v>9240000</v>
      </c>
      <c r="S1468" s="59">
        <v>2349872442.0369277</v>
      </c>
      <c r="T1468" s="41"/>
      <c r="U1468" s="41"/>
      <c r="V1468" s="41"/>
      <c r="W1468" s="41"/>
      <c r="X1468" s="41"/>
      <c r="Y1468" s="41"/>
      <c r="Z1468" s="41"/>
      <c r="AA1468" s="41"/>
      <c r="AB1468" s="41"/>
      <c r="AC1468" s="41"/>
      <c r="AD1468" s="41"/>
      <c r="AE1468" s="59">
        <v>90421.24211864626</v>
      </c>
      <c r="AF1468" s="59">
        <v>92544.046329818433</v>
      </c>
      <c r="AG1468" s="59" t="s">
        <v>8</v>
      </c>
      <c r="AH1468" s="59" t="s">
        <v>1160</v>
      </c>
    </row>
    <row r="1469" spans="1:34" x14ac:dyDescent="0.35">
      <c r="A1469" s="58">
        <v>2025</v>
      </c>
      <c r="B1469" s="58">
        <v>7</v>
      </c>
      <c r="C1469">
        <v>7</v>
      </c>
      <c r="D1469" s="58" t="s">
        <v>606</v>
      </c>
      <c r="E1469" t="s">
        <v>325</v>
      </c>
      <c r="F1469" s="58" t="s">
        <v>168</v>
      </c>
      <c r="G1469" t="s">
        <v>700</v>
      </c>
      <c r="H1469" s="58" t="s">
        <v>4</v>
      </c>
      <c r="I1469" t="s">
        <v>4</v>
      </c>
      <c r="J1469" s="58" t="s">
        <v>4</v>
      </c>
      <c r="K1469" t="s">
        <v>1429</v>
      </c>
      <c r="L1469" t="s">
        <v>20</v>
      </c>
      <c r="M1469" t="s">
        <v>1432</v>
      </c>
      <c r="N1469" s="59">
        <v>2200</v>
      </c>
      <c r="O1469" s="59">
        <v>0</v>
      </c>
      <c r="P1469" s="59">
        <v>336723.1654357459</v>
      </c>
      <c r="Q1469" s="59">
        <v>0</v>
      </c>
      <c r="R1469" s="59">
        <v>0</v>
      </c>
      <c r="S1469" s="59">
        <v>-336723.1654357459</v>
      </c>
      <c r="T1469" s="41"/>
      <c r="U1469" s="41"/>
      <c r="V1469" s="41"/>
      <c r="W1469" s="41"/>
      <c r="X1469" s="41"/>
      <c r="Y1469" s="41"/>
      <c r="Z1469" s="41"/>
      <c r="AA1469" s="41"/>
      <c r="AB1469" s="41"/>
      <c r="AC1469" s="41"/>
      <c r="AD1469" s="41"/>
      <c r="AE1469" s="59">
        <v>-12.956842390317327</v>
      </c>
      <c r="AF1469" s="59">
        <v>0</v>
      </c>
      <c r="AG1469" s="59" t="s">
        <v>8</v>
      </c>
      <c r="AH1469" s="59" t="s">
        <v>1160</v>
      </c>
    </row>
    <row r="1470" spans="1:34" x14ac:dyDescent="0.35">
      <c r="A1470" s="58">
        <v>2025</v>
      </c>
      <c r="B1470" s="58">
        <v>7</v>
      </c>
      <c r="C1470">
        <v>7</v>
      </c>
      <c r="D1470" s="58" t="s">
        <v>634</v>
      </c>
      <c r="E1470" t="s">
        <v>148</v>
      </c>
      <c r="F1470" s="58" t="s">
        <v>183</v>
      </c>
      <c r="G1470" t="s">
        <v>924</v>
      </c>
      <c r="H1470" s="58" t="s">
        <v>74</v>
      </c>
      <c r="I1470" t="s">
        <v>74</v>
      </c>
      <c r="J1470" s="58" t="s">
        <v>74</v>
      </c>
      <c r="K1470" t="s">
        <v>1429</v>
      </c>
      <c r="L1470" t="s">
        <v>20</v>
      </c>
      <c r="M1470" t="s">
        <v>1430</v>
      </c>
      <c r="N1470" s="59">
        <v>31600</v>
      </c>
      <c r="O1470" s="59">
        <v>521400000</v>
      </c>
      <c r="P1470" s="59">
        <v>5050847.4815361891</v>
      </c>
      <c r="Q1470" s="59">
        <v>0</v>
      </c>
      <c r="R1470" s="59">
        <v>0</v>
      </c>
      <c r="S1470" s="59">
        <v>516349152.51846385</v>
      </c>
      <c r="T1470" s="41"/>
      <c r="U1470" s="41"/>
      <c r="V1470" s="41"/>
      <c r="W1470" s="41"/>
      <c r="X1470" s="41"/>
      <c r="Y1470" s="41"/>
      <c r="Z1470" s="41"/>
      <c r="AA1470" s="41"/>
      <c r="AB1470" s="41"/>
      <c r="AC1470" s="41"/>
      <c r="AD1470" s="41"/>
      <c r="AE1470" s="59">
        <v>19868.708999863284</v>
      </c>
      <c r="AF1470" s="59">
        <v>20063.061635718048</v>
      </c>
      <c r="AG1470" s="59" t="s">
        <v>148</v>
      </c>
      <c r="AH1470" s="59" t="s">
        <v>1245</v>
      </c>
    </row>
    <row r="1471" spans="1:34" x14ac:dyDescent="0.35">
      <c r="A1471" s="58">
        <v>2025</v>
      </c>
      <c r="B1471" s="58">
        <v>7</v>
      </c>
      <c r="C1471">
        <v>7</v>
      </c>
      <c r="D1471" s="58" t="s">
        <v>596</v>
      </c>
      <c r="E1471" t="s">
        <v>266</v>
      </c>
      <c r="F1471" s="58" t="s">
        <v>171</v>
      </c>
      <c r="G1471" t="s">
        <v>731</v>
      </c>
      <c r="H1471" s="58" t="s">
        <v>4</v>
      </c>
      <c r="I1471" t="s">
        <v>4</v>
      </c>
      <c r="J1471" s="58" t="s">
        <v>4</v>
      </c>
      <c r="K1471" t="s">
        <v>1429</v>
      </c>
      <c r="L1471" t="s">
        <v>20</v>
      </c>
      <c r="M1471" t="s">
        <v>1430</v>
      </c>
      <c r="N1471" s="59">
        <v>99000</v>
      </c>
      <c r="O1471" s="59">
        <v>3234825000</v>
      </c>
      <c r="P1471" s="59">
        <v>15152542.444608569</v>
      </c>
      <c r="Q1471" s="59">
        <v>0</v>
      </c>
      <c r="R1471" s="59">
        <v>0</v>
      </c>
      <c r="S1471" s="59">
        <v>3219672457.5553913</v>
      </c>
      <c r="T1471" s="41"/>
      <c r="U1471" s="41"/>
      <c r="V1471" s="41"/>
      <c r="W1471" s="41"/>
      <c r="X1471" s="41"/>
      <c r="Y1471" s="41"/>
      <c r="Z1471" s="41"/>
      <c r="AA1471" s="41"/>
      <c r="AB1471" s="41"/>
      <c r="AC1471" s="41"/>
      <c r="AD1471" s="41"/>
      <c r="AE1471" s="59">
        <v>123890.46214568015</v>
      </c>
      <c r="AF1471" s="59">
        <v>124473.52005324441</v>
      </c>
      <c r="AG1471" s="59" t="s">
        <v>100</v>
      </c>
      <c r="AH1471" s="59" t="s">
        <v>1166</v>
      </c>
    </row>
    <row r="1472" spans="1:34" x14ac:dyDescent="0.35">
      <c r="A1472" s="58">
        <v>2025</v>
      </c>
      <c r="B1472" s="58">
        <v>7</v>
      </c>
      <c r="C1472">
        <v>7</v>
      </c>
      <c r="D1472" s="58" t="s">
        <v>610</v>
      </c>
      <c r="E1472" t="s">
        <v>44</v>
      </c>
      <c r="F1472" s="58" t="s">
        <v>186</v>
      </c>
      <c r="G1472" t="s">
        <v>781</v>
      </c>
      <c r="H1472" s="58" t="s">
        <v>1428</v>
      </c>
      <c r="I1472" t="s">
        <v>75</v>
      </c>
      <c r="J1472" s="58" t="s">
        <v>75</v>
      </c>
      <c r="K1472" t="s">
        <v>1429</v>
      </c>
      <c r="L1472" t="s">
        <v>20</v>
      </c>
      <c r="M1472" t="s">
        <v>1430</v>
      </c>
      <c r="N1472" s="59">
        <v>33000</v>
      </c>
      <c r="O1472" s="59">
        <v>1083637500</v>
      </c>
      <c r="P1472" s="59">
        <v>0</v>
      </c>
      <c r="Q1472" s="59">
        <v>0</v>
      </c>
      <c r="R1472" s="59">
        <v>0</v>
      </c>
      <c r="S1472" s="59">
        <v>1083637500</v>
      </c>
      <c r="T1472" s="41"/>
      <c r="U1472" s="41"/>
      <c r="V1472" s="41"/>
      <c r="W1472" s="41"/>
      <c r="X1472" s="41"/>
      <c r="Y1472" s="41"/>
      <c r="Z1472" s="41"/>
      <c r="AA1472" s="41"/>
      <c r="AB1472" s="41"/>
      <c r="AC1472" s="41"/>
      <c r="AD1472" s="41"/>
      <c r="AE1472" s="59">
        <v>41697.518130562748</v>
      </c>
      <c r="AF1472" s="59">
        <v>41697.518130562748</v>
      </c>
      <c r="AG1472" s="59" t="s">
        <v>44</v>
      </c>
      <c r="AH1472" s="59" t="s">
        <v>1202</v>
      </c>
    </row>
    <row r="1473" spans="1:34" x14ac:dyDescent="0.35">
      <c r="A1473" s="58">
        <v>2025</v>
      </c>
      <c r="B1473" s="58">
        <v>7</v>
      </c>
      <c r="C1473">
        <v>7</v>
      </c>
      <c r="D1473" s="58" t="s">
        <v>624</v>
      </c>
      <c r="E1473" t="s">
        <v>272</v>
      </c>
      <c r="F1473" s="58" t="s">
        <v>172</v>
      </c>
      <c r="G1473" t="s">
        <v>734</v>
      </c>
      <c r="H1473" s="58" t="s">
        <v>4</v>
      </c>
      <c r="I1473" t="s">
        <v>4</v>
      </c>
      <c r="J1473" s="58" t="s">
        <v>4</v>
      </c>
      <c r="K1473" t="s">
        <v>1429</v>
      </c>
      <c r="L1473" t="s">
        <v>20</v>
      </c>
      <c r="M1473" t="s">
        <v>1430</v>
      </c>
      <c r="N1473" s="59">
        <v>33000</v>
      </c>
      <c r="O1473" s="59">
        <v>1122999350</v>
      </c>
      <c r="P1473" s="59">
        <v>5050847.4815361891</v>
      </c>
      <c r="Q1473" s="59">
        <v>0</v>
      </c>
      <c r="R1473" s="59">
        <v>6400000.0000000009</v>
      </c>
      <c r="S1473" s="59">
        <v>1111548502.5184639</v>
      </c>
      <c r="T1473" s="41"/>
      <c r="U1473" s="41"/>
      <c r="V1473" s="41"/>
      <c r="W1473" s="41"/>
      <c r="X1473" s="41"/>
      <c r="Y1473" s="41"/>
      <c r="Z1473" s="41"/>
      <c r="AA1473" s="41"/>
      <c r="AB1473" s="41"/>
      <c r="AC1473" s="41"/>
      <c r="AD1473" s="41"/>
      <c r="AE1473" s="59">
        <v>42771.51154031077</v>
      </c>
      <c r="AF1473" s="59">
        <v>43212.131139089572</v>
      </c>
      <c r="AG1473" s="59" t="s">
        <v>103</v>
      </c>
      <c r="AH1473" s="59" t="s">
        <v>1175</v>
      </c>
    </row>
    <row r="1474" spans="1:34" x14ac:dyDescent="0.35">
      <c r="A1474" s="58">
        <v>2025</v>
      </c>
      <c r="B1474" s="58">
        <v>7</v>
      </c>
      <c r="C1474">
        <v>7</v>
      </c>
      <c r="D1474" s="58" t="s">
        <v>624</v>
      </c>
      <c r="E1474" t="s">
        <v>272</v>
      </c>
      <c r="F1474" s="58" t="s">
        <v>1152</v>
      </c>
      <c r="G1474" t="s">
        <v>1153</v>
      </c>
      <c r="H1474" s="58" t="s">
        <v>1012</v>
      </c>
      <c r="I1474" t="s">
        <v>1012</v>
      </c>
      <c r="J1474" s="58" t="s">
        <v>1399</v>
      </c>
      <c r="K1474" t="s">
        <v>1429</v>
      </c>
      <c r="L1474" t="s">
        <v>20</v>
      </c>
      <c r="M1474" t="s">
        <v>1430</v>
      </c>
      <c r="N1474" s="59">
        <v>0</v>
      </c>
      <c r="O1474" s="59">
        <v>0</v>
      </c>
      <c r="P1474" s="59">
        <v>0</v>
      </c>
      <c r="Q1474" s="59">
        <v>0</v>
      </c>
      <c r="R1474" s="59">
        <v>-3200000</v>
      </c>
      <c r="S1474" s="59">
        <v>3200000</v>
      </c>
      <c r="T1474" s="41"/>
      <c r="U1474" s="41"/>
      <c r="V1474" s="41"/>
      <c r="W1474" s="41"/>
      <c r="X1474" s="41"/>
      <c r="Y1474" s="41"/>
      <c r="Z1474" s="41"/>
      <c r="AA1474" s="41"/>
      <c r="AB1474" s="41"/>
      <c r="AC1474" s="41"/>
      <c r="AD1474" s="41"/>
      <c r="AE1474" s="59">
        <v>123.133481462021</v>
      </c>
      <c r="AF1474" s="59">
        <v>0</v>
      </c>
      <c r="AG1474" s="59" t="s">
        <v>103</v>
      </c>
      <c r="AH1474" s="59" t="s">
        <v>1400</v>
      </c>
    </row>
    <row r="1475" spans="1:34" x14ac:dyDescent="0.35">
      <c r="A1475" s="58">
        <v>2025</v>
      </c>
      <c r="B1475" s="58">
        <v>7</v>
      </c>
      <c r="C1475">
        <v>7</v>
      </c>
      <c r="D1475" s="58" t="s">
        <v>594</v>
      </c>
      <c r="E1475" t="s">
        <v>267</v>
      </c>
      <c r="F1475" s="58" t="s">
        <v>183</v>
      </c>
      <c r="G1475" t="s">
        <v>924</v>
      </c>
      <c r="H1475" s="58" t="s">
        <v>74</v>
      </c>
      <c r="I1475" t="s">
        <v>74</v>
      </c>
      <c r="J1475" s="58" t="s">
        <v>74</v>
      </c>
      <c r="K1475" t="s">
        <v>1429</v>
      </c>
      <c r="L1475" t="s">
        <v>20</v>
      </c>
      <c r="M1475" t="s">
        <v>1431</v>
      </c>
      <c r="N1475" s="59">
        <v>-10850</v>
      </c>
      <c r="O1475" s="59">
        <v>0</v>
      </c>
      <c r="P1475" s="59">
        <v>-1683615.8271787297</v>
      </c>
      <c r="Q1475" s="59">
        <v>0</v>
      </c>
      <c r="R1475" s="59">
        <v>0</v>
      </c>
      <c r="S1475" s="59">
        <v>1683615.8271787297</v>
      </c>
      <c r="T1475" s="41"/>
      <c r="U1475" s="41"/>
      <c r="V1475" s="41"/>
      <c r="W1475" s="41"/>
      <c r="X1475" s="41"/>
      <c r="Y1475" s="41"/>
      <c r="Z1475" s="41"/>
      <c r="AA1475" s="41"/>
      <c r="AB1475" s="41"/>
      <c r="AC1475" s="41"/>
      <c r="AD1475" s="41"/>
      <c r="AE1475" s="59">
        <v>64.784211951586641</v>
      </c>
      <c r="AF1475" s="59">
        <v>0</v>
      </c>
      <c r="AG1475" s="59" t="s">
        <v>22</v>
      </c>
      <c r="AH1475" s="59" t="s">
        <v>1245</v>
      </c>
    </row>
    <row r="1476" spans="1:34" x14ac:dyDescent="0.35">
      <c r="A1476" s="58">
        <v>2025</v>
      </c>
      <c r="B1476" s="58">
        <v>7</v>
      </c>
      <c r="C1476">
        <v>7</v>
      </c>
      <c r="D1476" s="58" t="s">
        <v>594</v>
      </c>
      <c r="E1476" t="s">
        <v>267</v>
      </c>
      <c r="F1476" s="58" t="s">
        <v>183</v>
      </c>
      <c r="G1476" t="s">
        <v>924</v>
      </c>
      <c r="H1476" s="58" t="s">
        <v>74</v>
      </c>
      <c r="I1476" t="s">
        <v>74</v>
      </c>
      <c r="J1476" s="58" t="s">
        <v>74</v>
      </c>
      <c r="K1476" t="s">
        <v>1429</v>
      </c>
      <c r="L1476" t="s">
        <v>20</v>
      </c>
      <c r="M1476" t="s">
        <v>1430</v>
      </c>
      <c r="N1476" s="59">
        <v>286650</v>
      </c>
      <c r="O1476" s="59">
        <v>5019105000</v>
      </c>
      <c r="P1476" s="59">
        <v>45962712.081979327</v>
      </c>
      <c r="Q1476" s="59">
        <v>0</v>
      </c>
      <c r="R1476" s="59">
        <v>0</v>
      </c>
      <c r="S1476" s="59">
        <v>4973142287.9180212</v>
      </c>
      <c r="T1476" s="41"/>
      <c r="U1476" s="41"/>
      <c r="V1476" s="41"/>
      <c r="W1476" s="41"/>
      <c r="X1476" s="41"/>
      <c r="Y1476" s="41"/>
      <c r="Z1476" s="41"/>
      <c r="AA1476" s="41"/>
      <c r="AB1476" s="41"/>
      <c r="AC1476" s="41"/>
      <c r="AD1476" s="41"/>
      <c r="AE1476" s="59">
        <v>191362.60116167073</v>
      </c>
      <c r="AF1476" s="59">
        <v>193131.21014794902</v>
      </c>
      <c r="AG1476" s="59" t="s">
        <v>22</v>
      </c>
      <c r="AH1476" s="59" t="s">
        <v>1245</v>
      </c>
    </row>
    <row r="1477" spans="1:34" x14ac:dyDescent="0.35">
      <c r="A1477" s="58">
        <v>2025</v>
      </c>
      <c r="B1477" s="58">
        <v>7</v>
      </c>
      <c r="C1477">
        <v>7</v>
      </c>
      <c r="D1477" s="58" t="s">
        <v>594</v>
      </c>
      <c r="E1477" t="s">
        <v>267</v>
      </c>
      <c r="F1477" s="58" t="s">
        <v>183</v>
      </c>
      <c r="G1477" t="s">
        <v>924</v>
      </c>
      <c r="H1477" s="58" t="s">
        <v>74</v>
      </c>
      <c r="I1477" t="s">
        <v>74</v>
      </c>
      <c r="J1477" s="58" t="s">
        <v>74</v>
      </c>
      <c r="K1477" t="s">
        <v>1429</v>
      </c>
      <c r="L1477" t="s">
        <v>20</v>
      </c>
      <c r="M1477" t="s">
        <v>1432</v>
      </c>
      <c r="N1477" s="59">
        <v>10850</v>
      </c>
      <c r="O1477" s="59">
        <v>0</v>
      </c>
      <c r="P1477" s="59">
        <v>1683615.8271787297</v>
      </c>
      <c r="Q1477" s="59">
        <v>0</v>
      </c>
      <c r="R1477" s="59">
        <v>0</v>
      </c>
      <c r="S1477" s="59">
        <v>-1683615.8271787297</v>
      </c>
      <c r="T1477" s="41"/>
      <c r="U1477" s="41"/>
      <c r="V1477" s="41"/>
      <c r="W1477" s="41"/>
      <c r="X1477" s="41"/>
      <c r="Y1477" s="41"/>
      <c r="Z1477" s="41"/>
      <c r="AA1477" s="41"/>
      <c r="AB1477" s="41"/>
      <c r="AC1477" s="41"/>
      <c r="AD1477" s="41"/>
      <c r="AE1477" s="59">
        <v>-64.784211951586641</v>
      </c>
      <c r="AF1477" s="59">
        <v>0</v>
      </c>
      <c r="AG1477" s="59" t="s">
        <v>22</v>
      </c>
      <c r="AH1477" s="59" t="s">
        <v>1245</v>
      </c>
    </row>
    <row r="1478" spans="1:34" x14ac:dyDescent="0.35">
      <c r="A1478" s="58">
        <v>2025</v>
      </c>
      <c r="B1478" s="58">
        <v>7</v>
      </c>
      <c r="C1478">
        <v>7</v>
      </c>
      <c r="D1478" s="58" t="s">
        <v>1558</v>
      </c>
      <c r="E1478" t="s">
        <v>1223</v>
      </c>
      <c r="F1478" s="58" t="s">
        <v>847</v>
      </c>
      <c r="G1478" t="s">
        <v>848</v>
      </c>
      <c r="H1478" s="58" t="s">
        <v>1012</v>
      </c>
      <c r="I1478" t="s">
        <v>86</v>
      </c>
      <c r="J1478" s="58" t="s">
        <v>86</v>
      </c>
      <c r="K1478" t="s">
        <v>1429</v>
      </c>
      <c r="L1478" t="s">
        <v>20</v>
      </c>
      <c r="M1478" t="s">
        <v>1430</v>
      </c>
      <c r="N1478" s="59">
        <v>7774</v>
      </c>
      <c r="O1478" s="59">
        <v>38870000</v>
      </c>
      <c r="P1478" s="59">
        <v>0</v>
      </c>
      <c r="Q1478" s="59">
        <v>0</v>
      </c>
      <c r="R1478" s="59">
        <v>0</v>
      </c>
      <c r="S1478" s="59">
        <v>38870000</v>
      </c>
      <c r="T1478" s="41"/>
      <c r="U1478" s="41"/>
      <c r="V1478" s="41"/>
      <c r="W1478" s="41"/>
      <c r="X1478" s="41"/>
      <c r="Y1478" s="41"/>
      <c r="Z1478" s="41"/>
      <c r="AA1478" s="41"/>
      <c r="AB1478" s="41"/>
      <c r="AC1478" s="41"/>
      <c r="AD1478" s="41"/>
      <c r="AE1478" s="59">
        <v>1495.6870076339862</v>
      </c>
      <c r="AF1478" s="59">
        <v>1495.6870076339862</v>
      </c>
      <c r="AG1478" s="59" t="s">
        <v>1223</v>
      </c>
      <c r="AH1478" s="59" t="s">
        <v>1226</v>
      </c>
    </row>
    <row r="1479" spans="1:34" x14ac:dyDescent="0.35">
      <c r="A1479" s="58">
        <v>2025</v>
      </c>
      <c r="B1479" s="58">
        <v>7</v>
      </c>
      <c r="C1479">
        <v>7</v>
      </c>
      <c r="D1479" s="58" t="s">
        <v>636</v>
      </c>
      <c r="E1479" t="s">
        <v>270</v>
      </c>
      <c r="F1479" s="58" t="s">
        <v>171</v>
      </c>
      <c r="G1479" t="s">
        <v>731</v>
      </c>
      <c r="H1479" s="58" t="s">
        <v>4</v>
      </c>
      <c r="I1479" t="s">
        <v>4</v>
      </c>
      <c r="J1479" s="58" t="s">
        <v>4</v>
      </c>
      <c r="K1479" t="s">
        <v>1429</v>
      </c>
      <c r="L1479" t="s">
        <v>20</v>
      </c>
      <c r="M1479" t="s">
        <v>1430</v>
      </c>
      <c r="N1479" s="59">
        <v>11000</v>
      </c>
      <c r="O1479" s="59">
        <v>367419800.00000006</v>
      </c>
      <c r="P1479" s="59">
        <v>1683615.8271787297</v>
      </c>
      <c r="Q1479" s="59">
        <v>0</v>
      </c>
      <c r="R1479" s="59">
        <v>0</v>
      </c>
      <c r="S1479" s="59">
        <v>365736184.17282134</v>
      </c>
      <c r="T1479" s="41"/>
      <c r="U1479" s="41"/>
      <c r="V1479" s="41"/>
      <c r="W1479" s="41"/>
      <c r="X1479" s="41"/>
      <c r="Y1479" s="41"/>
      <c r="Z1479" s="41"/>
      <c r="AA1479" s="41"/>
      <c r="AB1479" s="41"/>
      <c r="AC1479" s="41"/>
      <c r="AD1479" s="41"/>
      <c r="AE1479" s="59">
        <v>14073.240516823247</v>
      </c>
      <c r="AF1479" s="59">
        <v>14138.024728774833</v>
      </c>
      <c r="AG1479" s="59" t="s">
        <v>102</v>
      </c>
      <c r="AH1479" s="59" t="s">
        <v>1166</v>
      </c>
    </row>
    <row r="1480" spans="1:34" x14ac:dyDescent="0.35">
      <c r="A1480" s="58">
        <v>2025</v>
      </c>
      <c r="B1480" s="58">
        <v>7</v>
      </c>
      <c r="C1480">
        <v>7</v>
      </c>
      <c r="D1480" s="58" t="s">
        <v>1612</v>
      </c>
      <c r="E1480" t="s">
        <v>1213</v>
      </c>
      <c r="F1480" s="58" t="s">
        <v>1550</v>
      </c>
      <c r="G1480" t="s">
        <v>1551</v>
      </c>
      <c r="H1480" s="58" t="s">
        <v>1012</v>
      </c>
      <c r="I1480" t="s">
        <v>86</v>
      </c>
      <c r="J1480" s="58" t="s">
        <v>86</v>
      </c>
      <c r="K1480" t="s">
        <v>1429</v>
      </c>
      <c r="L1480" t="s">
        <v>20</v>
      </c>
      <c r="M1480" t="s">
        <v>1601</v>
      </c>
      <c r="N1480" s="59">
        <v>0</v>
      </c>
      <c r="O1480" s="59">
        <v>-927600</v>
      </c>
      <c r="P1480" s="59">
        <v>0</v>
      </c>
      <c r="Q1480" s="59">
        <v>0</v>
      </c>
      <c r="R1480" s="59">
        <v>0</v>
      </c>
      <c r="S1480" s="59">
        <v>-927600</v>
      </c>
      <c r="T1480" s="41"/>
      <c r="U1480" s="41"/>
      <c r="V1480" s="41"/>
      <c r="W1480" s="41"/>
      <c r="X1480" s="41"/>
      <c r="Y1480" s="41"/>
      <c r="Z1480" s="41"/>
      <c r="AA1480" s="41"/>
      <c r="AB1480" s="41"/>
      <c r="AC1480" s="41"/>
      <c r="AD1480" s="41"/>
      <c r="AE1480" s="59">
        <v>-35.693317938803332</v>
      </c>
      <c r="AF1480" s="59">
        <v>-35.693317938803332</v>
      </c>
      <c r="AG1480" s="59" t="s">
        <v>1213</v>
      </c>
      <c r="AH1480" s="59" t="s">
        <v>1227</v>
      </c>
    </row>
    <row r="1481" spans="1:34" x14ac:dyDescent="0.35">
      <c r="A1481" s="58">
        <v>2025</v>
      </c>
      <c r="B1481" s="58">
        <v>7</v>
      </c>
      <c r="C1481">
        <v>7</v>
      </c>
      <c r="D1481" s="58" t="s">
        <v>1612</v>
      </c>
      <c r="E1481" t="s">
        <v>1213</v>
      </c>
      <c r="F1481" s="58" t="s">
        <v>1550</v>
      </c>
      <c r="G1481" t="s">
        <v>1551</v>
      </c>
      <c r="H1481" s="58" t="s">
        <v>1012</v>
      </c>
      <c r="I1481" t="s">
        <v>86</v>
      </c>
      <c r="J1481" s="58" t="s">
        <v>86</v>
      </c>
      <c r="K1481" t="s">
        <v>1429</v>
      </c>
      <c r="L1481" t="s">
        <v>20</v>
      </c>
      <c r="M1481" t="s">
        <v>1430</v>
      </c>
      <c r="N1481" s="59">
        <v>3116</v>
      </c>
      <c r="O1481" s="59">
        <v>61689600</v>
      </c>
      <c r="P1481" s="59">
        <v>0</v>
      </c>
      <c r="Q1481" s="59">
        <v>0</v>
      </c>
      <c r="R1481" s="59">
        <v>0</v>
      </c>
      <c r="S1481" s="59">
        <v>61689600</v>
      </c>
      <c r="T1481" s="41"/>
      <c r="U1481" s="41"/>
      <c r="V1481" s="41"/>
      <c r="W1481" s="41"/>
      <c r="X1481" s="41"/>
      <c r="Y1481" s="41"/>
      <c r="Z1481" s="41"/>
      <c r="AA1481" s="41"/>
      <c r="AB1481" s="41"/>
      <c r="AC1481" s="41"/>
      <c r="AD1481" s="41"/>
      <c r="AE1481" s="59">
        <v>2373.7672556248408</v>
      </c>
      <c r="AF1481" s="59">
        <v>2373.7672556248408</v>
      </c>
      <c r="AG1481" s="59" t="s">
        <v>1213</v>
      </c>
      <c r="AH1481" s="59" t="s">
        <v>1227</v>
      </c>
    </row>
    <row r="1482" spans="1:34" x14ac:dyDescent="0.35">
      <c r="A1482" s="58">
        <v>2025</v>
      </c>
      <c r="B1482" s="58">
        <v>7</v>
      </c>
      <c r="C1482">
        <v>7</v>
      </c>
      <c r="D1482" s="58" t="s">
        <v>1612</v>
      </c>
      <c r="E1482" t="s">
        <v>1213</v>
      </c>
      <c r="F1482" s="58" t="s">
        <v>1615</v>
      </c>
      <c r="G1482" t="s">
        <v>1616</v>
      </c>
      <c r="H1482" s="58" t="s">
        <v>1012</v>
      </c>
      <c r="I1482" t="s">
        <v>86</v>
      </c>
      <c r="J1482" s="58" t="s">
        <v>86</v>
      </c>
      <c r="K1482" t="s">
        <v>1429</v>
      </c>
      <c r="L1482" t="s">
        <v>20</v>
      </c>
      <c r="M1482" t="s">
        <v>1430</v>
      </c>
      <c r="N1482" s="59">
        <v>996</v>
      </c>
      <c r="O1482" s="59">
        <v>18924000</v>
      </c>
      <c r="P1482" s="59">
        <v>0</v>
      </c>
      <c r="Q1482" s="59">
        <v>0</v>
      </c>
      <c r="R1482" s="59">
        <v>0</v>
      </c>
      <c r="S1482" s="59">
        <v>18924000</v>
      </c>
      <c r="T1482" s="41"/>
      <c r="U1482" s="41"/>
      <c r="V1482" s="41"/>
      <c r="W1482" s="41"/>
      <c r="X1482" s="41"/>
      <c r="Y1482" s="41"/>
      <c r="Z1482" s="41"/>
      <c r="AA1482" s="41"/>
      <c r="AB1482" s="41"/>
      <c r="AC1482" s="41"/>
      <c r="AD1482" s="41"/>
      <c r="AE1482" s="59">
        <v>728.18062599602661</v>
      </c>
      <c r="AF1482" s="59">
        <v>728.18062599602661</v>
      </c>
      <c r="AG1482" s="59" t="s">
        <v>1213</v>
      </c>
      <c r="AH1482" s="59" t="s">
        <v>1230</v>
      </c>
    </row>
    <row r="1483" spans="1:34" x14ac:dyDescent="0.35">
      <c r="A1483" s="58">
        <v>2025</v>
      </c>
      <c r="B1483" s="58">
        <v>7</v>
      </c>
      <c r="C1483">
        <v>7</v>
      </c>
      <c r="D1483" s="58" t="s">
        <v>1612</v>
      </c>
      <c r="E1483" t="s">
        <v>1213</v>
      </c>
      <c r="F1483" s="58" t="s">
        <v>1663</v>
      </c>
      <c r="G1483" t="s">
        <v>1664</v>
      </c>
      <c r="H1483" s="58" t="s">
        <v>1012</v>
      </c>
      <c r="I1483" t="s">
        <v>86</v>
      </c>
      <c r="J1483" s="58" t="s">
        <v>86</v>
      </c>
      <c r="K1483" t="s">
        <v>1429</v>
      </c>
      <c r="L1483" t="s">
        <v>20</v>
      </c>
      <c r="M1483" t="s">
        <v>1430</v>
      </c>
      <c r="N1483" s="59">
        <v>2934</v>
      </c>
      <c r="O1483" s="59">
        <v>49066000</v>
      </c>
      <c r="P1483" s="59">
        <v>0</v>
      </c>
      <c r="Q1483" s="59">
        <v>0</v>
      </c>
      <c r="R1483" s="59">
        <v>0</v>
      </c>
      <c r="S1483" s="59">
        <v>49066000</v>
      </c>
      <c r="T1483" s="41"/>
      <c r="U1483" s="41"/>
      <c r="V1483" s="41"/>
      <c r="W1483" s="41"/>
      <c r="X1483" s="41"/>
      <c r="Y1483" s="41"/>
      <c r="Z1483" s="41"/>
      <c r="AA1483" s="41"/>
      <c r="AB1483" s="41"/>
      <c r="AC1483" s="41"/>
      <c r="AD1483" s="41"/>
      <c r="AE1483" s="59">
        <v>1888.0210629423505</v>
      </c>
      <c r="AF1483" s="59">
        <v>1888.0210629423505</v>
      </c>
      <c r="AG1483" s="59" t="s">
        <v>1213</v>
      </c>
      <c r="AH1483" s="59" t="s">
        <v>1231</v>
      </c>
    </row>
    <row r="1484" spans="1:34" x14ac:dyDescent="0.35">
      <c r="A1484" s="58">
        <v>2025</v>
      </c>
      <c r="B1484" s="58">
        <v>7</v>
      </c>
      <c r="C1484">
        <v>7</v>
      </c>
      <c r="D1484" s="58" t="s">
        <v>627</v>
      </c>
      <c r="E1484" t="s">
        <v>58</v>
      </c>
      <c r="F1484" s="58" t="s">
        <v>200</v>
      </c>
      <c r="G1484" t="s">
        <v>470</v>
      </c>
      <c r="H1484" s="58" t="s">
        <v>1428</v>
      </c>
      <c r="I1484" t="s">
        <v>76</v>
      </c>
      <c r="J1484" s="58" t="s">
        <v>76</v>
      </c>
      <c r="K1484" t="s">
        <v>1429</v>
      </c>
      <c r="L1484" t="s">
        <v>20</v>
      </c>
      <c r="M1484" t="s">
        <v>1430</v>
      </c>
      <c r="N1484" s="59">
        <v>9000</v>
      </c>
      <c r="O1484" s="59">
        <v>141544444</v>
      </c>
      <c r="P1484" s="59">
        <v>2020338.9926144758</v>
      </c>
      <c r="Q1484" s="59">
        <v>0</v>
      </c>
      <c r="R1484" s="59">
        <v>0</v>
      </c>
      <c r="S1484" s="59">
        <v>139524105.00738552</v>
      </c>
      <c r="T1484" s="41"/>
      <c r="U1484" s="41"/>
      <c r="V1484" s="41"/>
      <c r="W1484" s="41"/>
      <c r="X1484" s="41"/>
      <c r="Y1484" s="41"/>
      <c r="Z1484" s="41"/>
      <c r="AA1484" s="41"/>
      <c r="AB1484" s="41"/>
      <c r="AC1484" s="41"/>
      <c r="AD1484" s="41"/>
      <c r="AE1484" s="59">
        <v>5368.7777491974921</v>
      </c>
      <c r="AF1484" s="59">
        <v>5446.5188035393967</v>
      </c>
      <c r="AG1484" s="59" t="s">
        <v>58</v>
      </c>
      <c r="AH1484" s="59" t="s">
        <v>79</v>
      </c>
    </row>
    <row r="1485" spans="1:34" x14ac:dyDescent="0.35">
      <c r="A1485" s="58">
        <v>2025</v>
      </c>
      <c r="B1485" s="58">
        <v>7</v>
      </c>
      <c r="C1485">
        <v>7</v>
      </c>
      <c r="D1485" s="58" t="s">
        <v>627</v>
      </c>
      <c r="E1485" t="s">
        <v>58</v>
      </c>
      <c r="F1485" s="58" t="s">
        <v>201</v>
      </c>
      <c r="G1485" t="s">
        <v>471</v>
      </c>
      <c r="H1485" s="58" t="s">
        <v>1428</v>
      </c>
      <c r="I1485" t="s">
        <v>76</v>
      </c>
      <c r="J1485" s="58" t="s">
        <v>76</v>
      </c>
      <c r="K1485" t="s">
        <v>1429</v>
      </c>
      <c r="L1485" t="s">
        <v>20</v>
      </c>
      <c r="M1485" t="s">
        <v>1430</v>
      </c>
      <c r="N1485" s="59">
        <v>750</v>
      </c>
      <c r="O1485" s="59">
        <v>11458333</v>
      </c>
      <c r="P1485" s="59">
        <v>168361.58271787298</v>
      </c>
      <c r="Q1485" s="59">
        <v>0</v>
      </c>
      <c r="R1485" s="59">
        <v>0</v>
      </c>
      <c r="S1485" s="59">
        <v>11289971.417282127</v>
      </c>
      <c r="T1485" s="41"/>
      <c r="U1485" s="41"/>
      <c r="V1485" s="41"/>
      <c r="W1485" s="41"/>
      <c r="X1485" s="41"/>
      <c r="Y1485" s="41"/>
      <c r="Z1485" s="41"/>
      <c r="AA1485" s="41"/>
      <c r="AB1485" s="41"/>
      <c r="AC1485" s="41"/>
      <c r="AD1485" s="41"/>
      <c r="AE1485" s="59">
        <v>434.4292144427049</v>
      </c>
      <c r="AF1485" s="59">
        <v>440.90763563786356</v>
      </c>
      <c r="AG1485" s="59" t="s">
        <v>58</v>
      </c>
      <c r="AH1485" s="59" t="s">
        <v>77</v>
      </c>
    </row>
    <row r="1486" spans="1:34" x14ac:dyDescent="0.35">
      <c r="A1486" s="58">
        <v>2025</v>
      </c>
      <c r="B1486" s="58">
        <v>7</v>
      </c>
      <c r="C1486">
        <v>7</v>
      </c>
      <c r="D1486" s="58" t="s">
        <v>603</v>
      </c>
      <c r="E1486" t="s">
        <v>56</v>
      </c>
      <c r="F1486" s="58" t="s">
        <v>203</v>
      </c>
      <c r="G1486" t="s">
        <v>472</v>
      </c>
      <c r="H1486" s="58" t="s">
        <v>1428</v>
      </c>
      <c r="I1486" t="s">
        <v>76</v>
      </c>
      <c r="J1486" s="58" t="s">
        <v>76</v>
      </c>
      <c r="K1486" t="s">
        <v>1429</v>
      </c>
      <c r="L1486" t="s">
        <v>20</v>
      </c>
      <c r="M1486" t="s">
        <v>1430</v>
      </c>
      <c r="N1486" s="59">
        <v>10500</v>
      </c>
      <c r="O1486" s="59">
        <v>168000000</v>
      </c>
      <c r="P1486" s="59">
        <v>2357062.1580502219</v>
      </c>
      <c r="Q1486" s="59">
        <v>0</v>
      </c>
      <c r="R1486" s="59">
        <v>0</v>
      </c>
      <c r="S1486" s="59">
        <v>165642937.84194979</v>
      </c>
      <c r="T1486" s="41"/>
      <c r="U1486" s="41"/>
      <c r="V1486" s="41"/>
      <c r="W1486" s="41"/>
      <c r="X1486" s="41"/>
      <c r="Y1486" s="41"/>
      <c r="Z1486" s="41"/>
      <c r="AA1486" s="41"/>
      <c r="AB1486" s="41"/>
      <c r="AC1486" s="41"/>
      <c r="AD1486" s="41"/>
      <c r="AE1486" s="59">
        <v>6373.8098800238813</v>
      </c>
      <c r="AF1486" s="59">
        <v>6464.5077767561024</v>
      </c>
      <c r="AG1486" s="59" t="s">
        <v>56</v>
      </c>
      <c r="AH1486" s="59" t="s">
        <v>78</v>
      </c>
    </row>
    <row r="1487" spans="1:34" x14ac:dyDescent="0.35">
      <c r="A1487" s="58">
        <v>2025</v>
      </c>
      <c r="B1487" s="58">
        <v>7</v>
      </c>
      <c r="C1487">
        <v>7</v>
      </c>
      <c r="D1487" s="58" t="s">
        <v>669</v>
      </c>
      <c r="E1487" t="s">
        <v>149</v>
      </c>
      <c r="F1487" s="58" t="s">
        <v>1152</v>
      </c>
      <c r="G1487" t="s">
        <v>1153</v>
      </c>
      <c r="H1487" s="58" t="s">
        <v>1012</v>
      </c>
      <c r="I1487" t="s">
        <v>1012</v>
      </c>
      <c r="J1487" s="58" t="s">
        <v>1399</v>
      </c>
      <c r="K1487" t="s">
        <v>1429</v>
      </c>
      <c r="L1487" t="s">
        <v>20</v>
      </c>
      <c r="M1487" t="s">
        <v>1430</v>
      </c>
      <c r="N1487" s="59">
        <v>0</v>
      </c>
      <c r="O1487" s="59">
        <v>0</v>
      </c>
      <c r="P1487" s="59">
        <v>0</v>
      </c>
      <c r="Q1487" s="59">
        <v>0</v>
      </c>
      <c r="R1487" s="59">
        <v>2200000</v>
      </c>
      <c r="S1487" s="59">
        <v>-2200000</v>
      </c>
      <c r="T1487" s="41"/>
      <c r="U1487" s="41"/>
      <c r="V1487" s="41"/>
      <c r="W1487" s="41"/>
      <c r="X1487" s="41"/>
      <c r="Y1487" s="41"/>
      <c r="Z1487" s="41"/>
      <c r="AA1487" s="41"/>
      <c r="AB1487" s="41"/>
      <c r="AC1487" s="41"/>
      <c r="AD1487" s="41"/>
      <c r="AE1487" s="59">
        <v>-84.654268505139427</v>
      </c>
      <c r="AF1487" s="59">
        <v>0</v>
      </c>
      <c r="AG1487" s="59" t="s">
        <v>149</v>
      </c>
      <c r="AH1487" s="59" t="s">
        <v>1400</v>
      </c>
    </row>
    <row r="1488" spans="1:34" x14ac:dyDescent="0.35">
      <c r="A1488" s="58">
        <v>2025</v>
      </c>
      <c r="B1488" s="58">
        <v>7</v>
      </c>
      <c r="C1488">
        <v>7</v>
      </c>
      <c r="D1488" s="58" t="s">
        <v>628</v>
      </c>
      <c r="E1488" t="s">
        <v>57</v>
      </c>
      <c r="F1488" s="58" t="s">
        <v>196</v>
      </c>
      <c r="G1488" t="s">
        <v>749</v>
      </c>
      <c r="H1488" s="58" t="s">
        <v>1428</v>
      </c>
      <c r="I1488" t="s">
        <v>76</v>
      </c>
      <c r="J1488" s="58" t="s">
        <v>76</v>
      </c>
      <c r="K1488" t="s">
        <v>1429</v>
      </c>
      <c r="L1488" t="s">
        <v>20</v>
      </c>
      <c r="M1488" t="s">
        <v>1430</v>
      </c>
      <c r="N1488" s="59">
        <v>300</v>
      </c>
      <c r="O1488" s="59">
        <v>4583334</v>
      </c>
      <c r="P1488" s="59">
        <v>64754.4548914896</v>
      </c>
      <c r="Q1488" s="59">
        <v>0</v>
      </c>
      <c r="R1488" s="59">
        <v>0</v>
      </c>
      <c r="S1488" s="59">
        <v>4518579.5451085102</v>
      </c>
      <c r="T1488" s="41"/>
      <c r="U1488" s="41"/>
      <c r="V1488" s="41"/>
      <c r="W1488" s="41"/>
      <c r="X1488" s="41"/>
      <c r="Y1488" s="41"/>
      <c r="Z1488" s="41"/>
      <c r="AA1488" s="41"/>
      <c r="AB1488" s="41"/>
      <c r="AC1488" s="41"/>
      <c r="AD1488" s="41"/>
      <c r="AE1488" s="59">
        <v>173.87138457883938</v>
      </c>
      <c r="AF1488" s="59">
        <v>176.36308503851578</v>
      </c>
      <c r="AG1488" s="59" t="s">
        <v>57</v>
      </c>
      <c r="AH1488" s="59" t="s">
        <v>1248</v>
      </c>
    </row>
    <row r="1489" spans="1:34" x14ac:dyDescent="0.35">
      <c r="A1489" s="58">
        <v>2025</v>
      </c>
      <c r="B1489" s="58">
        <v>7</v>
      </c>
      <c r="C1489">
        <v>7</v>
      </c>
      <c r="D1489" s="58" t="s">
        <v>628</v>
      </c>
      <c r="E1489" t="s">
        <v>57</v>
      </c>
      <c r="F1489" s="58" t="s">
        <v>200</v>
      </c>
      <c r="G1489" t="s">
        <v>470</v>
      </c>
      <c r="H1489" s="58" t="s">
        <v>1428</v>
      </c>
      <c r="I1489" t="s">
        <v>76</v>
      </c>
      <c r="J1489" s="58" t="s">
        <v>76</v>
      </c>
      <c r="K1489" t="s">
        <v>1429</v>
      </c>
      <c r="L1489" t="s">
        <v>20</v>
      </c>
      <c r="M1489" t="s">
        <v>1430</v>
      </c>
      <c r="N1489" s="59">
        <v>7500</v>
      </c>
      <c r="O1489" s="59">
        <v>129027777.99999999</v>
      </c>
      <c r="P1489" s="59">
        <v>1618861.3722872401</v>
      </c>
      <c r="Q1489" s="59">
        <v>0</v>
      </c>
      <c r="R1489" s="59">
        <v>0</v>
      </c>
      <c r="S1489" s="59">
        <v>127408916.62771274</v>
      </c>
      <c r="T1489" s="41"/>
      <c r="U1489" s="41"/>
      <c r="V1489" s="41"/>
      <c r="W1489" s="41"/>
      <c r="X1489" s="41"/>
      <c r="Y1489" s="41"/>
      <c r="Z1489" s="41"/>
      <c r="AA1489" s="41"/>
      <c r="AB1489" s="41"/>
      <c r="AC1489" s="41"/>
      <c r="AD1489" s="41"/>
      <c r="AE1489" s="59">
        <v>4902.5948355233268</v>
      </c>
      <c r="AF1489" s="59">
        <v>4964.8873470152366</v>
      </c>
      <c r="AG1489" s="59" t="s">
        <v>57</v>
      </c>
      <c r="AH1489" s="59" t="s">
        <v>79</v>
      </c>
    </row>
    <row r="1490" spans="1:34" x14ac:dyDescent="0.35">
      <c r="A1490" s="58">
        <v>2025</v>
      </c>
      <c r="B1490" s="58">
        <v>7</v>
      </c>
      <c r="C1490">
        <v>7</v>
      </c>
      <c r="D1490" s="58" t="s">
        <v>628</v>
      </c>
      <c r="E1490" t="s">
        <v>57</v>
      </c>
      <c r="F1490" s="58" t="s">
        <v>1634</v>
      </c>
      <c r="G1490" t="s">
        <v>1635</v>
      </c>
      <c r="H1490" s="58" t="s">
        <v>1012</v>
      </c>
      <c r="I1490" t="s">
        <v>1012</v>
      </c>
      <c r="J1490" s="58" t="s">
        <v>1395</v>
      </c>
      <c r="K1490" t="s">
        <v>1429</v>
      </c>
      <c r="L1490" t="s">
        <v>20</v>
      </c>
      <c r="M1490" t="s">
        <v>1430</v>
      </c>
      <c r="N1490" s="59">
        <v>0</v>
      </c>
      <c r="O1490" s="59">
        <v>0</v>
      </c>
      <c r="P1490" s="59">
        <v>0</v>
      </c>
      <c r="Q1490" s="59">
        <v>-300000</v>
      </c>
      <c r="R1490" s="59">
        <v>0</v>
      </c>
      <c r="S1490" s="59">
        <v>300000</v>
      </c>
      <c r="T1490" s="41"/>
      <c r="U1490" s="41"/>
      <c r="V1490" s="41"/>
      <c r="W1490" s="41"/>
      <c r="X1490" s="41"/>
      <c r="Y1490" s="41"/>
      <c r="Z1490" s="41"/>
      <c r="AA1490" s="41"/>
      <c r="AB1490" s="41"/>
      <c r="AC1490" s="41"/>
      <c r="AD1490" s="41"/>
      <c r="AE1490" s="59">
        <v>11.543763887064468</v>
      </c>
      <c r="AF1490" s="59">
        <v>0</v>
      </c>
      <c r="AG1490" s="59" t="s">
        <v>57</v>
      </c>
      <c r="AH1490" s="59" t="s">
        <v>1396</v>
      </c>
    </row>
    <row r="1491" spans="1:34" x14ac:dyDescent="0.35">
      <c r="A1491" s="58">
        <v>2025</v>
      </c>
      <c r="B1491" s="58">
        <v>7</v>
      </c>
      <c r="C1491">
        <v>7</v>
      </c>
      <c r="D1491" s="58" t="s">
        <v>638</v>
      </c>
      <c r="E1491" t="s">
        <v>52</v>
      </c>
      <c r="F1491" s="58" t="s">
        <v>185</v>
      </c>
      <c r="G1491" t="s">
        <v>720</v>
      </c>
      <c r="H1491" s="58" t="s">
        <v>1428</v>
      </c>
      <c r="I1491" t="s">
        <v>75</v>
      </c>
      <c r="J1491" s="58" t="s">
        <v>75</v>
      </c>
      <c r="K1491" t="s">
        <v>1429</v>
      </c>
      <c r="L1491" t="s">
        <v>20</v>
      </c>
      <c r="M1491" t="s">
        <v>1430</v>
      </c>
      <c r="N1491" s="59">
        <v>22000</v>
      </c>
      <c r="O1491" s="59">
        <v>346296300</v>
      </c>
      <c r="P1491" s="59">
        <v>0</v>
      </c>
      <c r="Q1491" s="59">
        <v>0</v>
      </c>
      <c r="R1491" s="59">
        <v>4000000</v>
      </c>
      <c r="S1491" s="59">
        <v>342296300</v>
      </c>
      <c r="T1491" s="41"/>
      <c r="U1491" s="41"/>
      <c r="V1491" s="41"/>
      <c r="W1491" s="41"/>
      <c r="X1491" s="41"/>
      <c r="Y1491" s="41"/>
      <c r="Z1491" s="41"/>
      <c r="AA1491" s="41"/>
      <c r="AB1491" s="41"/>
      <c r="AC1491" s="41"/>
      <c r="AD1491" s="41"/>
      <c r="AE1491" s="59">
        <v>13171.292222052616</v>
      </c>
      <c r="AF1491" s="59">
        <v>13325.209073880143</v>
      </c>
      <c r="AG1491" s="59" t="s">
        <v>52</v>
      </c>
      <c r="AH1491" s="59" t="s">
        <v>1199</v>
      </c>
    </row>
    <row r="1492" spans="1:34" x14ac:dyDescent="0.35">
      <c r="A1492" s="58">
        <v>2025</v>
      </c>
      <c r="B1492" s="58">
        <v>7</v>
      </c>
      <c r="C1492">
        <v>7</v>
      </c>
      <c r="D1492" s="58" t="s">
        <v>600</v>
      </c>
      <c r="E1492" t="s">
        <v>323</v>
      </c>
      <c r="F1492" s="58" t="s">
        <v>171</v>
      </c>
      <c r="G1492" t="s">
        <v>731</v>
      </c>
      <c r="H1492" s="58" t="s">
        <v>4</v>
      </c>
      <c r="I1492" t="s">
        <v>4</v>
      </c>
      <c r="J1492" s="58" t="s">
        <v>4</v>
      </c>
      <c r="K1492" t="s">
        <v>1429</v>
      </c>
      <c r="L1492" t="s">
        <v>20</v>
      </c>
      <c r="M1492" t="s">
        <v>1430</v>
      </c>
      <c r="N1492" s="59">
        <v>44000</v>
      </c>
      <c r="O1492" s="59">
        <v>1410772000</v>
      </c>
      <c r="P1492" s="59">
        <v>6734463.3087149188</v>
      </c>
      <c r="Q1492" s="59">
        <v>0</v>
      </c>
      <c r="R1492" s="59">
        <v>6160000</v>
      </c>
      <c r="S1492" s="59">
        <v>1397877536.6912851</v>
      </c>
      <c r="T1492" s="41"/>
      <c r="U1492" s="41"/>
      <c r="V1492" s="41"/>
      <c r="W1492" s="41"/>
      <c r="X1492" s="41"/>
      <c r="Y1492" s="41"/>
      <c r="Z1492" s="41"/>
      <c r="AA1492" s="41"/>
      <c r="AB1492" s="41"/>
      <c r="AC1492" s="41"/>
      <c r="AD1492" s="41"/>
      <c r="AE1492" s="59">
        <v>53789.227421984979</v>
      </c>
      <c r="AF1492" s="59">
        <v>54285.396221605712</v>
      </c>
      <c r="AG1492" s="59" t="s">
        <v>5</v>
      </c>
      <c r="AH1492" s="59" t="s">
        <v>1166</v>
      </c>
    </row>
    <row r="1493" spans="1:34" x14ac:dyDescent="0.35">
      <c r="A1493" s="58">
        <v>2025</v>
      </c>
      <c r="B1493" s="58">
        <v>7</v>
      </c>
      <c r="C1493">
        <v>7</v>
      </c>
      <c r="D1493" s="58" t="s">
        <v>667</v>
      </c>
      <c r="E1493" t="s">
        <v>114</v>
      </c>
      <c r="F1493" s="58" t="s">
        <v>171</v>
      </c>
      <c r="G1493" t="s">
        <v>731</v>
      </c>
      <c r="H1493" s="58" t="s">
        <v>4</v>
      </c>
      <c r="I1493" t="s">
        <v>4</v>
      </c>
      <c r="J1493" s="58" t="s">
        <v>4</v>
      </c>
      <c r="K1493" t="s">
        <v>1429</v>
      </c>
      <c r="L1493" t="s">
        <v>20</v>
      </c>
      <c r="M1493" t="s">
        <v>1430</v>
      </c>
      <c r="N1493" s="59">
        <v>1100</v>
      </c>
      <c r="O1493" s="59">
        <v>36762000</v>
      </c>
      <c r="P1493" s="59">
        <v>168361.58271787295</v>
      </c>
      <c r="Q1493" s="59">
        <v>0</v>
      </c>
      <c r="R1493" s="59">
        <v>0</v>
      </c>
      <c r="S1493" s="59">
        <v>36593638.417282127</v>
      </c>
      <c r="T1493" s="41"/>
      <c r="U1493" s="41"/>
      <c r="V1493" s="41"/>
      <c r="W1493" s="41"/>
      <c r="X1493" s="41"/>
      <c r="Y1493" s="41"/>
      <c r="Z1493" s="41"/>
      <c r="AA1493" s="41"/>
      <c r="AB1493" s="41"/>
      <c r="AC1493" s="41"/>
      <c r="AD1493" s="41"/>
      <c r="AE1493" s="59">
        <v>1408.0944055257212</v>
      </c>
      <c r="AF1493" s="59">
        <v>1414.5728267208799</v>
      </c>
      <c r="AG1493" s="59" t="s">
        <v>114</v>
      </c>
      <c r="AH1493" s="59" t="s">
        <v>1166</v>
      </c>
    </row>
    <row r="1494" spans="1:34" x14ac:dyDescent="0.35">
      <c r="A1494" s="58">
        <v>2025</v>
      </c>
      <c r="B1494" s="58">
        <v>7</v>
      </c>
      <c r="C1494">
        <v>7</v>
      </c>
      <c r="D1494" s="58" t="s">
        <v>592</v>
      </c>
      <c r="E1494" t="s">
        <v>23</v>
      </c>
      <c r="F1494" s="58" t="s">
        <v>182</v>
      </c>
      <c r="G1494" t="s">
        <v>905</v>
      </c>
      <c r="H1494" s="58" t="s">
        <v>74</v>
      </c>
      <c r="I1494" t="s">
        <v>74</v>
      </c>
      <c r="J1494" s="58" t="s">
        <v>74</v>
      </c>
      <c r="K1494" t="s">
        <v>1429</v>
      </c>
      <c r="L1494" t="s">
        <v>20</v>
      </c>
      <c r="M1494" t="s">
        <v>1430</v>
      </c>
      <c r="N1494" s="59">
        <v>249550</v>
      </c>
      <c r="O1494" s="59">
        <v>4341925000</v>
      </c>
      <c r="P1494" s="59">
        <v>39564971.938700147</v>
      </c>
      <c r="Q1494" s="59">
        <v>0</v>
      </c>
      <c r="R1494" s="59">
        <v>0</v>
      </c>
      <c r="S1494" s="59">
        <v>4302360028.0613003</v>
      </c>
      <c r="T1494" s="41"/>
      <c r="U1494" s="41"/>
      <c r="V1494" s="41"/>
      <c r="W1494" s="41"/>
      <c r="X1494" s="41"/>
      <c r="Y1494" s="41"/>
      <c r="Z1494" s="41"/>
      <c r="AA1494" s="41"/>
      <c r="AB1494" s="41"/>
      <c r="AC1494" s="41"/>
      <c r="AD1494" s="41"/>
      <c r="AE1494" s="59">
        <v>165551.42773694568</v>
      </c>
      <c r="AF1494" s="59">
        <v>167073.85671780797</v>
      </c>
      <c r="AG1494" s="59" t="s">
        <v>23</v>
      </c>
      <c r="AH1494" s="59" t="s">
        <v>1242</v>
      </c>
    </row>
    <row r="1495" spans="1:34" x14ac:dyDescent="0.35">
      <c r="A1495" s="58">
        <v>2025</v>
      </c>
      <c r="B1495" s="58">
        <v>7</v>
      </c>
      <c r="C1495">
        <v>7</v>
      </c>
      <c r="D1495" s="58" t="s">
        <v>670</v>
      </c>
      <c r="E1495" t="s">
        <v>66</v>
      </c>
      <c r="F1495" s="58" t="s">
        <v>218</v>
      </c>
      <c r="G1495" t="s">
        <v>944</v>
      </c>
      <c r="H1495" s="58" t="s">
        <v>21</v>
      </c>
      <c r="I1495" t="s">
        <v>21</v>
      </c>
      <c r="J1495" s="58" t="s">
        <v>21</v>
      </c>
      <c r="K1495" t="s">
        <v>1429</v>
      </c>
      <c r="L1495" t="s">
        <v>20</v>
      </c>
      <c r="M1495" t="s">
        <v>1430</v>
      </c>
      <c r="N1495" s="59">
        <v>100</v>
      </c>
      <c r="O1495" s="59">
        <v>2100000</v>
      </c>
      <c r="P1495" s="59">
        <v>0</v>
      </c>
      <c r="Q1495" s="59">
        <v>0</v>
      </c>
      <c r="R1495" s="59">
        <v>0</v>
      </c>
      <c r="S1495" s="59">
        <v>2100000</v>
      </c>
      <c r="T1495" s="41"/>
      <c r="U1495" s="41"/>
      <c r="V1495" s="41"/>
      <c r="W1495" s="41"/>
      <c r="X1495" s="41"/>
      <c r="Y1495" s="41"/>
      <c r="Z1495" s="41"/>
      <c r="AA1495" s="41"/>
      <c r="AB1495" s="41"/>
      <c r="AC1495" s="41"/>
      <c r="AD1495" s="41"/>
      <c r="AE1495" s="59">
        <v>80.806347209451275</v>
      </c>
      <c r="AF1495" s="59">
        <v>80.806347209451275</v>
      </c>
      <c r="AG1495" s="59" t="s">
        <v>66</v>
      </c>
      <c r="AH1495" s="59" t="s">
        <v>1360</v>
      </c>
    </row>
    <row r="1496" spans="1:34" x14ac:dyDescent="0.35">
      <c r="A1496" s="58">
        <v>2025</v>
      </c>
      <c r="B1496" s="58">
        <v>7</v>
      </c>
      <c r="C1496">
        <v>7</v>
      </c>
      <c r="D1496" s="58" t="s">
        <v>666</v>
      </c>
      <c r="E1496" t="s">
        <v>54</v>
      </c>
      <c r="F1496" s="58" t="s">
        <v>185</v>
      </c>
      <c r="G1496" t="s">
        <v>720</v>
      </c>
      <c r="H1496" s="58" t="s">
        <v>1428</v>
      </c>
      <c r="I1496" t="s">
        <v>75</v>
      </c>
      <c r="J1496" s="58" t="s">
        <v>75</v>
      </c>
      <c r="K1496" t="s">
        <v>1429</v>
      </c>
      <c r="L1496" t="s">
        <v>20</v>
      </c>
      <c r="M1496" t="s">
        <v>1430</v>
      </c>
      <c r="N1496" s="59">
        <v>1375</v>
      </c>
      <c r="O1496" s="59">
        <v>24750000</v>
      </c>
      <c r="P1496" s="59">
        <v>0</v>
      </c>
      <c r="Q1496" s="59">
        <v>0</v>
      </c>
      <c r="R1496" s="59">
        <v>0</v>
      </c>
      <c r="S1496" s="59">
        <v>24750000</v>
      </c>
      <c r="T1496" s="41"/>
      <c r="U1496" s="41"/>
      <c r="V1496" s="41"/>
      <c r="W1496" s="41"/>
      <c r="X1496" s="41"/>
      <c r="Y1496" s="41"/>
      <c r="Z1496" s="41"/>
      <c r="AA1496" s="41"/>
      <c r="AB1496" s="41"/>
      <c r="AC1496" s="41"/>
      <c r="AD1496" s="41"/>
      <c r="AE1496" s="59">
        <v>952.36052068281867</v>
      </c>
      <c r="AF1496" s="59">
        <v>952.36052068281867</v>
      </c>
      <c r="AG1496" s="59" t="s">
        <v>54</v>
      </c>
      <c r="AH1496" s="59" t="s">
        <v>1199</v>
      </c>
    </row>
    <row r="1497" spans="1:34" x14ac:dyDescent="0.35">
      <c r="A1497" s="58">
        <v>2025</v>
      </c>
      <c r="B1497" s="58">
        <v>7</v>
      </c>
      <c r="C1497">
        <v>7</v>
      </c>
      <c r="D1497" s="58" t="s">
        <v>655</v>
      </c>
      <c r="E1497" t="s">
        <v>65</v>
      </c>
      <c r="F1497" s="58" t="s">
        <v>212</v>
      </c>
      <c r="G1497" t="s">
        <v>481</v>
      </c>
      <c r="H1497" s="58" t="s">
        <v>21</v>
      </c>
      <c r="I1497" t="s">
        <v>21</v>
      </c>
      <c r="J1497" s="58" t="s">
        <v>21</v>
      </c>
      <c r="K1497" t="s">
        <v>1429</v>
      </c>
      <c r="L1497" t="s">
        <v>20</v>
      </c>
      <c r="M1497" t="s">
        <v>1430</v>
      </c>
      <c r="N1497" s="59">
        <v>6000</v>
      </c>
      <c r="O1497" s="59">
        <v>97222222</v>
      </c>
      <c r="P1497" s="59">
        <v>1346892.6617429839</v>
      </c>
      <c r="Q1497" s="59">
        <v>0</v>
      </c>
      <c r="R1497" s="59">
        <v>0</v>
      </c>
      <c r="S1497" s="59">
        <v>95875329.338257015</v>
      </c>
      <c r="T1497" s="41"/>
      <c r="U1497" s="41"/>
      <c r="V1497" s="41"/>
      <c r="W1497" s="41"/>
      <c r="X1497" s="41"/>
      <c r="Y1497" s="41"/>
      <c r="Z1497" s="41"/>
      <c r="AA1497" s="41"/>
      <c r="AB1497" s="41"/>
      <c r="AC1497" s="41"/>
      <c r="AD1497" s="41"/>
      <c r="AE1497" s="59">
        <v>3689.2072149179462</v>
      </c>
      <c r="AF1497" s="59">
        <v>3741.0345844792155</v>
      </c>
      <c r="AG1497" s="59" t="s">
        <v>65</v>
      </c>
      <c r="AH1497" s="59" t="s">
        <v>84</v>
      </c>
    </row>
    <row r="1498" spans="1:34" x14ac:dyDescent="0.35">
      <c r="A1498" s="58">
        <v>2025</v>
      </c>
      <c r="B1498" s="58">
        <v>7</v>
      </c>
      <c r="C1498">
        <v>7</v>
      </c>
      <c r="D1498" s="58" t="s">
        <v>681</v>
      </c>
      <c r="E1498" t="s">
        <v>111</v>
      </c>
      <c r="F1498" s="58" t="s">
        <v>175</v>
      </c>
      <c r="G1498" t="s">
        <v>947</v>
      </c>
      <c r="H1498" s="58" t="s">
        <v>4</v>
      </c>
      <c r="I1498" t="s">
        <v>4</v>
      </c>
      <c r="J1498" s="58" t="s">
        <v>4</v>
      </c>
      <c r="K1498" t="s">
        <v>1429</v>
      </c>
      <c r="L1498" t="s">
        <v>20</v>
      </c>
      <c r="M1498" t="s">
        <v>1430</v>
      </c>
      <c r="N1498" s="59">
        <v>30</v>
      </c>
      <c r="O1498" s="59">
        <v>1020000</v>
      </c>
      <c r="P1498" s="59">
        <v>0</v>
      </c>
      <c r="Q1498" s="59">
        <v>0</v>
      </c>
      <c r="R1498" s="59">
        <v>0</v>
      </c>
      <c r="S1498" s="59">
        <v>1020000</v>
      </c>
      <c r="T1498" s="41"/>
      <c r="U1498" s="41"/>
      <c r="V1498" s="41"/>
      <c r="W1498" s="41"/>
      <c r="X1498" s="41"/>
      <c r="Y1498" s="41"/>
      <c r="Z1498" s="41"/>
      <c r="AA1498" s="41"/>
      <c r="AB1498" s="41"/>
      <c r="AC1498" s="41"/>
      <c r="AD1498" s="41"/>
      <c r="AE1498" s="59">
        <v>39.248797216019192</v>
      </c>
      <c r="AF1498" s="59">
        <v>39.248797216019192</v>
      </c>
      <c r="AG1498" s="59" t="s">
        <v>111</v>
      </c>
      <c r="AH1498" s="59" t="s">
        <v>1190</v>
      </c>
    </row>
    <row r="1499" spans="1:34" x14ac:dyDescent="0.35">
      <c r="A1499" s="58">
        <v>2025</v>
      </c>
      <c r="B1499" s="58">
        <v>7</v>
      </c>
      <c r="C1499">
        <v>7</v>
      </c>
      <c r="D1499" s="58" t="s">
        <v>1596</v>
      </c>
      <c r="E1499" t="s">
        <v>1297</v>
      </c>
      <c r="F1499" s="58" t="s">
        <v>1468</v>
      </c>
      <c r="G1499" t="s">
        <v>1012</v>
      </c>
      <c r="H1499" s="58" t="s">
        <v>1012</v>
      </c>
      <c r="I1499" t="s">
        <v>1012</v>
      </c>
      <c r="J1499" s="58" t="s">
        <v>1012</v>
      </c>
      <c r="K1499" t="s">
        <v>1429</v>
      </c>
      <c r="L1499" t="s">
        <v>20</v>
      </c>
      <c r="M1499" t="s">
        <v>1430</v>
      </c>
      <c r="N1499" s="59">
        <v>0</v>
      </c>
      <c r="O1499" s="59">
        <v>0</v>
      </c>
      <c r="P1499" s="59">
        <v>0</v>
      </c>
      <c r="Q1499" s="59">
        <v>0</v>
      </c>
      <c r="R1499" s="59">
        <v>0</v>
      </c>
      <c r="S1499" s="59">
        <v>0</v>
      </c>
      <c r="T1499" s="41"/>
      <c r="U1499" s="41"/>
      <c r="V1499" s="41"/>
      <c r="W1499" s="41"/>
      <c r="X1499" s="41"/>
      <c r="Y1499" s="41"/>
      <c r="Z1499" s="41"/>
      <c r="AA1499" s="41"/>
      <c r="AB1499" s="41"/>
      <c r="AC1499" s="41"/>
      <c r="AD1499" s="41"/>
      <c r="AE1499" s="59">
        <v>0</v>
      </c>
      <c r="AF1499" s="59">
        <v>0</v>
      </c>
      <c r="AG1499" s="59" t="s">
        <v>1297</v>
      </c>
      <c r="AH1499" s="59" t="s">
        <v>1284</v>
      </c>
    </row>
    <row r="1500" spans="1:34" x14ac:dyDescent="0.35">
      <c r="A1500" s="58">
        <v>2025</v>
      </c>
      <c r="B1500" s="58">
        <v>7</v>
      </c>
      <c r="C1500">
        <v>7</v>
      </c>
      <c r="D1500" s="58" t="s">
        <v>602</v>
      </c>
      <c r="E1500" t="s">
        <v>122</v>
      </c>
      <c r="F1500" s="58" t="s">
        <v>171</v>
      </c>
      <c r="G1500" t="s">
        <v>731</v>
      </c>
      <c r="H1500" s="58" t="s">
        <v>4</v>
      </c>
      <c r="I1500" t="s">
        <v>4</v>
      </c>
      <c r="J1500" s="58" t="s">
        <v>4</v>
      </c>
      <c r="K1500" t="s">
        <v>1476</v>
      </c>
      <c r="L1500" t="s">
        <v>1477</v>
      </c>
      <c r="M1500" t="s">
        <v>1430</v>
      </c>
      <c r="N1500" s="59">
        <v>64900</v>
      </c>
      <c r="O1500" s="59">
        <v>2107930534</v>
      </c>
      <c r="P1500" s="59">
        <v>5150000.671875</v>
      </c>
      <c r="Q1500" s="59">
        <v>0</v>
      </c>
      <c r="R1500" s="59">
        <v>31623666</v>
      </c>
      <c r="S1500" s="59">
        <v>2071156867.328125</v>
      </c>
      <c r="T1500" s="41"/>
      <c r="U1500" s="41"/>
      <c r="V1500" s="41"/>
      <c r="W1500" s="41"/>
      <c r="X1500" s="41"/>
      <c r="Y1500" s="41"/>
      <c r="Z1500" s="41"/>
      <c r="AA1500" s="41"/>
      <c r="AB1500" s="41"/>
      <c r="AC1500" s="41"/>
      <c r="AD1500" s="41"/>
      <c r="AE1500" s="59">
        <v>79710.25227817311</v>
      </c>
      <c r="AF1500" s="59">
        <v>81125.550019252987</v>
      </c>
      <c r="AG1500" s="59" t="s">
        <v>122</v>
      </c>
      <c r="AH1500" s="59" t="s">
        <v>1166</v>
      </c>
    </row>
    <row r="1501" spans="1:34" x14ac:dyDescent="0.35">
      <c r="A1501" s="58">
        <v>2025</v>
      </c>
      <c r="B1501" s="58">
        <v>7</v>
      </c>
      <c r="C1501">
        <v>7</v>
      </c>
      <c r="D1501" s="58" t="s">
        <v>602</v>
      </c>
      <c r="E1501" t="s">
        <v>122</v>
      </c>
      <c r="F1501" s="58" t="s">
        <v>1152</v>
      </c>
      <c r="G1501" t="s">
        <v>1153</v>
      </c>
      <c r="H1501" s="58" t="s">
        <v>1012</v>
      </c>
      <c r="I1501" t="s">
        <v>1012</v>
      </c>
      <c r="J1501" s="58" t="s">
        <v>1399</v>
      </c>
      <c r="K1501" t="s">
        <v>1429</v>
      </c>
      <c r="L1501" t="s">
        <v>20</v>
      </c>
      <c r="M1501" t="s">
        <v>1430</v>
      </c>
      <c r="N1501" s="59">
        <v>0</v>
      </c>
      <c r="O1501" s="59">
        <v>0</v>
      </c>
      <c r="P1501" s="59">
        <v>0</v>
      </c>
      <c r="Q1501" s="59">
        <v>0</v>
      </c>
      <c r="R1501" s="59">
        <v>330000</v>
      </c>
      <c r="S1501" s="59">
        <v>-330000</v>
      </c>
      <c r="T1501" s="41"/>
      <c r="U1501" s="41"/>
      <c r="V1501" s="41"/>
      <c r="W1501" s="41"/>
      <c r="X1501" s="41"/>
      <c r="Y1501" s="41"/>
      <c r="Z1501" s="41"/>
      <c r="AA1501" s="41"/>
      <c r="AB1501" s="41"/>
      <c r="AC1501" s="41"/>
      <c r="AD1501" s="41"/>
      <c r="AE1501" s="59">
        <v>-12.698140275770914</v>
      </c>
      <c r="AF1501" s="59">
        <v>0</v>
      </c>
      <c r="AG1501" s="59" t="s">
        <v>122</v>
      </c>
      <c r="AH1501" s="59" t="s">
        <v>1400</v>
      </c>
    </row>
    <row r="1502" spans="1:34" x14ac:dyDescent="0.35">
      <c r="A1502" s="58">
        <v>2025</v>
      </c>
      <c r="B1502" s="58">
        <v>7</v>
      </c>
      <c r="C1502">
        <v>7</v>
      </c>
      <c r="D1502" s="58" t="s">
        <v>587</v>
      </c>
      <c r="E1502" t="s">
        <v>6</v>
      </c>
      <c r="F1502" s="58" t="s">
        <v>171</v>
      </c>
      <c r="G1502" t="s">
        <v>731</v>
      </c>
      <c r="H1502" s="58" t="s">
        <v>4</v>
      </c>
      <c r="I1502" t="s">
        <v>4</v>
      </c>
      <c r="J1502" s="58" t="s">
        <v>4</v>
      </c>
      <c r="K1502" t="s">
        <v>1476</v>
      </c>
      <c r="L1502" t="s">
        <v>1509</v>
      </c>
      <c r="M1502" t="s">
        <v>1430</v>
      </c>
      <c r="N1502" s="59">
        <v>110000</v>
      </c>
      <c r="O1502" s="59">
        <v>3495254400</v>
      </c>
      <c r="P1502" s="59">
        <v>8250001.6796875</v>
      </c>
      <c r="Q1502" s="59">
        <v>52428816</v>
      </c>
      <c r="R1502" s="59">
        <v>44688516</v>
      </c>
      <c r="S1502" s="59">
        <v>3389887066.320312</v>
      </c>
      <c r="T1502" s="41"/>
      <c r="U1502" s="41"/>
      <c r="V1502" s="41"/>
      <c r="W1502" s="41"/>
      <c r="X1502" s="41"/>
      <c r="Y1502" s="41"/>
      <c r="Z1502" s="41"/>
      <c r="AA1502" s="41"/>
      <c r="AB1502" s="41"/>
      <c r="AC1502" s="41"/>
      <c r="AD1502" s="41"/>
      <c r="AE1502" s="59">
        <v>130581.1658829088</v>
      </c>
      <c r="AF1502" s="59">
        <v>134640</v>
      </c>
      <c r="AG1502" s="59" t="s">
        <v>6</v>
      </c>
      <c r="AH1502" s="59" t="s">
        <v>1166</v>
      </c>
    </row>
    <row r="1503" spans="1:34" x14ac:dyDescent="0.35">
      <c r="A1503" s="58">
        <v>2025</v>
      </c>
      <c r="B1503" s="58">
        <v>7</v>
      </c>
      <c r="C1503">
        <v>7</v>
      </c>
      <c r="D1503" s="58" t="s">
        <v>587</v>
      </c>
      <c r="E1503" t="s">
        <v>6</v>
      </c>
      <c r="F1503" s="58" t="s">
        <v>171</v>
      </c>
      <c r="G1503" t="s">
        <v>731</v>
      </c>
      <c r="H1503" s="58" t="s">
        <v>4</v>
      </c>
      <c r="I1503" t="s">
        <v>4</v>
      </c>
      <c r="J1503" s="58" t="s">
        <v>4</v>
      </c>
      <c r="K1503" t="s">
        <v>1476</v>
      </c>
      <c r="L1503" t="s">
        <v>1477</v>
      </c>
      <c r="M1503" t="s">
        <v>1430</v>
      </c>
      <c r="N1503" s="59">
        <v>1562000</v>
      </c>
      <c r="O1503" s="59">
        <v>49712588640</v>
      </c>
      <c r="P1503" s="59">
        <v>117150023.8515625</v>
      </c>
      <c r="Q1503" s="59">
        <v>745688829.60000002</v>
      </c>
      <c r="R1503" s="59">
        <v>632264903.99999928</v>
      </c>
      <c r="S1503" s="59">
        <v>48217484882.548439</v>
      </c>
      <c r="T1503" s="41"/>
      <c r="U1503" s="41"/>
      <c r="V1503" s="41"/>
      <c r="W1503" s="41"/>
      <c r="X1503" s="41"/>
      <c r="Y1503" s="41"/>
      <c r="Z1503" s="41"/>
      <c r="AA1503" s="41"/>
      <c r="AB1503" s="41"/>
      <c r="AC1503" s="41"/>
      <c r="AD1503" s="41"/>
      <c r="AE1503" s="59">
        <v>1854387.8565820488</v>
      </c>
      <c r="AF1503" s="59">
        <v>1911888</v>
      </c>
      <c r="AG1503" s="59" t="s">
        <v>6</v>
      </c>
      <c r="AH1503" s="59" t="s">
        <v>1166</v>
      </c>
    </row>
    <row r="1504" spans="1:34" x14ac:dyDescent="0.35">
      <c r="A1504" s="58">
        <v>2025</v>
      </c>
      <c r="B1504" s="58">
        <v>7</v>
      </c>
      <c r="C1504">
        <v>7</v>
      </c>
      <c r="D1504" s="58" t="s">
        <v>587</v>
      </c>
      <c r="E1504" t="s">
        <v>6</v>
      </c>
      <c r="F1504" s="58" t="s">
        <v>1152</v>
      </c>
      <c r="G1504" t="s">
        <v>1153</v>
      </c>
      <c r="H1504" s="58" t="s">
        <v>1012</v>
      </c>
      <c r="I1504" t="s">
        <v>1012</v>
      </c>
      <c r="J1504" s="58" t="s">
        <v>1399</v>
      </c>
      <c r="K1504" t="s">
        <v>1429</v>
      </c>
      <c r="L1504" t="s">
        <v>20</v>
      </c>
      <c r="M1504" t="s">
        <v>1430</v>
      </c>
      <c r="N1504" s="59">
        <v>0</v>
      </c>
      <c r="O1504" s="59">
        <v>0</v>
      </c>
      <c r="P1504" s="59">
        <v>0</v>
      </c>
      <c r="Q1504" s="59">
        <v>0</v>
      </c>
      <c r="R1504" s="59">
        <v>-33998234.000000007</v>
      </c>
      <c r="S1504" s="59">
        <v>33998234.000000007</v>
      </c>
      <c r="T1504" s="41"/>
      <c r="U1504" s="41"/>
      <c r="V1504" s="41"/>
      <c r="W1504" s="41"/>
      <c r="X1504" s="41"/>
      <c r="Y1504" s="41"/>
      <c r="Z1504" s="41"/>
      <c r="AA1504" s="41"/>
      <c r="AB1504" s="41"/>
      <c r="AC1504" s="41"/>
      <c r="AD1504" s="41"/>
      <c r="AE1504" s="59">
        <v>1308.2252862438918</v>
      </c>
      <c r="AF1504" s="59">
        <v>0</v>
      </c>
      <c r="AG1504" s="59" t="s">
        <v>6</v>
      </c>
      <c r="AH1504" s="59" t="s">
        <v>1400</v>
      </c>
    </row>
    <row r="1505" spans="1:34" x14ac:dyDescent="0.35">
      <c r="A1505" s="58">
        <v>2025</v>
      </c>
      <c r="B1505" s="58">
        <v>7</v>
      </c>
      <c r="C1505">
        <v>7</v>
      </c>
      <c r="D1505" s="58" t="s">
        <v>587</v>
      </c>
      <c r="E1505" t="s">
        <v>6</v>
      </c>
      <c r="F1505" s="58" t="s">
        <v>1468</v>
      </c>
      <c r="G1505" t="s">
        <v>1012</v>
      </c>
      <c r="H1505" s="58" t="s">
        <v>1012</v>
      </c>
      <c r="I1505" t="s">
        <v>1012</v>
      </c>
      <c r="J1505" s="58" t="s">
        <v>1012</v>
      </c>
      <c r="K1505" t="s">
        <v>1429</v>
      </c>
      <c r="L1505" t="s">
        <v>20</v>
      </c>
      <c r="M1505" t="s">
        <v>1430</v>
      </c>
      <c r="N1505" s="59">
        <v>0</v>
      </c>
      <c r="O1505" s="59">
        <v>0</v>
      </c>
      <c r="P1505" s="59">
        <v>0</v>
      </c>
      <c r="Q1505" s="59">
        <v>2094.3999996185303</v>
      </c>
      <c r="R1505" s="59">
        <v>0</v>
      </c>
      <c r="S1505" s="59">
        <v>-2094.3999996185303</v>
      </c>
      <c r="T1505" s="41"/>
      <c r="U1505" s="41"/>
      <c r="V1505" s="41"/>
      <c r="W1505" s="41"/>
      <c r="X1505" s="41"/>
      <c r="Y1505" s="41"/>
      <c r="Z1505" s="41"/>
      <c r="AA1505" s="41"/>
      <c r="AB1505" s="41"/>
      <c r="AC1505" s="41"/>
      <c r="AD1505" s="41"/>
      <c r="AE1505" s="59">
        <v>-8.0590863602214083E-2</v>
      </c>
      <c r="AF1505" s="59">
        <v>0</v>
      </c>
      <c r="AG1505" s="59" t="s">
        <v>6</v>
      </c>
      <c r="AH1505" s="59" t="s">
        <v>1284</v>
      </c>
    </row>
    <row r="1506" spans="1:34" x14ac:dyDescent="0.35">
      <c r="A1506" s="58">
        <v>2025</v>
      </c>
      <c r="B1506" s="58">
        <v>7</v>
      </c>
      <c r="C1506">
        <v>7</v>
      </c>
      <c r="D1506" s="58" t="s">
        <v>641</v>
      </c>
      <c r="E1506" t="s">
        <v>125</v>
      </c>
      <c r="F1506" s="58" t="s">
        <v>174</v>
      </c>
      <c r="G1506" t="s">
        <v>740</v>
      </c>
      <c r="H1506" s="58" t="s">
        <v>4</v>
      </c>
      <c r="I1506" t="s">
        <v>4</v>
      </c>
      <c r="J1506" s="58" t="s">
        <v>4</v>
      </c>
      <c r="K1506" t="s">
        <v>1476</v>
      </c>
      <c r="L1506" t="s">
        <v>1510</v>
      </c>
      <c r="M1506" t="s">
        <v>1430</v>
      </c>
      <c r="N1506" s="59">
        <v>44000</v>
      </c>
      <c r="O1506" s="59">
        <v>1313575999.9999998</v>
      </c>
      <c r="P1506" s="59">
        <v>3300000.671875</v>
      </c>
      <c r="Q1506" s="59">
        <v>0</v>
      </c>
      <c r="R1506" s="59">
        <v>22636712</v>
      </c>
      <c r="S1506" s="59">
        <v>1287639287.3281248</v>
      </c>
      <c r="T1506" s="41"/>
      <c r="U1506" s="41"/>
      <c r="V1506" s="41"/>
      <c r="W1506" s="41"/>
      <c r="X1506" s="41"/>
      <c r="Y1506" s="41"/>
      <c r="Z1506" s="41"/>
      <c r="AA1506" s="41"/>
      <c r="AB1506" s="41"/>
      <c r="AC1506" s="41"/>
      <c r="AD1506" s="41"/>
      <c r="AE1506" s="59">
        <v>49600.897046537932</v>
      </c>
      <c r="AF1506" s="59">
        <v>50599.999999999993</v>
      </c>
      <c r="AG1506" s="59" t="s">
        <v>125</v>
      </c>
      <c r="AH1506" s="59" t="s">
        <v>1185</v>
      </c>
    </row>
    <row r="1507" spans="1:34" x14ac:dyDescent="0.35">
      <c r="A1507" s="58">
        <v>2025</v>
      </c>
      <c r="B1507" s="58">
        <v>7</v>
      </c>
      <c r="C1507">
        <v>7</v>
      </c>
      <c r="D1507" s="58" t="s">
        <v>641</v>
      </c>
      <c r="E1507" t="s">
        <v>125</v>
      </c>
      <c r="F1507" s="58" t="s">
        <v>1152</v>
      </c>
      <c r="G1507" t="s">
        <v>1153</v>
      </c>
      <c r="H1507" s="58" t="s">
        <v>1012</v>
      </c>
      <c r="I1507" t="s">
        <v>1012</v>
      </c>
      <c r="J1507" s="58" t="s">
        <v>1399</v>
      </c>
      <c r="K1507" t="s">
        <v>1429</v>
      </c>
      <c r="L1507" t="s">
        <v>20</v>
      </c>
      <c r="M1507" t="s">
        <v>1430</v>
      </c>
      <c r="N1507" s="59">
        <v>0</v>
      </c>
      <c r="O1507" s="59">
        <v>0</v>
      </c>
      <c r="P1507" s="59">
        <v>0</v>
      </c>
      <c r="Q1507" s="59">
        <v>0</v>
      </c>
      <c r="R1507" s="59">
        <v>152500</v>
      </c>
      <c r="S1507" s="59">
        <v>-152500</v>
      </c>
      <c r="T1507" s="41"/>
      <c r="U1507" s="41"/>
      <c r="V1507" s="41"/>
      <c r="W1507" s="41"/>
      <c r="X1507" s="41"/>
      <c r="Y1507" s="41"/>
      <c r="Z1507" s="41"/>
      <c r="AA1507" s="41"/>
      <c r="AB1507" s="41"/>
      <c r="AC1507" s="41"/>
      <c r="AD1507" s="41"/>
      <c r="AE1507" s="59">
        <v>-5.868079975924438</v>
      </c>
      <c r="AF1507" s="59">
        <v>0</v>
      </c>
      <c r="AG1507" s="59" t="s">
        <v>125</v>
      </c>
      <c r="AH1507" s="59" t="s">
        <v>1400</v>
      </c>
    </row>
    <row r="1508" spans="1:34" x14ac:dyDescent="0.35">
      <c r="A1508" s="58">
        <v>2025</v>
      </c>
      <c r="B1508" s="58">
        <v>7</v>
      </c>
      <c r="C1508">
        <v>7</v>
      </c>
      <c r="D1508" s="58" t="s">
        <v>588</v>
      </c>
      <c r="E1508" t="s">
        <v>9</v>
      </c>
      <c r="F1508" s="58" t="s">
        <v>172</v>
      </c>
      <c r="G1508" t="s">
        <v>734</v>
      </c>
      <c r="H1508" s="58" t="s">
        <v>4</v>
      </c>
      <c r="I1508" t="s">
        <v>4</v>
      </c>
      <c r="J1508" s="58" t="s">
        <v>4</v>
      </c>
      <c r="K1508" t="s">
        <v>1476</v>
      </c>
      <c r="L1508" t="s">
        <v>1501</v>
      </c>
      <c r="M1508" t="s">
        <v>1430</v>
      </c>
      <c r="N1508" s="59">
        <v>880000</v>
      </c>
      <c r="O1508" s="59">
        <v>28567000000</v>
      </c>
      <c r="P1508" s="59">
        <v>66000013.4375</v>
      </c>
      <c r="Q1508" s="59">
        <v>0</v>
      </c>
      <c r="R1508" s="59">
        <v>369747962.9999997</v>
      </c>
      <c r="S1508" s="59">
        <v>28131252023.562485</v>
      </c>
      <c r="T1508" s="41"/>
      <c r="U1508" s="41"/>
      <c r="V1508" s="41"/>
      <c r="W1508" s="41"/>
      <c r="X1508" s="41"/>
      <c r="Y1508" s="41"/>
      <c r="Z1508" s="41"/>
      <c r="AA1508" s="41"/>
      <c r="AB1508" s="41"/>
      <c r="AC1508" s="41"/>
      <c r="AD1508" s="41"/>
      <c r="AE1508" s="59">
        <v>1083221.1077489799</v>
      </c>
      <c r="AF1508" s="59">
        <v>1100000</v>
      </c>
      <c r="AG1508" s="59" t="s">
        <v>9</v>
      </c>
      <c r="AH1508" s="59" t="s">
        <v>1175</v>
      </c>
    </row>
    <row r="1509" spans="1:34" x14ac:dyDescent="0.35">
      <c r="A1509" s="58">
        <v>2025</v>
      </c>
      <c r="B1509" s="58">
        <v>7</v>
      </c>
      <c r="C1509">
        <v>7</v>
      </c>
      <c r="D1509" s="58" t="s">
        <v>588</v>
      </c>
      <c r="E1509" t="s">
        <v>9</v>
      </c>
      <c r="F1509" s="58" t="s">
        <v>1152</v>
      </c>
      <c r="G1509" t="s">
        <v>1153</v>
      </c>
      <c r="H1509" s="58" t="s">
        <v>1012</v>
      </c>
      <c r="I1509" t="s">
        <v>1012</v>
      </c>
      <c r="J1509" s="58" t="s">
        <v>1399</v>
      </c>
      <c r="K1509" t="s">
        <v>1429</v>
      </c>
      <c r="L1509" t="s">
        <v>20</v>
      </c>
      <c r="M1509" t="s">
        <v>1430</v>
      </c>
      <c r="N1509" s="59">
        <v>0</v>
      </c>
      <c r="O1509" s="59">
        <v>0</v>
      </c>
      <c r="P1509" s="59">
        <v>0</v>
      </c>
      <c r="Q1509" s="59">
        <v>0</v>
      </c>
      <c r="R1509" s="59">
        <v>3238010.9999999981</v>
      </c>
      <c r="S1509" s="59">
        <v>-3238010.9999999981</v>
      </c>
      <c r="T1509" s="41"/>
      <c r="U1509" s="41"/>
      <c r="V1509" s="41"/>
      <c r="W1509" s="41"/>
      <c r="X1509" s="41"/>
      <c r="Y1509" s="41"/>
      <c r="Z1509" s="41"/>
      <c r="AA1509" s="41"/>
      <c r="AB1509" s="41"/>
      <c r="AC1509" s="41"/>
      <c r="AD1509" s="41"/>
      <c r="AE1509" s="59">
        <v>-124.59611482572507</v>
      </c>
      <c r="AF1509" s="59">
        <v>0</v>
      </c>
      <c r="AG1509" s="59" t="s">
        <v>9</v>
      </c>
      <c r="AH1509" s="59" t="s">
        <v>1400</v>
      </c>
    </row>
    <row r="1510" spans="1:34" x14ac:dyDescent="0.35">
      <c r="A1510" s="58">
        <v>2025</v>
      </c>
      <c r="B1510" s="58">
        <v>7</v>
      </c>
      <c r="C1510">
        <v>7</v>
      </c>
      <c r="D1510" s="58" t="s">
        <v>623</v>
      </c>
      <c r="E1510" t="s">
        <v>137</v>
      </c>
      <c r="F1510" s="58" t="s">
        <v>172</v>
      </c>
      <c r="G1510" t="s">
        <v>734</v>
      </c>
      <c r="H1510" s="58" t="s">
        <v>4</v>
      </c>
      <c r="I1510" t="s">
        <v>4</v>
      </c>
      <c r="J1510" s="58" t="s">
        <v>4</v>
      </c>
      <c r="K1510" t="s">
        <v>1476</v>
      </c>
      <c r="L1510" t="s">
        <v>1540</v>
      </c>
      <c r="M1510" t="s">
        <v>1430</v>
      </c>
      <c r="N1510" s="59">
        <v>44000</v>
      </c>
      <c r="O1510" s="59">
        <v>1577505599.9999998</v>
      </c>
      <c r="P1510" s="59">
        <v>4133340.671875</v>
      </c>
      <c r="Q1510" s="59">
        <v>0</v>
      </c>
      <c r="R1510" s="59">
        <v>138180622</v>
      </c>
      <c r="S1510" s="59">
        <v>1435191637.3281248</v>
      </c>
      <c r="T1510" s="41"/>
      <c r="U1510" s="41"/>
      <c r="V1510" s="41"/>
      <c r="W1510" s="41"/>
      <c r="X1510" s="41"/>
      <c r="Y1510" s="41"/>
      <c r="Z1510" s="41"/>
      <c r="AA1510" s="41"/>
      <c r="AB1510" s="41"/>
      <c r="AC1510" s="41"/>
      <c r="AD1510" s="41"/>
      <c r="AE1510" s="59">
        <v>55242.172337495176</v>
      </c>
      <c r="AF1510" s="59">
        <v>60719.999999999993</v>
      </c>
      <c r="AG1510" s="59" t="s">
        <v>137</v>
      </c>
      <c r="AH1510" s="59" t="s">
        <v>1175</v>
      </c>
    </row>
    <row r="1511" spans="1:34" x14ac:dyDescent="0.35">
      <c r="A1511" s="58">
        <v>2025</v>
      </c>
      <c r="B1511" s="58">
        <v>7</v>
      </c>
      <c r="C1511">
        <v>7</v>
      </c>
      <c r="D1511" s="58" t="s">
        <v>623</v>
      </c>
      <c r="E1511" t="s">
        <v>137</v>
      </c>
      <c r="F1511" s="58" t="s">
        <v>1152</v>
      </c>
      <c r="G1511" t="s">
        <v>1153</v>
      </c>
      <c r="H1511" s="58" t="s">
        <v>1012</v>
      </c>
      <c r="I1511" t="s">
        <v>1012</v>
      </c>
      <c r="J1511" s="58" t="s">
        <v>1399</v>
      </c>
      <c r="K1511" t="s">
        <v>1429</v>
      </c>
      <c r="L1511" t="s">
        <v>20</v>
      </c>
      <c r="M1511" t="s">
        <v>1430</v>
      </c>
      <c r="N1511" s="59">
        <v>0</v>
      </c>
      <c r="O1511" s="59">
        <v>0</v>
      </c>
      <c r="P1511" s="59">
        <v>0</v>
      </c>
      <c r="Q1511" s="59">
        <v>0</v>
      </c>
      <c r="R1511" s="59">
        <v>60085200</v>
      </c>
      <c r="S1511" s="59">
        <v>-60085200</v>
      </c>
      <c r="T1511" s="41"/>
      <c r="U1511" s="41"/>
      <c r="V1511" s="41"/>
      <c r="W1511" s="41"/>
      <c r="X1511" s="41"/>
      <c r="Y1511" s="41"/>
      <c r="Z1511" s="41"/>
      <c r="AA1511" s="41"/>
      <c r="AB1511" s="41"/>
      <c r="AC1511" s="41"/>
      <c r="AD1511" s="41"/>
      <c r="AE1511" s="59">
        <v>-2312.0312063568199</v>
      </c>
      <c r="AF1511" s="59">
        <v>0</v>
      </c>
      <c r="AG1511" s="59" t="s">
        <v>137</v>
      </c>
      <c r="AH1511" s="59" t="s">
        <v>1400</v>
      </c>
    </row>
    <row r="1512" spans="1:34" x14ac:dyDescent="0.35">
      <c r="A1512" s="58">
        <v>2025</v>
      </c>
      <c r="B1512" s="58">
        <v>7</v>
      </c>
      <c r="C1512">
        <v>7</v>
      </c>
      <c r="D1512" s="58" t="s">
        <v>637</v>
      </c>
      <c r="E1512" t="s">
        <v>64</v>
      </c>
      <c r="F1512" s="58" t="s">
        <v>216</v>
      </c>
      <c r="G1512" t="s">
        <v>935</v>
      </c>
      <c r="H1512" s="58" t="s">
        <v>21</v>
      </c>
      <c r="I1512" t="s">
        <v>21</v>
      </c>
      <c r="J1512" s="58" t="s">
        <v>21</v>
      </c>
      <c r="K1512" t="s">
        <v>1476</v>
      </c>
      <c r="L1512" t="s">
        <v>301</v>
      </c>
      <c r="M1512" t="s">
        <v>1430</v>
      </c>
      <c r="N1512" s="59">
        <v>12000</v>
      </c>
      <c r="O1512" s="59">
        <v>336700800</v>
      </c>
      <c r="P1512" s="59">
        <v>0</v>
      </c>
      <c r="Q1512" s="59">
        <v>0</v>
      </c>
      <c r="R1512" s="59">
        <v>8714437.5</v>
      </c>
      <c r="S1512" s="59">
        <v>327986362.5</v>
      </c>
      <c r="T1512" s="41"/>
      <c r="U1512" s="41"/>
      <c r="V1512" s="41"/>
      <c r="W1512" s="41"/>
      <c r="X1512" s="41"/>
      <c r="Y1512" s="41"/>
      <c r="Z1512" s="41"/>
      <c r="AA1512" s="41"/>
      <c r="AB1512" s="41"/>
      <c r="AC1512" s="41"/>
      <c r="AD1512" s="41"/>
      <c r="AE1512" s="59">
        <v>12624.571304849884</v>
      </c>
      <c r="AF1512" s="59">
        <v>12960</v>
      </c>
      <c r="AG1512" s="59" t="s">
        <v>64</v>
      </c>
      <c r="AH1512" s="59" t="s">
        <v>1358</v>
      </c>
    </row>
    <row r="1513" spans="1:34" x14ac:dyDescent="0.35">
      <c r="A1513" s="58">
        <v>2025</v>
      </c>
      <c r="B1513" s="58">
        <v>7</v>
      </c>
      <c r="C1513">
        <v>7</v>
      </c>
      <c r="D1513" s="58" t="s">
        <v>637</v>
      </c>
      <c r="E1513" t="s">
        <v>64</v>
      </c>
      <c r="F1513" s="58" t="s">
        <v>217</v>
      </c>
      <c r="G1513" t="s">
        <v>938</v>
      </c>
      <c r="H1513" s="58" t="s">
        <v>21</v>
      </c>
      <c r="I1513" t="s">
        <v>21</v>
      </c>
      <c r="J1513" s="58" t="s">
        <v>21</v>
      </c>
      <c r="K1513" t="s">
        <v>1476</v>
      </c>
      <c r="L1513" t="s">
        <v>301</v>
      </c>
      <c r="M1513" t="s">
        <v>1430</v>
      </c>
      <c r="N1513" s="59">
        <v>12000</v>
      </c>
      <c r="O1513" s="59">
        <v>336700800</v>
      </c>
      <c r="P1513" s="59">
        <v>0</v>
      </c>
      <c r="Q1513" s="59">
        <v>0</v>
      </c>
      <c r="R1513" s="59">
        <v>8714437.5</v>
      </c>
      <c r="S1513" s="59">
        <v>327986362.5</v>
      </c>
      <c r="T1513" s="41"/>
      <c r="U1513" s="41"/>
      <c r="V1513" s="41"/>
      <c r="W1513" s="41"/>
      <c r="X1513" s="41"/>
      <c r="Y1513" s="41"/>
      <c r="Z1513" s="41"/>
      <c r="AA1513" s="41"/>
      <c r="AB1513" s="41"/>
      <c r="AC1513" s="41"/>
      <c r="AD1513" s="41"/>
      <c r="AE1513" s="59">
        <v>12624.571304849884</v>
      </c>
      <c r="AF1513" s="59">
        <v>12960</v>
      </c>
      <c r="AG1513" s="59" t="s">
        <v>64</v>
      </c>
      <c r="AH1513" s="59" t="s">
        <v>1359</v>
      </c>
    </row>
    <row r="1514" spans="1:34" x14ac:dyDescent="0.35">
      <c r="A1514" s="58">
        <v>2025</v>
      </c>
      <c r="B1514" s="58">
        <v>7</v>
      </c>
      <c r="C1514">
        <v>7</v>
      </c>
      <c r="D1514" s="58" t="s">
        <v>637</v>
      </c>
      <c r="E1514" t="s">
        <v>64</v>
      </c>
      <c r="F1514" s="58" t="s">
        <v>1514</v>
      </c>
      <c r="G1514" t="s">
        <v>1515</v>
      </c>
      <c r="H1514" s="58" t="s">
        <v>1012</v>
      </c>
      <c r="I1514" t="s">
        <v>1012</v>
      </c>
      <c r="J1514" s="58" t="s">
        <v>1401</v>
      </c>
      <c r="K1514" t="s">
        <v>1429</v>
      </c>
      <c r="L1514" t="s">
        <v>20</v>
      </c>
      <c r="M1514" t="s">
        <v>1430</v>
      </c>
      <c r="N1514" s="59">
        <v>0</v>
      </c>
      <c r="O1514" s="59">
        <v>0</v>
      </c>
      <c r="P1514" s="59">
        <v>0</v>
      </c>
      <c r="Q1514" s="59">
        <v>0</v>
      </c>
      <c r="R1514" s="59">
        <v>1250000</v>
      </c>
      <c r="S1514" s="59">
        <v>-1250000</v>
      </c>
      <c r="T1514" s="41"/>
      <c r="U1514" s="41"/>
      <c r="V1514" s="41"/>
      <c r="W1514" s="41"/>
      <c r="X1514" s="41"/>
      <c r="Y1514" s="41"/>
      <c r="Z1514" s="41"/>
      <c r="AA1514" s="41"/>
      <c r="AB1514" s="41"/>
      <c r="AC1514" s="41"/>
      <c r="AD1514" s="41"/>
      <c r="AE1514" s="59">
        <v>-48.09901619610195</v>
      </c>
      <c r="AF1514" s="59">
        <v>0</v>
      </c>
      <c r="AG1514" s="59" t="s">
        <v>64</v>
      </c>
      <c r="AH1514" s="59" t="s">
        <v>1402</v>
      </c>
    </row>
    <row r="1515" spans="1:34" x14ac:dyDescent="0.35">
      <c r="A1515" s="58">
        <v>2025</v>
      </c>
      <c r="B1515" s="58">
        <v>7</v>
      </c>
      <c r="C1515">
        <v>7</v>
      </c>
      <c r="D1515" s="58" t="s">
        <v>593</v>
      </c>
      <c r="E1515" t="s">
        <v>46</v>
      </c>
      <c r="F1515" s="58" t="s">
        <v>1152</v>
      </c>
      <c r="G1515" t="s">
        <v>1153</v>
      </c>
      <c r="H1515" s="58" t="s">
        <v>1012</v>
      </c>
      <c r="I1515" t="s">
        <v>1012</v>
      </c>
      <c r="J1515" s="58" t="s">
        <v>1399</v>
      </c>
      <c r="K1515" t="s">
        <v>1429</v>
      </c>
      <c r="L1515" t="s">
        <v>20</v>
      </c>
      <c r="M1515" t="s">
        <v>1430</v>
      </c>
      <c r="N1515" s="59">
        <v>0</v>
      </c>
      <c r="O1515" s="59">
        <v>0</v>
      </c>
      <c r="P1515" s="59">
        <v>0</v>
      </c>
      <c r="Q1515" s="59">
        <v>0</v>
      </c>
      <c r="R1515" s="59">
        <v>2677686.0000000005</v>
      </c>
      <c r="S1515" s="59">
        <v>-2677686.0000000005</v>
      </c>
      <c r="T1515" s="41"/>
      <c r="U1515" s="41"/>
      <c r="V1515" s="41"/>
      <c r="W1515" s="41"/>
      <c r="X1515" s="41"/>
      <c r="Y1515" s="41"/>
      <c r="Z1515" s="41"/>
      <c r="AA1515" s="41"/>
      <c r="AB1515" s="41"/>
      <c r="AC1515" s="41"/>
      <c r="AD1515" s="41"/>
      <c r="AE1515" s="59">
        <v>-103.03524982566036</v>
      </c>
      <c r="AF1515" s="59">
        <v>0</v>
      </c>
      <c r="AG1515" s="59" t="s">
        <v>46</v>
      </c>
      <c r="AH1515" s="59" t="s">
        <v>1400</v>
      </c>
    </row>
    <row r="1516" spans="1:34" x14ac:dyDescent="0.35">
      <c r="A1516" s="58">
        <v>2025</v>
      </c>
      <c r="B1516" s="58">
        <v>7</v>
      </c>
      <c r="C1516">
        <v>7</v>
      </c>
      <c r="D1516" s="58" t="s">
        <v>619</v>
      </c>
      <c r="E1516" t="s">
        <v>146</v>
      </c>
      <c r="F1516" s="58" t="s">
        <v>178</v>
      </c>
      <c r="G1516" t="s">
        <v>981</v>
      </c>
      <c r="H1516" s="58" t="s">
        <v>4</v>
      </c>
      <c r="I1516" t="s">
        <v>4</v>
      </c>
      <c r="J1516" s="58" t="s">
        <v>4</v>
      </c>
      <c r="K1516" t="s">
        <v>1476</v>
      </c>
      <c r="L1516" t="s">
        <v>1068</v>
      </c>
      <c r="M1516" t="s">
        <v>1430</v>
      </c>
      <c r="N1516" s="59">
        <v>21500</v>
      </c>
      <c r="O1516" s="59">
        <v>675869700</v>
      </c>
      <c r="P1516" s="59">
        <v>1650000.3359375</v>
      </c>
      <c r="Q1516" s="59">
        <v>0</v>
      </c>
      <c r="R1516" s="59">
        <v>11910911</v>
      </c>
      <c r="S1516" s="59">
        <v>662308788.6640625</v>
      </c>
      <c r="T1516" s="41"/>
      <c r="U1516" s="41"/>
      <c r="V1516" s="41"/>
      <c r="W1516" s="41"/>
      <c r="X1516" s="41"/>
      <c r="Y1516" s="41"/>
      <c r="Z1516" s="41"/>
      <c r="AA1516" s="41"/>
      <c r="AB1516" s="41"/>
      <c r="AC1516" s="41"/>
      <c r="AD1516" s="41"/>
      <c r="AE1516" s="59">
        <v>25493.024967823807</v>
      </c>
      <c r="AF1516" s="59">
        <v>26015</v>
      </c>
      <c r="AG1516" s="59" t="s">
        <v>146</v>
      </c>
      <c r="AH1516" s="59" t="s">
        <v>1193</v>
      </c>
    </row>
    <row r="1517" spans="1:34" x14ac:dyDescent="0.35">
      <c r="A1517" s="58">
        <v>2025</v>
      </c>
      <c r="B1517" s="58">
        <v>7</v>
      </c>
      <c r="C1517">
        <v>7</v>
      </c>
      <c r="D1517" s="58" t="s">
        <v>619</v>
      </c>
      <c r="E1517" t="s">
        <v>146</v>
      </c>
      <c r="F1517" s="58" t="s">
        <v>1152</v>
      </c>
      <c r="G1517" t="s">
        <v>1153</v>
      </c>
      <c r="H1517" s="58" t="s">
        <v>1012</v>
      </c>
      <c r="I1517" t="s">
        <v>1012</v>
      </c>
      <c r="J1517" s="58" t="s">
        <v>1399</v>
      </c>
      <c r="K1517" t="s">
        <v>1429</v>
      </c>
      <c r="L1517" t="s">
        <v>20</v>
      </c>
      <c r="M1517" t="s">
        <v>1430</v>
      </c>
      <c r="N1517" s="59">
        <v>0</v>
      </c>
      <c r="O1517" s="59">
        <v>0</v>
      </c>
      <c r="P1517" s="59">
        <v>0</v>
      </c>
      <c r="Q1517" s="59">
        <v>0</v>
      </c>
      <c r="R1517" s="59">
        <v>1030000</v>
      </c>
      <c r="S1517" s="59">
        <v>-1030000</v>
      </c>
      <c r="T1517" s="41"/>
      <c r="U1517" s="41"/>
      <c r="V1517" s="41"/>
      <c r="W1517" s="41"/>
      <c r="X1517" s="41"/>
      <c r="Y1517" s="41"/>
      <c r="Z1517" s="41"/>
      <c r="AA1517" s="41"/>
      <c r="AB1517" s="41"/>
      <c r="AC1517" s="41"/>
      <c r="AD1517" s="41"/>
      <c r="AE1517" s="59">
        <v>-39.633589345588007</v>
      </c>
      <c r="AF1517" s="59">
        <v>0</v>
      </c>
      <c r="AG1517" s="59" t="s">
        <v>146</v>
      </c>
      <c r="AH1517" s="59" t="s">
        <v>1400</v>
      </c>
    </row>
    <row r="1518" spans="1:34" x14ac:dyDescent="0.35">
      <c r="A1518" s="58">
        <v>2025</v>
      </c>
      <c r="B1518" s="58">
        <v>7</v>
      </c>
      <c r="C1518">
        <v>7</v>
      </c>
      <c r="D1518" s="58" t="s">
        <v>598</v>
      </c>
      <c r="E1518" t="s">
        <v>35</v>
      </c>
      <c r="F1518" s="58" t="s">
        <v>1152</v>
      </c>
      <c r="G1518" t="s">
        <v>1153</v>
      </c>
      <c r="H1518" s="58" t="s">
        <v>1012</v>
      </c>
      <c r="I1518" t="s">
        <v>1012</v>
      </c>
      <c r="J1518" s="58" t="s">
        <v>1399</v>
      </c>
      <c r="K1518" t="s">
        <v>1429</v>
      </c>
      <c r="L1518" t="s">
        <v>20</v>
      </c>
      <c r="M1518" t="s">
        <v>1430</v>
      </c>
      <c r="N1518" s="59">
        <v>0</v>
      </c>
      <c r="O1518" s="59">
        <v>0</v>
      </c>
      <c r="P1518" s="59">
        <v>0</v>
      </c>
      <c r="Q1518" s="59">
        <v>5188000</v>
      </c>
      <c r="R1518" s="59">
        <v>0</v>
      </c>
      <c r="S1518" s="59">
        <v>-5188000</v>
      </c>
      <c r="T1518" s="41"/>
      <c r="U1518" s="41"/>
      <c r="V1518" s="41"/>
      <c r="W1518" s="41"/>
      <c r="X1518" s="41"/>
      <c r="Y1518" s="41"/>
      <c r="Z1518" s="41"/>
      <c r="AA1518" s="41"/>
      <c r="AB1518" s="41"/>
      <c r="AC1518" s="41"/>
      <c r="AD1518" s="41"/>
      <c r="AE1518" s="59">
        <v>-199.63015682030152</v>
      </c>
      <c r="AF1518" s="59">
        <v>0</v>
      </c>
      <c r="AG1518" s="59" t="s">
        <v>35</v>
      </c>
      <c r="AH1518" s="59" t="s">
        <v>1400</v>
      </c>
    </row>
    <row r="1519" spans="1:34" x14ac:dyDescent="0.35">
      <c r="A1519" s="58">
        <v>2025</v>
      </c>
      <c r="B1519" s="58">
        <v>7</v>
      </c>
      <c r="C1519">
        <v>7</v>
      </c>
      <c r="D1519" s="58" t="s">
        <v>1555</v>
      </c>
      <c r="E1519" t="s">
        <v>1289</v>
      </c>
      <c r="F1519" s="58" t="s">
        <v>1486</v>
      </c>
      <c r="G1519" t="s">
        <v>1487</v>
      </c>
      <c r="H1519" s="58" t="s">
        <v>1012</v>
      </c>
      <c r="I1519" t="s">
        <v>1012</v>
      </c>
      <c r="J1519" s="58" t="s">
        <v>1012</v>
      </c>
      <c r="K1519" t="s">
        <v>1429</v>
      </c>
      <c r="L1519" t="s">
        <v>20</v>
      </c>
      <c r="M1519" t="s">
        <v>1430</v>
      </c>
      <c r="N1519" s="59">
        <v>0</v>
      </c>
      <c r="O1519" s="59">
        <v>0</v>
      </c>
      <c r="P1519" s="59">
        <v>0</v>
      </c>
      <c r="Q1519" s="59">
        <v>0</v>
      </c>
      <c r="R1519" s="59">
        <v>0</v>
      </c>
      <c r="S1519" s="59">
        <v>0</v>
      </c>
      <c r="T1519" s="41"/>
      <c r="U1519" s="41"/>
      <c r="V1519" s="41"/>
      <c r="W1519" s="41"/>
      <c r="X1519" s="41"/>
      <c r="Y1519" s="41"/>
      <c r="Z1519" s="41"/>
      <c r="AA1519" s="41"/>
      <c r="AB1519" s="41"/>
      <c r="AC1519" s="41"/>
      <c r="AD1519" s="41"/>
      <c r="AE1519" s="59">
        <v>0</v>
      </c>
      <c r="AF1519" s="59">
        <v>0</v>
      </c>
      <c r="AG1519" s="59" t="s">
        <v>1289</v>
      </c>
      <c r="AH1519" s="59" t="s">
        <v>1317</v>
      </c>
    </row>
    <row r="1520" spans="1:34" x14ac:dyDescent="0.35">
      <c r="A1520" s="58">
        <v>2025</v>
      </c>
      <c r="B1520" s="58">
        <v>7</v>
      </c>
      <c r="C1520">
        <v>7</v>
      </c>
      <c r="D1520" s="58" t="s">
        <v>1620</v>
      </c>
      <c r="E1520" t="s">
        <v>1295</v>
      </c>
      <c r="F1520" s="58" t="s">
        <v>1468</v>
      </c>
      <c r="G1520" t="s">
        <v>1012</v>
      </c>
      <c r="H1520" s="58" t="s">
        <v>1012</v>
      </c>
      <c r="I1520" t="s">
        <v>1012</v>
      </c>
      <c r="J1520" s="58" t="s">
        <v>1012</v>
      </c>
      <c r="K1520" t="s">
        <v>1429</v>
      </c>
      <c r="L1520" t="s">
        <v>20</v>
      </c>
      <c r="M1520" t="s">
        <v>1430</v>
      </c>
      <c r="N1520" s="59">
        <v>0</v>
      </c>
      <c r="O1520" s="59">
        <v>0</v>
      </c>
      <c r="P1520" s="59">
        <v>0</v>
      </c>
      <c r="Q1520" s="59">
        <v>0</v>
      </c>
      <c r="R1520" s="59">
        <v>0</v>
      </c>
      <c r="S1520" s="59">
        <v>0</v>
      </c>
      <c r="T1520" s="41"/>
      <c r="U1520" s="41"/>
      <c r="V1520" s="41"/>
      <c r="W1520" s="41"/>
      <c r="X1520" s="41"/>
      <c r="Y1520" s="41"/>
      <c r="Z1520" s="41"/>
      <c r="AA1520" s="41"/>
      <c r="AB1520" s="41"/>
      <c r="AC1520" s="41"/>
      <c r="AD1520" s="41"/>
      <c r="AE1520" s="59">
        <v>0</v>
      </c>
      <c r="AF1520" s="59">
        <v>0</v>
      </c>
      <c r="AG1520" s="59" t="s">
        <v>1295</v>
      </c>
      <c r="AH1520" s="59" t="s">
        <v>1284</v>
      </c>
    </row>
    <row r="1521" spans="1:34" x14ac:dyDescent="0.35">
      <c r="A1521" s="58">
        <v>2025</v>
      </c>
      <c r="B1521" s="58">
        <v>7</v>
      </c>
      <c r="C1521">
        <v>7</v>
      </c>
      <c r="D1521" s="58" t="s">
        <v>1484</v>
      </c>
      <c r="E1521" t="s">
        <v>1298</v>
      </c>
      <c r="F1521" s="58" t="s">
        <v>1482</v>
      </c>
      <c r="G1521" t="s">
        <v>1483</v>
      </c>
      <c r="H1521" s="58" t="s">
        <v>1012</v>
      </c>
      <c r="I1521" t="s">
        <v>1012</v>
      </c>
      <c r="J1521" s="58" t="s">
        <v>1012</v>
      </c>
      <c r="K1521" t="s">
        <v>1429</v>
      </c>
      <c r="L1521" t="s">
        <v>20</v>
      </c>
      <c r="M1521" t="s">
        <v>1430</v>
      </c>
      <c r="N1521" s="59">
        <v>0</v>
      </c>
      <c r="O1521" s="59">
        <v>100500000</v>
      </c>
      <c r="P1521" s="59">
        <v>0</v>
      </c>
      <c r="Q1521" s="59">
        <v>0</v>
      </c>
      <c r="R1521" s="59">
        <v>0</v>
      </c>
      <c r="S1521" s="59">
        <v>100500000</v>
      </c>
      <c r="T1521" s="41"/>
      <c r="U1521" s="41"/>
      <c r="V1521" s="41"/>
      <c r="W1521" s="41"/>
      <c r="X1521" s="41"/>
      <c r="Y1521" s="41"/>
      <c r="Z1521" s="41"/>
      <c r="AA1521" s="41"/>
      <c r="AB1521" s="41"/>
      <c r="AC1521" s="41"/>
      <c r="AD1521" s="41"/>
      <c r="AE1521" s="59">
        <v>3867.1609021665968</v>
      </c>
      <c r="AF1521" s="59">
        <v>3867.1609021665968</v>
      </c>
      <c r="AG1521" s="59" t="s">
        <v>1298</v>
      </c>
      <c r="AH1521" s="59" t="s">
        <v>1325</v>
      </c>
    </row>
    <row r="1522" spans="1:34" x14ac:dyDescent="0.35">
      <c r="A1522" s="58">
        <v>2025</v>
      </c>
      <c r="B1522" s="58">
        <v>7</v>
      </c>
      <c r="C1522">
        <v>7</v>
      </c>
      <c r="D1522" s="58" t="s">
        <v>1485</v>
      </c>
      <c r="E1522" t="s">
        <v>1318</v>
      </c>
      <c r="F1522" s="58" t="s">
        <v>1486</v>
      </c>
      <c r="G1522" t="s">
        <v>1487</v>
      </c>
      <c r="H1522" s="58" t="s">
        <v>1012</v>
      </c>
      <c r="I1522" t="s">
        <v>1012</v>
      </c>
      <c r="J1522" s="58" t="s">
        <v>1012</v>
      </c>
      <c r="K1522" t="s">
        <v>1429</v>
      </c>
      <c r="L1522" t="s">
        <v>20</v>
      </c>
      <c r="M1522" t="s">
        <v>1430</v>
      </c>
      <c r="N1522" s="59">
        <v>0</v>
      </c>
      <c r="O1522" s="59">
        <v>0</v>
      </c>
      <c r="P1522" s="59">
        <v>0</v>
      </c>
      <c r="Q1522" s="59">
        <v>0</v>
      </c>
      <c r="R1522" s="59">
        <v>0</v>
      </c>
      <c r="S1522" s="59">
        <v>0</v>
      </c>
      <c r="T1522" s="41"/>
      <c r="U1522" s="41"/>
      <c r="V1522" s="41"/>
      <c r="W1522" s="41"/>
      <c r="X1522" s="41"/>
      <c r="Y1522" s="41"/>
      <c r="Z1522" s="41"/>
      <c r="AA1522" s="41"/>
      <c r="AB1522" s="41"/>
      <c r="AC1522" s="41"/>
      <c r="AD1522" s="41"/>
      <c r="AE1522" s="59">
        <v>0</v>
      </c>
      <c r="AF1522" s="59">
        <v>0</v>
      </c>
      <c r="AG1522" s="59" t="s">
        <v>1318</v>
      </c>
      <c r="AH1522" s="59" t="s">
        <v>1317</v>
      </c>
    </row>
    <row r="1523" spans="1:34" x14ac:dyDescent="0.35">
      <c r="A1523" s="58">
        <v>2025</v>
      </c>
      <c r="B1523" s="58">
        <v>7</v>
      </c>
      <c r="C1523">
        <v>7</v>
      </c>
      <c r="D1523" s="58" t="s">
        <v>1653</v>
      </c>
      <c r="E1523" t="s">
        <v>1281</v>
      </c>
      <c r="F1523" s="58" t="s">
        <v>1524</v>
      </c>
      <c r="G1523" t="s">
        <v>1525</v>
      </c>
      <c r="H1523" s="58" t="s">
        <v>1012</v>
      </c>
      <c r="I1523" t="s">
        <v>1012</v>
      </c>
      <c r="J1523" s="58" t="s">
        <v>1012</v>
      </c>
      <c r="K1523" t="s">
        <v>1429</v>
      </c>
      <c r="L1523" t="s">
        <v>20</v>
      </c>
      <c r="M1523" t="s">
        <v>1430</v>
      </c>
      <c r="N1523" s="59">
        <v>0</v>
      </c>
      <c r="O1523" s="59">
        <v>0</v>
      </c>
      <c r="P1523" s="59">
        <v>0</v>
      </c>
      <c r="Q1523" s="59">
        <v>0</v>
      </c>
      <c r="R1523" s="59">
        <v>0</v>
      </c>
      <c r="S1523" s="59">
        <v>0</v>
      </c>
      <c r="T1523" s="41"/>
      <c r="U1523" s="41"/>
      <c r="V1523" s="41"/>
      <c r="W1523" s="41"/>
      <c r="X1523" s="41"/>
      <c r="Y1523" s="41"/>
      <c r="Z1523" s="41"/>
      <c r="AA1523" s="41"/>
      <c r="AB1523" s="41"/>
      <c r="AC1523" s="41"/>
      <c r="AD1523" s="41"/>
      <c r="AE1523" s="59">
        <v>0</v>
      </c>
      <c r="AF1523" s="59">
        <v>0</v>
      </c>
      <c r="AG1523" s="59" t="s">
        <v>1281</v>
      </c>
      <c r="AH1523" s="59" t="s">
        <v>1277</v>
      </c>
    </row>
    <row r="1524" spans="1:34" x14ac:dyDescent="0.35">
      <c r="A1524" s="58">
        <v>2025</v>
      </c>
      <c r="B1524" s="58">
        <v>7</v>
      </c>
      <c r="C1524">
        <v>7</v>
      </c>
      <c r="D1524" s="58" t="s">
        <v>1488</v>
      </c>
      <c r="E1524" t="s">
        <v>1275</v>
      </c>
      <c r="F1524" s="58" t="s">
        <v>1468</v>
      </c>
      <c r="G1524" t="s">
        <v>1012</v>
      </c>
      <c r="H1524" s="58" t="s">
        <v>1012</v>
      </c>
      <c r="I1524" t="s">
        <v>1012</v>
      </c>
      <c r="J1524" s="58" t="s">
        <v>1012</v>
      </c>
      <c r="K1524" t="s">
        <v>1429</v>
      </c>
      <c r="L1524" t="s">
        <v>20</v>
      </c>
      <c r="M1524" t="s">
        <v>1430</v>
      </c>
      <c r="N1524" s="59">
        <v>0</v>
      </c>
      <c r="O1524" s="59">
        <v>0</v>
      </c>
      <c r="P1524" s="59">
        <v>0</v>
      </c>
      <c r="Q1524" s="59">
        <v>0</v>
      </c>
      <c r="R1524" s="59">
        <v>0</v>
      </c>
      <c r="S1524" s="59">
        <v>0</v>
      </c>
      <c r="T1524" s="41"/>
      <c r="U1524" s="41"/>
      <c r="V1524" s="41"/>
      <c r="W1524" s="41"/>
      <c r="X1524" s="41"/>
      <c r="Y1524" s="41"/>
      <c r="Z1524" s="41"/>
      <c r="AA1524" s="41"/>
      <c r="AB1524" s="41"/>
      <c r="AC1524" s="41"/>
      <c r="AD1524" s="41"/>
      <c r="AE1524" s="59">
        <v>0</v>
      </c>
      <c r="AF1524" s="59">
        <v>0</v>
      </c>
      <c r="AG1524" s="59" t="s">
        <v>1275</v>
      </c>
      <c r="AH1524" s="59" t="s">
        <v>1284</v>
      </c>
    </row>
    <row r="1525" spans="1:34" x14ac:dyDescent="0.35">
      <c r="A1525" s="58">
        <v>2025</v>
      </c>
      <c r="B1525" s="58">
        <v>7</v>
      </c>
      <c r="C1525">
        <v>7</v>
      </c>
      <c r="D1525" s="58" t="s">
        <v>1648</v>
      </c>
      <c r="E1525" t="s">
        <v>1287</v>
      </c>
      <c r="F1525" s="58" t="s">
        <v>1468</v>
      </c>
      <c r="G1525" t="s">
        <v>1012</v>
      </c>
      <c r="H1525" s="58" t="s">
        <v>1012</v>
      </c>
      <c r="I1525" t="s">
        <v>1012</v>
      </c>
      <c r="J1525" s="58" t="s">
        <v>1012</v>
      </c>
      <c r="K1525" t="s">
        <v>1429</v>
      </c>
      <c r="L1525" t="s">
        <v>20</v>
      </c>
      <c r="M1525" t="s">
        <v>1430</v>
      </c>
      <c r="N1525" s="59">
        <v>0</v>
      </c>
      <c r="O1525" s="59">
        <v>-122770660</v>
      </c>
      <c r="P1525" s="59">
        <v>0</v>
      </c>
      <c r="Q1525" s="59">
        <v>0</v>
      </c>
      <c r="R1525" s="59">
        <v>0</v>
      </c>
      <c r="S1525" s="59">
        <v>-122770660</v>
      </c>
      <c r="T1525" s="41"/>
      <c r="U1525" s="41"/>
      <c r="V1525" s="41"/>
      <c r="W1525" s="41"/>
      <c r="X1525" s="41"/>
      <c r="Y1525" s="41"/>
      <c r="Z1525" s="41"/>
      <c r="AA1525" s="41"/>
      <c r="AB1525" s="41"/>
      <c r="AC1525" s="41"/>
      <c r="AD1525" s="41"/>
      <c r="AE1525" s="59">
        <v>-4724.1183709969009</v>
      </c>
      <c r="AF1525" s="59">
        <v>-4724.1183709969009</v>
      </c>
      <c r="AG1525" s="59" t="s">
        <v>1287</v>
      </c>
      <c r="AH1525" s="59" t="s">
        <v>1284</v>
      </c>
    </row>
    <row r="1526" spans="1:34" x14ac:dyDescent="0.35">
      <c r="A1526" s="58">
        <v>2025</v>
      </c>
      <c r="B1526" s="58">
        <v>7</v>
      </c>
      <c r="C1526">
        <v>7</v>
      </c>
      <c r="D1526" s="58" t="s">
        <v>1491</v>
      </c>
      <c r="E1526" t="s">
        <v>1264</v>
      </c>
      <c r="F1526" s="58" t="s">
        <v>1492</v>
      </c>
      <c r="G1526" t="s">
        <v>1493</v>
      </c>
      <c r="H1526" s="58" t="s">
        <v>1012</v>
      </c>
      <c r="I1526" t="s">
        <v>1012</v>
      </c>
      <c r="J1526" s="58" t="s">
        <v>1012</v>
      </c>
      <c r="K1526" t="s">
        <v>1429</v>
      </c>
      <c r="L1526" t="s">
        <v>20</v>
      </c>
      <c r="M1526" t="s">
        <v>1430</v>
      </c>
      <c r="N1526" s="59">
        <v>0</v>
      </c>
      <c r="O1526" s="59">
        <v>0</v>
      </c>
      <c r="P1526" s="59">
        <v>12968871.162169933</v>
      </c>
      <c r="Q1526" s="59">
        <v>0</v>
      </c>
      <c r="R1526" s="59">
        <v>49438151.444444388</v>
      </c>
      <c r="S1526" s="59">
        <v>-62407022.606614321</v>
      </c>
      <c r="T1526" s="41"/>
      <c r="U1526" s="41"/>
      <c r="V1526" s="41"/>
      <c r="W1526" s="41"/>
      <c r="X1526" s="41"/>
      <c r="Y1526" s="41"/>
      <c r="Z1526" s="41"/>
      <c r="AA1526" s="41"/>
      <c r="AB1526" s="41"/>
      <c r="AC1526" s="41"/>
      <c r="AD1526" s="41"/>
      <c r="AE1526" s="59">
        <v>-2401.373112884834</v>
      </c>
      <c r="AF1526" s="59">
        <v>0</v>
      </c>
      <c r="AG1526" s="59" t="s">
        <v>1264</v>
      </c>
      <c r="AH1526" s="59" t="s">
        <v>1269</v>
      </c>
    </row>
    <row r="1527" spans="1:34" x14ac:dyDescent="0.35">
      <c r="A1527" s="58">
        <v>2025</v>
      </c>
      <c r="B1527" s="58">
        <v>7</v>
      </c>
      <c r="C1527">
        <v>7</v>
      </c>
      <c r="D1527" s="58" t="s">
        <v>1491</v>
      </c>
      <c r="E1527" t="s">
        <v>1264</v>
      </c>
      <c r="F1527" s="58" t="s">
        <v>1152</v>
      </c>
      <c r="G1527" t="s">
        <v>1153</v>
      </c>
      <c r="H1527" s="58" t="s">
        <v>1012</v>
      </c>
      <c r="I1527" t="s">
        <v>1012</v>
      </c>
      <c r="J1527" s="58" t="s">
        <v>1399</v>
      </c>
      <c r="K1527" t="s">
        <v>1429</v>
      </c>
      <c r="L1527" t="s">
        <v>20</v>
      </c>
      <c r="M1527" t="s">
        <v>1430</v>
      </c>
      <c r="N1527" s="59">
        <v>0</v>
      </c>
      <c r="O1527" s="59">
        <v>0</v>
      </c>
      <c r="P1527" s="59">
        <v>0</v>
      </c>
      <c r="Q1527" s="59">
        <v>0</v>
      </c>
      <c r="R1527" s="59">
        <v>2650000</v>
      </c>
      <c r="S1527" s="59">
        <v>-2650000</v>
      </c>
      <c r="T1527" s="41"/>
      <c r="U1527" s="41"/>
      <c r="V1527" s="41"/>
      <c r="W1527" s="41"/>
      <c r="X1527" s="41"/>
      <c r="Y1527" s="41"/>
      <c r="Z1527" s="41"/>
      <c r="AA1527" s="41"/>
      <c r="AB1527" s="41"/>
      <c r="AC1527" s="41"/>
      <c r="AD1527" s="41"/>
      <c r="AE1527" s="59">
        <v>-101.96991433573614</v>
      </c>
      <c r="AF1527" s="59">
        <v>0</v>
      </c>
      <c r="AG1527" s="59" t="s">
        <v>1264</v>
      </c>
      <c r="AH1527" s="59" t="s">
        <v>1400</v>
      </c>
    </row>
    <row r="1528" spans="1:34" x14ac:dyDescent="0.35">
      <c r="A1528" s="58">
        <v>2025</v>
      </c>
      <c r="B1528" s="58">
        <v>7</v>
      </c>
      <c r="C1528">
        <v>7</v>
      </c>
      <c r="D1528" s="58" t="s">
        <v>1491</v>
      </c>
      <c r="E1528" t="s">
        <v>1264</v>
      </c>
      <c r="F1528" s="58" t="s">
        <v>1524</v>
      </c>
      <c r="G1528" t="s">
        <v>1525</v>
      </c>
      <c r="H1528" s="58" t="s">
        <v>1012</v>
      </c>
      <c r="I1528" t="s">
        <v>1012</v>
      </c>
      <c r="J1528" s="58" t="s">
        <v>1012</v>
      </c>
      <c r="K1528" t="s">
        <v>1429</v>
      </c>
      <c r="L1528" t="s">
        <v>20</v>
      </c>
      <c r="M1528" t="s">
        <v>1430</v>
      </c>
      <c r="N1528" s="59">
        <v>0</v>
      </c>
      <c r="O1528" s="59">
        <v>0</v>
      </c>
      <c r="P1528" s="59">
        <v>0</v>
      </c>
      <c r="Q1528" s="59">
        <v>0</v>
      </c>
      <c r="R1528" s="59">
        <v>0</v>
      </c>
      <c r="S1528" s="59">
        <v>0</v>
      </c>
      <c r="T1528" s="41"/>
      <c r="U1528" s="41"/>
      <c r="V1528" s="41"/>
      <c r="W1528" s="41"/>
      <c r="X1528" s="41"/>
      <c r="Y1528" s="41"/>
      <c r="Z1528" s="41"/>
      <c r="AA1528" s="41"/>
      <c r="AB1528" s="41"/>
      <c r="AC1528" s="41"/>
      <c r="AD1528" s="41"/>
      <c r="AE1528" s="59">
        <v>0</v>
      </c>
      <c r="AF1528" s="59">
        <v>0</v>
      </c>
      <c r="AG1528" s="59" t="s">
        <v>1264</v>
      </c>
      <c r="AH1528" s="59" t="s">
        <v>1277</v>
      </c>
    </row>
    <row r="1529" spans="1:34" x14ac:dyDescent="0.35">
      <c r="A1529" s="58">
        <v>2025</v>
      </c>
      <c r="B1529" s="58">
        <v>7</v>
      </c>
      <c r="C1529">
        <v>7</v>
      </c>
      <c r="D1529" s="58" t="s">
        <v>1491</v>
      </c>
      <c r="E1529" t="s">
        <v>1264</v>
      </c>
      <c r="F1529" s="58" t="s">
        <v>1496</v>
      </c>
      <c r="G1529" t="s">
        <v>1497</v>
      </c>
      <c r="H1529" s="58" t="s">
        <v>1012</v>
      </c>
      <c r="I1529" t="s">
        <v>1012</v>
      </c>
      <c r="J1529" s="58" t="s">
        <v>1012</v>
      </c>
      <c r="K1529" t="s">
        <v>1429</v>
      </c>
      <c r="L1529" t="s">
        <v>20</v>
      </c>
      <c r="M1529" t="s">
        <v>1430</v>
      </c>
      <c r="N1529" s="59">
        <v>0</v>
      </c>
      <c r="O1529" s="59">
        <v>0</v>
      </c>
      <c r="P1529" s="59">
        <v>0</v>
      </c>
      <c r="Q1529" s="59">
        <v>0</v>
      </c>
      <c r="R1529" s="59">
        <v>0</v>
      </c>
      <c r="S1529" s="59">
        <v>0</v>
      </c>
      <c r="T1529" s="41"/>
      <c r="U1529" s="41"/>
      <c r="V1529" s="41"/>
      <c r="W1529" s="41"/>
      <c r="X1529" s="41"/>
      <c r="Y1529" s="41"/>
      <c r="Z1529" s="41"/>
      <c r="AA1529" s="41"/>
      <c r="AB1529" s="41"/>
      <c r="AC1529" s="41"/>
      <c r="AD1529" s="41"/>
      <c r="AE1529" s="59">
        <v>0</v>
      </c>
      <c r="AF1529" s="59">
        <v>0</v>
      </c>
      <c r="AG1529" s="59" t="s">
        <v>1264</v>
      </c>
      <c r="AH1529" s="59" t="s">
        <v>1329</v>
      </c>
    </row>
    <row r="1530" spans="1:34" x14ac:dyDescent="0.35">
      <c r="A1530" s="58">
        <v>2025</v>
      </c>
      <c r="B1530" s="58">
        <v>8</v>
      </c>
      <c r="C1530">
        <v>8</v>
      </c>
      <c r="D1530" s="58" t="s">
        <v>625</v>
      </c>
      <c r="E1530" t="s">
        <v>271</v>
      </c>
      <c r="F1530" s="58" t="s">
        <v>171</v>
      </c>
      <c r="G1530" t="s">
        <v>731</v>
      </c>
      <c r="H1530" s="58" t="s">
        <v>4</v>
      </c>
      <c r="I1530" t="s">
        <v>4</v>
      </c>
      <c r="J1530" s="58" t="s">
        <v>4</v>
      </c>
      <c r="K1530" t="s">
        <v>1429</v>
      </c>
      <c r="L1530" t="s">
        <v>20</v>
      </c>
      <c r="M1530" t="s">
        <v>1430</v>
      </c>
      <c r="N1530" s="59">
        <v>5500</v>
      </c>
      <c r="O1530" s="59">
        <v>179712500</v>
      </c>
      <c r="P1530" s="59">
        <v>828780.29757785471</v>
      </c>
      <c r="Q1530" s="59">
        <v>0</v>
      </c>
      <c r="R1530" s="59">
        <v>0</v>
      </c>
      <c r="S1530" s="59">
        <v>178883719.70242214</v>
      </c>
      <c r="T1530" s="41"/>
      <c r="U1530" s="41"/>
      <c r="V1530" s="41"/>
      <c r="W1530" s="41"/>
      <c r="X1530" s="41"/>
      <c r="Y1530" s="41"/>
      <c r="Z1530" s="41"/>
      <c r="AA1530" s="41"/>
      <c r="AB1530" s="41"/>
      <c r="AC1530" s="41"/>
      <c r="AD1530" s="41"/>
      <c r="AE1530" s="59">
        <v>6845.1365395521116</v>
      </c>
      <c r="AF1530" s="59">
        <v>6876.8505172558871</v>
      </c>
      <c r="AG1530" s="59" t="s">
        <v>47</v>
      </c>
      <c r="AH1530" s="59" t="s">
        <v>1166</v>
      </c>
    </row>
    <row r="1531" spans="1:34" x14ac:dyDescent="0.35">
      <c r="A1531" s="58">
        <v>2025</v>
      </c>
      <c r="B1531" s="58">
        <v>8</v>
      </c>
      <c r="C1531">
        <v>8</v>
      </c>
      <c r="D1531" s="58" t="s">
        <v>625</v>
      </c>
      <c r="E1531" t="s">
        <v>271</v>
      </c>
      <c r="F1531" s="58" t="s">
        <v>194</v>
      </c>
      <c r="G1531" t="s">
        <v>743</v>
      </c>
      <c r="H1531" s="58" t="s">
        <v>1428</v>
      </c>
      <c r="I1531" t="s">
        <v>76</v>
      </c>
      <c r="J1531" s="58" t="s">
        <v>76</v>
      </c>
      <c r="K1531" t="s">
        <v>1429</v>
      </c>
      <c r="L1531" t="s">
        <v>20</v>
      </c>
      <c r="M1531" t="s">
        <v>1430</v>
      </c>
      <c r="N1531" s="59">
        <v>16500</v>
      </c>
      <c r="O1531" s="59">
        <v>330000000</v>
      </c>
      <c r="P1531" s="59">
        <v>0</v>
      </c>
      <c r="Q1531" s="59">
        <v>0</v>
      </c>
      <c r="R1531" s="59">
        <v>0</v>
      </c>
      <c r="S1531" s="59">
        <v>330000000</v>
      </c>
      <c r="T1531" s="41"/>
      <c r="U1531" s="41"/>
      <c r="V1531" s="41"/>
      <c r="W1531" s="41"/>
      <c r="X1531" s="41"/>
      <c r="Y1531" s="41"/>
      <c r="Z1531" s="41"/>
      <c r="AA1531" s="41"/>
      <c r="AB1531" s="41"/>
      <c r="AC1531" s="41"/>
      <c r="AD1531" s="41"/>
      <c r="AE1531" s="59">
        <v>12627.728570324507</v>
      </c>
      <c r="AF1531" s="59">
        <v>12627.728570324507</v>
      </c>
      <c r="AG1531" s="59" t="s">
        <v>47</v>
      </c>
      <c r="AH1531" s="59" t="s">
        <v>1246</v>
      </c>
    </row>
    <row r="1532" spans="1:34" x14ac:dyDescent="0.35">
      <c r="A1532" s="58">
        <v>2025</v>
      </c>
      <c r="B1532" s="58">
        <v>8</v>
      </c>
      <c r="C1532">
        <v>8</v>
      </c>
      <c r="D1532" s="58" t="s">
        <v>625</v>
      </c>
      <c r="E1532" t="s">
        <v>271</v>
      </c>
      <c r="F1532" s="58" t="s">
        <v>195</v>
      </c>
      <c r="G1532" t="s">
        <v>746</v>
      </c>
      <c r="H1532" s="58" t="s">
        <v>1428</v>
      </c>
      <c r="I1532" t="s">
        <v>76</v>
      </c>
      <c r="J1532" s="58" t="s">
        <v>76</v>
      </c>
      <c r="K1532" t="s">
        <v>1429</v>
      </c>
      <c r="L1532" t="s">
        <v>20</v>
      </c>
      <c r="M1532" t="s">
        <v>1430</v>
      </c>
      <c r="N1532" s="59">
        <v>5500</v>
      </c>
      <c r="O1532" s="59">
        <v>110000000</v>
      </c>
      <c r="P1532" s="59">
        <v>0</v>
      </c>
      <c r="Q1532" s="59">
        <v>0</v>
      </c>
      <c r="R1532" s="59">
        <v>0</v>
      </c>
      <c r="S1532" s="59">
        <v>110000000</v>
      </c>
      <c r="T1532" s="41"/>
      <c r="U1532" s="41"/>
      <c r="V1532" s="41"/>
      <c r="W1532" s="41"/>
      <c r="X1532" s="41"/>
      <c r="Y1532" s="41"/>
      <c r="Z1532" s="41"/>
      <c r="AA1532" s="41"/>
      <c r="AB1532" s="41"/>
      <c r="AC1532" s="41"/>
      <c r="AD1532" s="41"/>
      <c r="AE1532" s="59">
        <v>4209.2428567748357</v>
      </c>
      <c r="AF1532" s="59">
        <v>4209.2428567748357</v>
      </c>
      <c r="AG1532" s="59" t="s">
        <v>47</v>
      </c>
      <c r="AH1532" s="59" t="s">
        <v>1247</v>
      </c>
    </row>
    <row r="1533" spans="1:34" x14ac:dyDescent="0.35">
      <c r="A1533" s="58">
        <v>2025</v>
      </c>
      <c r="B1533" s="58">
        <v>8</v>
      </c>
      <c r="C1533">
        <v>8</v>
      </c>
      <c r="D1533" s="58" t="s">
        <v>1665</v>
      </c>
      <c r="E1533" t="s">
        <v>1303</v>
      </c>
      <c r="F1533" s="58" t="s">
        <v>1468</v>
      </c>
      <c r="G1533" t="s">
        <v>1012</v>
      </c>
      <c r="H1533" s="58" t="s">
        <v>1012</v>
      </c>
      <c r="I1533" t="s">
        <v>1012</v>
      </c>
      <c r="J1533" s="58" t="s">
        <v>1012</v>
      </c>
      <c r="K1533" t="s">
        <v>1429</v>
      </c>
      <c r="L1533" t="s">
        <v>20</v>
      </c>
      <c r="M1533" t="s">
        <v>1430</v>
      </c>
      <c r="N1533" s="59">
        <v>0</v>
      </c>
      <c r="O1533" s="59">
        <v>0</v>
      </c>
      <c r="P1533" s="59">
        <v>0</v>
      </c>
      <c r="Q1533" s="59">
        <v>0</v>
      </c>
      <c r="R1533" s="59">
        <v>0</v>
      </c>
      <c r="S1533" s="59">
        <v>0</v>
      </c>
      <c r="T1533" s="41"/>
      <c r="U1533" s="41"/>
      <c r="V1533" s="41"/>
      <c r="W1533" s="41"/>
      <c r="X1533" s="41"/>
      <c r="Y1533" s="41"/>
      <c r="Z1533" s="41"/>
      <c r="AA1533" s="41"/>
      <c r="AB1533" s="41"/>
      <c r="AC1533" s="41"/>
      <c r="AD1533" s="41"/>
      <c r="AE1533" s="59">
        <v>0</v>
      </c>
      <c r="AF1533" s="59">
        <v>0</v>
      </c>
      <c r="AG1533" s="59" t="s">
        <v>1303</v>
      </c>
      <c r="AH1533" s="59" t="s">
        <v>1284</v>
      </c>
    </row>
    <row r="1534" spans="1:34" x14ac:dyDescent="0.35">
      <c r="A1534" s="58">
        <v>2025</v>
      </c>
      <c r="B1534" s="58">
        <v>8</v>
      </c>
      <c r="C1534">
        <v>8</v>
      </c>
      <c r="D1534" s="58" t="s">
        <v>1433</v>
      </c>
      <c r="E1534" t="s">
        <v>1276</v>
      </c>
      <c r="F1534" s="58" t="s">
        <v>1434</v>
      </c>
      <c r="G1534" t="s">
        <v>1435</v>
      </c>
      <c r="H1534" s="58" t="s">
        <v>1012</v>
      </c>
      <c r="I1534" t="s">
        <v>1012</v>
      </c>
      <c r="J1534" s="58" t="s">
        <v>1012</v>
      </c>
      <c r="K1534" t="s">
        <v>1429</v>
      </c>
      <c r="L1534" t="s">
        <v>20</v>
      </c>
      <c r="M1534" t="s">
        <v>1430</v>
      </c>
      <c r="N1534" s="59">
        <v>0</v>
      </c>
      <c r="O1534" s="59">
        <v>0</v>
      </c>
      <c r="P1534" s="59">
        <v>0</v>
      </c>
      <c r="Q1534" s="59">
        <v>0</v>
      </c>
      <c r="R1534" s="59">
        <v>0</v>
      </c>
      <c r="S1534" s="59">
        <v>0</v>
      </c>
      <c r="T1534" s="41"/>
      <c r="U1534" s="41"/>
      <c r="V1534" s="41"/>
      <c r="W1534" s="41"/>
      <c r="X1534" s="41"/>
      <c r="Y1534" s="41"/>
      <c r="Z1534" s="41"/>
      <c r="AA1534" s="41"/>
      <c r="AB1534" s="41"/>
      <c r="AC1534" s="41"/>
      <c r="AD1534" s="41"/>
      <c r="AE1534" s="59">
        <v>0</v>
      </c>
      <c r="AF1534" s="59">
        <v>0</v>
      </c>
      <c r="AG1534" s="59" t="s">
        <v>1276</v>
      </c>
      <c r="AH1534" s="59" t="s">
        <v>1319</v>
      </c>
    </row>
    <row r="1535" spans="1:34" x14ac:dyDescent="0.35">
      <c r="A1535" s="58">
        <v>2025</v>
      </c>
      <c r="B1535" s="58">
        <v>8</v>
      </c>
      <c r="C1535">
        <v>8</v>
      </c>
      <c r="D1535" s="58" t="s">
        <v>609</v>
      </c>
      <c r="E1535" t="s">
        <v>263</v>
      </c>
      <c r="F1535" s="58" t="s">
        <v>1152</v>
      </c>
      <c r="G1535" t="s">
        <v>1153</v>
      </c>
      <c r="H1535" s="58" t="s">
        <v>1012</v>
      </c>
      <c r="I1535" t="s">
        <v>1012</v>
      </c>
      <c r="J1535" s="58" t="s">
        <v>1399</v>
      </c>
      <c r="K1535" t="s">
        <v>1429</v>
      </c>
      <c r="L1535" t="s">
        <v>20</v>
      </c>
      <c r="M1535" t="s">
        <v>1430</v>
      </c>
      <c r="N1535" s="59">
        <v>0</v>
      </c>
      <c r="O1535" s="59">
        <v>0</v>
      </c>
      <c r="P1535" s="59">
        <v>0</v>
      </c>
      <c r="Q1535" s="59">
        <v>0</v>
      </c>
      <c r="R1535" s="59">
        <v>33880000</v>
      </c>
      <c r="S1535" s="59">
        <v>-33880000</v>
      </c>
      <c r="T1535" s="41"/>
      <c r="U1535" s="41"/>
      <c r="V1535" s="41"/>
      <c r="W1535" s="41"/>
      <c r="X1535" s="41"/>
      <c r="Y1535" s="41"/>
      <c r="Z1535" s="41"/>
      <c r="AA1535" s="41"/>
      <c r="AB1535" s="41"/>
      <c r="AC1535" s="41"/>
      <c r="AD1535" s="41"/>
      <c r="AE1535" s="59">
        <v>-1296.4467998866492</v>
      </c>
      <c r="AF1535" s="59">
        <v>0</v>
      </c>
      <c r="AG1535" s="59" t="s">
        <v>15</v>
      </c>
      <c r="AH1535" s="59" t="s">
        <v>1400</v>
      </c>
    </row>
    <row r="1536" spans="1:34" x14ac:dyDescent="0.35">
      <c r="A1536" s="58">
        <v>2025</v>
      </c>
      <c r="B1536" s="58">
        <v>8</v>
      </c>
      <c r="C1536">
        <v>8</v>
      </c>
      <c r="D1536" s="58" t="s">
        <v>589</v>
      </c>
      <c r="E1536" t="s">
        <v>322</v>
      </c>
      <c r="F1536" s="58" t="s">
        <v>171</v>
      </c>
      <c r="G1536" t="s">
        <v>731</v>
      </c>
      <c r="H1536" s="58" t="s">
        <v>4</v>
      </c>
      <c r="I1536" t="s">
        <v>4</v>
      </c>
      <c r="J1536" s="58" t="s">
        <v>4</v>
      </c>
      <c r="K1536" t="s">
        <v>1429</v>
      </c>
      <c r="L1536" t="s">
        <v>20</v>
      </c>
      <c r="M1536" t="s">
        <v>1430</v>
      </c>
      <c r="N1536" s="59">
        <v>330000</v>
      </c>
      <c r="O1536" s="59">
        <v>10970850000</v>
      </c>
      <c r="P1536" s="59">
        <v>49726817.85467127</v>
      </c>
      <c r="Q1536" s="59">
        <v>0</v>
      </c>
      <c r="R1536" s="59">
        <v>46200000</v>
      </c>
      <c r="S1536" s="59">
        <v>10874923182.145329</v>
      </c>
      <c r="T1536" s="41"/>
      <c r="U1536" s="41"/>
      <c r="V1536" s="41"/>
      <c r="W1536" s="41"/>
      <c r="X1536" s="41"/>
      <c r="Y1536" s="41"/>
      <c r="Z1536" s="41"/>
      <c r="AA1536" s="41"/>
      <c r="AB1536" s="41"/>
      <c r="AC1536" s="41"/>
      <c r="AD1536" s="41"/>
      <c r="AE1536" s="59">
        <v>416138.11565836635</v>
      </c>
      <c r="AF1536" s="59">
        <v>419808.83632043807</v>
      </c>
      <c r="AG1536" s="59" t="s">
        <v>5</v>
      </c>
      <c r="AH1536" s="59" t="s">
        <v>1166</v>
      </c>
    </row>
    <row r="1537" spans="1:34" x14ac:dyDescent="0.35">
      <c r="A1537" s="58">
        <v>2025</v>
      </c>
      <c r="B1537" s="58">
        <v>8</v>
      </c>
      <c r="C1537">
        <v>8</v>
      </c>
      <c r="D1537" s="58" t="s">
        <v>589</v>
      </c>
      <c r="E1537" t="s">
        <v>322</v>
      </c>
      <c r="F1537" s="58" t="s">
        <v>1152</v>
      </c>
      <c r="G1537" t="s">
        <v>1153</v>
      </c>
      <c r="H1537" s="58" t="s">
        <v>1012</v>
      </c>
      <c r="I1537" t="s">
        <v>1012</v>
      </c>
      <c r="J1537" s="58" t="s">
        <v>1399</v>
      </c>
      <c r="K1537" t="s">
        <v>1429</v>
      </c>
      <c r="L1537" t="s">
        <v>20</v>
      </c>
      <c r="M1537" t="s">
        <v>1430</v>
      </c>
      <c r="N1537" s="59">
        <v>0</v>
      </c>
      <c r="O1537" s="59">
        <v>0</v>
      </c>
      <c r="P1537" s="59">
        <v>0</v>
      </c>
      <c r="Q1537" s="59">
        <v>0</v>
      </c>
      <c r="R1537" s="59">
        <v>-9240000</v>
      </c>
      <c r="S1537" s="59">
        <v>9240000</v>
      </c>
      <c r="T1537" s="41"/>
      <c r="U1537" s="41"/>
      <c r="V1537" s="41"/>
      <c r="W1537" s="41"/>
      <c r="X1537" s="41"/>
      <c r="Y1537" s="41"/>
      <c r="Z1537" s="41"/>
      <c r="AA1537" s="41"/>
      <c r="AB1537" s="41"/>
      <c r="AC1537" s="41"/>
      <c r="AD1537" s="41"/>
      <c r="AE1537" s="59">
        <v>353.57639996908614</v>
      </c>
      <c r="AF1537" s="59">
        <v>0</v>
      </c>
      <c r="AG1537" s="59" t="s">
        <v>5</v>
      </c>
      <c r="AH1537" s="59" t="s">
        <v>1400</v>
      </c>
    </row>
    <row r="1538" spans="1:34" x14ac:dyDescent="0.35">
      <c r="A1538" s="58">
        <v>2025</v>
      </c>
      <c r="B1538" s="58">
        <v>8</v>
      </c>
      <c r="C1538">
        <v>8</v>
      </c>
      <c r="D1538" s="58" t="s">
        <v>621</v>
      </c>
      <c r="E1538" t="s">
        <v>257</v>
      </c>
      <c r="F1538" s="58" t="s">
        <v>167</v>
      </c>
      <c r="G1538" t="s">
        <v>693</v>
      </c>
      <c r="H1538" s="58" t="s">
        <v>4</v>
      </c>
      <c r="I1538" t="s">
        <v>4</v>
      </c>
      <c r="J1538" s="58" t="s">
        <v>4</v>
      </c>
      <c r="K1538" t="s">
        <v>1429</v>
      </c>
      <c r="L1538" t="s">
        <v>20</v>
      </c>
      <c r="M1538" t="s">
        <v>1431</v>
      </c>
      <c r="N1538" s="59">
        <v>-37400</v>
      </c>
      <c r="O1538" s="59">
        <v>0</v>
      </c>
      <c r="P1538" s="59">
        <v>-2635426.3266787659</v>
      </c>
      <c r="Q1538" s="59">
        <v>0</v>
      </c>
      <c r="R1538" s="59">
        <v>30648148</v>
      </c>
      <c r="S1538" s="59">
        <v>-28012721.673321232</v>
      </c>
      <c r="T1538" s="41"/>
      <c r="U1538" s="41"/>
      <c r="V1538" s="41"/>
      <c r="W1538" s="41"/>
      <c r="X1538" s="41"/>
      <c r="Y1538" s="41"/>
      <c r="Z1538" s="41"/>
      <c r="AA1538" s="41"/>
      <c r="AB1538" s="41"/>
      <c r="AC1538" s="41"/>
      <c r="AD1538" s="41"/>
      <c r="AE1538" s="59">
        <v>-1071.9304418386273</v>
      </c>
      <c r="AF1538" s="59">
        <v>0</v>
      </c>
      <c r="AG1538" s="59" t="s">
        <v>16</v>
      </c>
      <c r="AH1538" s="59" t="s">
        <v>1156</v>
      </c>
    </row>
    <row r="1539" spans="1:34" x14ac:dyDescent="0.35">
      <c r="A1539" s="58">
        <v>2025</v>
      </c>
      <c r="B1539" s="58">
        <v>8</v>
      </c>
      <c r="C1539">
        <v>8</v>
      </c>
      <c r="D1539" s="58" t="s">
        <v>621</v>
      </c>
      <c r="E1539" t="s">
        <v>257</v>
      </c>
      <c r="F1539" s="58" t="s">
        <v>167</v>
      </c>
      <c r="G1539" t="s">
        <v>693</v>
      </c>
      <c r="H1539" s="58" t="s">
        <v>4</v>
      </c>
      <c r="I1539" t="s">
        <v>4</v>
      </c>
      <c r="J1539" s="58" t="s">
        <v>4</v>
      </c>
      <c r="K1539" t="s">
        <v>1429</v>
      </c>
      <c r="L1539" t="s">
        <v>20</v>
      </c>
      <c r="M1539" t="s">
        <v>1432</v>
      </c>
      <c r="N1539" s="59">
        <v>37400</v>
      </c>
      <c r="O1539" s="59">
        <v>0</v>
      </c>
      <c r="P1539" s="59">
        <v>3200250.8670817013</v>
      </c>
      <c r="Q1539" s="59">
        <v>0</v>
      </c>
      <c r="R1539" s="59">
        <v>25555556</v>
      </c>
      <c r="S1539" s="59">
        <v>-28755806.867081702</v>
      </c>
      <c r="T1539" s="41"/>
      <c r="U1539" s="41"/>
      <c r="V1539" s="41"/>
      <c r="W1539" s="41"/>
      <c r="X1539" s="41"/>
      <c r="Y1539" s="41"/>
      <c r="Z1539" s="41"/>
      <c r="AA1539" s="41"/>
      <c r="AB1539" s="41"/>
      <c r="AC1539" s="41"/>
      <c r="AD1539" s="41"/>
      <c r="AE1539" s="59">
        <v>-1100.3652240550946</v>
      </c>
      <c r="AF1539" s="59">
        <v>0</v>
      </c>
      <c r="AG1539" s="59" t="s">
        <v>16</v>
      </c>
      <c r="AH1539" s="59" t="s">
        <v>1156</v>
      </c>
    </row>
    <row r="1540" spans="1:34" x14ac:dyDescent="0.35">
      <c r="A1540" s="58">
        <v>2025</v>
      </c>
      <c r="B1540" s="58">
        <v>8</v>
      </c>
      <c r="C1540">
        <v>8</v>
      </c>
      <c r="D1540" s="58" t="s">
        <v>621</v>
      </c>
      <c r="E1540" t="s">
        <v>257</v>
      </c>
      <c r="F1540" s="58" t="s">
        <v>180</v>
      </c>
      <c r="G1540" t="s">
        <v>1055</v>
      </c>
      <c r="H1540" s="58" t="s">
        <v>4</v>
      </c>
      <c r="I1540" t="s">
        <v>4</v>
      </c>
      <c r="J1540" s="58" t="s">
        <v>4</v>
      </c>
      <c r="K1540" t="s">
        <v>1429</v>
      </c>
      <c r="L1540" t="s">
        <v>20</v>
      </c>
      <c r="M1540" t="s">
        <v>1431</v>
      </c>
      <c r="N1540" s="59">
        <v>-9900</v>
      </c>
      <c r="O1540" s="59">
        <v>0</v>
      </c>
      <c r="P1540" s="59">
        <v>-1491804.5356401384</v>
      </c>
      <c r="Q1540" s="59">
        <v>0</v>
      </c>
      <c r="R1540" s="59">
        <v>0</v>
      </c>
      <c r="S1540" s="59">
        <v>1491804.5356401384</v>
      </c>
      <c r="T1540" s="41"/>
      <c r="U1540" s="41"/>
      <c r="V1540" s="41"/>
      <c r="W1540" s="41"/>
      <c r="X1540" s="41"/>
      <c r="Y1540" s="41"/>
      <c r="Z1540" s="41"/>
      <c r="AA1540" s="41"/>
      <c r="AB1540" s="41"/>
      <c r="AC1540" s="41"/>
      <c r="AD1540" s="41"/>
      <c r="AE1540" s="59">
        <v>57.085159866795934</v>
      </c>
      <c r="AF1540" s="59">
        <v>0</v>
      </c>
      <c r="AG1540" s="59" t="s">
        <v>16</v>
      </c>
      <c r="AH1540" s="59" t="s">
        <v>1194</v>
      </c>
    </row>
    <row r="1541" spans="1:34" x14ac:dyDescent="0.35">
      <c r="A1541" s="58">
        <v>2025</v>
      </c>
      <c r="B1541" s="58">
        <v>8</v>
      </c>
      <c r="C1541">
        <v>8</v>
      </c>
      <c r="D1541" s="58" t="s">
        <v>621</v>
      </c>
      <c r="E1541" t="s">
        <v>257</v>
      </c>
      <c r="F1541" s="58" t="s">
        <v>180</v>
      </c>
      <c r="G1541" t="s">
        <v>1055</v>
      </c>
      <c r="H1541" s="58" t="s">
        <v>4</v>
      </c>
      <c r="I1541" t="s">
        <v>4</v>
      </c>
      <c r="J1541" s="58" t="s">
        <v>4</v>
      </c>
      <c r="K1541" t="s">
        <v>1429</v>
      </c>
      <c r="L1541" t="s">
        <v>20</v>
      </c>
      <c r="M1541" t="s">
        <v>1430</v>
      </c>
      <c r="N1541" s="59">
        <v>206800</v>
      </c>
      <c r="O1541" s="59">
        <v>7594992635.999999</v>
      </c>
      <c r="P1541" s="59">
        <v>23826533.722791836</v>
      </c>
      <c r="Q1541" s="59">
        <v>0</v>
      </c>
      <c r="R1541" s="59">
        <v>0</v>
      </c>
      <c r="S1541" s="59">
        <v>7571166102.2772074</v>
      </c>
      <c r="T1541" s="41"/>
      <c r="U1541" s="41"/>
      <c r="V1541" s="41"/>
      <c r="W1541" s="41"/>
      <c r="X1541" s="41"/>
      <c r="Y1541" s="41"/>
      <c r="Z1541" s="41"/>
      <c r="AA1541" s="41"/>
      <c r="AB1541" s="41"/>
      <c r="AC1541" s="41"/>
      <c r="AD1541" s="41"/>
      <c r="AE1541" s="59">
        <v>289717.06212241913</v>
      </c>
      <c r="AF1541" s="59">
        <v>290628.80454854976</v>
      </c>
      <c r="AG1541" s="59" t="s">
        <v>16</v>
      </c>
      <c r="AH1541" s="59" t="s">
        <v>1194</v>
      </c>
    </row>
    <row r="1542" spans="1:34" x14ac:dyDescent="0.35">
      <c r="A1542" s="58">
        <v>2025</v>
      </c>
      <c r="B1542" s="58">
        <v>8</v>
      </c>
      <c r="C1542">
        <v>8</v>
      </c>
      <c r="D1542" s="58" t="s">
        <v>621</v>
      </c>
      <c r="E1542" t="s">
        <v>257</v>
      </c>
      <c r="F1542" s="58" t="s">
        <v>180</v>
      </c>
      <c r="G1542" t="s">
        <v>1055</v>
      </c>
      <c r="H1542" s="58" t="s">
        <v>4</v>
      </c>
      <c r="I1542" t="s">
        <v>4</v>
      </c>
      <c r="J1542" s="58" t="s">
        <v>4</v>
      </c>
      <c r="K1542" t="s">
        <v>1429</v>
      </c>
      <c r="L1542" t="s">
        <v>20</v>
      </c>
      <c r="M1542" t="s">
        <v>1508</v>
      </c>
      <c r="N1542" s="59">
        <v>-22000</v>
      </c>
      <c r="O1542" s="59">
        <v>-807977939.99999988</v>
      </c>
      <c r="P1542" s="59">
        <v>-3315121.1903114188</v>
      </c>
      <c r="Q1542" s="59">
        <v>0</v>
      </c>
      <c r="R1542" s="59">
        <v>0</v>
      </c>
      <c r="S1542" s="59">
        <v>-804662818.80968845</v>
      </c>
      <c r="T1542" s="41"/>
      <c r="U1542" s="41"/>
      <c r="V1542" s="41"/>
      <c r="W1542" s="41"/>
      <c r="X1542" s="41"/>
      <c r="Y1542" s="41"/>
      <c r="Z1542" s="41"/>
      <c r="AA1542" s="41"/>
      <c r="AB1542" s="41"/>
      <c r="AC1542" s="41"/>
      <c r="AD1542" s="41"/>
      <c r="AE1542" s="59">
        <v>-30791.10201988168</v>
      </c>
      <c r="AF1542" s="59">
        <v>-30917.957930696783</v>
      </c>
      <c r="AG1542" s="59" t="s">
        <v>16</v>
      </c>
      <c r="AH1542" s="59" t="s">
        <v>1194</v>
      </c>
    </row>
    <row r="1543" spans="1:34" x14ac:dyDescent="0.35">
      <c r="A1543" s="58">
        <v>2025</v>
      </c>
      <c r="B1543" s="58">
        <v>8</v>
      </c>
      <c r="C1543">
        <v>8</v>
      </c>
      <c r="D1543" s="58" t="s">
        <v>621</v>
      </c>
      <c r="E1543" t="s">
        <v>257</v>
      </c>
      <c r="F1543" s="58" t="s">
        <v>180</v>
      </c>
      <c r="G1543" t="s">
        <v>1055</v>
      </c>
      <c r="H1543" s="58" t="s">
        <v>4</v>
      </c>
      <c r="I1543" t="s">
        <v>4</v>
      </c>
      <c r="J1543" s="58" t="s">
        <v>4</v>
      </c>
      <c r="K1543" t="s">
        <v>1429</v>
      </c>
      <c r="L1543" t="s">
        <v>20</v>
      </c>
      <c r="M1543" t="s">
        <v>1432</v>
      </c>
      <c r="N1543" s="59">
        <v>9900</v>
      </c>
      <c r="O1543" s="59">
        <v>0</v>
      </c>
      <c r="P1543" s="59">
        <v>1491804.5356401384</v>
      </c>
      <c r="Q1543" s="59">
        <v>0</v>
      </c>
      <c r="R1543" s="59">
        <v>0</v>
      </c>
      <c r="S1543" s="59">
        <v>-1491804.5356401384</v>
      </c>
      <c r="T1543" s="41"/>
      <c r="U1543" s="41"/>
      <c r="V1543" s="41"/>
      <c r="W1543" s="41"/>
      <c r="X1543" s="41"/>
      <c r="Y1543" s="41"/>
      <c r="Z1543" s="41"/>
      <c r="AA1543" s="41"/>
      <c r="AB1543" s="41"/>
      <c r="AC1543" s="41"/>
      <c r="AD1543" s="41"/>
      <c r="AE1543" s="59">
        <v>-57.085159866795934</v>
      </c>
      <c r="AF1543" s="59">
        <v>0</v>
      </c>
      <c r="AG1543" s="59" t="s">
        <v>16</v>
      </c>
      <c r="AH1543" s="59" t="s">
        <v>1194</v>
      </c>
    </row>
    <row r="1544" spans="1:34" x14ac:dyDescent="0.35">
      <c r="A1544" s="58">
        <v>2025</v>
      </c>
      <c r="B1544" s="58">
        <v>8</v>
      </c>
      <c r="C1544">
        <v>8</v>
      </c>
      <c r="D1544" s="58" t="s">
        <v>590</v>
      </c>
      <c r="E1544" t="s">
        <v>500</v>
      </c>
      <c r="F1544" s="58" t="s">
        <v>168</v>
      </c>
      <c r="G1544" t="s">
        <v>700</v>
      </c>
      <c r="H1544" s="58" t="s">
        <v>4</v>
      </c>
      <c r="I1544" t="s">
        <v>4</v>
      </c>
      <c r="J1544" s="58" t="s">
        <v>4</v>
      </c>
      <c r="K1544" t="s">
        <v>1429</v>
      </c>
      <c r="L1544" t="s">
        <v>20</v>
      </c>
      <c r="M1544" t="s">
        <v>1430</v>
      </c>
      <c r="N1544" s="59">
        <v>616000</v>
      </c>
      <c r="O1544" s="59">
        <v>22795080000</v>
      </c>
      <c r="P1544" s="59">
        <v>86503993.54627949</v>
      </c>
      <c r="Q1544" s="59">
        <v>0</v>
      </c>
      <c r="R1544" s="59">
        <v>786000000</v>
      </c>
      <c r="S1544" s="59">
        <v>21587091934.453716</v>
      </c>
      <c r="T1544" s="41"/>
      <c r="U1544" s="41"/>
      <c r="V1544" s="41"/>
      <c r="W1544" s="41"/>
      <c r="X1544" s="41"/>
      <c r="Y1544" s="41"/>
      <c r="Z1544" s="41"/>
      <c r="AA1544" s="41"/>
      <c r="AB1544" s="41"/>
      <c r="AC1544" s="41"/>
      <c r="AD1544" s="41"/>
      <c r="AE1544" s="59">
        <v>826048.29566946335</v>
      </c>
      <c r="AF1544" s="59">
        <v>872272.9787237359</v>
      </c>
      <c r="AG1544" s="59" t="s">
        <v>8</v>
      </c>
      <c r="AH1544" s="59" t="s">
        <v>1160</v>
      </c>
    </row>
    <row r="1545" spans="1:34" x14ac:dyDescent="0.35">
      <c r="A1545" s="58">
        <v>2025</v>
      </c>
      <c r="B1545" s="58">
        <v>8</v>
      </c>
      <c r="C1545">
        <v>8</v>
      </c>
      <c r="D1545" s="58" t="s">
        <v>590</v>
      </c>
      <c r="E1545" t="s">
        <v>500</v>
      </c>
      <c r="F1545" s="58" t="s">
        <v>1468</v>
      </c>
      <c r="G1545" t="s">
        <v>1012</v>
      </c>
      <c r="H1545" s="58" t="s">
        <v>1012</v>
      </c>
      <c r="I1545" t="s">
        <v>1012</v>
      </c>
      <c r="J1545" s="58" t="s">
        <v>1012</v>
      </c>
      <c r="K1545" t="s">
        <v>1429</v>
      </c>
      <c r="L1545" t="s">
        <v>20</v>
      </c>
      <c r="M1545" t="s">
        <v>1430</v>
      </c>
      <c r="N1545" s="59">
        <v>0</v>
      </c>
      <c r="O1545" s="59">
        <v>0</v>
      </c>
      <c r="P1545" s="59">
        <v>0</v>
      </c>
      <c r="Q1545" s="59">
        <v>0</v>
      </c>
      <c r="R1545" s="59">
        <v>0</v>
      </c>
      <c r="S1545" s="59">
        <v>9651396</v>
      </c>
      <c r="T1545" s="41"/>
      <c r="U1545" s="41"/>
      <c r="V1545" s="41"/>
      <c r="W1545" s="41"/>
      <c r="X1545" s="41"/>
      <c r="Y1545" s="41"/>
      <c r="Z1545" s="41"/>
      <c r="AA1545" s="41"/>
      <c r="AB1545" s="41"/>
      <c r="AC1545" s="41"/>
      <c r="AD1545" s="41"/>
      <c r="AE1545" s="59">
        <v>369.31881519004742</v>
      </c>
      <c r="AF1545" s="59">
        <v>0</v>
      </c>
      <c r="AG1545" s="59" t="s">
        <v>8</v>
      </c>
      <c r="AH1545" s="59" t="s">
        <v>1284</v>
      </c>
    </row>
    <row r="1546" spans="1:34" x14ac:dyDescent="0.35">
      <c r="A1546" s="58">
        <v>2025</v>
      </c>
      <c r="B1546" s="58">
        <v>8</v>
      </c>
      <c r="C1546">
        <v>8</v>
      </c>
      <c r="D1546" s="58" t="s">
        <v>620</v>
      </c>
      <c r="E1546" t="s">
        <v>324</v>
      </c>
      <c r="F1546" s="58" t="s">
        <v>168</v>
      </c>
      <c r="G1546" t="s">
        <v>700</v>
      </c>
      <c r="H1546" s="58" t="s">
        <v>4</v>
      </c>
      <c r="I1546" t="s">
        <v>4</v>
      </c>
      <c r="J1546" s="58" t="s">
        <v>4</v>
      </c>
      <c r="K1546" t="s">
        <v>1429</v>
      </c>
      <c r="L1546" t="s">
        <v>20</v>
      </c>
      <c r="M1546" t="s">
        <v>1431</v>
      </c>
      <c r="N1546" s="59">
        <v>-56597</v>
      </c>
      <c r="O1546" s="59">
        <v>0</v>
      </c>
      <c r="P1546" s="59">
        <v>-8453559.0352941174</v>
      </c>
      <c r="Q1546" s="59">
        <v>0</v>
      </c>
      <c r="R1546" s="59">
        <v>7315680</v>
      </c>
      <c r="S1546" s="59">
        <v>1137879.0352941176</v>
      </c>
      <c r="T1546" s="41"/>
      <c r="U1546" s="41"/>
      <c r="V1546" s="41"/>
      <c r="W1546" s="41"/>
      <c r="X1546" s="41"/>
      <c r="Y1546" s="41"/>
      <c r="Z1546" s="41"/>
      <c r="AA1546" s="41"/>
      <c r="AB1546" s="41"/>
      <c r="AC1546" s="41"/>
      <c r="AD1546" s="41"/>
      <c r="AE1546" s="59">
        <v>43.54190182896005</v>
      </c>
      <c r="AF1546" s="59">
        <v>0</v>
      </c>
      <c r="AG1546" s="59" t="s">
        <v>8</v>
      </c>
      <c r="AH1546" s="59" t="s">
        <v>1160</v>
      </c>
    </row>
    <row r="1547" spans="1:34" x14ac:dyDescent="0.35">
      <c r="A1547" s="58">
        <v>2025</v>
      </c>
      <c r="B1547" s="58">
        <v>8</v>
      </c>
      <c r="C1547">
        <v>8</v>
      </c>
      <c r="D1547" s="58" t="s">
        <v>620</v>
      </c>
      <c r="E1547" t="s">
        <v>324</v>
      </c>
      <c r="F1547" s="58" t="s">
        <v>168</v>
      </c>
      <c r="G1547" t="s">
        <v>700</v>
      </c>
      <c r="H1547" s="58" t="s">
        <v>4</v>
      </c>
      <c r="I1547" t="s">
        <v>4</v>
      </c>
      <c r="J1547" s="58" t="s">
        <v>4</v>
      </c>
      <c r="K1547" t="s">
        <v>1429</v>
      </c>
      <c r="L1547" t="s">
        <v>20</v>
      </c>
      <c r="M1547" t="s">
        <v>1430</v>
      </c>
      <c r="N1547" s="59">
        <v>43293</v>
      </c>
      <c r="O1547" s="59">
        <v>1583263973</v>
      </c>
      <c r="P1547" s="59">
        <v>6630242.3806228377</v>
      </c>
      <c r="Q1547" s="59">
        <v>0</v>
      </c>
      <c r="R1547" s="59">
        <v>9152000</v>
      </c>
      <c r="S1547" s="59">
        <v>1543903626.6193771</v>
      </c>
      <c r="T1547" s="41"/>
      <c r="U1547" s="41"/>
      <c r="V1547" s="41"/>
      <c r="W1547" s="41"/>
      <c r="X1547" s="41"/>
      <c r="Y1547" s="41"/>
      <c r="Z1547" s="41"/>
      <c r="AA1547" s="41"/>
      <c r="AB1547" s="41"/>
      <c r="AC1547" s="41"/>
      <c r="AD1547" s="41"/>
      <c r="AE1547" s="59">
        <v>59078.775562694325</v>
      </c>
      <c r="AF1547" s="59">
        <v>60584.932443083599</v>
      </c>
      <c r="AG1547" s="59" t="s">
        <v>8</v>
      </c>
      <c r="AH1547" s="59" t="s">
        <v>1160</v>
      </c>
    </row>
    <row r="1548" spans="1:34" x14ac:dyDescent="0.35">
      <c r="A1548" s="58">
        <v>2025</v>
      </c>
      <c r="B1548" s="58">
        <v>8</v>
      </c>
      <c r="C1548">
        <v>8</v>
      </c>
      <c r="D1548" s="58" t="s">
        <v>620</v>
      </c>
      <c r="E1548" t="s">
        <v>324</v>
      </c>
      <c r="F1548" s="58" t="s">
        <v>168</v>
      </c>
      <c r="G1548" t="s">
        <v>700</v>
      </c>
      <c r="H1548" s="58" t="s">
        <v>4</v>
      </c>
      <c r="I1548" t="s">
        <v>4</v>
      </c>
      <c r="J1548" s="58" t="s">
        <v>4</v>
      </c>
      <c r="K1548" t="s">
        <v>1429</v>
      </c>
      <c r="L1548" t="s">
        <v>20</v>
      </c>
      <c r="M1548" t="s">
        <v>1432</v>
      </c>
      <c r="N1548" s="59">
        <v>56597</v>
      </c>
      <c r="O1548" s="59">
        <v>0</v>
      </c>
      <c r="P1548" s="59">
        <v>8453559.0352941174</v>
      </c>
      <c r="Q1548" s="59">
        <v>0</v>
      </c>
      <c r="R1548" s="59">
        <v>8942400</v>
      </c>
      <c r="S1548" s="59">
        <v>-17395959.035294116</v>
      </c>
      <c r="T1548" s="41"/>
      <c r="U1548" s="41"/>
      <c r="V1548" s="41"/>
      <c r="W1548" s="41"/>
      <c r="X1548" s="41"/>
      <c r="Y1548" s="41"/>
      <c r="Z1548" s="41"/>
      <c r="AA1548" s="41"/>
      <c r="AB1548" s="41"/>
      <c r="AC1548" s="41"/>
      <c r="AD1548" s="41"/>
      <c r="AE1548" s="59">
        <v>-665.67105732781283</v>
      </c>
      <c r="AF1548" s="59">
        <v>0</v>
      </c>
      <c r="AG1548" s="59" t="s">
        <v>8</v>
      </c>
      <c r="AH1548" s="59" t="s">
        <v>1160</v>
      </c>
    </row>
    <row r="1549" spans="1:34" x14ac:dyDescent="0.35">
      <c r="A1549" s="58">
        <v>2025</v>
      </c>
      <c r="B1549" s="58">
        <v>8</v>
      </c>
      <c r="C1549">
        <v>8</v>
      </c>
      <c r="D1549" s="58" t="s">
        <v>620</v>
      </c>
      <c r="E1549" t="s">
        <v>324</v>
      </c>
      <c r="F1549" s="58" t="s">
        <v>1468</v>
      </c>
      <c r="G1549" t="s">
        <v>1012</v>
      </c>
      <c r="H1549" s="58" t="s">
        <v>1012</v>
      </c>
      <c r="I1549" t="s">
        <v>1012</v>
      </c>
      <c r="J1549" s="58" t="s">
        <v>1012</v>
      </c>
      <c r="K1549" t="s">
        <v>1429</v>
      </c>
      <c r="L1549" t="s">
        <v>20</v>
      </c>
      <c r="M1549" t="s">
        <v>1430</v>
      </c>
      <c r="N1549" s="59">
        <v>0</v>
      </c>
      <c r="O1549" s="59">
        <v>3976875</v>
      </c>
      <c r="P1549" s="59">
        <v>0</v>
      </c>
      <c r="Q1549" s="59">
        <v>0</v>
      </c>
      <c r="R1549" s="59">
        <v>0</v>
      </c>
      <c r="S1549" s="59">
        <v>3976875</v>
      </c>
      <c r="T1549" s="41"/>
      <c r="U1549" s="41"/>
      <c r="V1549" s="41"/>
      <c r="W1549" s="41"/>
      <c r="X1549" s="41"/>
      <c r="Y1549" s="41"/>
      <c r="Z1549" s="41"/>
      <c r="AA1549" s="41"/>
      <c r="AB1549" s="41"/>
      <c r="AC1549" s="41"/>
      <c r="AD1549" s="41"/>
      <c r="AE1549" s="59">
        <v>152.17847896396748</v>
      </c>
      <c r="AF1549" s="59">
        <v>152.17847896396748</v>
      </c>
      <c r="AG1549" s="59" t="s">
        <v>8</v>
      </c>
      <c r="AH1549" s="59" t="s">
        <v>1284</v>
      </c>
    </row>
    <row r="1550" spans="1:34" x14ac:dyDescent="0.35">
      <c r="A1550" s="58">
        <v>2025</v>
      </c>
      <c r="B1550" s="58">
        <v>8</v>
      </c>
      <c r="C1550">
        <v>8</v>
      </c>
      <c r="D1550" s="58" t="s">
        <v>682</v>
      </c>
      <c r="E1550" t="s">
        <v>156</v>
      </c>
      <c r="F1550" s="58" t="s">
        <v>1468</v>
      </c>
      <c r="G1550" t="s">
        <v>1012</v>
      </c>
      <c r="H1550" s="58" t="s">
        <v>1012</v>
      </c>
      <c r="I1550" t="s">
        <v>1012</v>
      </c>
      <c r="J1550" s="58" t="s">
        <v>1012</v>
      </c>
      <c r="K1550" t="s">
        <v>1429</v>
      </c>
      <c r="L1550" t="s">
        <v>20</v>
      </c>
      <c r="M1550" t="s">
        <v>1430</v>
      </c>
      <c r="N1550" s="59">
        <v>0</v>
      </c>
      <c r="O1550" s="59">
        <v>161244809</v>
      </c>
      <c r="P1550" s="59">
        <v>0</v>
      </c>
      <c r="Q1550" s="59">
        <v>0</v>
      </c>
      <c r="R1550" s="59">
        <v>0</v>
      </c>
      <c r="S1550" s="59">
        <v>161244809</v>
      </c>
      <c r="T1550" s="41"/>
      <c r="U1550" s="41"/>
      <c r="V1550" s="41"/>
      <c r="W1550" s="41"/>
      <c r="X1550" s="41"/>
      <c r="Y1550" s="41"/>
      <c r="Z1550" s="41"/>
      <c r="AA1550" s="41"/>
      <c r="AB1550" s="41"/>
      <c r="AC1550" s="41"/>
      <c r="AD1550" s="41"/>
      <c r="AE1550" s="59">
        <v>6170.1687315933877</v>
      </c>
      <c r="AF1550" s="59">
        <v>6170.1687315933877</v>
      </c>
      <c r="AG1550" s="59" t="s">
        <v>156</v>
      </c>
      <c r="AH1550" s="59" t="s">
        <v>1284</v>
      </c>
    </row>
    <row r="1551" spans="1:34" x14ac:dyDescent="0.35">
      <c r="A1551" s="58">
        <v>2025</v>
      </c>
      <c r="B1551" s="58">
        <v>8</v>
      </c>
      <c r="C1551">
        <v>8</v>
      </c>
      <c r="D1551" s="58" t="s">
        <v>605</v>
      </c>
      <c r="E1551" t="s">
        <v>479</v>
      </c>
      <c r="F1551" s="58" t="s">
        <v>184</v>
      </c>
      <c r="G1551" t="s">
        <v>717</v>
      </c>
      <c r="H1551" s="58" t="s">
        <v>1428</v>
      </c>
      <c r="I1551" t="s">
        <v>75</v>
      </c>
      <c r="J1551" s="58" t="s">
        <v>75</v>
      </c>
      <c r="K1551" t="s">
        <v>1429</v>
      </c>
      <c r="L1551" t="s">
        <v>20</v>
      </c>
      <c r="M1551" t="s">
        <v>1430</v>
      </c>
      <c r="N1551" s="59">
        <v>35750</v>
      </c>
      <c r="O1551" s="59">
        <v>1315883250</v>
      </c>
      <c r="P1551" s="59">
        <v>0</v>
      </c>
      <c r="Q1551" s="59">
        <v>0</v>
      </c>
      <c r="R1551" s="59">
        <v>31203704</v>
      </c>
      <c r="S1551" s="59">
        <v>1284679546</v>
      </c>
      <c r="T1551" s="41"/>
      <c r="U1551" s="41"/>
      <c r="V1551" s="41"/>
      <c r="W1551" s="41"/>
      <c r="X1551" s="41"/>
      <c r="Y1551" s="41"/>
      <c r="Z1551" s="41"/>
      <c r="AA1551" s="41"/>
      <c r="AB1551" s="41"/>
      <c r="AC1551" s="41"/>
      <c r="AD1551" s="41"/>
      <c r="AE1551" s="59">
        <v>49159.347293138533</v>
      </c>
      <c r="AF1551" s="59">
        <v>50353.383367383227</v>
      </c>
      <c r="AG1551" s="59" t="s">
        <v>5</v>
      </c>
      <c r="AH1551" s="59" t="s">
        <v>1198</v>
      </c>
    </row>
    <row r="1552" spans="1:34" x14ac:dyDescent="0.35">
      <c r="A1552" s="58">
        <v>2025</v>
      </c>
      <c r="B1552" s="58">
        <v>8</v>
      </c>
      <c r="C1552">
        <v>8</v>
      </c>
      <c r="D1552" s="58" t="s">
        <v>605</v>
      </c>
      <c r="E1552" t="s">
        <v>479</v>
      </c>
      <c r="F1552" s="58" t="s">
        <v>184</v>
      </c>
      <c r="G1552" t="s">
        <v>717</v>
      </c>
      <c r="H1552" s="58" t="s">
        <v>1428</v>
      </c>
      <c r="I1552" t="s">
        <v>75</v>
      </c>
      <c r="J1552" s="58" t="s">
        <v>75</v>
      </c>
      <c r="K1552" t="s">
        <v>1429</v>
      </c>
      <c r="L1552" t="s">
        <v>20</v>
      </c>
      <c r="M1552" t="s">
        <v>1508</v>
      </c>
      <c r="N1552" s="59">
        <v>-25</v>
      </c>
      <c r="O1552" s="59">
        <v>-916275</v>
      </c>
      <c r="P1552" s="59">
        <v>0</v>
      </c>
      <c r="Q1552" s="59">
        <v>0</v>
      </c>
      <c r="R1552" s="59">
        <v>0</v>
      </c>
      <c r="S1552" s="59">
        <v>-916275</v>
      </c>
      <c r="T1552" s="41"/>
      <c r="U1552" s="41"/>
      <c r="V1552" s="41"/>
      <c r="W1552" s="41"/>
      <c r="X1552" s="41"/>
      <c r="Y1552" s="41"/>
      <c r="Z1552" s="41"/>
      <c r="AA1552" s="41"/>
      <c r="AB1552" s="41"/>
      <c r="AC1552" s="41"/>
      <c r="AD1552" s="41"/>
      <c r="AE1552" s="59">
        <v>-35.062036350830567</v>
      </c>
      <c r="AF1552" s="59">
        <v>-35.062036350830567</v>
      </c>
      <c r="AG1552" s="59" t="s">
        <v>5</v>
      </c>
      <c r="AH1552" s="59" t="s">
        <v>1198</v>
      </c>
    </row>
    <row r="1553" spans="1:34" x14ac:dyDescent="0.35">
      <c r="A1553" s="58">
        <v>2025</v>
      </c>
      <c r="B1553" s="58">
        <v>8</v>
      </c>
      <c r="C1553">
        <v>8</v>
      </c>
      <c r="D1553" s="58" t="s">
        <v>605</v>
      </c>
      <c r="E1553" t="s">
        <v>479</v>
      </c>
      <c r="F1553" s="58" t="s">
        <v>1522</v>
      </c>
      <c r="G1553" t="s">
        <v>1523</v>
      </c>
      <c r="H1553" s="58" t="s">
        <v>1012</v>
      </c>
      <c r="I1553" t="s">
        <v>1012</v>
      </c>
      <c r="J1553" s="58" t="s">
        <v>1389</v>
      </c>
      <c r="K1553" t="s">
        <v>1429</v>
      </c>
      <c r="L1553" t="s">
        <v>20</v>
      </c>
      <c r="M1553" t="s">
        <v>1430</v>
      </c>
      <c r="N1553" s="59">
        <v>0</v>
      </c>
      <c r="O1553" s="59">
        <v>0</v>
      </c>
      <c r="P1553" s="59">
        <v>0</v>
      </c>
      <c r="Q1553" s="59">
        <v>0</v>
      </c>
      <c r="R1553" s="59">
        <v>-17685185</v>
      </c>
      <c r="S1553" s="59">
        <v>17685185</v>
      </c>
      <c r="T1553" s="41"/>
      <c r="U1553" s="41"/>
      <c r="V1553" s="41"/>
      <c r="W1553" s="41"/>
      <c r="X1553" s="41"/>
      <c r="Y1553" s="41"/>
      <c r="Z1553" s="41"/>
      <c r="AA1553" s="41"/>
      <c r="AB1553" s="41"/>
      <c r="AC1553" s="41"/>
      <c r="AD1553" s="41"/>
      <c r="AE1553" s="59">
        <v>676.73853301810425</v>
      </c>
      <c r="AF1553" s="59">
        <v>0</v>
      </c>
      <c r="AG1553" s="59" t="s">
        <v>5</v>
      </c>
      <c r="AH1553" s="59" t="s">
        <v>1390</v>
      </c>
    </row>
    <row r="1554" spans="1:34" x14ac:dyDescent="0.35">
      <c r="A1554" s="58">
        <v>2025</v>
      </c>
      <c r="B1554" s="58">
        <v>8</v>
      </c>
      <c r="C1554">
        <v>8</v>
      </c>
      <c r="D1554" s="58" t="s">
        <v>1502</v>
      </c>
      <c r="E1554" t="s">
        <v>1236</v>
      </c>
      <c r="F1554" s="58" t="s">
        <v>879</v>
      </c>
      <c r="G1554" t="s">
        <v>880</v>
      </c>
      <c r="H1554" s="58" t="s">
        <v>1234</v>
      </c>
      <c r="I1554" t="s">
        <v>1234</v>
      </c>
      <c r="J1554" s="58" t="s">
        <v>1234</v>
      </c>
      <c r="K1554" t="s">
        <v>1429</v>
      </c>
      <c r="L1554" t="s">
        <v>20</v>
      </c>
      <c r="M1554" t="s">
        <v>1430</v>
      </c>
      <c r="N1554" s="59">
        <v>80000</v>
      </c>
      <c r="O1554" s="59">
        <v>1456000000</v>
      </c>
      <c r="P1554" s="59">
        <v>0</v>
      </c>
      <c r="Q1554" s="59">
        <v>105600000</v>
      </c>
      <c r="R1554" s="59">
        <v>0</v>
      </c>
      <c r="S1554" s="59">
        <v>1350400000</v>
      </c>
      <c r="T1554" s="41"/>
      <c r="U1554" s="41"/>
      <c r="V1554" s="41"/>
      <c r="W1554" s="41"/>
      <c r="X1554" s="41"/>
      <c r="Y1554" s="41"/>
      <c r="Z1554" s="41"/>
      <c r="AA1554" s="41"/>
      <c r="AB1554" s="41"/>
      <c r="AC1554" s="41"/>
      <c r="AD1554" s="41"/>
      <c r="AE1554" s="59">
        <v>51674.195943533981</v>
      </c>
      <c r="AF1554" s="59">
        <v>55715.069086037824</v>
      </c>
      <c r="AG1554" s="59" t="s">
        <v>1236</v>
      </c>
      <c r="AH1554" s="59" t="s">
        <v>1235</v>
      </c>
    </row>
    <row r="1555" spans="1:34" x14ac:dyDescent="0.35">
      <c r="A1555" s="58">
        <v>2025</v>
      </c>
      <c r="B1555" s="58">
        <v>8</v>
      </c>
      <c r="C1555">
        <v>8</v>
      </c>
      <c r="D1555" s="58" t="s">
        <v>1469</v>
      </c>
      <c r="E1555" t="s">
        <v>1211</v>
      </c>
      <c r="F1555" s="58" t="s">
        <v>1472</v>
      </c>
      <c r="G1555" t="s">
        <v>1473</v>
      </c>
      <c r="H1555" s="58" t="s">
        <v>1012</v>
      </c>
      <c r="I1555" t="s">
        <v>86</v>
      </c>
      <c r="J1555" s="58" t="s">
        <v>86</v>
      </c>
      <c r="K1555" t="s">
        <v>1429</v>
      </c>
      <c r="L1555" t="s">
        <v>20</v>
      </c>
      <c r="M1555" t="s">
        <v>1430</v>
      </c>
      <c r="N1555" s="59">
        <v>11006</v>
      </c>
      <c r="O1555" s="59">
        <v>214617000</v>
      </c>
      <c r="P1555" s="59">
        <v>0</v>
      </c>
      <c r="Q1555" s="59">
        <v>0</v>
      </c>
      <c r="R1555" s="59">
        <v>0</v>
      </c>
      <c r="S1555" s="59">
        <v>214617000</v>
      </c>
      <c r="T1555" s="41"/>
      <c r="U1555" s="41"/>
      <c r="V1555" s="41"/>
      <c r="W1555" s="41"/>
      <c r="X1555" s="41"/>
      <c r="Y1555" s="41"/>
      <c r="Z1555" s="41"/>
      <c r="AA1555" s="41"/>
      <c r="AB1555" s="41"/>
      <c r="AC1555" s="41"/>
      <c r="AD1555" s="41"/>
      <c r="AE1555" s="59">
        <v>8212.5006744767707</v>
      </c>
      <c r="AF1555" s="59">
        <v>8212.5006744767707</v>
      </c>
      <c r="AG1555" s="59" t="s">
        <v>1211</v>
      </c>
      <c r="AH1555" s="59" t="s">
        <v>1215</v>
      </c>
    </row>
    <row r="1556" spans="1:34" x14ac:dyDescent="0.35">
      <c r="A1556" s="58">
        <v>2025</v>
      </c>
      <c r="B1556" s="58">
        <v>8</v>
      </c>
      <c r="C1556">
        <v>8</v>
      </c>
      <c r="D1556" s="58" t="s">
        <v>1469</v>
      </c>
      <c r="E1556" t="s">
        <v>1211</v>
      </c>
      <c r="F1556" s="58" t="s">
        <v>1615</v>
      </c>
      <c r="G1556" t="s">
        <v>1616</v>
      </c>
      <c r="H1556" s="58" t="s">
        <v>1012</v>
      </c>
      <c r="I1556" t="s">
        <v>86</v>
      </c>
      <c r="J1556" s="58" t="s">
        <v>86</v>
      </c>
      <c r="K1556" t="s">
        <v>1429</v>
      </c>
      <c r="L1556" t="s">
        <v>20</v>
      </c>
      <c r="M1556" t="s">
        <v>1430</v>
      </c>
      <c r="N1556" s="59">
        <v>1772</v>
      </c>
      <c r="O1556" s="59">
        <v>33668000</v>
      </c>
      <c r="P1556" s="59">
        <v>0</v>
      </c>
      <c r="Q1556" s="59">
        <v>0</v>
      </c>
      <c r="R1556" s="59">
        <v>0</v>
      </c>
      <c r="S1556" s="59">
        <v>33668000</v>
      </c>
      <c r="T1556" s="41"/>
      <c r="U1556" s="41"/>
      <c r="V1556" s="41"/>
      <c r="W1556" s="41"/>
      <c r="X1556" s="41"/>
      <c r="Y1556" s="41"/>
      <c r="Z1556" s="41"/>
      <c r="AA1556" s="41"/>
      <c r="AB1556" s="41"/>
      <c r="AC1556" s="41"/>
      <c r="AD1556" s="41"/>
      <c r="AE1556" s="59">
        <v>1288.3344409263195</v>
      </c>
      <c r="AF1556" s="59">
        <v>1288.3344409263195</v>
      </c>
      <c r="AG1556" s="59" t="s">
        <v>1211</v>
      </c>
      <c r="AH1556" s="59" t="s">
        <v>1230</v>
      </c>
    </row>
    <row r="1557" spans="1:34" x14ac:dyDescent="0.35">
      <c r="A1557" s="58">
        <v>2025</v>
      </c>
      <c r="B1557" s="58">
        <v>8</v>
      </c>
      <c r="C1557">
        <v>8</v>
      </c>
      <c r="D1557" s="58" t="s">
        <v>635</v>
      </c>
      <c r="E1557" t="s">
        <v>62</v>
      </c>
      <c r="F1557" s="58" t="s">
        <v>209</v>
      </c>
      <c r="G1557" t="s">
        <v>822</v>
      </c>
      <c r="H1557" s="58" t="s">
        <v>21</v>
      </c>
      <c r="I1557" t="s">
        <v>21</v>
      </c>
      <c r="J1557" s="58" t="s">
        <v>21</v>
      </c>
      <c r="K1557" t="s">
        <v>1429</v>
      </c>
      <c r="L1557" t="s">
        <v>20</v>
      </c>
      <c r="M1557" t="s">
        <v>1430</v>
      </c>
      <c r="N1557" s="59">
        <v>16500</v>
      </c>
      <c r="O1557" s="59">
        <v>320833332</v>
      </c>
      <c r="P1557" s="59">
        <v>0</v>
      </c>
      <c r="Q1557" s="59">
        <v>0</v>
      </c>
      <c r="R1557" s="59">
        <v>0</v>
      </c>
      <c r="S1557" s="59">
        <v>320833332</v>
      </c>
      <c r="T1557" s="41"/>
      <c r="U1557" s="41"/>
      <c r="V1557" s="41"/>
      <c r="W1557" s="41"/>
      <c r="X1557" s="41"/>
      <c r="Y1557" s="41"/>
      <c r="Z1557" s="41"/>
      <c r="AA1557" s="41"/>
      <c r="AB1557" s="41"/>
      <c r="AC1557" s="41"/>
      <c r="AD1557" s="41"/>
      <c r="AE1557" s="59">
        <v>12276.958281238811</v>
      </c>
      <c r="AF1557" s="59">
        <v>12276.958281238811</v>
      </c>
      <c r="AG1557" s="59" t="s">
        <v>62</v>
      </c>
      <c r="AH1557" s="59" t="s">
        <v>1353</v>
      </c>
    </row>
    <row r="1558" spans="1:34" x14ac:dyDescent="0.35">
      <c r="A1558" s="58">
        <v>2025</v>
      </c>
      <c r="B1558" s="58">
        <v>8</v>
      </c>
      <c r="C1558">
        <v>8</v>
      </c>
      <c r="D1558" s="58" t="s">
        <v>595</v>
      </c>
      <c r="E1558" t="s">
        <v>478</v>
      </c>
      <c r="F1558" s="58" t="s">
        <v>184</v>
      </c>
      <c r="G1558" t="s">
        <v>717</v>
      </c>
      <c r="H1558" s="58" t="s">
        <v>1428</v>
      </c>
      <c r="I1558" t="s">
        <v>75</v>
      </c>
      <c r="J1558" s="58" t="s">
        <v>75</v>
      </c>
      <c r="K1558" t="s">
        <v>1429</v>
      </c>
      <c r="L1558" t="s">
        <v>20</v>
      </c>
      <c r="M1558" t="s">
        <v>1430</v>
      </c>
      <c r="N1558" s="59">
        <v>77000</v>
      </c>
      <c r="O1558" s="59">
        <v>2759890980</v>
      </c>
      <c r="P1558" s="59">
        <v>0</v>
      </c>
      <c r="Q1558" s="59">
        <v>0</v>
      </c>
      <c r="R1558" s="59">
        <v>0</v>
      </c>
      <c r="S1558" s="59">
        <v>2759890980</v>
      </c>
      <c r="T1558" s="41"/>
      <c r="U1558" s="41"/>
      <c r="V1558" s="41"/>
      <c r="W1558" s="41"/>
      <c r="X1558" s="41"/>
      <c r="Y1558" s="41"/>
      <c r="Z1558" s="41"/>
      <c r="AA1558" s="41"/>
      <c r="AB1558" s="41"/>
      <c r="AC1558" s="41"/>
      <c r="AD1558" s="41"/>
      <c r="AE1558" s="59">
        <v>105609.55811856636</v>
      </c>
      <c r="AF1558" s="59">
        <v>105609.55811856636</v>
      </c>
      <c r="AG1558" s="59" t="s">
        <v>5</v>
      </c>
      <c r="AH1558" s="59" t="s">
        <v>1198</v>
      </c>
    </row>
    <row r="1559" spans="1:34" x14ac:dyDescent="0.35">
      <c r="A1559" s="58">
        <v>2025</v>
      </c>
      <c r="B1559" s="58">
        <v>8</v>
      </c>
      <c r="C1559">
        <v>8</v>
      </c>
      <c r="D1559" s="58" t="s">
        <v>595</v>
      </c>
      <c r="E1559" t="s">
        <v>478</v>
      </c>
      <c r="F1559" s="58" t="s">
        <v>171</v>
      </c>
      <c r="G1559" t="s">
        <v>731</v>
      </c>
      <c r="H1559" s="58" t="s">
        <v>4</v>
      </c>
      <c r="I1559" t="s">
        <v>4</v>
      </c>
      <c r="J1559" s="58" t="s">
        <v>4</v>
      </c>
      <c r="K1559" t="s">
        <v>1429</v>
      </c>
      <c r="L1559" t="s">
        <v>20</v>
      </c>
      <c r="M1559" t="s">
        <v>1430</v>
      </c>
      <c r="N1559" s="59">
        <v>16500</v>
      </c>
      <c r="O1559" s="59">
        <v>535537420</v>
      </c>
      <c r="P1559" s="59">
        <v>2486340.8927335641</v>
      </c>
      <c r="Q1559" s="59">
        <v>0</v>
      </c>
      <c r="R1559" s="59">
        <v>0</v>
      </c>
      <c r="S1559" s="59">
        <v>533051079.10726643</v>
      </c>
      <c r="T1559" s="41"/>
      <c r="U1559" s="41"/>
      <c r="V1559" s="41"/>
      <c r="W1559" s="41"/>
      <c r="X1559" s="41"/>
      <c r="Y1559" s="41"/>
      <c r="Z1559" s="41"/>
      <c r="AA1559" s="41"/>
      <c r="AB1559" s="41"/>
      <c r="AC1559" s="41"/>
      <c r="AD1559" s="41"/>
      <c r="AE1559" s="59">
        <v>20397.649518439808</v>
      </c>
      <c r="AF1559" s="59">
        <v>20492.791451551137</v>
      </c>
      <c r="AG1559" s="59" t="s">
        <v>5</v>
      </c>
      <c r="AH1559" s="59" t="s">
        <v>1166</v>
      </c>
    </row>
    <row r="1560" spans="1:34" x14ac:dyDescent="0.35">
      <c r="A1560" s="58">
        <v>2025</v>
      </c>
      <c r="B1560" s="58">
        <v>8</v>
      </c>
      <c r="C1560">
        <v>8</v>
      </c>
      <c r="D1560" s="58" t="s">
        <v>595</v>
      </c>
      <c r="E1560" t="s">
        <v>478</v>
      </c>
      <c r="F1560" s="58" t="s">
        <v>188</v>
      </c>
      <c r="G1560" t="s">
        <v>872</v>
      </c>
      <c r="H1560" s="58" t="s">
        <v>1428</v>
      </c>
      <c r="I1560" t="s">
        <v>75</v>
      </c>
      <c r="J1560" s="58" t="s">
        <v>75</v>
      </c>
      <c r="K1560" t="s">
        <v>1429</v>
      </c>
      <c r="L1560" t="s">
        <v>20</v>
      </c>
      <c r="M1560" t="s">
        <v>1430</v>
      </c>
      <c r="N1560" s="59">
        <v>44000</v>
      </c>
      <c r="O1560" s="59">
        <v>1497083719</v>
      </c>
      <c r="P1560" s="59">
        <v>0</v>
      </c>
      <c r="Q1560" s="59">
        <v>0</v>
      </c>
      <c r="R1560" s="59">
        <v>0</v>
      </c>
      <c r="S1560" s="59">
        <v>1497083719</v>
      </c>
      <c r="T1560" s="41"/>
      <c r="U1560" s="41"/>
      <c r="V1560" s="41"/>
      <c r="W1560" s="41"/>
      <c r="X1560" s="41"/>
      <c r="Y1560" s="41"/>
      <c r="Z1560" s="41"/>
      <c r="AA1560" s="41"/>
      <c r="AB1560" s="41"/>
      <c r="AC1560" s="41"/>
      <c r="AD1560" s="41"/>
      <c r="AE1560" s="59">
        <v>57287.172274496857</v>
      </c>
      <c r="AF1560" s="59">
        <v>57287.172274496857</v>
      </c>
      <c r="AG1560" s="59" t="s">
        <v>5</v>
      </c>
      <c r="AH1560" s="59" t="s">
        <v>1204</v>
      </c>
    </row>
    <row r="1561" spans="1:34" x14ac:dyDescent="0.35">
      <c r="A1561" s="58">
        <v>2025</v>
      </c>
      <c r="B1561" s="58">
        <v>8</v>
      </c>
      <c r="C1561">
        <v>8</v>
      </c>
      <c r="D1561" s="58" t="s">
        <v>595</v>
      </c>
      <c r="E1561" t="s">
        <v>478</v>
      </c>
      <c r="F1561" s="58" t="s">
        <v>191</v>
      </c>
      <c r="G1561" t="s">
        <v>941</v>
      </c>
      <c r="H1561" s="58" t="s">
        <v>1428</v>
      </c>
      <c r="I1561" t="s">
        <v>75</v>
      </c>
      <c r="J1561" s="58" t="s">
        <v>75</v>
      </c>
      <c r="K1561" t="s">
        <v>1429</v>
      </c>
      <c r="L1561" t="s">
        <v>20</v>
      </c>
      <c r="M1561" t="s">
        <v>1430</v>
      </c>
      <c r="N1561" s="59">
        <v>22000</v>
      </c>
      <c r="O1561" s="59">
        <v>788540280</v>
      </c>
      <c r="P1561" s="59">
        <v>0</v>
      </c>
      <c r="Q1561" s="59">
        <v>0</v>
      </c>
      <c r="R1561" s="59">
        <v>0</v>
      </c>
      <c r="S1561" s="59">
        <v>788540280</v>
      </c>
      <c r="T1561" s="41"/>
      <c r="U1561" s="41"/>
      <c r="V1561" s="41"/>
      <c r="W1561" s="41"/>
      <c r="X1561" s="41"/>
      <c r="Y1561" s="41"/>
      <c r="Z1561" s="41"/>
      <c r="AA1561" s="41"/>
      <c r="AB1561" s="41"/>
      <c r="AC1561" s="41"/>
      <c r="AD1561" s="41"/>
      <c r="AE1561" s="59">
        <v>30174.159462447533</v>
      </c>
      <c r="AF1561" s="59">
        <v>30174.159462447533</v>
      </c>
      <c r="AG1561" s="59" t="s">
        <v>5</v>
      </c>
      <c r="AH1561" s="59" t="s">
        <v>1208</v>
      </c>
    </row>
    <row r="1562" spans="1:34" x14ac:dyDescent="0.35">
      <c r="A1562" s="58">
        <v>2025</v>
      </c>
      <c r="B1562" s="58">
        <v>8</v>
      </c>
      <c r="C1562">
        <v>8</v>
      </c>
      <c r="D1562" s="58" t="s">
        <v>606</v>
      </c>
      <c r="E1562" t="s">
        <v>325</v>
      </c>
      <c r="F1562" s="58" t="s">
        <v>168</v>
      </c>
      <c r="G1562" t="s">
        <v>700</v>
      </c>
      <c r="H1562" s="58" t="s">
        <v>4</v>
      </c>
      <c r="I1562" t="s">
        <v>4</v>
      </c>
      <c r="J1562" s="58" t="s">
        <v>4</v>
      </c>
      <c r="K1562" t="s">
        <v>1429</v>
      </c>
      <c r="L1562" t="s">
        <v>20</v>
      </c>
      <c r="M1562" t="s">
        <v>1431</v>
      </c>
      <c r="N1562" s="59">
        <v>-20900</v>
      </c>
      <c r="O1562" s="59">
        <v>0</v>
      </c>
      <c r="P1562" s="59">
        <v>-3149365.1307958481</v>
      </c>
      <c r="Q1562" s="59">
        <v>0</v>
      </c>
      <c r="R1562" s="59">
        <v>1463000.0000000002</v>
      </c>
      <c r="S1562" s="59">
        <v>1686365.1307958479</v>
      </c>
      <c r="T1562" s="41"/>
      <c r="U1562" s="41"/>
      <c r="V1562" s="41"/>
      <c r="W1562" s="41"/>
      <c r="X1562" s="41"/>
      <c r="Y1562" s="41"/>
      <c r="Z1562" s="41"/>
      <c r="AA1562" s="41"/>
      <c r="AB1562" s="41"/>
      <c r="AC1562" s="41"/>
      <c r="AD1562" s="41"/>
      <c r="AE1562" s="59">
        <v>64.530185279241664</v>
      </c>
      <c r="AF1562" s="59">
        <v>0</v>
      </c>
      <c r="AG1562" s="59" t="s">
        <v>8</v>
      </c>
      <c r="AH1562" s="59" t="s">
        <v>1160</v>
      </c>
    </row>
    <row r="1563" spans="1:34" x14ac:dyDescent="0.35">
      <c r="A1563" s="58">
        <v>2025</v>
      </c>
      <c r="B1563" s="58">
        <v>8</v>
      </c>
      <c r="C1563">
        <v>8</v>
      </c>
      <c r="D1563" s="58" t="s">
        <v>606</v>
      </c>
      <c r="E1563" t="s">
        <v>325</v>
      </c>
      <c r="F1563" s="58" t="s">
        <v>168</v>
      </c>
      <c r="G1563" t="s">
        <v>700</v>
      </c>
      <c r="H1563" s="58" t="s">
        <v>4</v>
      </c>
      <c r="I1563" t="s">
        <v>4</v>
      </c>
      <c r="J1563" s="58" t="s">
        <v>4</v>
      </c>
      <c r="K1563" t="s">
        <v>1429</v>
      </c>
      <c r="L1563" t="s">
        <v>20</v>
      </c>
      <c r="M1563" t="s">
        <v>1430</v>
      </c>
      <c r="N1563" s="59">
        <v>44000</v>
      </c>
      <c r="O1563" s="59">
        <v>1609080000</v>
      </c>
      <c r="P1563" s="59">
        <v>6630242.3806228377</v>
      </c>
      <c r="Q1563" s="59">
        <v>0</v>
      </c>
      <c r="R1563" s="59">
        <v>6160000</v>
      </c>
      <c r="S1563" s="59">
        <v>1572326609.6193771</v>
      </c>
      <c r="T1563" s="41"/>
      <c r="U1563" s="41"/>
      <c r="V1563" s="41"/>
      <c r="W1563" s="41"/>
      <c r="X1563" s="41"/>
      <c r="Y1563" s="41"/>
      <c r="Z1563" s="41"/>
      <c r="AA1563" s="41"/>
      <c r="AB1563" s="41"/>
      <c r="AC1563" s="41"/>
      <c r="AD1563" s="41"/>
      <c r="AE1563" s="59">
        <v>60166.405000521438</v>
      </c>
      <c r="AF1563" s="59">
        <v>61572.804508902293</v>
      </c>
      <c r="AG1563" s="59" t="s">
        <v>8</v>
      </c>
      <c r="AH1563" s="59" t="s">
        <v>1160</v>
      </c>
    </row>
    <row r="1564" spans="1:34" x14ac:dyDescent="0.35">
      <c r="A1564" s="58">
        <v>2025</v>
      </c>
      <c r="B1564" s="58">
        <v>8</v>
      </c>
      <c r="C1564">
        <v>8</v>
      </c>
      <c r="D1564" s="58" t="s">
        <v>606</v>
      </c>
      <c r="E1564" t="s">
        <v>325</v>
      </c>
      <c r="F1564" s="58" t="s">
        <v>168</v>
      </c>
      <c r="G1564" t="s">
        <v>700</v>
      </c>
      <c r="H1564" s="58" t="s">
        <v>4</v>
      </c>
      <c r="I1564" t="s">
        <v>4</v>
      </c>
      <c r="J1564" s="58" t="s">
        <v>4</v>
      </c>
      <c r="K1564" t="s">
        <v>1429</v>
      </c>
      <c r="L1564" t="s">
        <v>20</v>
      </c>
      <c r="M1564" t="s">
        <v>1432</v>
      </c>
      <c r="N1564" s="59">
        <v>20900</v>
      </c>
      <c r="O1564" s="59">
        <v>0</v>
      </c>
      <c r="P1564" s="59">
        <v>3149365.1307958476</v>
      </c>
      <c r="Q1564" s="59">
        <v>0</v>
      </c>
      <c r="R1564" s="59">
        <v>6160000</v>
      </c>
      <c r="S1564" s="59">
        <v>-9309365.1307958476</v>
      </c>
      <c r="T1564" s="41"/>
      <c r="U1564" s="41"/>
      <c r="V1564" s="41"/>
      <c r="W1564" s="41"/>
      <c r="X1564" s="41"/>
      <c r="Y1564" s="41"/>
      <c r="Z1564" s="41"/>
      <c r="AA1564" s="41"/>
      <c r="AB1564" s="41"/>
      <c r="AC1564" s="41"/>
      <c r="AD1564" s="41"/>
      <c r="AE1564" s="59">
        <v>-356.23071525373774</v>
      </c>
      <c r="AF1564" s="59">
        <v>0</v>
      </c>
      <c r="AG1564" s="59" t="s">
        <v>8</v>
      </c>
      <c r="AH1564" s="59" t="s">
        <v>1160</v>
      </c>
    </row>
    <row r="1565" spans="1:34" x14ac:dyDescent="0.35">
      <c r="A1565" s="58">
        <v>2025</v>
      </c>
      <c r="B1565" s="58">
        <v>8</v>
      </c>
      <c r="C1565">
        <v>8</v>
      </c>
      <c r="D1565" s="58" t="s">
        <v>610</v>
      </c>
      <c r="E1565" t="s">
        <v>44</v>
      </c>
      <c r="F1565" s="58" t="s">
        <v>186</v>
      </c>
      <c r="G1565" t="s">
        <v>781</v>
      </c>
      <c r="H1565" s="58" t="s">
        <v>1428</v>
      </c>
      <c r="I1565" t="s">
        <v>75</v>
      </c>
      <c r="J1565" s="58" t="s">
        <v>75</v>
      </c>
      <c r="K1565" t="s">
        <v>1429</v>
      </c>
      <c r="L1565" t="s">
        <v>20</v>
      </c>
      <c r="M1565" t="s">
        <v>1430</v>
      </c>
      <c r="N1565" s="59">
        <v>33000</v>
      </c>
      <c r="O1565" s="59">
        <v>1083637500</v>
      </c>
      <c r="P1565" s="59">
        <v>0</v>
      </c>
      <c r="Q1565" s="59">
        <v>0</v>
      </c>
      <c r="R1565" s="59">
        <v>0</v>
      </c>
      <c r="S1565" s="59">
        <v>1083637500</v>
      </c>
      <c r="T1565" s="41"/>
      <c r="U1565" s="41"/>
      <c r="V1565" s="41"/>
      <c r="W1565" s="41"/>
      <c r="X1565" s="41"/>
      <c r="Y1565" s="41"/>
      <c r="Z1565" s="41"/>
      <c r="AA1565" s="41"/>
      <c r="AB1565" s="41"/>
      <c r="AC1565" s="41"/>
      <c r="AD1565" s="41"/>
      <c r="AE1565" s="59">
        <v>41466.3036928031</v>
      </c>
      <c r="AF1565" s="59">
        <v>41466.3036928031</v>
      </c>
      <c r="AG1565" s="59" t="s">
        <v>44</v>
      </c>
      <c r="AH1565" s="59" t="s">
        <v>1202</v>
      </c>
    </row>
    <row r="1566" spans="1:34" x14ac:dyDescent="0.35">
      <c r="A1566" s="58">
        <v>2025</v>
      </c>
      <c r="B1566" s="58">
        <v>8</v>
      </c>
      <c r="C1566">
        <v>8</v>
      </c>
      <c r="D1566" s="58" t="s">
        <v>624</v>
      </c>
      <c r="E1566" t="s">
        <v>272</v>
      </c>
      <c r="F1566" s="58" t="s">
        <v>172</v>
      </c>
      <c r="G1566" t="s">
        <v>734</v>
      </c>
      <c r="H1566" s="58" t="s">
        <v>4</v>
      </c>
      <c r="I1566" t="s">
        <v>4</v>
      </c>
      <c r="J1566" s="58" t="s">
        <v>4</v>
      </c>
      <c r="K1566" t="s">
        <v>1429</v>
      </c>
      <c r="L1566" t="s">
        <v>20</v>
      </c>
      <c r="M1566" t="s">
        <v>1430</v>
      </c>
      <c r="N1566" s="59">
        <v>11000</v>
      </c>
      <c r="O1566" s="59">
        <v>375426150</v>
      </c>
      <c r="P1566" s="59">
        <v>1657560.5951557094</v>
      </c>
      <c r="Q1566" s="59">
        <v>0</v>
      </c>
      <c r="R1566" s="59">
        <v>3200000.0000000005</v>
      </c>
      <c r="S1566" s="59">
        <v>370568589.40484428</v>
      </c>
      <c r="T1566" s="41"/>
      <c r="U1566" s="41"/>
      <c r="V1566" s="41"/>
      <c r="W1566" s="41"/>
      <c r="X1566" s="41"/>
      <c r="Y1566" s="41"/>
      <c r="Z1566" s="41"/>
      <c r="AA1566" s="41"/>
      <c r="AB1566" s="41"/>
      <c r="AC1566" s="41"/>
      <c r="AD1566" s="41"/>
      <c r="AE1566" s="59">
        <v>14180.119889976979</v>
      </c>
      <c r="AF1566" s="59">
        <v>14365.998546672527</v>
      </c>
      <c r="AG1566" s="59" t="s">
        <v>103</v>
      </c>
      <c r="AH1566" s="59" t="s">
        <v>1175</v>
      </c>
    </row>
    <row r="1567" spans="1:34" x14ac:dyDescent="0.35">
      <c r="A1567" s="58">
        <v>2025</v>
      </c>
      <c r="B1567" s="58">
        <v>8</v>
      </c>
      <c r="C1567">
        <v>8</v>
      </c>
      <c r="D1567" s="58" t="s">
        <v>624</v>
      </c>
      <c r="E1567" t="s">
        <v>272</v>
      </c>
      <c r="F1567" s="58" t="s">
        <v>1152</v>
      </c>
      <c r="G1567" t="s">
        <v>1153</v>
      </c>
      <c r="H1567" s="58" t="s">
        <v>1012</v>
      </c>
      <c r="I1567" t="s">
        <v>1012</v>
      </c>
      <c r="J1567" s="58" t="s">
        <v>1399</v>
      </c>
      <c r="K1567" t="s">
        <v>1429</v>
      </c>
      <c r="L1567" t="s">
        <v>20</v>
      </c>
      <c r="M1567" t="s">
        <v>1430</v>
      </c>
      <c r="N1567" s="59">
        <v>0</v>
      </c>
      <c r="O1567" s="59">
        <v>0</v>
      </c>
      <c r="P1567" s="59">
        <v>0</v>
      </c>
      <c r="Q1567" s="59">
        <v>0</v>
      </c>
      <c r="R1567" s="59">
        <v>3200000</v>
      </c>
      <c r="S1567" s="59">
        <v>-3200000</v>
      </c>
      <c r="T1567" s="41"/>
      <c r="U1567" s="41"/>
      <c r="V1567" s="41"/>
      <c r="W1567" s="41"/>
      <c r="X1567" s="41"/>
      <c r="Y1567" s="41"/>
      <c r="Z1567" s="41"/>
      <c r="AA1567" s="41"/>
      <c r="AB1567" s="41"/>
      <c r="AC1567" s="41"/>
      <c r="AD1567" s="41"/>
      <c r="AE1567" s="59">
        <v>-122.45070128799522</v>
      </c>
      <c r="AF1567" s="59">
        <v>0</v>
      </c>
      <c r="AG1567" s="59" t="s">
        <v>103</v>
      </c>
      <c r="AH1567" s="59" t="s">
        <v>1400</v>
      </c>
    </row>
    <row r="1568" spans="1:34" x14ac:dyDescent="0.35">
      <c r="A1568" s="58">
        <v>2025</v>
      </c>
      <c r="B1568" s="58">
        <v>8</v>
      </c>
      <c r="C1568">
        <v>8</v>
      </c>
      <c r="D1568" s="58" t="s">
        <v>594</v>
      </c>
      <c r="E1568" t="s">
        <v>267</v>
      </c>
      <c r="F1568" s="58" t="s">
        <v>182</v>
      </c>
      <c r="G1568" t="s">
        <v>905</v>
      </c>
      <c r="H1568" s="58" t="s">
        <v>74</v>
      </c>
      <c r="I1568" t="s">
        <v>74</v>
      </c>
      <c r="J1568" s="58" t="s">
        <v>74</v>
      </c>
      <c r="K1568" t="s">
        <v>1429</v>
      </c>
      <c r="L1568" t="s">
        <v>20</v>
      </c>
      <c r="M1568" t="s">
        <v>1431</v>
      </c>
      <c r="N1568" s="59">
        <v>-1050</v>
      </c>
      <c r="O1568" s="59">
        <v>0</v>
      </c>
      <c r="P1568" s="59">
        <v>-165756.05951557093</v>
      </c>
      <c r="Q1568" s="59">
        <v>0</v>
      </c>
      <c r="R1568" s="59">
        <v>0</v>
      </c>
      <c r="S1568" s="59">
        <v>165756.05951557093</v>
      </c>
      <c r="T1568" s="41"/>
      <c r="U1568" s="41"/>
      <c r="V1568" s="41"/>
      <c r="W1568" s="41"/>
      <c r="X1568" s="41"/>
      <c r="Y1568" s="41"/>
      <c r="Z1568" s="41"/>
      <c r="AA1568" s="41"/>
      <c r="AB1568" s="41"/>
      <c r="AC1568" s="41"/>
      <c r="AD1568" s="41"/>
      <c r="AE1568" s="59">
        <v>6.3427955407551035</v>
      </c>
      <c r="AF1568" s="59">
        <v>0</v>
      </c>
      <c r="AG1568" s="59" t="s">
        <v>22</v>
      </c>
      <c r="AH1568" s="59" t="s">
        <v>1242</v>
      </c>
    </row>
    <row r="1569" spans="1:34" x14ac:dyDescent="0.35">
      <c r="A1569" s="58">
        <v>2025</v>
      </c>
      <c r="B1569" s="58">
        <v>8</v>
      </c>
      <c r="C1569">
        <v>8</v>
      </c>
      <c r="D1569" s="58" t="s">
        <v>594</v>
      </c>
      <c r="E1569" t="s">
        <v>267</v>
      </c>
      <c r="F1569" s="58" t="s">
        <v>182</v>
      </c>
      <c r="G1569" t="s">
        <v>905</v>
      </c>
      <c r="H1569" s="58" t="s">
        <v>74</v>
      </c>
      <c r="I1569" t="s">
        <v>74</v>
      </c>
      <c r="J1569" s="58" t="s">
        <v>74</v>
      </c>
      <c r="K1569" t="s">
        <v>1429</v>
      </c>
      <c r="L1569" t="s">
        <v>20</v>
      </c>
      <c r="M1569" t="s">
        <v>1430</v>
      </c>
      <c r="N1569" s="59">
        <v>259350</v>
      </c>
      <c r="O1569" s="59">
        <v>4616430000</v>
      </c>
      <c r="P1569" s="59">
        <v>40941746.700346</v>
      </c>
      <c r="Q1569" s="59">
        <v>0</v>
      </c>
      <c r="R1569" s="59">
        <v>0</v>
      </c>
      <c r="S1569" s="59">
        <v>4575488253.2996521</v>
      </c>
      <c r="T1569" s="41"/>
      <c r="U1569" s="41"/>
      <c r="V1569" s="41"/>
      <c r="W1569" s="41"/>
      <c r="X1569" s="41"/>
      <c r="Y1569" s="41"/>
      <c r="Z1569" s="41"/>
      <c r="AA1569" s="41"/>
      <c r="AB1569" s="41"/>
      <c r="AC1569" s="41"/>
      <c r="AD1569" s="41"/>
      <c r="AE1569" s="59">
        <v>175084.92042235212</v>
      </c>
      <c r="AF1569" s="59">
        <v>176651.59092091868</v>
      </c>
      <c r="AG1569" s="59" t="s">
        <v>22</v>
      </c>
      <c r="AH1569" s="59" t="s">
        <v>1242</v>
      </c>
    </row>
    <row r="1570" spans="1:34" x14ac:dyDescent="0.35">
      <c r="A1570" s="58">
        <v>2025</v>
      </c>
      <c r="B1570" s="58">
        <v>8</v>
      </c>
      <c r="C1570">
        <v>8</v>
      </c>
      <c r="D1570" s="58" t="s">
        <v>594</v>
      </c>
      <c r="E1570" t="s">
        <v>267</v>
      </c>
      <c r="F1570" s="58" t="s">
        <v>182</v>
      </c>
      <c r="G1570" t="s">
        <v>905</v>
      </c>
      <c r="H1570" s="58" t="s">
        <v>74</v>
      </c>
      <c r="I1570" t="s">
        <v>74</v>
      </c>
      <c r="J1570" s="58" t="s">
        <v>74</v>
      </c>
      <c r="K1570" t="s">
        <v>1429</v>
      </c>
      <c r="L1570" t="s">
        <v>20</v>
      </c>
      <c r="M1570" t="s">
        <v>1432</v>
      </c>
      <c r="N1570" s="59">
        <v>1050</v>
      </c>
      <c r="O1570" s="59">
        <v>0</v>
      </c>
      <c r="P1570" s="59">
        <v>331512.11903114186</v>
      </c>
      <c r="Q1570" s="59">
        <v>0</v>
      </c>
      <c r="R1570" s="59">
        <v>0</v>
      </c>
      <c r="S1570" s="59">
        <v>-331512.11903114186</v>
      </c>
      <c r="T1570" s="41"/>
      <c r="U1570" s="41"/>
      <c r="V1570" s="41"/>
      <c r="W1570" s="41"/>
      <c r="X1570" s="41"/>
      <c r="Y1570" s="41"/>
      <c r="Z1570" s="41"/>
      <c r="AA1570" s="41"/>
      <c r="AB1570" s="41"/>
      <c r="AC1570" s="41"/>
      <c r="AD1570" s="41"/>
      <c r="AE1570" s="59">
        <v>-12.685591081510207</v>
      </c>
      <c r="AF1570" s="59">
        <v>0</v>
      </c>
      <c r="AG1570" s="59" t="s">
        <v>22</v>
      </c>
      <c r="AH1570" s="59" t="s">
        <v>1242</v>
      </c>
    </row>
    <row r="1571" spans="1:34" x14ac:dyDescent="0.35">
      <c r="A1571" s="58">
        <v>2025</v>
      </c>
      <c r="B1571" s="58">
        <v>8</v>
      </c>
      <c r="C1571">
        <v>8</v>
      </c>
      <c r="D1571" s="58" t="s">
        <v>1558</v>
      </c>
      <c r="E1571" t="s">
        <v>1223</v>
      </c>
      <c r="F1571" s="58" t="s">
        <v>841</v>
      </c>
      <c r="G1571" t="s">
        <v>842</v>
      </c>
      <c r="H1571" s="58" t="s">
        <v>1012</v>
      </c>
      <c r="I1571" t="s">
        <v>86</v>
      </c>
      <c r="J1571" s="58" t="s">
        <v>86</v>
      </c>
      <c r="K1571" t="s">
        <v>1429</v>
      </c>
      <c r="L1571" t="s">
        <v>20</v>
      </c>
      <c r="M1571" t="s">
        <v>1430</v>
      </c>
      <c r="N1571" s="59">
        <v>33809</v>
      </c>
      <c r="O1571" s="59">
        <v>153392686</v>
      </c>
      <c r="P1571" s="59">
        <v>0</v>
      </c>
      <c r="Q1571" s="59">
        <v>0</v>
      </c>
      <c r="R1571" s="59">
        <v>0</v>
      </c>
      <c r="S1571" s="59">
        <v>153392686</v>
      </c>
      <c r="T1571" s="41"/>
      <c r="U1571" s="41"/>
      <c r="V1571" s="41"/>
      <c r="W1571" s="41"/>
      <c r="X1571" s="41"/>
      <c r="Y1571" s="41"/>
      <c r="Z1571" s="41"/>
      <c r="AA1571" s="41"/>
      <c r="AB1571" s="41"/>
      <c r="AC1571" s="41"/>
      <c r="AD1571" s="41"/>
      <c r="AE1571" s="59">
        <v>5869.7006166091396</v>
      </c>
      <c r="AF1571" s="59">
        <v>5869.7006166091396</v>
      </c>
      <c r="AG1571" s="59" t="s">
        <v>1223</v>
      </c>
      <c r="AH1571" s="59" t="s">
        <v>1222</v>
      </c>
    </row>
    <row r="1572" spans="1:34" x14ac:dyDescent="0.35">
      <c r="A1572" s="58">
        <v>2025</v>
      </c>
      <c r="B1572" s="58">
        <v>8</v>
      </c>
      <c r="C1572">
        <v>8</v>
      </c>
      <c r="D1572" s="58" t="s">
        <v>1558</v>
      </c>
      <c r="E1572" t="s">
        <v>1223</v>
      </c>
      <c r="F1572" s="58" t="s">
        <v>843</v>
      </c>
      <c r="G1572" t="s">
        <v>844</v>
      </c>
      <c r="H1572" s="58" t="s">
        <v>1012</v>
      </c>
      <c r="I1572" t="s">
        <v>86</v>
      </c>
      <c r="J1572" s="58" t="s">
        <v>86</v>
      </c>
      <c r="K1572" t="s">
        <v>1429</v>
      </c>
      <c r="L1572" t="s">
        <v>20</v>
      </c>
      <c r="M1572" t="s">
        <v>1430</v>
      </c>
      <c r="N1572" s="59">
        <v>45329</v>
      </c>
      <c r="O1572" s="59">
        <v>205659352</v>
      </c>
      <c r="P1572" s="59">
        <v>0</v>
      </c>
      <c r="Q1572" s="59">
        <v>0</v>
      </c>
      <c r="R1572" s="59">
        <v>0</v>
      </c>
      <c r="S1572" s="59">
        <v>205659352</v>
      </c>
      <c r="T1572" s="41"/>
      <c r="U1572" s="41"/>
      <c r="V1572" s="41"/>
      <c r="W1572" s="41"/>
      <c r="X1572" s="41"/>
      <c r="Y1572" s="41"/>
      <c r="Z1572" s="41"/>
      <c r="AA1572" s="41"/>
      <c r="AB1572" s="41"/>
      <c r="AC1572" s="41"/>
      <c r="AD1572" s="41"/>
      <c r="AE1572" s="59">
        <v>7869.7287121358304</v>
      </c>
      <c r="AF1572" s="59">
        <v>7869.7287121358304</v>
      </c>
      <c r="AG1572" s="59" t="s">
        <v>1223</v>
      </c>
      <c r="AH1572" s="59" t="s">
        <v>1224</v>
      </c>
    </row>
    <row r="1573" spans="1:34" x14ac:dyDescent="0.35">
      <c r="A1573" s="58">
        <v>2025</v>
      </c>
      <c r="B1573" s="58">
        <v>8</v>
      </c>
      <c r="C1573">
        <v>8</v>
      </c>
      <c r="D1573" s="58" t="s">
        <v>1558</v>
      </c>
      <c r="E1573" t="s">
        <v>1223</v>
      </c>
      <c r="F1573" s="58" t="s">
        <v>845</v>
      </c>
      <c r="G1573" t="s">
        <v>846</v>
      </c>
      <c r="H1573" s="58" t="s">
        <v>1012</v>
      </c>
      <c r="I1573" t="s">
        <v>86</v>
      </c>
      <c r="J1573" s="58" t="s">
        <v>86</v>
      </c>
      <c r="K1573" t="s">
        <v>1429</v>
      </c>
      <c r="L1573" t="s">
        <v>20</v>
      </c>
      <c r="M1573" t="s">
        <v>1430</v>
      </c>
      <c r="N1573" s="59">
        <v>25657</v>
      </c>
      <c r="O1573" s="59">
        <v>116406759</v>
      </c>
      <c r="P1573" s="59">
        <v>0</v>
      </c>
      <c r="Q1573" s="59">
        <v>0</v>
      </c>
      <c r="R1573" s="59">
        <v>0</v>
      </c>
      <c r="S1573" s="59">
        <v>116406759</v>
      </c>
      <c r="T1573" s="41"/>
      <c r="U1573" s="41"/>
      <c r="V1573" s="41"/>
      <c r="W1573" s="41"/>
      <c r="X1573" s="41"/>
      <c r="Y1573" s="41"/>
      <c r="Z1573" s="41"/>
      <c r="AA1573" s="41"/>
      <c r="AB1573" s="41"/>
      <c r="AC1573" s="41"/>
      <c r="AD1573" s="41"/>
      <c r="AE1573" s="59">
        <v>4454.4028981914535</v>
      </c>
      <c r="AF1573" s="59">
        <v>4454.4028981914535</v>
      </c>
      <c r="AG1573" s="59" t="s">
        <v>1223</v>
      </c>
      <c r="AH1573" s="59" t="s">
        <v>1225</v>
      </c>
    </row>
    <row r="1574" spans="1:34" x14ac:dyDescent="0.35">
      <c r="A1574" s="58">
        <v>2025</v>
      </c>
      <c r="B1574" s="58">
        <v>8</v>
      </c>
      <c r="C1574">
        <v>8</v>
      </c>
      <c r="D1574" s="58" t="s">
        <v>1558</v>
      </c>
      <c r="E1574" t="s">
        <v>1223</v>
      </c>
      <c r="F1574" s="58" t="s">
        <v>847</v>
      </c>
      <c r="G1574" t="s">
        <v>848</v>
      </c>
      <c r="H1574" s="58" t="s">
        <v>1012</v>
      </c>
      <c r="I1574" t="s">
        <v>86</v>
      </c>
      <c r="J1574" s="58" t="s">
        <v>86</v>
      </c>
      <c r="K1574" t="s">
        <v>1429</v>
      </c>
      <c r="L1574" t="s">
        <v>20</v>
      </c>
      <c r="M1574" t="s">
        <v>1430</v>
      </c>
      <c r="N1574" s="59">
        <v>47732</v>
      </c>
      <c r="O1574" s="59">
        <v>216561852</v>
      </c>
      <c r="P1574" s="59">
        <v>0</v>
      </c>
      <c r="Q1574" s="59">
        <v>0</v>
      </c>
      <c r="R1574" s="59">
        <v>0</v>
      </c>
      <c r="S1574" s="59">
        <v>216561852</v>
      </c>
      <c r="T1574" s="41"/>
      <c r="U1574" s="41"/>
      <c r="V1574" s="41"/>
      <c r="W1574" s="41"/>
      <c r="X1574" s="41"/>
      <c r="Y1574" s="41"/>
      <c r="Z1574" s="41"/>
      <c r="AA1574" s="41"/>
      <c r="AB1574" s="41"/>
      <c r="AC1574" s="41"/>
      <c r="AD1574" s="41"/>
      <c r="AE1574" s="59">
        <v>8286.922078008447</v>
      </c>
      <c r="AF1574" s="59">
        <v>8286.922078008447</v>
      </c>
      <c r="AG1574" s="59" t="s">
        <v>1223</v>
      </c>
      <c r="AH1574" s="59" t="s">
        <v>1226</v>
      </c>
    </row>
    <row r="1575" spans="1:34" x14ac:dyDescent="0.35">
      <c r="A1575" s="58">
        <v>2025</v>
      </c>
      <c r="B1575" s="58">
        <v>8</v>
      </c>
      <c r="C1575">
        <v>8</v>
      </c>
      <c r="D1575" s="58" t="s">
        <v>636</v>
      </c>
      <c r="E1575" t="s">
        <v>270</v>
      </c>
      <c r="F1575" s="58" t="s">
        <v>171</v>
      </c>
      <c r="G1575" t="s">
        <v>731</v>
      </c>
      <c r="H1575" s="58" t="s">
        <v>4</v>
      </c>
      <c r="I1575" t="s">
        <v>4</v>
      </c>
      <c r="J1575" s="58" t="s">
        <v>4</v>
      </c>
      <c r="K1575" t="s">
        <v>1429</v>
      </c>
      <c r="L1575" t="s">
        <v>20</v>
      </c>
      <c r="M1575" t="s">
        <v>1430</v>
      </c>
      <c r="N1575" s="59">
        <v>11000</v>
      </c>
      <c r="O1575" s="59">
        <v>367419800.00000006</v>
      </c>
      <c r="P1575" s="59">
        <v>1657560.5951557094</v>
      </c>
      <c r="Q1575" s="59">
        <v>0</v>
      </c>
      <c r="R1575" s="59">
        <v>0</v>
      </c>
      <c r="S1575" s="59">
        <v>365762239.40484434</v>
      </c>
      <c r="T1575" s="41"/>
      <c r="U1575" s="41"/>
      <c r="V1575" s="41"/>
      <c r="W1575" s="41"/>
      <c r="X1575" s="41"/>
      <c r="Y1575" s="41"/>
      <c r="Z1575" s="41"/>
      <c r="AA1575" s="41"/>
      <c r="AB1575" s="41"/>
      <c r="AC1575" s="41"/>
      <c r="AD1575" s="41"/>
      <c r="AE1575" s="59">
        <v>13996.200849934621</v>
      </c>
      <c r="AF1575" s="59">
        <v>14059.628805342172</v>
      </c>
      <c r="AG1575" s="59" t="s">
        <v>102</v>
      </c>
      <c r="AH1575" s="59" t="s">
        <v>1166</v>
      </c>
    </row>
    <row r="1576" spans="1:34" x14ac:dyDescent="0.35">
      <c r="A1576" s="58">
        <v>2025</v>
      </c>
      <c r="B1576" s="58">
        <v>8</v>
      </c>
      <c r="C1576">
        <v>8</v>
      </c>
      <c r="D1576" s="58" t="s">
        <v>612</v>
      </c>
      <c r="E1576" t="s">
        <v>321</v>
      </c>
      <c r="F1576" s="58" t="s">
        <v>168</v>
      </c>
      <c r="G1576" t="s">
        <v>700</v>
      </c>
      <c r="H1576" s="58" t="s">
        <v>4</v>
      </c>
      <c r="I1576" t="s">
        <v>4</v>
      </c>
      <c r="J1576" s="58" t="s">
        <v>4</v>
      </c>
      <c r="K1576" t="s">
        <v>1429</v>
      </c>
      <c r="L1576" t="s">
        <v>20</v>
      </c>
      <c r="M1576" t="s">
        <v>1430</v>
      </c>
      <c r="N1576" s="59">
        <v>88000</v>
      </c>
      <c r="O1576" s="59">
        <v>3268232000</v>
      </c>
      <c r="P1576" s="59">
        <v>13260484.761245675</v>
      </c>
      <c r="Q1576" s="59">
        <v>0</v>
      </c>
      <c r="R1576" s="59">
        <v>14960000</v>
      </c>
      <c r="S1576" s="59">
        <v>3240011515.2387543</v>
      </c>
      <c r="T1576" s="41"/>
      <c r="U1576" s="41"/>
      <c r="V1576" s="41"/>
      <c r="W1576" s="41"/>
      <c r="X1576" s="41"/>
      <c r="Y1576" s="41"/>
      <c r="Z1576" s="41"/>
      <c r="AA1576" s="41"/>
      <c r="AB1576" s="41"/>
      <c r="AC1576" s="41"/>
      <c r="AD1576" s="41"/>
      <c r="AE1576" s="59">
        <v>123981.7756944267</v>
      </c>
      <c r="AF1576" s="59">
        <v>125061.65636620848</v>
      </c>
      <c r="AG1576" s="59" t="s">
        <v>99</v>
      </c>
      <c r="AH1576" s="59" t="s">
        <v>1160</v>
      </c>
    </row>
    <row r="1577" spans="1:34" x14ac:dyDescent="0.35">
      <c r="A1577" s="58">
        <v>2025</v>
      </c>
      <c r="B1577" s="58">
        <v>8</v>
      </c>
      <c r="C1577">
        <v>8</v>
      </c>
      <c r="D1577" s="58" t="s">
        <v>612</v>
      </c>
      <c r="E1577" t="s">
        <v>321</v>
      </c>
      <c r="F1577" s="58" t="s">
        <v>168</v>
      </c>
      <c r="G1577" t="s">
        <v>700</v>
      </c>
      <c r="H1577" s="58" t="s">
        <v>4</v>
      </c>
      <c r="I1577" t="s">
        <v>4</v>
      </c>
      <c r="J1577" s="58" t="s">
        <v>4</v>
      </c>
      <c r="K1577" t="s">
        <v>1429</v>
      </c>
      <c r="L1577" t="s">
        <v>20</v>
      </c>
      <c r="M1577" t="s">
        <v>1591</v>
      </c>
      <c r="N1577" s="59">
        <v>0</v>
      </c>
      <c r="O1577" s="59">
        <v>-97352640</v>
      </c>
      <c r="P1577" s="59">
        <v>0</v>
      </c>
      <c r="Q1577" s="59">
        <v>0</v>
      </c>
      <c r="R1577" s="59">
        <v>0</v>
      </c>
      <c r="S1577" s="59">
        <v>-97352640</v>
      </c>
      <c r="T1577" s="41"/>
      <c r="U1577" s="41"/>
      <c r="V1577" s="41"/>
      <c r="W1577" s="41"/>
      <c r="X1577" s="41"/>
      <c r="Y1577" s="41"/>
      <c r="Z1577" s="41"/>
      <c r="AA1577" s="41"/>
      <c r="AB1577" s="41"/>
      <c r="AC1577" s="41"/>
      <c r="AD1577" s="41"/>
      <c r="AE1577" s="59">
        <v>-3725.2809500742919</v>
      </c>
      <c r="AF1577" s="59">
        <v>-3725.2809500742919</v>
      </c>
      <c r="AG1577" s="59" t="s">
        <v>99</v>
      </c>
      <c r="AH1577" s="59" t="s">
        <v>1160</v>
      </c>
    </row>
    <row r="1578" spans="1:34" x14ac:dyDescent="0.35">
      <c r="A1578" s="58">
        <v>2025</v>
      </c>
      <c r="B1578" s="58">
        <v>8</v>
      </c>
      <c r="C1578">
        <v>8</v>
      </c>
      <c r="D1578" s="58" t="s">
        <v>612</v>
      </c>
      <c r="E1578" t="s">
        <v>321</v>
      </c>
      <c r="F1578" s="58" t="s">
        <v>1152</v>
      </c>
      <c r="G1578" t="s">
        <v>1153</v>
      </c>
      <c r="H1578" s="58" t="s">
        <v>1012</v>
      </c>
      <c r="I1578" t="s">
        <v>1012</v>
      </c>
      <c r="J1578" s="58" t="s">
        <v>1399</v>
      </c>
      <c r="K1578" t="s">
        <v>1429</v>
      </c>
      <c r="L1578" t="s">
        <v>20</v>
      </c>
      <c r="M1578" t="s">
        <v>1430</v>
      </c>
      <c r="N1578" s="59">
        <v>0</v>
      </c>
      <c r="O1578" s="59">
        <v>0</v>
      </c>
      <c r="P1578" s="59">
        <v>0</v>
      </c>
      <c r="Q1578" s="59">
        <v>0</v>
      </c>
      <c r="R1578" s="59">
        <v>-14960000</v>
      </c>
      <c r="S1578" s="59">
        <v>14960000</v>
      </c>
      <c r="T1578" s="41"/>
      <c r="U1578" s="41"/>
      <c r="V1578" s="41"/>
      <c r="W1578" s="41"/>
      <c r="X1578" s="41"/>
      <c r="Y1578" s="41"/>
      <c r="Z1578" s="41"/>
      <c r="AA1578" s="41"/>
      <c r="AB1578" s="41"/>
      <c r="AC1578" s="41"/>
      <c r="AD1578" s="41"/>
      <c r="AE1578" s="59">
        <v>572.45702852137765</v>
      </c>
      <c r="AF1578" s="59">
        <v>0</v>
      </c>
      <c r="AG1578" s="59" t="s">
        <v>99</v>
      </c>
      <c r="AH1578" s="59" t="s">
        <v>1400</v>
      </c>
    </row>
    <row r="1579" spans="1:34" x14ac:dyDescent="0.35">
      <c r="A1579" s="58">
        <v>2025</v>
      </c>
      <c r="B1579" s="58">
        <v>8</v>
      </c>
      <c r="C1579">
        <v>8</v>
      </c>
      <c r="D1579" s="58" t="s">
        <v>659</v>
      </c>
      <c r="E1579" t="s">
        <v>487</v>
      </c>
      <c r="F1579" s="58" t="s">
        <v>198</v>
      </c>
      <c r="G1579" t="s">
        <v>755</v>
      </c>
      <c r="H1579" s="58" t="s">
        <v>1428</v>
      </c>
      <c r="I1579" t="s">
        <v>76</v>
      </c>
      <c r="J1579" s="58" t="s">
        <v>76</v>
      </c>
      <c r="K1579" t="s">
        <v>1429</v>
      </c>
      <c r="L1579" t="s">
        <v>20</v>
      </c>
      <c r="M1579" t="s">
        <v>1430</v>
      </c>
      <c r="N1579" s="59">
        <v>3000</v>
      </c>
      <c r="O1579" s="59">
        <v>83160000</v>
      </c>
      <c r="P1579" s="59">
        <v>0</v>
      </c>
      <c r="Q1579" s="59">
        <v>0</v>
      </c>
      <c r="R1579" s="59">
        <v>0</v>
      </c>
      <c r="S1579" s="59">
        <v>83160000</v>
      </c>
      <c r="T1579" s="41"/>
      <c r="U1579" s="41"/>
      <c r="V1579" s="41"/>
      <c r="W1579" s="41"/>
      <c r="X1579" s="41"/>
      <c r="Y1579" s="41"/>
      <c r="Z1579" s="41"/>
      <c r="AA1579" s="41"/>
      <c r="AB1579" s="41"/>
      <c r="AC1579" s="41"/>
      <c r="AD1579" s="41"/>
      <c r="AE1579" s="59">
        <v>3182.1875997217753</v>
      </c>
      <c r="AF1579" s="59">
        <v>3182.1875997217753</v>
      </c>
      <c r="AG1579" s="59" t="s">
        <v>99</v>
      </c>
      <c r="AH1579" s="59" t="s">
        <v>1250</v>
      </c>
    </row>
    <row r="1580" spans="1:34" x14ac:dyDescent="0.35">
      <c r="A1580" s="58">
        <v>2025</v>
      </c>
      <c r="B1580" s="58">
        <v>8</v>
      </c>
      <c r="C1580">
        <v>8</v>
      </c>
      <c r="D1580" s="58" t="s">
        <v>627</v>
      </c>
      <c r="E1580" t="s">
        <v>58</v>
      </c>
      <c r="F1580" s="58" t="s">
        <v>200</v>
      </c>
      <c r="G1580" t="s">
        <v>470</v>
      </c>
      <c r="H1580" s="58" t="s">
        <v>1428</v>
      </c>
      <c r="I1580" t="s">
        <v>76</v>
      </c>
      <c r="J1580" s="58" t="s">
        <v>76</v>
      </c>
      <c r="K1580" t="s">
        <v>1429</v>
      </c>
      <c r="L1580" t="s">
        <v>20</v>
      </c>
      <c r="M1580" t="s">
        <v>1430</v>
      </c>
      <c r="N1580" s="59">
        <v>23250</v>
      </c>
      <c r="O1580" s="59">
        <v>360675000</v>
      </c>
      <c r="P1580" s="59">
        <v>5138437.8449826986</v>
      </c>
      <c r="Q1580" s="59">
        <v>0</v>
      </c>
      <c r="R1580" s="59">
        <v>0</v>
      </c>
      <c r="S1580" s="59">
        <v>355536562.15501738</v>
      </c>
      <c r="T1580" s="41"/>
      <c r="U1580" s="41"/>
      <c r="V1580" s="41"/>
      <c r="W1580" s="41"/>
      <c r="X1580" s="41"/>
      <c r="Y1580" s="41"/>
      <c r="Z1580" s="41"/>
      <c r="AA1580" s="41"/>
      <c r="AB1580" s="41"/>
      <c r="AC1580" s="41"/>
      <c r="AD1580" s="41"/>
      <c r="AE1580" s="59">
        <v>13604.906677938987</v>
      </c>
      <c r="AF1580" s="59">
        <v>13801.533339702397</v>
      </c>
      <c r="AG1580" s="59" t="s">
        <v>58</v>
      </c>
      <c r="AH1580" s="59" t="s">
        <v>79</v>
      </c>
    </row>
    <row r="1581" spans="1:34" x14ac:dyDescent="0.35">
      <c r="A1581" s="58">
        <v>2025</v>
      </c>
      <c r="B1581" s="58">
        <v>8</v>
      </c>
      <c r="C1581">
        <v>8</v>
      </c>
      <c r="D1581" s="58" t="s">
        <v>627</v>
      </c>
      <c r="E1581" t="s">
        <v>58</v>
      </c>
      <c r="F1581" s="58" t="s">
        <v>201</v>
      </c>
      <c r="G1581" t="s">
        <v>471</v>
      </c>
      <c r="H1581" s="58" t="s">
        <v>1428</v>
      </c>
      <c r="I1581" t="s">
        <v>76</v>
      </c>
      <c r="J1581" s="58" t="s">
        <v>76</v>
      </c>
      <c r="K1581" t="s">
        <v>1429</v>
      </c>
      <c r="L1581" t="s">
        <v>20</v>
      </c>
      <c r="M1581" t="s">
        <v>1430</v>
      </c>
      <c r="N1581" s="59">
        <v>3775</v>
      </c>
      <c r="O1581" s="59">
        <v>56625000</v>
      </c>
      <c r="P1581" s="59">
        <v>828780.29757785471</v>
      </c>
      <c r="Q1581" s="59">
        <v>0</v>
      </c>
      <c r="R1581" s="59">
        <v>0</v>
      </c>
      <c r="S1581" s="59">
        <v>55796219.702422149</v>
      </c>
      <c r="T1581" s="41"/>
      <c r="U1581" s="41"/>
      <c r="V1581" s="41"/>
      <c r="W1581" s="41"/>
      <c r="X1581" s="41"/>
      <c r="Y1581" s="41"/>
      <c r="Z1581" s="41"/>
      <c r="AA1581" s="41"/>
      <c r="AB1581" s="41"/>
      <c r="AC1581" s="41"/>
      <c r="AD1581" s="41"/>
      <c r="AE1581" s="59">
        <v>2135.0894474314523</v>
      </c>
      <c r="AF1581" s="59">
        <v>2166.8034251352278</v>
      </c>
      <c r="AG1581" s="59" t="s">
        <v>58</v>
      </c>
      <c r="AH1581" s="59" t="s">
        <v>77</v>
      </c>
    </row>
    <row r="1582" spans="1:34" x14ac:dyDescent="0.35">
      <c r="A1582" s="58">
        <v>2025</v>
      </c>
      <c r="B1582" s="58">
        <v>8</v>
      </c>
      <c r="C1582">
        <v>8</v>
      </c>
      <c r="D1582" s="58" t="s">
        <v>627</v>
      </c>
      <c r="E1582" t="s">
        <v>58</v>
      </c>
      <c r="F1582" s="58" t="s">
        <v>202</v>
      </c>
      <c r="G1582" t="s">
        <v>473</v>
      </c>
      <c r="H1582" s="58" t="s">
        <v>1428</v>
      </c>
      <c r="I1582" t="s">
        <v>76</v>
      </c>
      <c r="J1582" s="58" t="s">
        <v>76</v>
      </c>
      <c r="K1582" t="s">
        <v>1429</v>
      </c>
      <c r="L1582" t="s">
        <v>20</v>
      </c>
      <c r="M1582" t="s">
        <v>1430</v>
      </c>
      <c r="N1582" s="59">
        <v>7500</v>
      </c>
      <c r="O1582" s="59">
        <v>116250000</v>
      </c>
      <c r="P1582" s="59">
        <v>1752278.3434503211</v>
      </c>
      <c r="Q1582" s="59">
        <v>0</v>
      </c>
      <c r="R1582" s="59">
        <v>0</v>
      </c>
      <c r="S1582" s="59">
        <v>114497721.65654966</v>
      </c>
      <c r="T1582" s="41"/>
      <c r="U1582" s="41"/>
      <c r="V1582" s="41"/>
      <c r="W1582" s="41"/>
      <c r="X1582" s="41"/>
      <c r="Y1582" s="41"/>
      <c r="Z1582" s="41"/>
      <c r="AA1582" s="41"/>
      <c r="AB1582" s="41"/>
      <c r="AC1582" s="41"/>
      <c r="AD1582" s="41"/>
      <c r="AE1582" s="59">
        <v>4381.3519727256817</v>
      </c>
      <c r="AF1582" s="59">
        <v>4448.4043827279502</v>
      </c>
      <c r="AG1582" s="59" t="s">
        <v>58</v>
      </c>
      <c r="AH1582" s="59" t="s">
        <v>80</v>
      </c>
    </row>
    <row r="1583" spans="1:34" x14ac:dyDescent="0.35">
      <c r="A1583" s="58">
        <v>2025</v>
      </c>
      <c r="B1583" s="58">
        <v>8</v>
      </c>
      <c r="C1583">
        <v>8</v>
      </c>
      <c r="D1583" s="58" t="s">
        <v>627</v>
      </c>
      <c r="E1583" t="s">
        <v>58</v>
      </c>
      <c r="F1583" s="58" t="s">
        <v>220</v>
      </c>
      <c r="G1583" t="s">
        <v>1090</v>
      </c>
      <c r="H1583" s="58" t="s">
        <v>1012</v>
      </c>
      <c r="I1583" t="s">
        <v>86</v>
      </c>
      <c r="J1583" s="58" t="s">
        <v>86</v>
      </c>
      <c r="K1583" t="s">
        <v>1429</v>
      </c>
      <c r="L1583" t="s">
        <v>20</v>
      </c>
      <c r="M1583" t="s">
        <v>1430</v>
      </c>
      <c r="N1583" s="59">
        <v>1000</v>
      </c>
      <c r="O1583" s="59">
        <v>12000000</v>
      </c>
      <c r="P1583" s="59">
        <v>284153.2448838359</v>
      </c>
      <c r="Q1583" s="59">
        <v>0</v>
      </c>
      <c r="R1583" s="59">
        <v>0</v>
      </c>
      <c r="S1583" s="59">
        <v>11715846.755116165</v>
      </c>
      <c r="T1583" s="41"/>
      <c r="U1583" s="41"/>
      <c r="V1583" s="41"/>
      <c r="W1583" s="41"/>
      <c r="X1583" s="41"/>
      <c r="Y1583" s="41"/>
      <c r="Z1583" s="41"/>
      <c r="AA1583" s="41"/>
      <c r="AB1583" s="41"/>
      <c r="AC1583" s="41"/>
      <c r="AD1583" s="41"/>
      <c r="AE1583" s="59">
        <v>448.31676604583043</v>
      </c>
      <c r="AF1583" s="59">
        <v>459.19012982998203</v>
      </c>
      <c r="AG1583" s="59" t="s">
        <v>58</v>
      </c>
      <c r="AH1583" s="59" t="s">
        <v>1221</v>
      </c>
    </row>
    <row r="1584" spans="1:34" x14ac:dyDescent="0.35">
      <c r="A1584" s="58">
        <v>2025</v>
      </c>
      <c r="B1584" s="58">
        <v>8</v>
      </c>
      <c r="C1584">
        <v>8</v>
      </c>
      <c r="D1584" s="58" t="s">
        <v>627</v>
      </c>
      <c r="E1584" t="s">
        <v>58</v>
      </c>
      <c r="F1584" s="58" t="s">
        <v>221</v>
      </c>
      <c r="G1584" t="s">
        <v>964</v>
      </c>
      <c r="H1584" s="58" t="s">
        <v>1012</v>
      </c>
      <c r="I1584" t="s">
        <v>86</v>
      </c>
      <c r="J1584" s="58" t="s">
        <v>86</v>
      </c>
      <c r="K1584" t="s">
        <v>1429</v>
      </c>
      <c r="L1584" t="s">
        <v>20</v>
      </c>
      <c r="M1584" t="s">
        <v>1430</v>
      </c>
      <c r="N1584" s="59">
        <v>11158</v>
      </c>
      <c r="O1584" s="59">
        <v>113361111</v>
      </c>
      <c r="P1584" s="59">
        <v>3599274.4351952551</v>
      </c>
      <c r="Q1584" s="59">
        <v>0</v>
      </c>
      <c r="R1584" s="59">
        <v>0</v>
      </c>
      <c r="S1584" s="59">
        <v>109761836.56480473</v>
      </c>
      <c r="T1584" s="41"/>
      <c r="U1584" s="41"/>
      <c r="V1584" s="41"/>
      <c r="W1584" s="41"/>
      <c r="X1584" s="41"/>
      <c r="Y1584" s="41"/>
      <c r="Z1584" s="41"/>
      <c r="AA1584" s="41"/>
      <c r="AB1584" s="41"/>
      <c r="AC1584" s="41"/>
      <c r="AD1584" s="41"/>
      <c r="AE1584" s="59">
        <v>4200.1293318808293</v>
      </c>
      <c r="AF1584" s="59">
        <v>4337.8586064800838</v>
      </c>
      <c r="AG1584" s="59" t="s">
        <v>58</v>
      </c>
      <c r="AH1584" s="59" t="s">
        <v>1232</v>
      </c>
    </row>
    <row r="1585" spans="1:34" x14ac:dyDescent="0.35">
      <c r="A1585" s="58">
        <v>2025</v>
      </c>
      <c r="B1585" s="58">
        <v>8</v>
      </c>
      <c r="C1585">
        <v>8</v>
      </c>
      <c r="D1585" s="58" t="s">
        <v>611</v>
      </c>
      <c r="E1585" t="s">
        <v>269</v>
      </c>
      <c r="F1585" s="58" t="s">
        <v>168</v>
      </c>
      <c r="G1585" t="s">
        <v>700</v>
      </c>
      <c r="H1585" s="58" t="s">
        <v>4</v>
      </c>
      <c r="I1585" t="s">
        <v>4</v>
      </c>
      <c r="J1585" s="58" t="s">
        <v>4</v>
      </c>
      <c r="K1585" t="s">
        <v>1429</v>
      </c>
      <c r="L1585" t="s">
        <v>20</v>
      </c>
      <c r="M1585" t="s">
        <v>1431</v>
      </c>
      <c r="N1585" s="59">
        <v>-41800</v>
      </c>
      <c r="O1585" s="59">
        <v>0</v>
      </c>
      <c r="P1585" s="59">
        <v>-6298730.2615916952</v>
      </c>
      <c r="Q1585" s="59">
        <v>0</v>
      </c>
      <c r="R1585" s="59">
        <v>4681600</v>
      </c>
      <c r="S1585" s="59">
        <v>1617130.2615916955</v>
      </c>
      <c r="T1585" s="41"/>
      <c r="U1585" s="41"/>
      <c r="V1585" s="41"/>
      <c r="W1585" s="41"/>
      <c r="X1585" s="41"/>
      <c r="Y1585" s="41"/>
      <c r="Z1585" s="41"/>
      <c r="AA1585" s="41"/>
      <c r="AB1585" s="41"/>
      <c r="AC1585" s="41"/>
      <c r="AD1585" s="41"/>
      <c r="AE1585" s="59">
        <v>61.880854564356959</v>
      </c>
      <c r="AF1585" s="59">
        <v>0</v>
      </c>
      <c r="AG1585" s="59" t="s">
        <v>99</v>
      </c>
      <c r="AH1585" s="59" t="s">
        <v>1160</v>
      </c>
    </row>
    <row r="1586" spans="1:34" x14ac:dyDescent="0.35">
      <c r="A1586" s="58">
        <v>2025</v>
      </c>
      <c r="B1586" s="58">
        <v>8</v>
      </c>
      <c r="C1586">
        <v>8</v>
      </c>
      <c r="D1586" s="58" t="s">
        <v>611</v>
      </c>
      <c r="E1586" t="s">
        <v>269</v>
      </c>
      <c r="F1586" s="58" t="s">
        <v>168</v>
      </c>
      <c r="G1586" t="s">
        <v>700</v>
      </c>
      <c r="H1586" s="58" t="s">
        <v>4</v>
      </c>
      <c r="I1586" t="s">
        <v>4</v>
      </c>
      <c r="J1586" s="58" t="s">
        <v>4</v>
      </c>
      <c r="K1586" t="s">
        <v>1429</v>
      </c>
      <c r="L1586" t="s">
        <v>20</v>
      </c>
      <c r="M1586" t="s">
        <v>1430</v>
      </c>
      <c r="N1586" s="59">
        <v>44000</v>
      </c>
      <c r="O1586" s="59">
        <v>1634116000</v>
      </c>
      <c r="P1586" s="59">
        <v>6630242.3806228377</v>
      </c>
      <c r="Q1586" s="59">
        <v>0</v>
      </c>
      <c r="R1586" s="59">
        <v>7040000</v>
      </c>
      <c r="S1586" s="59">
        <v>1620445757.6193771</v>
      </c>
      <c r="T1586" s="41"/>
      <c r="U1586" s="41"/>
      <c r="V1586" s="41"/>
      <c r="W1586" s="41"/>
      <c r="X1586" s="41"/>
      <c r="Y1586" s="41"/>
      <c r="Z1586" s="41"/>
      <c r="AA1586" s="41"/>
      <c r="AB1586" s="41"/>
      <c r="AC1586" s="41"/>
      <c r="AD1586" s="41"/>
      <c r="AE1586" s="59">
        <v>62007.724818640447</v>
      </c>
      <c r="AF1586" s="59">
        <v>62530.82818310424</v>
      </c>
      <c r="AG1586" s="59" t="s">
        <v>99</v>
      </c>
      <c r="AH1586" s="59" t="s">
        <v>1160</v>
      </c>
    </row>
    <row r="1587" spans="1:34" x14ac:dyDescent="0.35">
      <c r="A1587" s="58">
        <v>2025</v>
      </c>
      <c r="B1587" s="58">
        <v>8</v>
      </c>
      <c r="C1587">
        <v>8</v>
      </c>
      <c r="D1587" s="58" t="s">
        <v>611</v>
      </c>
      <c r="E1587" t="s">
        <v>269</v>
      </c>
      <c r="F1587" s="58" t="s">
        <v>168</v>
      </c>
      <c r="G1587" t="s">
        <v>700</v>
      </c>
      <c r="H1587" s="58" t="s">
        <v>4</v>
      </c>
      <c r="I1587" t="s">
        <v>4</v>
      </c>
      <c r="J1587" s="58" t="s">
        <v>4</v>
      </c>
      <c r="K1587" t="s">
        <v>1429</v>
      </c>
      <c r="L1587" t="s">
        <v>20</v>
      </c>
      <c r="M1587" t="s">
        <v>1591</v>
      </c>
      <c r="N1587" s="59">
        <v>0</v>
      </c>
      <c r="O1587" s="59">
        <v>-48676320</v>
      </c>
      <c r="P1587" s="59">
        <v>0</v>
      </c>
      <c r="Q1587" s="59">
        <v>0</v>
      </c>
      <c r="R1587" s="59">
        <v>0</v>
      </c>
      <c r="S1587" s="59">
        <v>-48676320</v>
      </c>
      <c r="T1587" s="41"/>
      <c r="U1587" s="41"/>
      <c r="V1587" s="41"/>
      <c r="W1587" s="41"/>
      <c r="X1587" s="41"/>
      <c r="Y1587" s="41"/>
      <c r="Z1587" s="41"/>
      <c r="AA1587" s="41"/>
      <c r="AB1587" s="41"/>
      <c r="AC1587" s="41"/>
      <c r="AD1587" s="41"/>
      <c r="AE1587" s="59">
        <v>-1862.640475037146</v>
      </c>
      <c r="AF1587" s="59">
        <v>-1862.640475037146</v>
      </c>
      <c r="AG1587" s="59" t="s">
        <v>99</v>
      </c>
      <c r="AH1587" s="59" t="s">
        <v>1160</v>
      </c>
    </row>
    <row r="1588" spans="1:34" x14ac:dyDescent="0.35">
      <c r="A1588" s="58">
        <v>2025</v>
      </c>
      <c r="B1588" s="58">
        <v>8</v>
      </c>
      <c r="C1588">
        <v>8</v>
      </c>
      <c r="D1588" s="58" t="s">
        <v>611</v>
      </c>
      <c r="E1588" t="s">
        <v>269</v>
      </c>
      <c r="F1588" s="58" t="s">
        <v>168</v>
      </c>
      <c r="G1588" t="s">
        <v>700</v>
      </c>
      <c r="H1588" s="58" t="s">
        <v>4</v>
      </c>
      <c r="I1588" t="s">
        <v>4</v>
      </c>
      <c r="J1588" s="58" t="s">
        <v>4</v>
      </c>
      <c r="K1588" t="s">
        <v>1429</v>
      </c>
      <c r="L1588" t="s">
        <v>20</v>
      </c>
      <c r="M1588" t="s">
        <v>1432</v>
      </c>
      <c r="N1588" s="59">
        <v>41800</v>
      </c>
      <c r="O1588" s="59">
        <v>0</v>
      </c>
      <c r="P1588" s="59">
        <v>6298730.2615916962</v>
      </c>
      <c r="Q1588" s="59">
        <v>0</v>
      </c>
      <c r="R1588" s="59">
        <v>7780000</v>
      </c>
      <c r="S1588" s="59">
        <v>-14078730.261591695</v>
      </c>
      <c r="T1588" s="41"/>
      <c r="U1588" s="41"/>
      <c r="V1588" s="41"/>
      <c r="W1588" s="41"/>
      <c r="X1588" s="41"/>
      <c r="Y1588" s="41"/>
      <c r="Z1588" s="41"/>
      <c r="AA1588" s="41"/>
      <c r="AB1588" s="41"/>
      <c r="AC1588" s="41"/>
      <c r="AD1588" s="41"/>
      <c r="AE1588" s="59">
        <v>-538.73449805513235</v>
      </c>
      <c r="AF1588" s="59">
        <v>0</v>
      </c>
      <c r="AG1588" s="59" t="s">
        <v>99</v>
      </c>
      <c r="AH1588" s="59" t="s">
        <v>1160</v>
      </c>
    </row>
    <row r="1589" spans="1:34" x14ac:dyDescent="0.35">
      <c r="A1589" s="58">
        <v>2025</v>
      </c>
      <c r="B1589" s="58">
        <v>8</v>
      </c>
      <c r="C1589">
        <v>8</v>
      </c>
      <c r="D1589" s="58" t="s">
        <v>603</v>
      </c>
      <c r="E1589" t="s">
        <v>56</v>
      </c>
      <c r="F1589" s="58" t="s">
        <v>203</v>
      </c>
      <c r="G1589" t="s">
        <v>472</v>
      </c>
      <c r="H1589" s="58" t="s">
        <v>1428</v>
      </c>
      <c r="I1589" t="s">
        <v>76</v>
      </c>
      <c r="J1589" s="58" t="s">
        <v>76</v>
      </c>
      <c r="K1589" t="s">
        <v>1429</v>
      </c>
      <c r="L1589" t="s">
        <v>20</v>
      </c>
      <c r="M1589" t="s">
        <v>1430</v>
      </c>
      <c r="N1589" s="59">
        <v>2250</v>
      </c>
      <c r="O1589" s="59">
        <v>35416667</v>
      </c>
      <c r="P1589" s="59">
        <v>614272.45585182158</v>
      </c>
      <c r="Q1589" s="59">
        <v>0</v>
      </c>
      <c r="R1589" s="59">
        <v>0</v>
      </c>
      <c r="S1589" s="59">
        <v>34802394.544148177</v>
      </c>
      <c r="T1589" s="41"/>
      <c r="U1589" s="41"/>
      <c r="V1589" s="41"/>
      <c r="W1589" s="41"/>
      <c r="X1589" s="41"/>
      <c r="Y1589" s="41"/>
      <c r="Z1589" s="41"/>
      <c r="AA1589" s="41"/>
      <c r="AB1589" s="41"/>
      <c r="AC1589" s="41"/>
      <c r="AD1589" s="41"/>
      <c r="AE1589" s="59">
        <v>1331.7430057601384</v>
      </c>
      <c r="AF1589" s="59">
        <v>1355.2486598229366</v>
      </c>
      <c r="AG1589" s="59" t="s">
        <v>56</v>
      </c>
      <c r="AH1589" s="59" t="s">
        <v>78</v>
      </c>
    </row>
    <row r="1590" spans="1:34" x14ac:dyDescent="0.35">
      <c r="A1590" s="58">
        <v>2025</v>
      </c>
      <c r="B1590" s="58">
        <v>8</v>
      </c>
      <c r="C1590">
        <v>8</v>
      </c>
      <c r="D1590" s="58" t="s">
        <v>603</v>
      </c>
      <c r="E1590" t="s">
        <v>56</v>
      </c>
      <c r="F1590" s="58" t="s">
        <v>204</v>
      </c>
      <c r="G1590" t="s">
        <v>474</v>
      </c>
      <c r="H1590" s="58" t="s">
        <v>1428</v>
      </c>
      <c r="I1590" t="s">
        <v>76</v>
      </c>
      <c r="J1590" s="58" t="s">
        <v>76</v>
      </c>
      <c r="K1590" t="s">
        <v>1429</v>
      </c>
      <c r="L1590" t="s">
        <v>20</v>
      </c>
      <c r="M1590" t="s">
        <v>1430</v>
      </c>
      <c r="N1590" s="59">
        <v>5250</v>
      </c>
      <c r="O1590" s="59">
        <v>82638889</v>
      </c>
      <c r="P1590" s="59">
        <v>1160292.4166089965</v>
      </c>
      <c r="Q1590" s="59">
        <v>0</v>
      </c>
      <c r="R1590" s="59">
        <v>0</v>
      </c>
      <c r="S1590" s="59">
        <v>81478596.583391011</v>
      </c>
      <c r="T1590" s="41"/>
      <c r="U1590" s="41"/>
      <c r="V1590" s="41"/>
      <c r="W1590" s="41"/>
      <c r="X1590" s="41"/>
      <c r="Y1590" s="41"/>
      <c r="Z1590" s="41"/>
      <c r="AA1590" s="41"/>
      <c r="AB1590" s="41"/>
      <c r="AC1590" s="41"/>
      <c r="AD1590" s="41"/>
      <c r="AE1590" s="59">
        <v>3117.8472786243374</v>
      </c>
      <c r="AF1590" s="59">
        <v>3162.2468474096227</v>
      </c>
      <c r="AG1590" s="59" t="s">
        <v>56</v>
      </c>
      <c r="AH1590" s="59" t="s">
        <v>81</v>
      </c>
    </row>
    <row r="1591" spans="1:34" x14ac:dyDescent="0.35">
      <c r="A1591" s="58">
        <v>2025</v>
      </c>
      <c r="B1591" s="58">
        <v>8</v>
      </c>
      <c r="C1591">
        <v>8</v>
      </c>
      <c r="D1591" s="58" t="s">
        <v>603</v>
      </c>
      <c r="E1591" t="s">
        <v>56</v>
      </c>
      <c r="F1591" s="58" t="s">
        <v>220</v>
      </c>
      <c r="G1591" t="s">
        <v>1090</v>
      </c>
      <c r="H1591" s="58" t="s">
        <v>1012</v>
      </c>
      <c r="I1591" t="s">
        <v>86</v>
      </c>
      <c r="J1591" s="58" t="s">
        <v>86</v>
      </c>
      <c r="K1591" t="s">
        <v>1429</v>
      </c>
      <c r="L1591" t="s">
        <v>20</v>
      </c>
      <c r="M1591" t="s">
        <v>1430</v>
      </c>
      <c r="N1591" s="59">
        <v>146611</v>
      </c>
      <c r="O1591" s="59">
        <v>1630862963</v>
      </c>
      <c r="P1591" s="59">
        <v>1823257.5212407489</v>
      </c>
      <c r="Q1591" s="59">
        <v>0</v>
      </c>
      <c r="R1591" s="59">
        <v>0</v>
      </c>
      <c r="S1591" s="59">
        <v>1629039705.4787593</v>
      </c>
      <c r="T1591" s="41"/>
      <c r="U1591" s="41"/>
      <c r="V1591" s="41"/>
      <c r="W1591" s="41"/>
      <c r="X1591" s="41"/>
      <c r="Y1591" s="41"/>
      <c r="Z1591" s="41"/>
      <c r="AA1591" s="41"/>
      <c r="AB1591" s="41"/>
      <c r="AC1591" s="41"/>
      <c r="AD1591" s="41"/>
      <c r="AE1591" s="59">
        <v>62336.579488082258</v>
      </c>
      <c r="AF1591" s="59">
        <v>62406.347976239944</v>
      </c>
      <c r="AG1591" s="59" t="s">
        <v>56</v>
      </c>
      <c r="AH1591" s="59" t="s">
        <v>1221</v>
      </c>
    </row>
    <row r="1592" spans="1:34" x14ac:dyDescent="0.35">
      <c r="A1592" s="58">
        <v>2025</v>
      </c>
      <c r="B1592" s="58">
        <v>8</v>
      </c>
      <c r="C1592">
        <v>8</v>
      </c>
      <c r="D1592" s="58" t="s">
        <v>603</v>
      </c>
      <c r="E1592" t="s">
        <v>56</v>
      </c>
      <c r="F1592" s="58" t="s">
        <v>221</v>
      </c>
      <c r="G1592" t="s">
        <v>964</v>
      </c>
      <c r="H1592" s="58" t="s">
        <v>1012</v>
      </c>
      <c r="I1592" t="s">
        <v>86</v>
      </c>
      <c r="J1592" s="58" t="s">
        <v>86</v>
      </c>
      <c r="K1592" t="s">
        <v>1429</v>
      </c>
      <c r="L1592" t="s">
        <v>20</v>
      </c>
      <c r="M1592" t="s">
        <v>1430</v>
      </c>
      <c r="N1592" s="59">
        <v>61828</v>
      </c>
      <c r="O1592" s="59">
        <v>686977778</v>
      </c>
      <c r="P1592" s="59">
        <v>546079.09418770636</v>
      </c>
      <c r="Q1592" s="59">
        <v>0</v>
      </c>
      <c r="R1592" s="59">
        <v>0</v>
      </c>
      <c r="S1592" s="59">
        <v>686431698.90581226</v>
      </c>
      <c r="T1592" s="41"/>
      <c r="U1592" s="41"/>
      <c r="V1592" s="41"/>
      <c r="W1592" s="41"/>
      <c r="X1592" s="41"/>
      <c r="Y1592" s="41"/>
      <c r="Z1592" s="41"/>
      <c r="AA1592" s="41"/>
      <c r="AB1592" s="41"/>
      <c r="AC1592" s="41"/>
      <c r="AD1592" s="41"/>
      <c r="AE1592" s="59">
        <v>26266.88841166459</v>
      </c>
      <c r="AF1592" s="59">
        <v>26287.784589177718</v>
      </c>
      <c r="AG1592" s="59" t="s">
        <v>56</v>
      </c>
      <c r="AH1592" s="59" t="s">
        <v>1232</v>
      </c>
    </row>
    <row r="1593" spans="1:34" x14ac:dyDescent="0.35">
      <c r="A1593" s="58">
        <v>2025</v>
      </c>
      <c r="B1593" s="58">
        <v>8</v>
      </c>
      <c r="C1593">
        <v>8</v>
      </c>
      <c r="D1593" s="58" t="s">
        <v>628</v>
      </c>
      <c r="E1593" t="s">
        <v>57</v>
      </c>
      <c r="F1593" s="58" t="s">
        <v>195</v>
      </c>
      <c r="G1593" t="s">
        <v>746</v>
      </c>
      <c r="H1593" s="58" t="s">
        <v>1428</v>
      </c>
      <c r="I1593" t="s">
        <v>76</v>
      </c>
      <c r="J1593" s="58" t="s">
        <v>76</v>
      </c>
      <c r="K1593" t="s">
        <v>1429</v>
      </c>
      <c r="L1593" t="s">
        <v>20</v>
      </c>
      <c r="M1593" t="s">
        <v>1430</v>
      </c>
      <c r="N1593" s="59">
        <v>9625</v>
      </c>
      <c r="O1593" s="59">
        <v>183409722</v>
      </c>
      <c r="P1593" s="59">
        <v>0</v>
      </c>
      <c r="Q1593" s="59">
        <v>9625000</v>
      </c>
      <c r="R1593" s="59">
        <v>0</v>
      </c>
      <c r="S1593" s="59">
        <v>173784722</v>
      </c>
      <c r="T1593" s="41"/>
      <c r="U1593" s="41"/>
      <c r="V1593" s="41"/>
      <c r="W1593" s="41"/>
      <c r="X1593" s="41"/>
      <c r="Y1593" s="41"/>
      <c r="Z1593" s="41"/>
      <c r="AA1593" s="41"/>
      <c r="AB1593" s="41"/>
      <c r="AC1593" s="41"/>
      <c r="AD1593" s="41"/>
      <c r="AE1593" s="59">
        <v>6650.0190881372782</v>
      </c>
      <c r="AF1593" s="59">
        <v>7018.3278381050759</v>
      </c>
      <c r="AG1593" s="59" t="s">
        <v>57</v>
      </c>
      <c r="AH1593" s="59" t="s">
        <v>1247</v>
      </c>
    </row>
    <row r="1594" spans="1:34" x14ac:dyDescent="0.35">
      <c r="A1594" s="58">
        <v>2025</v>
      </c>
      <c r="B1594" s="58">
        <v>8</v>
      </c>
      <c r="C1594">
        <v>8</v>
      </c>
      <c r="D1594" s="58" t="s">
        <v>628</v>
      </c>
      <c r="E1594" t="s">
        <v>57</v>
      </c>
      <c r="F1594" s="58" t="s">
        <v>197</v>
      </c>
      <c r="G1594" t="s">
        <v>752</v>
      </c>
      <c r="H1594" s="58" t="s">
        <v>1428</v>
      </c>
      <c r="I1594" t="s">
        <v>76</v>
      </c>
      <c r="J1594" s="58" t="s">
        <v>76</v>
      </c>
      <c r="K1594" t="s">
        <v>1429</v>
      </c>
      <c r="L1594" t="s">
        <v>20</v>
      </c>
      <c r="M1594" t="s">
        <v>1430</v>
      </c>
      <c r="N1594" s="59">
        <v>37125</v>
      </c>
      <c r="O1594" s="59">
        <v>715993056</v>
      </c>
      <c r="P1594" s="59">
        <v>0</v>
      </c>
      <c r="Q1594" s="59">
        <v>28325000</v>
      </c>
      <c r="R1594" s="59">
        <v>0</v>
      </c>
      <c r="S1594" s="59">
        <v>687668056</v>
      </c>
      <c r="T1594" s="41"/>
      <c r="U1594" s="41"/>
      <c r="V1594" s="41"/>
      <c r="W1594" s="41"/>
      <c r="X1594" s="41"/>
      <c r="Y1594" s="41"/>
      <c r="Z1594" s="41"/>
      <c r="AA1594" s="41"/>
      <c r="AB1594" s="41"/>
      <c r="AC1594" s="41"/>
      <c r="AD1594" s="41"/>
      <c r="AE1594" s="59">
        <v>26314.198659547616</v>
      </c>
      <c r="AF1594" s="59">
        <v>27398.078695167133</v>
      </c>
      <c r="AG1594" s="59" t="s">
        <v>57</v>
      </c>
      <c r="AH1594" s="59" t="s">
        <v>1249</v>
      </c>
    </row>
    <row r="1595" spans="1:34" x14ac:dyDescent="0.35">
      <c r="A1595" s="58">
        <v>2025</v>
      </c>
      <c r="B1595" s="58">
        <v>8</v>
      </c>
      <c r="C1595">
        <v>8</v>
      </c>
      <c r="D1595" s="58" t="s">
        <v>628</v>
      </c>
      <c r="E1595" t="s">
        <v>57</v>
      </c>
      <c r="F1595" s="58" t="s">
        <v>199</v>
      </c>
      <c r="G1595" t="s">
        <v>758</v>
      </c>
      <c r="H1595" s="58" t="s">
        <v>1428</v>
      </c>
      <c r="I1595" t="s">
        <v>76</v>
      </c>
      <c r="J1595" s="58" t="s">
        <v>76</v>
      </c>
      <c r="K1595" t="s">
        <v>1429</v>
      </c>
      <c r="L1595" t="s">
        <v>20</v>
      </c>
      <c r="M1595" t="s">
        <v>1430</v>
      </c>
      <c r="N1595" s="59">
        <v>22000</v>
      </c>
      <c r="O1595" s="59">
        <v>419222224</v>
      </c>
      <c r="P1595" s="59">
        <v>0</v>
      </c>
      <c r="Q1595" s="59">
        <v>22000000</v>
      </c>
      <c r="R1595" s="59">
        <v>0</v>
      </c>
      <c r="S1595" s="59">
        <v>397222224</v>
      </c>
      <c r="T1595" s="41"/>
      <c r="U1595" s="41"/>
      <c r="V1595" s="41"/>
      <c r="W1595" s="41"/>
      <c r="X1595" s="41"/>
      <c r="Y1595" s="41"/>
      <c r="Z1595" s="41"/>
      <c r="AA1595" s="41"/>
      <c r="AB1595" s="41"/>
      <c r="AC1595" s="41"/>
      <c r="AD1595" s="41"/>
      <c r="AE1595" s="59">
        <v>15200.04371749285</v>
      </c>
      <c r="AF1595" s="59">
        <v>16041.892288847817</v>
      </c>
      <c r="AG1595" s="59" t="s">
        <v>57</v>
      </c>
      <c r="AH1595" s="59" t="s">
        <v>1254</v>
      </c>
    </row>
    <row r="1596" spans="1:34" x14ac:dyDescent="0.35">
      <c r="A1596" s="58">
        <v>2025</v>
      </c>
      <c r="B1596" s="58">
        <v>8</v>
      </c>
      <c r="C1596">
        <v>8</v>
      </c>
      <c r="D1596" s="58" t="s">
        <v>628</v>
      </c>
      <c r="E1596" t="s">
        <v>57</v>
      </c>
      <c r="F1596" s="58" t="s">
        <v>200</v>
      </c>
      <c r="G1596" t="s">
        <v>470</v>
      </c>
      <c r="H1596" s="58" t="s">
        <v>1428</v>
      </c>
      <c r="I1596" t="s">
        <v>76</v>
      </c>
      <c r="J1596" s="58" t="s">
        <v>76</v>
      </c>
      <c r="K1596" t="s">
        <v>1429</v>
      </c>
      <c r="L1596" t="s">
        <v>20</v>
      </c>
      <c r="M1596" t="s">
        <v>1430</v>
      </c>
      <c r="N1596" s="59">
        <v>5250</v>
      </c>
      <c r="O1596" s="59">
        <v>89930556</v>
      </c>
      <c r="P1596" s="59">
        <v>1160292.4166089965</v>
      </c>
      <c r="Q1596" s="59">
        <v>5250000</v>
      </c>
      <c r="R1596" s="59">
        <v>0</v>
      </c>
      <c r="S1596" s="59">
        <v>83520263.583391011</v>
      </c>
      <c r="T1596" s="41"/>
      <c r="U1596" s="41"/>
      <c r="V1596" s="41"/>
      <c r="W1596" s="41"/>
      <c r="X1596" s="41"/>
      <c r="Y1596" s="41"/>
      <c r="Z1596" s="41"/>
      <c r="AA1596" s="41"/>
      <c r="AB1596" s="41"/>
      <c r="AC1596" s="41"/>
      <c r="AD1596" s="41"/>
      <c r="AE1596" s="59">
        <v>3195.9733898576364</v>
      </c>
      <c r="AF1596" s="59">
        <v>3441.268640443539</v>
      </c>
      <c r="AG1596" s="59" t="s">
        <v>57</v>
      </c>
      <c r="AH1596" s="59" t="s">
        <v>79</v>
      </c>
    </row>
    <row r="1597" spans="1:34" x14ac:dyDescent="0.35">
      <c r="A1597" s="58">
        <v>2025</v>
      </c>
      <c r="B1597" s="58">
        <v>8</v>
      </c>
      <c r="C1597">
        <v>8</v>
      </c>
      <c r="D1597" s="58" t="s">
        <v>628</v>
      </c>
      <c r="E1597" t="s">
        <v>57</v>
      </c>
      <c r="F1597" s="58" t="s">
        <v>202</v>
      </c>
      <c r="G1597" t="s">
        <v>473</v>
      </c>
      <c r="H1597" s="58" t="s">
        <v>1428</v>
      </c>
      <c r="I1597" t="s">
        <v>76</v>
      </c>
      <c r="J1597" s="58" t="s">
        <v>76</v>
      </c>
      <c r="K1597" t="s">
        <v>1429</v>
      </c>
      <c r="L1597" t="s">
        <v>20</v>
      </c>
      <c r="M1597" t="s">
        <v>1430</v>
      </c>
      <c r="N1597" s="59">
        <v>5250</v>
      </c>
      <c r="O1597" s="59">
        <v>89930556</v>
      </c>
      <c r="P1597" s="59">
        <v>1160292.4166089965</v>
      </c>
      <c r="Q1597" s="59">
        <v>5250000</v>
      </c>
      <c r="R1597" s="59">
        <v>0</v>
      </c>
      <c r="S1597" s="59">
        <v>83520263.583391011</v>
      </c>
      <c r="T1597" s="41"/>
      <c r="U1597" s="41"/>
      <c r="V1597" s="41"/>
      <c r="W1597" s="41"/>
      <c r="X1597" s="41"/>
      <c r="Y1597" s="41"/>
      <c r="Z1597" s="41"/>
      <c r="AA1597" s="41"/>
      <c r="AB1597" s="41"/>
      <c r="AC1597" s="41"/>
      <c r="AD1597" s="41"/>
      <c r="AE1597" s="59">
        <v>3195.9733898576364</v>
      </c>
      <c r="AF1597" s="59">
        <v>3441.268640443539</v>
      </c>
      <c r="AG1597" s="59" t="s">
        <v>57</v>
      </c>
      <c r="AH1597" s="59" t="s">
        <v>80</v>
      </c>
    </row>
    <row r="1598" spans="1:34" x14ac:dyDescent="0.35">
      <c r="A1598" s="58">
        <v>2025</v>
      </c>
      <c r="B1598" s="58">
        <v>8</v>
      </c>
      <c r="C1598">
        <v>8</v>
      </c>
      <c r="D1598" s="58" t="s">
        <v>628</v>
      </c>
      <c r="E1598" t="s">
        <v>57</v>
      </c>
      <c r="F1598" s="58" t="s">
        <v>205</v>
      </c>
      <c r="G1598" t="s">
        <v>475</v>
      </c>
      <c r="H1598" s="58" t="s">
        <v>1428</v>
      </c>
      <c r="I1598" t="s">
        <v>76</v>
      </c>
      <c r="J1598" s="58" t="s">
        <v>76</v>
      </c>
      <c r="K1598" t="s">
        <v>1429</v>
      </c>
      <c r="L1598" t="s">
        <v>20</v>
      </c>
      <c r="M1598" t="s">
        <v>1508</v>
      </c>
      <c r="N1598" s="59">
        <v>-3500</v>
      </c>
      <c r="O1598" s="59">
        <v>-45370370</v>
      </c>
      <c r="P1598" s="59">
        <v>-828780.29757785471</v>
      </c>
      <c r="Q1598" s="59">
        <v>0</v>
      </c>
      <c r="R1598" s="59">
        <v>0</v>
      </c>
      <c r="S1598" s="59">
        <v>-44541589.702422142</v>
      </c>
      <c r="T1598" s="41"/>
      <c r="U1598" s="41"/>
      <c r="V1598" s="41"/>
      <c r="W1598" s="41"/>
      <c r="X1598" s="41"/>
      <c r="Y1598" s="41"/>
      <c r="Z1598" s="41"/>
      <c r="AA1598" s="41"/>
      <c r="AB1598" s="41"/>
      <c r="AC1598" s="41"/>
      <c r="AD1598" s="41"/>
      <c r="AE1598" s="59">
        <v>-1704.4215298574179</v>
      </c>
      <c r="AF1598" s="59">
        <v>-1736.1355075611934</v>
      </c>
      <c r="AG1598" s="59" t="s">
        <v>57</v>
      </c>
      <c r="AH1598" s="59" t="s">
        <v>82</v>
      </c>
    </row>
    <row r="1599" spans="1:34" x14ac:dyDescent="0.35">
      <c r="A1599" s="58">
        <v>2025</v>
      </c>
      <c r="B1599" s="58">
        <v>8</v>
      </c>
      <c r="C1599">
        <v>8</v>
      </c>
      <c r="D1599" s="58" t="s">
        <v>638</v>
      </c>
      <c r="E1599" t="s">
        <v>52</v>
      </c>
      <c r="F1599" s="58" t="s">
        <v>185</v>
      </c>
      <c r="G1599" t="s">
        <v>720</v>
      </c>
      <c r="H1599" s="58" t="s">
        <v>1428</v>
      </c>
      <c r="I1599" t="s">
        <v>75</v>
      </c>
      <c r="J1599" s="58" t="s">
        <v>75</v>
      </c>
      <c r="K1599" t="s">
        <v>1429</v>
      </c>
      <c r="L1599" t="s">
        <v>20</v>
      </c>
      <c r="M1599" t="s">
        <v>1430</v>
      </c>
      <c r="N1599" s="59">
        <v>23375</v>
      </c>
      <c r="O1599" s="59">
        <v>367939819</v>
      </c>
      <c r="P1599" s="59">
        <v>0</v>
      </c>
      <c r="Q1599" s="59">
        <v>0</v>
      </c>
      <c r="R1599" s="59">
        <v>0</v>
      </c>
      <c r="S1599" s="59">
        <v>367939819</v>
      </c>
      <c r="T1599" s="41"/>
      <c r="U1599" s="41"/>
      <c r="V1599" s="41"/>
      <c r="W1599" s="41"/>
      <c r="X1599" s="41"/>
      <c r="Y1599" s="41"/>
      <c r="Z1599" s="41"/>
      <c r="AA1599" s="41"/>
      <c r="AB1599" s="41"/>
      <c r="AC1599" s="41"/>
      <c r="AD1599" s="41"/>
      <c r="AE1599" s="59">
        <v>14079.527771352507</v>
      </c>
      <c r="AF1599" s="59">
        <v>14079.527771352507</v>
      </c>
      <c r="AG1599" s="59" t="s">
        <v>52</v>
      </c>
      <c r="AH1599" s="59" t="s">
        <v>1199</v>
      </c>
    </row>
    <row r="1600" spans="1:34" x14ac:dyDescent="0.35">
      <c r="A1600" s="58">
        <v>2025</v>
      </c>
      <c r="B1600" s="58">
        <v>8</v>
      </c>
      <c r="C1600">
        <v>8</v>
      </c>
      <c r="D1600" s="58" t="s">
        <v>600</v>
      </c>
      <c r="E1600" t="s">
        <v>323</v>
      </c>
      <c r="F1600" s="58" t="s">
        <v>171</v>
      </c>
      <c r="G1600" t="s">
        <v>731</v>
      </c>
      <c r="H1600" s="58" t="s">
        <v>4</v>
      </c>
      <c r="I1600" t="s">
        <v>4</v>
      </c>
      <c r="J1600" s="58" t="s">
        <v>4</v>
      </c>
      <c r="K1600" t="s">
        <v>1429</v>
      </c>
      <c r="L1600" t="s">
        <v>20</v>
      </c>
      <c r="M1600" t="s">
        <v>1431</v>
      </c>
      <c r="N1600" s="59">
        <v>-44000</v>
      </c>
      <c r="O1600" s="59">
        <v>0</v>
      </c>
      <c r="P1600" s="59">
        <v>-4972681.7854671283</v>
      </c>
      <c r="Q1600" s="59">
        <v>0</v>
      </c>
      <c r="R1600" s="59">
        <v>3080000</v>
      </c>
      <c r="S1600" s="59">
        <v>1892681.7854671283</v>
      </c>
      <c r="T1600" s="41"/>
      <c r="U1600" s="41"/>
      <c r="V1600" s="41"/>
      <c r="W1600" s="41"/>
      <c r="X1600" s="41"/>
      <c r="Y1600" s="41"/>
      <c r="Z1600" s="41"/>
      <c r="AA1600" s="41"/>
      <c r="AB1600" s="41"/>
      <c r="AC1600" s="41"/>
      <c r="AD1600" s="41"/>
      <c r="AE1600" s="59">
        <v>72.425066232957732</v>
      </c>
      <c r="AF1600" s="59">
        <v>0</v>
      </c>
      <c r="AG1600" s="59" t="s">
        <v>5</v>
      </c>
      <c r="AH1600" s="59" t="s">
        <v>1166</v>
      </c>
    </row>
    <row r="1601" spans="1:34" x14ac:dyDescent="0.35">
      <c r="A1601" s="58">
        <v>2025</v>
      </c>
      <c r="B1601" s="58">
        <v>8</v>
      </c>
      <c r="C1601">
        <v>8</v>
      </c>
      <c r="D1601" s="58" t="s">
        <v>600</v>
      </c>
      <c r="E1601" t="s">
        <v>323</v>
      </c>
      <c r="F1601" s="58" t="s">
        <v>171</v>
      </c>
      <c r="G1601" t="s">
        <v>731</v>
      </c>
      <c r="H1601" s="58" t="s">
        <v>4</v>
      </c>
      <c r="I1601" t="s">
        <v>4</v>
      </c>
      <c r="J1601" s="58" t="s">
        <v>4</v>
      </c>
      <c r="K1601" t="s">
        <v>1429</v>
      </c>
      <c r="L1601" t="s">
        <v>20</v>
      </c>
      <c r="M1601" t="s">
        <v>1430</v>
      </c>
      <c r="N1601" s="59">
        <v>88000</v>
      </c>
      <c r="O1601" s="59">
        <v>2925560000</v>
      </c>
      <c r="P1601" s="59">
        <v>13260484.761245675</v>
      </c>
      <c r="Q1601" s="59">
        <v>0</v>
      </c>
      <c r="R1601" s="59">
        <v>12320000</v>
      </c>
      <c r="S1601" s="59">
        <v>2899979515.2387543</v>
      </c>
      <c r="T1601" s="41"/>
      <c r="U1601" s="41"/>
      <c r="V1601" s="41"/>
      <c r="W1601" s="41"/>
      <c r="X1601" s="41"/>
      <c r="Y1601" s="41"/>
      <c r="Z1601" s="41"/>
      <c r="AA1601" s="41"/>
      <c r="AB1601" s="41"/>
      <c r="AC1601" s="41"/>
      <c r="AD1601" s="41"/>
      <c r="AE1601" s="59">
        <v>110970.16417556434</v>
      </c>
      <c r="AF1601" s="59">
        <v>111949.02301878353</v>
      </c>
      <c r="AG1601" s="59" t="s">
        <v>5</v>
      </c>
      <c r="AH1601" s="59" t="s">
        <v>1166</v>
      </c>
    </row>
    <row r="1602" spans="1:34" x14ac:dyDescent="0.35">
      <c r="A1602" s="58">
        <v>2025</v>
      </c>
      <c r="B1602" s="58">
        <v>8</v>
      </c>
      <c r="C1602">
        <v>8</v>
      </c>
      <c r="D1602" s="58" t="s">
        <v>600</v>
      </c>
      <c r="E1602" t="s">
        <v>323</v>
      </c>
      <c r="F1602" s="58" t="s">
        <v>171</v>
      </c>
      <c r="G1602" t="s">
        <v>731</v>
      </c>
      <c r="H1602" s="58" t="s">
        <v>4</v>
      </c>
      <c r="I1602" t="s">
        <v>4</v>
      </c>
      <c r="J1602" s="58" t="s">
        <v>4</v>
      </c>
      <c r="K1602" t="s">
        <v>1429</v>
      </c>
      <c r="L1602" t="s">
        <v>20</v>
      </c>
      <c r="M1602" t="s">
        <v>1432</v>
      </c>
      <c r="N1602" s="59">
        <v>44000</v>
      </c>
      <c r="O1602" s="59">
        <v>0</v>
      </c>
      <c r="P1602" s="59">
        <v>4972681.7854671283</v>
      </c>
      <c r="Q1602" s="59">
        <v>0</v>
      </c>
      <c r="R1602" s="59">
        <v>6160000</v>
      </c>
      <c r="S1602" s="59">
        <v>-11132681.785467129</v>
      </c>
      <c r="T1602" s="41"/>
      <c r="U1602" s="41"/>
      <c r="V1602" s="41"/>
      <c r="W1602" s="41"/>
      <c r="X1602" s="41"/>
      <c r="Y1602" s="41"/>
      <c r="Z1602" s="41"/>
      <c r="AA1602" s="41"/>
      <c r="AB1602" s="41"/>
      <c r="AC1602" s="41"/>
      <c r="AD1602" s="41"/>
      <c r="AE1602" s="59">
        <v>-426.00146620204396</v>
      </c>
      <c r="AF1602" s="59">
        <v>0</v>
      </c>
      <c r="AG1602" s="59" t="s">
        <v>5</v>
      </c>
      <c r="AH1602" s="59" t="s">
        <v>1166</v>
      </c>
    </row>
    <row r="1603" spans="1:34" x14ac:dyDescent="0.35">
      <c r="A1603" s="58">
        <v>2025</v>
      </c>
      <c r="B1603" s="58">
        <v>8</v>
      </c>
      <c r="C1603">
        <v>8</v>
      </c>
      <c r="D1603" s="58" t="s">
        <v>592</v>
      </c>
      <c r="E1603" t="s">
        <v>23</v>
      </c>
      <c r="F1603" s="58" t="s">
        <v>182</v>
      </c>
      <c r="G1603" t="s">
        <v>905</v>
      </c>
      <c r="H1603" s="58" t="s">
        <v>74</v>
      </c>
      <c r="I1603" t="s">
        <v>74</v>
      </c>
      <c r="J1603" s="58" t="s">
        <v>74</v>
      </c>
      <c r="K1603" t="s">
        <v>1429</v>
      </c>
      <c r="L1603" t="s">
        <v>20</v>
      </c>
      <c r="M1603" t="s">
        <v>1430</v>
      </c>
      <c r="N1603" s="59">
        <v>51500</v>
      </c>
      <c r="O1603" s="59">
        <v>875500000</v>
      </c>
      <c r="P1603" s="59">
        <v>8122046.9162629768</v>
      </c>
      <c r="Q1603" s="59">
        <v>0</v>
      </c>
      <c r="R1603" s="59">
        <v>0</v>
      </c>
      <c r="S1603" s="59">
        <v>867377953.08373702</v>
      </c>
      <c r="T1603" s="41"/>
      <c r="U1603" s="41"/>
      <c r="V1603" s="41"/>
      <c r="W1603" s="41"/>
      <c r="X1603" s="41"/>
      <c r="Y1603" s="41"/>
      <c r="Z1603" s="41"/>
      <c r="AA1603" s="41"/>
      <c r="AB1603" s="41"/>
      <c r="AC1603" s="41"/>
      <c r="AD1603" s="41"/>
      <c r="AE1603" s="59">
        <v>33190.949574015438</v>
      </c>
      <c r="AF1603" s="59">
        <v>33501.746555512436</v>
      </c>
      <c r="AG1603" s="59" t="s">
        <v>23</v>
      </c>
      <c r="AH1603" s="59" t="s">
        <v>1242</v>
      </c>
    </row>
    <row r="1604" spans="1:34" x14ac:dyDescent="0.35">
      <c r="A1604" s="58">
        <v>2025</v>
      </c>
      <c r="B1604" s="58">
        <v>8</v>
      </c>
      <c r="C1604">
        <v>8</v>
      </c>
      <c r="D1604" s="58" t="s">
        <v>653</v>
      </c>
      <c r="E1604" t="s">
        <v>108</v>
      </c>
      <c r="F1604" s="58" t="s">
        <v>175</v>
      </c>
      <c r="G1604" t="s">
        <v>947</v>
      </c>
      <c r="H1604" s="58" t="s">
        <v>4</v>
      </c>
      <c r="I1604" t="s">
        <v>4</v>
      </c>
      <c r="J1604" s="58" t="s">
        <v>4</v>
      </c>
      <c r="K1604" t="s">
        <v>1429</v>
      </c>
      <c r="L1604" t="s">
        <v>20</v>
      </c>
      <c r="M1604" t="s">
        <v>1430</v>
      </c>
      <c r="N1604" s="59">
        <v>2200</v>
      </c>
      <c r="O1604" s="59">
        <v>73700000</v>
      </c>
      <c r="P1604" s="59">
        <v>331512.11903114186</v>
      </c>
      <c r="Q1604" s="59">
        <v>0</v>
      </c>
      <c r="R1604" s="59">
        <v>0</v>
      </c>
      <c r="S1604" s="59">
        <v>73368487.880968854</v>
      </c>
      <c r="T1604" s="41"/>
      <c r="U1604" s="41"/>
      <c r="V1604" s="41"/>
      <c r="W1604" s="41"/>
      <c r="X1604" s="41"/>
      <c r="Y1604" s="41"/>
      <c r="Z1604" s="41"/>
      <c r="AA1604" s="41"/>
      <c r="AB1604" s="41"/>
      <c r="AC1604" s="41"/>
      <c r="AD1604" s="41"/>
      <c r="AE1604" s="59">
        <v>2807.5071229576292</v>
      </c>
      <c r="AF1604" s="59">
        <v>2820.1927140391399</v>
      </c>
      <c r="AG1604" s="59" t="s">
        <v>108</v>
      </c>
      <c r="AH1604" s="59" t="s">
        <v>1190</v>
      </c>
    </row>
    <row r="1605" spans="1:34" x14ac:dyDescent="0.35">
      <c r="A1605" s="58">
        <v>2025</v>
      </c>
      <c r="B1605" s="58">
        <v>8</v>
      </c>
      <c r="C1605">
        <v>8</v>
      </c>
      <c r="D1605" s="58" t="s">
        <v>655</v>
      </c>
      <c r="E1605" t="s">
        <v>65</v>
      </c>
      <c r="F1605" s="58" t="s">
        <v>201</v>
      </c>
      <c r="G1605" t="s">
        <v>471</v>
      </c>
      <c r="H1605" s="58" t="s">
        <v>1428</v>
      </c>
      <c r="I1605" t="s">
        <v>76</v>
      </c>
      <c r="J1605" s="58" t="s">
        <v>76</v>
      </c>
      <c r="K1605" t="s">
        <v>1429</v>
      </c>
      <c r="L1605" t="s">
        <v>20</v>
      </c>
      <c r="M1605" t="s">
        <v>1430</v>
      </c>
      <c r="N1605" s="59">
        <v>3000</v>
      </c>
      <c r="O1605" s="59">
        <v>45000000</v>
      </c>
      <c r="P1605" s="59">
        <v>663024.23806228372</v>
      </c>
      <c r="Q1605" s="59">
        <v>0</v>
      </c>
      <c r="R1605" s="59">
        <v>0</v>
      </c>
      <c r="S1605" s="59">
        <v>44336975.761937715</v>
      </c>
      <c r="T1605" s="41"/>
      <c r="U1605" s="41"/>
      <c r="V1605" s="41"/>
      <c r="W1605" s="41"/>
      <c r="X1605" s="41"/>
      <c r="Y1605" s="41"/>
      <c r="Z1605" s="41"/>
      <c r="AA1605" s="41"/>
      <c r="AB1605" s="41"/>
      <c r="AC1605" s="41"/>
      <c r="AD1605" s="41"/>
      <c r="AE1605" s="59">
        <v>1696.5918046994123</v>
      </c>
      <c r="AF1605" s="59">
        <v>1721.9629868624327</v>
      </c>
      <c r="AG1605" s="59" t="s">
        <v>65</v>
      </c>
      <c r="AH1605" s="59" t="s">
        <v>77</v>
      </c>
    </row>
    <row r="1606" spans="1:34" x14ac:dyDescent="0.35">
      <c r="A1606" s="58">
        <v>2025</v>
      </c>
      <c r="B1606" s="58">
        <v>8</v>
      </c>
      <c r="C1606">
        <v>8</v>
      </c>
      <c r="D1606" s="58" t="s">
        <v>639</v>
      </c>
      <c r="E1606" t="s">
        <v>25</v>
      </c>
      <c r="F1606" s="58" t="s">
        <v>182</v>
      </c>
      <c r="G1606" t="s">
        <v>905</v>
      </c>
      <c r="H1606" s="58" t="s">
        <v>74</v>
      </c>
      <c r="I1606" t="s">
        <v>74</v>
      </c>
      <c r="J1606" s="58" t="s">
        <v>74</v>
      </c>
      <c r="K1606" t="s">
        <v>1429</v>
      </c>
      <c r="L1606" t="s">
        <v>20</v>
      </c>
      <c r="M1606" t="s">
        <v>1430</v>
      </c>
      <c r="N1606" s="59">
        <v>10500</v>
      </c>
      <c r="O1606" s="59">
        <v>186900000</v>
      </c>
      <c r="P1606" s="59">
        <v>1657560.5951557094</v>
      </c>
      <c r="Q1606" s="59">
        <v>0</v>
      </c>
      <c r="R1606" s="59">
        <v>0</v>
      </c>
      <c r="S1606" s="59">
        <v>185242439.40484428</v>
      </c>
      <c r="T1606" s="41"/>
      <c r="U1606" s="41"/>
      <c r="V1606" s="41"/>
      <c r="W1606" s="41"/>
      <c r="X1606" s="41"/>
      <c r="Y1606" s="41"/>
      <c r="Z1606" s="41"/>
      <c r="AA1606" s="41"/>
      <c r="AB1606" s="41"/>
      <c r="AC1606" s="41"/>
      <c r="AD1606" s="41"/>
      <c r="AE1606" s="59">
        <v>7088.4583166944185</v>
      </c>
      <c r="AF1606" s="59">
        <v>7151.8862721019705</v>
      </c>
      <c r="AG1606" s="59" t="s">
        <v>25</v>
      </c>
      <c r="AH1606" s="59" t="s">
        <v>1242</v>
      </c>
    </row>
    <row r="1607" spans="1:34" x14ac:dyDescent="0.35">
      <c r="A1607" s="58">
        <v>2025</v>
      </c>
      <c r="B1607" s="58">
        <v>8</v>
      </c>
      <c r="C1607">
        <v>8</v>
      </c>
      <c r="D1607" s="58" t="s">
        <v>1666</v>
      </c>
      <c r="E1607" t="s">
        <v>1299</v>
      </c>
      <c r="F1607" s="58" t="s">
        <v>1468</v>
      </c>
      <c r="G1607" t="s">
        <v>1012</v>
      </c>
      <c r="H1607" s="58" t="s">
        <v>1012</v>
      </c>
      <c r="I1607" t="s">
        <v>1012</v>
      </c>
      <c r="J1607" s="58" t="s">
        <v>1012</v>
      </c>
      <c r="K1607" t="s">
        <v>1429</v>
      </c>
      <c r="L1607" t="s">
        <v>20</v>
      </c>
      <c r="M1607" t="s">
        <v>1430</v>
      </c>
      <c r="N1607" s="59">
        <v>0</v>
      </c>
      <c r="O1607" s="59">
        <v>12623893</v>
      </c>
      <c r="P1607" s="59">
        <v>0</v>
      </c>
      <c r="Q1607" s="59">
        <v>0</v>
      </c>
      <c r="R1607" s="59">
        <v>0</v>
      </c>
      <c r="S1607" s="59">
        <v>12623893</v>
      </c>
      <c r="T1607" s="41"/>
      <c r="U1607" s="41"/>
      <c r="V1607" s="41"/>
      <c r="W1607" s="41"/>
      <c r="X1607" s="41"/>
      <c r="Y1607" s="41"/>
      <c r="Z1607" s="41"/>
      <c r="AA1607" s="41"/>
      <c r="AB1607" s="41"/>
      <c r="AC1607" s="41"/>
      <c r="AD1607" s="41"/>
      <c r="AE1607" s="59">
        <v>483.06392213581677</v>
      </c>
      <c r="AF1607" s="59">
        <v>483.06392213581677</v>
      </c>
      <c r="AG1607" s="59" t="s">
        <v>1299</v>
      </c>
      <c r="AH1607" s="59" t="s">
        <v>1284</v>
      </c>
    </row>
    <row r="1608" spans="1:34" x14ac:dyDescent="0.35">
      <c r="A1608" s="58">
        <v>2025</v>
      </c>
      <c r="B1608" s="58">
        <v>8</v>
      </c>
      <c r="C1608">
        <v>8</v>
      </c>
      <c r="D1608" s="58" t="s">
        <v>680</v>
      </c>
      <c r="E1608" t="s">
        <v>67</v>
      </c>
      <c r="F1608" s="58" t="s">
        <v>218</v>
      </c>
      <c r="G1608" t="s">
        <v>944</v>
      </c>
      <c r="H1608" s="58" t="s">
        <v>21</v>
      </c>
      <c r="I1608" t="s">
        <v>21</v>
      </c>
      <c r="J1608" s="58" t="s">
        <v>21</v>
      </c>
      <c r="K1608" t="s">
        <v>1429</v>
      </c>
      <c r="L1608" t="s">
        <v>20</v>
      </c>
      <c r="M1608" t="s">
        <v>1430</v>
      </c>
      <c r="N1608" s="59">
        <v>50</v>
      </c>
      <c r="O1608" s="59">
        <v>1772000</v>
      </c>
      <c r="P1608" s="59">
        <v>0</v>
      </c>
      <c r="Q1608" s="59">
        <v>0</v>
      </c>
      <c r="R1608" s="59">
        <v>0</v>
      </c>
      <c r="S1608" s="59">
        <v>1772000</v>
      </c>
      <c r="T1608" s="41"/>
      <c r="U1608" s="41"/>
      <c r="V1608" s="41"/>
      <c r="W1608" s="41"/>
      <c r="X1608" s="41"/>
      <c r="Y1608" s="41"/>
      <c r="Z1608" s="41"/>
      <c r="AA1608" s="41"/>
      <c r="AB1608" s="41"/>
      <c r="AC1608" s="41"/>
      <c r="AD1608" s="41"/>
      <c r="AE1608" s="59">
        <v>67.807075838227348</v>
      </c>
      <c r="AF1608" s="59">
        <v>67.807075838227348</v>
      </c>
      <c r="AG1608" s="59" t="s">
        <v>67</v>
      </c>
      <c r="AH1608" s="59" t="s">
        <v>1360</v>
      </c>
    </row>
    <row r="1609" spans="1:34" x14ac:dyDescent="0.35">
      <c r="A1609" s="58">
        <v>2025</v>
      </c>
      <c r="B1609" s="58">
        <v>8</v>
      </c>
      <c r="C1609">
        <v>8</v>
      </c>
      <c r="D1609" s="58" t="s">
        <v>1596</v>
      </c>
      <c r="E1609" t="s">
        <v>1297</v>
      </c>
      <c r="F1609" s="58" t="s">
        <v>1468</v>
      </c>
      <c r="G1609" t="s">
        <v>1012</v>
      </c>
      <c r="H1609" s="58" t="s">
        <v>1012</v>
      </c>
      <c r="I1609" t="s">
        <v>1012</v>
      </c>
      <c r="J1609" s="58" t="s">
        <v>1012</v>
      </c>
      <c r="K1609" t="s">
        <v>1429</v>
      </c>
      <c r="L1609" t="s">
        <v>20</v>
      </c>
      <c r="M1609" t="s">
        <v>1430</v>
      </c>
      <c r="N1609" s="59">
        <v>0</v>
      </c>
      <c r="O1609" s="59">
        <v>0</v>
      </c>
      <c r="P1609" s="59">
        <v>0</v>
      </c>
      <c r="Q1609" s="59">
        <v>0</v>
      </c>
      <c r="R1609" s="59">
        <v>0</v>
      </c>
      <c r="S1609" s="59">
        <v>0</v>
      </c>
      <c r="T1609" s="41"/>
      <c r="U1609" s="41"/>
      <c r="V1609" s="41"/>
      <c r="W1609" s="41"/>
      <c r="X1609" s="41"/>
      <c r="Y1609" s="41"/>
      <c r="Z1609" s="41"/>
      <c r="AA1609" s="41"/>
      <c r="AB1609" s="41"/>
      <c r="AC1609" s="41"/>
      <c r="AD1609" s="41"/>
      <c r="AE1609" s="59">
        <v>0</v>
      </c>
      <c r="AF1609" s="59">
        <v>0</v>
      </c>
      <c r="AG1609" s="59" t="s">
        <v>1297</v>
      </c>
      <c r="AH1609" s="59" t="s">
        <v>1284</v>
      </c>
    </row>
    <row r="1610" spans="1:34" x14ac:dyDescent="0.35">
      <c r="A1610" s="58">
        <v>2025</v>
      </c>
      <c r="B1610" s="58">
        <v>8</v>
      </c>
      <c r="C1610">
        <v>8</v>
      </c>
      <c r="D1610" s="58" t="s">
        <v>1630</v>
      </c>
      <c r="E1610" t="s">
        <v>1272</v>
      </c>
      <c r="F1610" s="58" t="s">
        <v>1631</v>
      </c>
      <c r="G1610" t="s">
        <v>1632</v>
      </c>
      <c r="H1610" s="58" t="s">
        <v>1012</v>
      </c>
      <c r="I1610" t="s">
        <v>1012</v>
      </c>
      <c r="J1610" s="58" t="s">
        <v>1012</v>
      </c>
      <c r="K1610" t="s">
        <v>1429</v>
      </c>
      <c r="L1610" t="s">
        <v>20</v>
      </c>
      <c r="M1610" t="s">
        <v>1430</v>
      </c>
      <c r="N1610" s="59">
        <v>0</v>
      </c>
      <c r="O1610" s="59">
        <v>0</v>
      </c>
      <c r="P1610" s="59">
        <v>0</v>
      </c>
      <c r="Q1610" s="59">
        <v>0</v>
      </c>
      <c r="R1610" s="59">
        <v>0</v>
      </c>
      <c r="S1610" s="59">
        <v>0</v>
      </c>
      <c r="T1610" s="41"/>
      <c r="U1610" s="41"/>
      <c r="V1610" s="41"/>
      <c r="W1610" s="41"/>
      <c r="X1610" s="41"/>
      <c r="Y1610" s="41"/>
      <c r="Z1610" s="41"/>
      <c r="AA1610" s="41"/>
      <c r="AB1610" s="41"/>
      <c r="AC1610" s="41"/>
      <c r="AD1610" s="41"/>
      <c r="AE1610" s="59">
        <v>0</v>
      </c>
      <c r="AF1610" s="59">
        <v>0</v>
      </c>
      <c r="AG1610" s="59" t="s">
        <v>1272</v>
      </c>
      <c r="AH1610" s="59" t="s">
        <v>1271</v>
      </c>
    </row>
    <row r="1611" spans="1:34" x14ac:dyDescent="0.35">
      <c r="A1611" s="58">
        <v>2025</v>
      </c>
      <c r="B1611" s="58">
        <v>8</v>
      </c>
      <c r="C1611">
        <v>8</v>
      </c>
      <c r="D1611" s="58" t="s">
        <v>1667</v>
      </c>
      <c r="E1611" t="s">
        <v>1292</v>
      </c>
      <c r="F1611" s="58" t="s">
        <v>1468</v>
      </c>
      <c r="G1611" t="s">
        <v>1012</v>
      </c>
      <c r="H1611" s="58" t="s">
        <v>1012</v>
      </c>
      <c r="I1611" t="s">
        <v>1012</v>
      </c>
      <c r="J1611" s="58" t="s">
        <v>1012</v>
      </c>
      <c r="K1611" t="s">
        <v>1429</v>
      </c>
      <c r="L1611" t="s">
        <v>20</v>
      </c>
      <c r="M1611" t="s">
        <v>1430</v>
      </c>
      <c r="N1611" s="59">
        <v>0</v>
      </c>
      <c r="O1611" s="59">
        <v>0</v>
      </c>
      <c r="P1611" s="59">
        <v>0</v>
      </c>
      <c r="Q1611" s="59">
        <v>0</v>
      </c>
      <c r="R1611" s="59">
        <v>0</v>
      </c>
      <c r="S1611" s="59">
        <v>0</v>
      </c>
      <c r="T1611" s="41"/>
      <c r="U1611" s="41"/>
      <c r="V1611" s="41"/>
      <c r="W1611" s="41"/>
      <c r="X1611" s="41"/>
      <c r="Y1611" s="41"/>
      <c r="Z1611" s="41"/>
      <c r="AA1611" s="41"/>
      <c r="AB1611" s="41"/>
      <c r="AC1611" s="41"/>
      <c r="AD1611" s="41"/>
      <c r="AE1611" s="59">
        <v>0</v>
      </c>
      <c r="AF1611" s="59">
        <v>0</v>
      </c>
      <c r="AG1611" s="59" t="s">
        <v>1292</v>
      </c>
      <c r="AH1611" s="59" t="s">
        <v>1284</v>
      </c>
    </row>
    <row r="1612" spans="1:34" x14ac:dyDescent="0.35">
      <c r="A1612" s="58">
        <v>2025</v>
      </c>
      <c r="B1612" s="58">
        <v>8</v>
      </c>
      <c r="C1612">
        <v>8</v>
      </c>
      <c r="D1612" s="58" t="s">
        <v>1645</v>
      </c>
      <c r="E1612" t="s">
        <v>1305</v>
      </c>
      <c r="F1612" s="58" t="s">
        <v>1468</v>
      </c>
      <c r="G1612" t="s">
        <v>1012</v>
      </c>
      <c r="H1612" s="58" t="s">
        <v>1012</v>
      </c>
      <c r="I1612" t="s">
        <v>1012</v>
      </c>
      <c r="J1612" s="58" t="s">
        <v>1012</v>
      </c>
      <c r="K1612" t="s">
        <v>1429</v>
      </c>
      <c r="L1612" t="s">
        <v>20</v>
      </c>
      <c r="M1612" t="s">
        <v>1430</v>
      </c>
      <c r="N1612" s="59">
        <v>0</v>
      </c>
      <c r="O1612" s="59">
        <v>0</v>
      </c>
      <c r="P1612" s="59">
        <v>0</v>
      </c>
      <c r="Q1612" s="59">
        <v>0</v>
      </c>
      <c r="R1612" s="59">
        <v>0</v>
      </c>
      <c r="S1612" s="59">
        <v>0</v>
      </c>
      <c r="T1612" s="41"/>
      <c r="U1612" s="41"/>
      <c r="V1612" s="41"/>
      <c r="W1612" s="41"/>
      <c r="X1612" s="41"/>
      <c r="Y1612" s="41"/>
      <c r="Z1612" s="41"/>
      <c r="AA1612" s="41"/>
      <c r="AB1612" s="41"/>
      <c r="AC1612" s="41"/>
      <c r="AD1612" s="41"/>
      <c r="AE1612" s="59">
        <v>0</v>
      </c>
      <c r="AF1612" s="59">
        <v>0</v>
      </c>
      <c r="AG1612" s="59" t="s">
        <v>1305</v>
      </c>
      <c r="AH1612" s="59" t="s">
        <v>1284</v>
      </c>
    </row>
    <row r="1613" spans="1:34" x14ac:dyDescent="0.35">
      <c r="A1613" s="58">
        <v>2025</v>
      </c>
      <c r="B1613" s="58">
        <v>8</v>
      </c>
      <c r="C1613">
        <v>8</v>
      </c>
      <c r="D1613" s="58" t="s">
        <v>602</v>
      </c>
      <c r="E1613" t="s">
        <v>122</v>
      </c>
      <c r="F1613" s="58" t="s">
        <v>171</v>
      </c>
      <c r="G1613" t="s">
        <v>731</v>
      </c>
      <c r="H1613" s="58" t="s">
        <v>4</v>
      </c>
      <c r="I1613" t="s">
        <v>4</v>
      </c>
      <c r="J1613" s="58" t="s">
        <v>4</v>
      </c>
      <c r="K1613" t="s">
        <v>1476</v>
      </c>
      <c r="L1613" t="s">
        <v>1477</v>
      </c>
      <c r="M1613" t="s">
        <v>1430</v>
      </c>
      <c r="N1613" s="59">
        <v>66000</v>
      </c>
      <c r="O1613" s="59">
        <v>2134746900</v>
      </c>
      <c r="P1613" s="59">
        <v>4950000.2600472812</v>
      </c>
      <c r="Q1613" s="59">
        <v>0</v>
      </c>
      <c r="R1613" s="59">
        <v>29232546.999999996</v>
      </c>
      <c r="S1613" s="59">
        <v>2100564352.7399526</v>
      </c>
      <c r="T1613" s="41"/>
      <c r="U1613" s="41"/>
      <c r="V1613" s="41"/>
      <c r="W1613" s="41"/>
      <c r="X1613" s="41"/>
      <c r="Y1613" s="41"/>
      <c r="Z1613" s="41"/>
      <c r="AA1613" s="41"/>
      <c r="AB1613" s="41"/>
      <c r="AC1613" s="41"/>
      <c r="AD1613" s="41"/>
      <c r="AE1613" s="59">
        <v>80204.824465061189</v>
      </c>
      <c r="AF1613" s="59">
        <v>81510</v>
      </c>
      <c r="AG1613" s="59" t="s">
        <v>122</v>
      </c>
      <c r="AH1613" s="59" t="s">
        <v>1166</v>
      </c>
    </row>
    <row r="1614" spans="1:34" x14ac:dyDescent="0.35">
      <c r="A1614" s="58">
        <v>2025</v>
      </c>
      <c r="B1614" s="58">
        <v>8</v>
      </c>
      <c r="C1614">
        <v>8</v>
      </c>
      <c r="D1614" s="58" t="s">
        <v>602</v>
      </c>
      <c r="E1614" t="s">
        <v>122</v>
      </c>
      <c r="F1614" s="58" t="s">
        <v>1152</v>
      </c>
      <c r="G1614" t="s">
        <v>1153</v>
      </c>
      <c r="H1614" s="58" t="s">
        <v>1012</v>
      </c>
      <c r="I1614" t="s">
        <v>1012</v>
      </c>
      <c r="J1614" s="58" t="s">
        <v>1399</v>
      </c>
      <c r="K1614" t="s">
        <v>1429</v>
      </c>
      <c r="L1614" t="s">
        <v>20</v>
      </c>
      <c r="M1614" t="s">
        <v>1430</v>
      </c>
      <c r="N1614" s="59">
        <v>0</v>
      </c>
      <c r="O1614" s="59">
        <v>0</v>
      </c>
      <c r="P1614" s="59">
        <v>0</v>
      </c>
      <c r="Q1614" s="59">
        <v>0</v>
      </c>
      <c r="R1614" s="59">
        <v>-330000</v>
      </c>
      <c r="S1614" s="59">
        <v>330000</v>
      </c>
      <c r="T1614" s="41"/>
      <c r="U1614" s="41"/>
      <c r="V1614" s="41"/>
      <c r="W1614" s="41"/>
      <c r="X1614" s="41"/>
      <c r="Y1614" s="41"/>
      <c r="Z1614" s="41"/>
      <c r="AA1614" s="41"/>
      <c r="AB1614" s="41"/>
      <c r="AC1614" s="41"/>
      <c r="AD1614" s="41"/>
      <c r="AE1614" s="59">
        <v>12.627728570324505</v>
      </c>
      <c r="AF1614" s="59">
        <v>0</v>
      </c>
      <c r="AG1614" s="59" t="s">
        <v>122</v>
      </c>
      <c r="AH1614" s="59" t="s">
        <v>1400</v>
      </c>
    </row>
    <row r="1615" spans="1:34" x14ac:dyDescent="0.35">
      <c r="A1615" s="58">
        <v>2025</v>
      </c>
      <c r="B1615" s="58">
        <v>8</v>
      </c>
      <c r="C1615">
        <v>8</v>
      </c>
      <c r="D1615" s="58" t="s">
        <v>1668</v>
      </c>
      <c r="E1615" t="s">
        <v>1304</v>
      </c>
      <c r="F1615" s="58" t="s">
        <v>1468</v>
      </c>
      <c r="G1615" t="s">
        <v>1012</v>
      </c>
      <c r="H1615" s="58" t="s">
        <v>1012</v>
      </c>
      <c r="I1615" t="s">
        <v>1012</v>
      </c>
      <c r="J1615" s="58" t="s">
        <v>1012</v>
      </c>
      <c r="K1615" t="s">
        <v>1429</v>
      </c>
      <c r="L1615" t="s">
        <v>20</v>
      </c>
      <c r="M1615" t="s">
        <v>1430</v>
      </c>
      <c r="N1615" s="59">
        <v>0</v>
      </c>
      <c r="O1615" s="59">
        <v>0</v>
      </c>
      <c r="P1615" s="59">
        <v>0</v>
      </c>
      <c r="Q1615" s="59">
        <v>0</v>
      </c>
      <c r="R1615" s="59">
        <v>0</v>
      </c>
      <c r="S1615" s="59">
        <v>0</v>
      </c>
      <c r="T1615" s="41"/>
      <c r="U1615" s="41"/>
      <c r="V1615" s="41"/>
      <c r="W1615" s="41"/>
      <c r="X1615" s="41"/>
      <c r="Y1615" s="41"/>
      <c r="Z1615" s="41"/>
      <c r="AA1615" s="41"/>
      <c r="AB1615" s="41"/>
      <c r="AC1615" s="41"/>
      <c r="AD1615" s="41"/>
      <c r="AE1615" s="59">
        <v>0</v>
      </c>
      <c r="AF1615" s="59">
        <v>0</v>
      </c>
      <c r="AG1615" s="59" t="s">
        <v>1304</v>
      </c>
      <c r="AH1615" s="59" t="s">
        <v>1284</v>
      </c>
    </row>
    <row r="1616" spans="1:34" x14ac:dyDescent="0.35">
      <c r="A1616" s="58">
        <v>2025</v>
      </c>
      <c r="B1616" s="58">
        <v>8</v>
      </c>
      <c r="C1616">
        <v>8</v>
      </c>
      <c r="D1616" s="58" t="s">
        <v>587</v>
      </c>
      <c r="E1616" t="s">
        <v>6</v>
      </c>
      <c r="F1616" s="58" t="s">
        <v>171</v>
      </c>
      <c r="G1616" t="s">
        <v>731</v>
      </c>
      <c r="H1616" s="58" t="s">
        <v>4</v>
      </c>
      <c r="I1616" t="s">
        <v>4</v>
      </c>
      <c r="J1616" s="58" t="s">
        <v>4</v>
      </c>
      <c r="K1616" t="s">
        <v>1476</v>
      </c>
      <c r="L1616" t="s">
        <v>1509</v>
      </c>
      <c r="M1616" t="s">
        <v>1430</v>
      </c>
      <c r="N1616" s="59">
        <v>440000</v>
      </c>
      <c r="O1616" s="59">
        <v>13916374560</v>
      </c>
      <c r="P1616" s="59">
        <v>33000001.73364855</v>
      </c>
      <c r="Q1616" s="59">
        <v>208745618.39999998</v>
      </c>
      <c r="R1616" s="59">
        <v>171989194</v>
      </c>
      <c r="S1616" s="59">
        <v>13502639745.866352</v>
      </c>
      <c r="T1616" s="41"/>
      <c r="U1616" s="41"/>
      <c r="V1616" s="41"/>
      <c r="W1616" s="41"/>
      <c r="X1616" s="41"/>
      <c r="Y1616" s="41"/>
      <c r="Z1616" s="41"/>
      <c r="AA1616" s="41"/>
      <c r="AB1616" s="41"/>
      <c r="AC1616" s="41"/>
      <c r="AD1616" s="41"/>
      <c r="AE1616" s="59">
        <v>517937.92881559161</v>
      </c>
      <c r="AF1616" s="59">
        <v>533808.00000000023</v>
      </c>
      <c r="AG1616" s="59" t="s">
        <v>6</v>
      </c>
      <c r="AH1616" s="59" t="s">
        <v>1166</v>
      </c>
    </row>
    <row r="1617" spans="1:34" x14ac:dyDescent="0.35">
      <c r="A1617" s="58">
        <v>2025</v>
      </c>
      <c r="B1617" s="58">
        <v>8</v>
      </c>
      <c r="C1617">
        <v>8</v>
      </c>
      <c r="D1617" s="58" t="s">
        <v>587</v>
      </c>
      <c r="E1617" t="s">
        <v>6</v>
      </c>
      <c r="F1617" s="58" t="s">
        <v>171</v>
      </c>
      <c r="G1617" t="s">
        <v>731</v>
      </c>
      <c r="H1617" s="58" t="s">
        <v>4</v>
      </c>
      <c r="I1617" t="s">
        <v>4</v>
      </c>
      <c r="J1617" s="58" t="s">
        <v>4</v>
      </c>
      <c r="K1617" t="s">
        <v>1476</v>
      </c>
      <c r="L1617" t="s">
        <v>1477</v>
      </c>
      <c r="M1617" t="s">
        <v>1430</v>
      </c>
      <c r="N1617" s="59">
        <v>770000</v>
      </c>
      <c r="O1617" s="59">
        <v>22950545024.000004</v>
      </c>
      <c r="P1617" s="59">
        <v>57750003.033884913</v>
      </c>
      <c r="Q1617" s="59">
        <v>344258175.35999995</v>
      </c>
      <c r="R1617" s="59">
        <v>324303221.00000006</v>
      </c>
      <c r="S1617" s="59">
        <v>22224233624.606125</v>
      </c>
      <c r="T1617" s="59"/>
      <c r="U1617" s="59"/>
      <c r="V1617" s="59"/>
      <c r="W1617" s="59"/>
      <c r="X1617" s="59"/>
      <c r="Y1617" s="59"/>
      <c r="Z1617" s="59"/>
      <c r="AA1617" s="59"/>
      <c r="AB1617" s="59"/>
      <c r="AC1617" s="59"/>
      <c r="AD1617" s="59"/>
      <c r="AE1617" s="59">
        <v>849133.52203176799</v>
      </c>
      <c r="AF1617" s="59">
        <v>876884.8000000004</v>
      </c>
      <c r="AG1617" s="59" t="s">
        <v>6</v>
      </c>
      <c r="AH1617" s="59" t="s">
        <v>1166</v>
      </c>
    </row>
    <row r="1618" spans="1:34" x14ac:dyDescent="0.35">
      <c r="A1618" s="58">
        <v>2025</v>
      </c>
      <c r="B1618" s="58">
        <v>8</v>
      </c>
      <c r="C1618">
        <v>8</v>
      </c>
      <c r="D1618" s="58" t="s">
        <v>587</v>
      </c>
      <c r="E1618" t="s">
        <v>6</v>
      </c>
      <c r="F1618" s="58" t="s">
        <v>1152</v>
      </c>
      <c r="G1618" t="s">
        <v>1153</v>
      </c>
      <c r="H1618" s="58" t="s">
        <v>1012</v>
      </c>
      <c r="I1618" t="s">
        <v>1012</v>
      </c>
      <c r="J1618" s="58" t="s">
        <v>1399</v>
      </c>
      <c r="K1618" t="s">
        <v>1429</v>
      </c>
      <c r="L1618" t="s">
        <v>20</v>
      </c>
      <c r="M1618" t="s">
        <v>1430</v>
      </c>
      <c r="N1618" s="59">
        <v>0</v>
      </c>
      <c r="O1618" s="59">
        <v>0</v>
      </c>
      <c r="P1618" s="59">
        <v>0</v>
      </c>
      <c r="Q1618" s="59">
        <v>0</v>
      </c>
      <c r="R1618" s="59">
        <v>-1389561.0000000144</v>
      </c>
      <c r="S1618" s="59">
        <v>1389561.0000000144</v>
      </c>
      <c r="T1618" s="59"/>
      <c r="U1618" s="59"/>
      <c r="V1618" s="59"/>
      <c r="W1618" s="59"/>
      <c r="X1618" s="59"/>
      <c r="Y1618" s="59"/>
      <c r="Z1618" s="59"/>
      <c r="AA1618" s="59"/>
      <c r="AB1618" s="59"/>
      <c r="AC1618" s="59"/>
      <c r="AD1618" s="59"/>
      <c r="AE1618" s="59">
        <v>53.172724666390415</v>
      </c>
      <c r="AF1618" s="59">
        <v>0</v>
      </c>
      <c r="AG1618" s="59" t="s">
        <v>6</v>
      </c>
      <c r="AH1618" s="59" t="s">
        <v>1400</v>
      </c>
    </row>
    <row r="1619" spans="1:34" x14ac:dyDescent="0.35">
      <c r="A1619" s="58">
        <v>2025</v>
      </c>
      <c r="B1619" s="58">
        <v>8</v>
      </c>
      <c r="C1619">
        <v>8</v>
      </c>
      <c r="D1619" s="58" t="s">
        <v>587</v>
      </c>
      <c r="E1619" t="s">
        <v>6</v>
      </c>
      <c r="F1619" s="58" t="s">
        <v>1468</v>
      </c>
      <c r="G1619" t="s">
        <v>1012</v>
      </c>
      <c r="H1619" s="58" t="s">
        <v>1012</v>
      </c>
      <c r="I1619" t="s">
        <v>1012</v>
      </c>
      <c r="J1619" s="58" t="s">
        <v>1012</v>
      </c>
      <c r="K1619" t="s">
        <v>1429</v>
      </c>
      <c r="L1619" t="s">
        <v>20</v>
      </c>
      <c r="M1619" t="s">
        <v>1430</v>
      </c>
      <c r="N1619" s="59">
        <v>0</v>
      </c>
      <c r="O1619" s="59">
        <v>0</v>
      </c>
      <c r="P1619" s="59">
        <v>0</v>
      </c>
      <c r="Q1619" s="59">
        <v>41996.240000128746</v>
      </c>
      <c r="R1619" s="59">
        <v>0</v>
      </c>
      <c r="S1619" s="59">
        <v>-41996.240000128746</v>
      </c>
      <c r="T1619" s="59"/>
      <c r="U1619" s="59"/>
      <c r="V1619" s="59"/>
      <c r="W1619" s="59"/>
      <c r="X1619" s="59"/>
      <c r="Y1619" s="59"/>
      <c r="Z1619" s="59"/>
      <c r="AA1619" s="59"/>
      <c r="AB1619" s="59"/>
      <c r="AC1619" s="59"/>
      <c r="AD1619" s="59"/>
      <c r="AE1619" s="59">
        <v>-1.6070215748358503</v>
      </c>
      <c r="AF1619" s="59">
        <v>0</v>
      </c>
      <c r="AG1619" s="59" t="s">
        <v>6</v>
      </c>
      <c r="AH1619" s="59" t="s">
        <v>1284</v>
      </c>
    </row>
    <row r="1620" spans="1:34" x14ac:dyDescent="0.35">
      <c r="A1620" s="58">
        <v>2025</v>
      </c>
      <c r="B1620" s="58">
        <v>8</v>
      </c>
      <c r="C1620">
        <v>8</v>
      </c>
      <c r="D1620" s="58" t="s">
        <v>641</v>
      </c>
      <c r="E1620" t="s">
        <v>125</v>
      </c>
      <c r="F1620" s="58" t="s">
        <v>172</v>
      </c>
      <c r="G1620" t="s">
        <v>734</v>
      </c>
      <c r="H1620" s="58" t="s">
        <v>4</v>
      </c>
      <c r="I1620" t="s">
        <v>4</v>
      </c>
      <c r="J1620" s="58" t="s">
        <v>4</v>
      </c>
      <c r="K1620" t="s">
        <v>1476</v>
      </c>
      <c r="L1620" t="s">
        <v>1510</v>
      </c>
      <c r="M1620" t="s">
        <v>1430</v>
      </c>
      <c r="N1620" s="59">
        <v>22000</v>
      </c>
      <c r="O1620" s="59">
        <v>728703360</v>
      </c>
      <c r="P1620" s="59">
        <v>1650000.0866824272</v>
      </c>
      <c r="Q1620" s="59">
        <v>0</v>
      </c>
      <c r="R1620" s="59">
        <v>14216512</v>
      </c>
      <c r="S1620" s="59">
        <v>712836847.91331756</v>
      </c>
      <c r="T1620" s="59"/>
      <c r="U1620" s="59"/>
      <c r="V1620" s="59"/>
      <c r="W1620" s="59"/>
      <c r="X1620" s="59"/>
      <c r="Y1620" s="59"/>
      <c r="Z1620" s="59"/>
      <c r="AA1620" s="59"/>
      <c r="AB1620" s="59"/>
      <c r="AC1620" s="59"/>
      <c r="AD1620" s="59"/>
      <c r="AE1620" s="59">
        <v>27374.686939835545</v>
      </c>
      <c r="AF1620" s="59">
        <v>27984</v>
      </c>
      <c r="AG1620" s="59" t="s">
        <v>125</v>
      </c>
      <c r="AH1620" s="59" t="s">
        <v>1175</v>
      </c>
    </row>
    <row r="1621" spans="1:34" x14ac:dyDescent="0.35">
      <c r="A1621" s="58">
        <v>2025</v>
      </c>
      <c r="B1621" s="58">
        <v>8</v>
      </c>
      <c r="C1621">
        <v>8</v>
      </c>
      <c r="D1621" s="58" t="s">
        <v>641</v>
      </c>
      <c r="E1621" t="s">
        <v>125</v>
      </c>
      <c r="F1621" s="58" t="s">
        <v>1152</v>
      </c>
      <c r="G1621" t="s">
        <v>1153</v>
      </c>
      <c r="H1621" s="58" t="s">
        <v>1012</v>
      </c>
      <c r="I1621" t="s">
        <v>1012</v>
      </c>
      <c r="J1621" s="58" t="s">
        <v>1399</v>
      </c>
      <c r="K1621" t="s">
        <v>1429</v>
      </c>
      <c r="L1621" t="s">
        <v>20</v>
      </c>
      <c r="M1621" t="s">
        <v>1430</v>
      </c>
      <c r="N1621" s="59">
        <v>0</v>
      </c>
      <c r="O1621" s="59">
        <v>0</v>
      </c>
      <c r="P1621" s="59">
        <v>0</v>
      </c>
      <c r="Q1621" s="59">
        <v>0</v>
      </c>
      <c r="R1621" s="59">
        <v>-152500</v>
      </c>
      <c r="S1621" s="59">
        <v>152500</v>
      </c>
      <c r="T1621" s="59"/>
      <c r="U1621" s="59"/>
      <c r="V1621" s="59"/>
      <c r="W1621" s="59"/>
      <c r="X1621" s="59"/>
      <c r="Y1621" s="59"/>
      <c r="Z1621" s="59"/>
      <c r="AA1621" s="59"/>
      <c r="AB1621" s="59"/>
      <c r="AC1621" s="59"/>
      <c r="AD1621" s="59"/>
      <c r="AE1621" s="59">
        <v>5.8355412332560217</v>
      </c>
      <c r="AF1621" s="59">
        <v>0</v>
      </c>
      <c r="AG1621" s="59" t="s">
        <v>125</v>
      </c>
      <c r="AH1621" s="59" t="s">
        <v>1400</v>
      </c>
    </row>
    <row r="1622" spans="1:34" x14ac:dyDescent="0.35">
      <c r="A1622" s="58">
        <v>2025</v>
      </c>
      <c r="B1622" s="58">
        <v>8</v>
      </c>
      <c r="C1622">
        <v>8</v>
      </c>
      <c r="D1622" s="58" t="s">
        <v>588</v>
      </c>
      <c r="E1622" t="s">
        <v>9</v>
      </c>
      <c r="F1622" s="58" t="s">
        <v>172</v>
      </c>
      <c r="G1622" t="s">
        <v>734</v>
      </c>
      <c r="H1622" s="58" t="s">
        <v>4</v>
      </c>
      <c r="I1622" t="s">
        <v>4</v>
      </c>
      <c r="J1622" s="58" t="s">
        <v>4</v>
      </c>
      <c r="K1622" t="s">
        <v>1476</v>
      </c>
      <c r="L1622" t="s">
        <v>1501</v>
      </c>
      <c r="M1622" t="s">
        <v>1430</v>
      </c>
      <c r="N1622" s="59">
        <v>880000</v>
      </c>
      <c r="O1622" s="59">
        <v>28811750000</v>
      </c>
      <c r="P1622" s="59">
        <v>66000003.467297032</v>
      </c>
      <c r="Q1622" s="59">
        <v>0</v>
      </c>
      <c r="R1622" s="59">
        <v>369443518.00000018</v>
      </c>
      <c r="S1622" s="59">
        <v>28376306478.532722</v>
      </c>
      <c r="T1622" s="59"/>
      <c r="U1622" s="59"/>
      <c r="V1622" s="59"/>
      <c r="W1622" s="59"/>
      <c r="X1622" s="59"/>
      <c r="Y1622" s="59"/>
      <c r="Z1622" s="59"/>
      <c r="AA1622" s="59"/>
      <c r="AB1622" s="59"/>
      <c r="AC1622" s="59"/>
      <c r="AD1622" s="59"/>
      <c r="AE1622" s="59">
        <v>1083375.2524579151</v>
      </c>
      <c r="AF1622" s="59">
        <v>1100000</v>
      </c>
      <c r="AG1622" s="59" t="s">
        <v>9</v>
      </c>
      <c r="AH1622" s="59" t="s">
        <v>1175</v>
      </c>
    </row>
    <row r="1623" spans="1:34" x14ac:dyDescent="0.35">
      <c r="A1623" s="58">
        <v>2025</v>
      </c>
      <c r="B1623" s="58">
        <v>8</v>
      </c>
      <c r="C1623">
        <v>8</v>
      </c>
      <c r="D1623" s="58" t="s">
        <v>588</v>
      </c>
      <c r="E1623" t="s">
        <v>9</v>
      </c>
      <c r="F1623" s="58" t="s">
        <v>1152</v>
      </c>
      <c r="G1623" t="s">
        <v>1153</v>
      </c>
      <c r="H1623" s="58" t="s">
        <v>1012</v>
      </c>
      <c r="I1623" t="s">
        <v>1012</v>
      </c>
      <c r="J1623" s="58" t="s">
        <v>1399</v>
      </c>
      <c r="K1623" t="s">
        <v>1429</v>
      </c>
      <c r="L1623" t="s">
        <v>20</v>
      </c>
      <c r="M1623" t="s">
        <v>1430</v>
      </c>
      <c r="N1623" s="59">
        <v>0</v>
      </c>
      <c r="O1623" s="59">
        <v>0</v>
      </c>
      <c r="P1623" s="59">
        <v>0</v>
      </c>
      <c r="Q1623" s="59">
        <v>0</v>
      </c>
      <c r="R1623" s="59">
        <v>-462954.99999999959</v>
      </c>
      <c r="S1623" s="59">
        <v>462954.99999999959</v>
      </c>
      <c r="T1623" s="59"/>
      <c r="U1623" s="59"/>
      <c r="V1623" s="59"/>
      <c r="W1623" s="59"/>
      <c r="X1623" s="59"/>
      <c r="Y1623" s="59"/>
      <c r="Z1623" s="59"/>
      <c r="AA1623" s="59"/>
      <c r="AB1623" s="59"/>
      <c r="AC1623" s="59"/>
      <c r="AD1623" s="59"/>
      <c r="AE1623" s="59">
        <v>17.715363879619932</v>
      </c>
      <c r="AF1623" s="59">
        <v>0</v>
      </c>
      <c r="AG1623" s="59" t="s">
        <v>9</v>
      </c>
      <c r="AH1623" s="59" t="s">
        <v>1400</v>
      </c>
    </row>
    <row r="1624" spans="1:34" x14ac:dyDescent="0.35">
      <c r="A1624" s="58">
        <v>2025</v>
      </c>
      <c r="B1624" s="58">
        <v>8</v>
      </c>
      <c r="C1624">
        <v>8</v>
      </c>
      <c r="D1624" s="58" t="s">
        <v>623</v>
      </c>
      <c r="E1624" t="s">
        <v>137</v>
      </c>
      <c r="F1624" s="58" t="s">
        <v>1152</v>
      </c>
      <c r="G1624" t="s">
        <v>1153</v>
      </c>
      <c r="H1624" s="58" t="s">
        <v>1012</v>
      </c>
      <c r="I1624" t="s">
        <v>1012</v>
      </c>
      <c r="J1624" s="58" t="s">
        <v>1399</v>
      </c>
      <c r="K1624" t="s">
        <v>1429</v>
      </c>
      <c r="L1624" t="s">
        <v>20</v>
      </c>
      <c r="M1624" t="s">
        <v>1430</v>
      </c>
      <c r="N1624" s="59">
        <v>0</v>
      </c>
      <c r="O1624" s="59">
        <v>0</v>
      </c>
      <c r="P1624" s="59">
        <v>0</v>
      </c>
      <c r="Q1624" s="59">
        <v>0</v>
      </c>
      <c r="R1624" s="59">
        <v>-60085200</v>
      </c>
      <c r="S1624" s="59">
        <v>60085200</v>
      </c>
      <c r="T1624" s="59"/>
      <c r="U1624" s="59"/>
      <c r="V1624" s="59"/>
      <c r="W1624" s="59"/>
      <c r="X1624" s="59"/>
      <c r="Y1624" s="59"/>
      <c r="Z1624" s="59"/>
      <c r="AA1624" s="59"/>
      <c r="AB1624" s="59"/>
      <c r="AC1624" s="59"/>
      <c r="AD1624" s="59"/>
      <c r="AE1624" s="59">
        <v>2299.2108990717029</v>
      </c>
      <c r="AF1624" s="59">
        <v>0</v>
      </c>
      <c r="AG1624" s="59" t="s">
        <v>137</v>
      </c>
      <c r="AH1624" s="59" t="s">
        <v>1400</v>
      </c>
    </row>
    <row r="1625" spans="1:34" x14ac:dyDescent="0.35">
      <c r="A1625" s="58">
        <v>2025</v>
      </c>
      <c r="B1625" s="58">
        <v>8</v>
      </c>
      <c r="C1625">
        <v>8</v>
      </c>
      <c r="D1625" s="58" t="s">
        <v>607</v>
      </c>
      <c r="E1625" t="s">
        <v>126</v>
      </c>
      <c r="F1625" s="58" t="s">
        <v>172</v>
      </c>
      <c r="G1625" t="s">
        <v>734</v>
      </c>
      <c r="H1625" s="58" t="s">
        <v>4</v>
      </c>
      <c r="I1625" t="s">
        <v>4</v>
      </c>
      <c r="J1625" s="58" t="s">
        <v>4</v>
      </c>
      <c r="K1625" t="s">
        <v>1476</v>
      </c>
      <c r="L1625" t="s">
        <v>301</v>
      </c>
      <c r="M1625" t="s">
        <v>1430</v>
      </c>
      <c r="N1625" s="59">
        <v>44000</v>
      </c>
      <c r="O1625" s="59">
        <v>1548558000</v>
      </c>
      <c r="P1625" s="59">
        <v>3300000.1733648544</v>
      </c>
      <c r="Q1625" s="59">
        <v>0</v>
      </c>
      <c r="R1625" s="59">
        <v>121542222</v>
      </c>
      <c r="S1625" s="59">
        <v>1423715777.8266351</v>
      </c>
      <c r="T1625" s="59"/>
      <c r="U1625" s="59"/>
      <c r="V1625" s="59"/>
      <c r="W1625" s="59"/>
      <c r="X1625" s="59"/>
      <c r="Y1625" s="59"/>
      <c r="Z1625" s="59"/>
      <c r="AA1625" s="59"/>
      <c r="AB1625" s="59"/>
      <c r="AC1625" s="59"/>
      <c r="AD1625" s="59"/>
      <c r="AE1625" s="59">
        <v>54611.2688080796</v>
      </c>
      <c r="AF1625" s="59">
        <v>59400</v>
      </c>
      <c r="AG1625" s="59" t="s">
        <v>126</v>
      </c>
      <c r="AH1625" s="59" t="s">
        <v>1175</v>
      </c>
    </row>
    <row r="1626" spans="1:34" x14ac:dyDescent="0.35">
      <c r="A1626" s="58">
        <v>2025</v>
      </c>
      <c r="B1626" s="58">
        <v>8</v>
      </c>
      <c r="C1626">
        <v>8</v>
      </c>
      <c r="D1626" s="58" t="s">
        <v>637</v>
      </c>
      <c r="E1626" t="s">
        <v>64</v>
      </c>
      <c r="F1626" s="58" t="s">
        <v>1514</v>
      </c>
      <c r="G1626" t="s">
        <v>1515</v>
      </c>
      <c r="H1626" s="58" t="s">
        <v>1012</v>
      </c>
      <c r="I1626" t="s">
        <v>1012</v>
      </c>
      <c r="J1626" s="58" t="s">
        <v>1401</v>
      </c>
      <c r="K1626" t="s">
        <v>1429</v>
      </c>
      <c r="L1626" t="s">
        <v>20</v>
      </c>
      <c r="M1626" t="s">
        <v>1430</v>
      </c>
      <c r="N1626" s="59">
        <v>0</v>
      </c>
      <c r="O1626" s="59">
        <v>0</v>
      </c>
      <c r="P1626" s="59">
        <v>0</v>
      </c>
      <c r="Q1626" s="59">
        <v>0</v>
      </c>
      <c r="R1626" s="59">
        <v>-1250000</v>
      </c>
      <c r="S1626" s="59">
        <v>1250000</v>
      </c>
      <c r="T1626" s="59"/>
      <c r="U1626" s="59"/>
      <c r="V1626" s="59"/>
      <c r="W1626" s="59"/>
      <c r="X1626" s="59"/>
      <c r="Y1626" s="59"/>
      <c r="Z1626" s="59"/>
      <c r="AA1626" s="59"/>
      <c r="AB1626" s="59"/>
      <c r="AC1626" s="59"/>
      <c r="AD1626" s="59"/>
      <c r="AE1626" s="59">
        <v>47.832305190623131</v>
      </c>
      <c r="AF1626" s="59">
        <v>0</v>
      </c>
      <c r="AG1626" s="59" t="s">
        <v>64</v>
      </c>
      <c r="AH1626" s="59" t="s">
        <v>1402</v>
      </c>
    </row>
    <row r="1627" spans="1:34" x14ac:dyDescent="0.35">
      <c r="A1627" s="58">
        <v>2025</v>
      </c>
      <c r="B1627" s="58">
        <v>8</v>
      </c>
      <c r="C1627">
        <v>8</v>
      </c>
      <c r="D1627" s="58" t="s">
        <v>604</v>
      </c>
      <c r="E1627" t="s">
        <v>145</v>
      </c>
      <c r="F1627" s="58" t="s">
        <v>174</v>
      </c>
      <c r="G1627" t="s">
        <v>740</v>
      </c>
      <c r="H1627" s="58" t="s">
        <v>4</v>
      </c>
      <c r="I1627" t="s">
        <v>4</v>
      </c>
      <c r="J1627" s="58" t="s">
        <v>4</v>
      </c>
      <c r="K1627" t="s">
        <v>1476</v>
      </c>
      <c r="L1627" t="s">
        <v>1477</v>
      </c>
      <c r="M1627" t="s">
        <v>1430</v>
      </c>
      <c r="N1627" s="59">
        <v>220000</v>
      </c>
      <c r="O1627" s="59">
        <v>5847864000</v>
      </c>
      <c r="P1627" s="59">
        <v>16500000.866824275</v>
      </c>
      <c r="Q1627" s="59">
        <v>0</v>
      </c>
      <c r="R1627" s="59">
        <v>89138722.000000015</v>
      </c>
      <c r="S1627" s="59">
        <v>5742225277.1331758</v>
      </c>
      <c r="T1627" s="59"/>
      <c r="U1627" s="59"/>
      <c r="V1627" s="59"/>
      <c r="W1627" s="59"/>
      <c r="X1627" s="59"/>
      <c r="Y1627" s="59"/>
      <c r="Z1627" s="59"/>
      <c r="AA1627" s="59"/>
      <c r="AB1627" s="59"/>
      <c r="AC1627" s="59"/>
      <c r="AD1627" s="59"/>
      <c r="AE1627" s="59">
        <v>220346.32682782714</v>
      </c>
      <c r="AF1627" s="59">
        <v>224400</v>
      </c>
      <c r="AG1627" s="59" t="s">
        <v>145</v>
      </c>
      <c r="AH1627" s="59" t="s">
        <v>1185</v>
      </c>
    </row>
    <row r="1628" spans="1:34" x14ac:dyDescent="0.35">
      <c r="A1628" s="58">
        <v>2025</v>
      </c>
      <c r="B1628" s="58">
        <v>8</v>
      </c>
      <c r="C1628">
        <v>8</v>
      </c>
      <c r="D1628" s="58" t="s">
        <v>593</v>
      </c>
      <c r="E1628" t="s">
        <v>46</v>
      </c>
      <c r="F1628" s="58" t="s">
        <v>190</v>
      </c>
      <c r="G1628" t="s">
        <v>1066</v>
      </c>
      <c r="H1628" s="58" t="s">
        <v>1428</v>
      </c>
      <c r="I1628" t="s">
        <v>75</v>
      </c>
      <c r="J1628" s="58" t="s">
        <v>75</v>
      </c>
      <c r="K1628" t="s">
        <v>1476</v>
      </c>
      <c r="L1628" t="s">
        <v>1509</v>
      </c>
      <c r="M1628" t="s">
        <v>1430</v>
      </c>
      <c r="N1628" s="59">
        <v>99000</v>
      </c>
      <c r="O1628" s="59">
        <v>3786649020.0000005</v>
      </c>
      <c r="P1628" s="59">
        <v>0</v>
      </c>
      <c r="Q1628" s="59">
        <v>0</v>
      </c>
      <c r="R1628" s="59">
        <v>318453341.00000006</v>
      </c>
      <c r="S1628" s="59">
        <v>3468195679.0000005</v>
      </c>
      <c r="T1628" s="59"/>
      <c r="U1628" s="59"/>
      <c r="V1628" s="59"/>
      <c r="W1628" s="59"/>
      <c r="X1628" s="59"/>
      <c r="Y1628" s="59"/>
      <c r="Z1628" s="59"/>
      <c r="AA1628" s="59"/>
      <c r="AB1628" s="59"/>
      <c r="AC1628" s="59"/>
      <c r="AD1628" s="59"/>
      <c r="AE1628" s="59">
        <v>132475.00683728038</v>
      </c>
      <c r="AF1628" s="59">
        <v>144639.00000000003</v>
      </c>
      <c r="AG1628" s="59" t="s">
        <v>46</v>
      </c>
      <c r="AH1628" s="59" t="s">
        <v>1206</v>
      </c>
    </row>
    <row r="1629" spans="1:34" x14ac:dyDescent="0.35">
      <c r="A1629" s="58">
        <v>2025</v>
      </c>
      <c r="B1629" s="58">
        <v>8</v>
      </c>
      <c r="C1629">
        <v>8</v>
      </c>
      <c r="D1629" s="58" t="s">
        <v>619</v>
      </c>
      <c r="E1629" t="s">
        <v>146</v>
      </c>
      <c r="F1629" s="58" t="s">
        <v>1152</v>
      </c>
      <c r="G1629" t="s">
        <v>1153</v>
      </c>
      <c r="H1629" s="58" t="s">
        <v>1012</v>
      </c>
      <c r="I1629" t="s">
        <v>1012</v>
      </c>
      <c r="J1629" s="58" t="s">
        <v>1399</v>
      </c>
      <c r="K1629" t="s">
        <v>1429</v>
      </c>
      <c r="L1629" t="s">
        <v>20</v>
      </c>
      <c r="M1629" t="s">
        <v>1430</v>
      </c>
      <c r="N1629" s="59">
        <v>0</v>
      </c>
      <c r="O1629" s="59">
        <v>0</v>
      </c>
      <c r="P1629" s="59">
        <v>0</v>
      </c>
      <c r="Q1629" s="59">
        <v>0</v>
      </c>
      <c r="R1629" s="59">
        <v>-1030000</v>
      </c>
      <c r="S1629" s="59">
        <v>1030000</v>
      </c>
      <c r="T1629" s="59"/>
      <c r="U1629" s="59"/>
      <c r="V1629" s="59"/>
      <c r="W1629" s="59"/>
      <c r="X1629" s="59"/>
      <c r="Y1629" s="59"/>
      <c r="Z1629" s="59"/>
      <c r="AA1629" s="59"/>
      <c r="AB1629" s="59"/>
      <c r="AC1629" s="59"/>
      <c r="AD1629" s="59"/>
      <c r="AE1629" s="59">
        <v>39.41381947707346</v>
      </c>
      <c r="AF1629" s="59">
        <v>0</v>
      </c>
      <c r="AG1629" s="59" t="s">
        <v>146</v>
      </c>
      <c r="AH1629" s="59" t="s">
        <v>1400</v>
      </c>
    </row>
    <row r="1630" spans="1:34" x14ac:dyDescent="0.35">
      <c r="A1630" s="58">
        <v>2025</v>
      </c>
      <c r="B1630" s="58">
        <v>8</v>
      </c>
      <c r="C1630">
        <v>8</v>
      </c>
      <c r="D1630" s="58" t="s">
        <v>647</v>
      </c>
      <c r="E1630" t="s">
        <v>136</v>
      </c>
      <c r="F1630" s="58" t="s">
        <v>1152</v>
      </c>
      <c r="G1630" t="s">
        <v>1153</v>
      </c>
      <c r="H1630" s="58" t="s">
        <v>1012</v>
      </c>
      <c r="I1630" t="s">
        <v>1012</v>
      </c>
      <c r="J1630" s="58" t="s">
        <v>1399</v>
      </c>
      <c r="K1630" t="s">
        <v>1429</v>
      </c>
      <c r="L1630" t="s">
        <v>20</v>
      </c>
      <c r="M1630" t="s">
        <v>1430</v>
      </c>
      <c r="N1630" s="59">
        <v>0</v>
      </c>
      <c r="O1630" s="59">
        <v>0</v>
      </c>
      <c r="P1630" s="59">
        <v>0</v>
      </c>
      <c r="Q1630" s="59">
        <v>0</v>
      </c>
      <c r="R1630" s="59">
        <v>712537</v>
      </c>
      <c r="S1630" s="59">
        <v>-712537</v>
      </c>
      <c r="T1630" s="59"/>
      <c r="U1630" s="59"/>
      <c r="V1630" s="59"/>
      <c r="W1630" s="59"/>
      <c r="X1630" s="59"/>
      <c r="Y1630" s="59"/>
      <c r="Z1630" s="59"/>
      <c r="AA1630" s="59"/>
      <c r="AB1630" s="59"/>
      <c r="AC1630" s="59"/>
      <c r="AD1630" s="59"/>
      <c r="AE1630" s="59">
        <v>-27.265829794888827</v>
      </c>
      <c r="AF1630" s="59">
        <v>0</v>
      </c>
      <c r="AG1630" s="59" t="s">
        <v>136</v>
      </c>
      <c r="AH1630" s="59" t="s">
        <v>1400</v>
      </c>
    </row>
    <row r="1631" spans="1:34" x14ac:dyDescent="0.35">
      <c r="A1631" s="58">
        <v>2025</v>
      </c>
      <c r="B1631" s="58">
        <v>8</v>
      </c>
      <c r="C1631">
        <v>8</v>
      </c>
      <c r="D1631" s="58" t="s">
        <v>614</v>
      </c>
      <c r="E1631" t="s">
        <v>304</v>
      </c>
      <c r="F1631" s="58" t="s">
        <v>171</v>
      </c>
      <c r="G1631" t="s">
        <v>731</v>
      </c>
      <c r="H1631" s="58" t="s">
        <v>4</v>
      </c>
      <c r="I1631" t="s">
        <v>4</v>
      </c>
      <c r="J1631" s="58" t="s">
        <v>4</v>
      </c>
      <c r="K1631" t="s">
        <v>1476</v>
      </c>
      <c r="L1631" t="s">
        <v>1520</v>
      </c>
      <c r="M1631" t="s">
        <v>1430</v>
      </c>
      <c r="N1631" s="59">
        <v>44000</v>
      </c>
      <c r="O1631" s="59">
        <v>1466572799.9999998</v>
      </c>
      <c r="P1631" s="59">
        <v>3300000.1733648544</v>
      </c>
      <c r="Q1631" s="59">
        <v>0</v>
      </c>
      <c r="R1631" s="59">
        <v>66849544</v>
      </c>
      <c r="S1631" s="59">
        <v>1396423255.8266349</v>
      </c>
      <c r="T1631" s="59"/>
      <c r="U1631" s="59"/>
      <c r="V1631" s="59"/>
      <c r="W1631" s="59"/>
      <c r="X1631" s="59"/>
      <c r="Y1631" s="59"/>
      <c r="Z1631" s="59"/>
      <c r="AA1631" s="59"/>
      <c r="AB1631" s="59"/>
      <c r="AC1631" s="59"/>
      <c r="AD1631" s="59"/>
      <c r="AE1631" s="59">
        <v>53626.085093188747</v>
      </c>
      <c r="AF1631" s="59">
        <v>56319.999999999993</v>
      </c>
      <c r="AG1631" s="59" t="s">
        <v>130</v>
      </c>
      <c r="AH1631" s="59" t="s">
        <v>1166</v>
      </c>
    </row>
    <row r="1632" spans="1:34" x14ac:dyDescent="0.35">
      <c r="A1632" s="58">
        <v>2025</v>
      </c>
      <c r="B1632" s="58">
        <v>8</v>
      </c>
      <c r="C1632">
        <v>8</v>
      </c>
      <c r="D1632" s="58" t="s">
        <v>597</v>
      </c>
      <c r="E1632" t="s">
        <v>123</v>
      </c>
      <c r="F1632" s="58" t="s">
        <v>172</v>
      </c>
      <c r="G1632" t="s">
        <v>734</v>
      </c>
      <c r="H1632" s="58" t="s">
        <v>4</v>
      </c>
      <c r="I1632" t="s">
        <v>4</v>
      </c>
      <c r="J1632" s="58" t="s">
        <v>4</v>
      </c>
      <c r="K1632" t="s">
        <v>1476</v>
      </c>
      <c r="L1632" t="s">
        <v>1477</v>
      </c>
      <c r="M1632" t="s">
        <v>1430</v>
      </c>
      <c r="N1632" s="59">
        <v>330000</v>
      </c>
      <c r="O1632" s="59">
        <v>11059540800</v>
      </c>
      <c r="P1632" s="59">
        <v>56007782.85467127</v>
      </c>
      <c r="Q1632" s="59">
        <v>0</v>
      </c>
      <c r="R1632" s="59">
        <v>61299999.999999978</v>
      </c>
      <c r="S1632" s="59">
        <v>10942233017.145329</v>
      </c>
      <c r="T1632" s="59"/>
      <c r="U1632" s="59"/>
      <c r="V1632" s="59"/>
      <c r="W1632" s="59"/>
      <c r="X1632" s="59"/>
      <c r="Y1632" s="59"/>
      <c r="Z1632" s="59"/>
      <c r="AA1632" s="59"/>
      <c r="AB1632" s="59"/>
      <c r="AC1632" s="59"/>
      <c r="AD1632" s="59"/>
      <c r="AE1632" s="59">
        <v>420531.63017468614</v>
      </c>
      <c r="AF1632" s="59">
        <v>425040.00000000012</v>
      </c>
      <c r="AG1632" s="59" t="s">
        <v>123</v>
      </c>
      <c r="AH1632" s="59" t="s">
        <v>1175</v>
      </c>
    </row>
    <row r="1633" spans="1:34" x14ac:dyDescent="0.35">
      <c r="A1633" s="58">
        <v>2025</v>
      </c>
      <c r="B1633" s="58">
        <v>8</v>
      </c>
      <c r="C1633">
        <v>8</v>
      </c>
      <c r="D1633" s="58" t="s">
        <v>630</v>
      </c>
      <c r="E1633" t="s">
        <v>328</v>
      </c>
      <c r="F1633" s="58" t="s">
        <v>174</v>
      </c>
      <c r="G1633" t="s">
        <v>740</v>
      </c>
      <c r="H1633" s="58" t="s">
        <v>4</v>
      </c>
      <c r="I1633" t="s">
        <v>4</v>
      </c>
      <c r="J1633" s="58" t="s">
        <v>4</v>
      </c>
      <c r="K1633" t="s">
        <v>1476</v>
      </c>
      <c r="L1633" t="s">
        <v>1510</v>
      </c>
      <c r="M1633" t="s">
        <v>1430</v>
      </c>
      <c r="N1633" s="59">
        <v>44000</v>
      </c>
      <c r="O1633" s="59">
        <v>1237420800</v>
      </c>
      <c r="P1633" s="59">
        <v>3300000.1733648544</v>
      </c>
      <c r="Q1633" s="59">
        <v>0</v>
      </c>
      <c r="R1633" s="59">
        <v>23116462</v>
      </c>
      <c r="S1633" s="59">
        <v>1211004337.8266351</v>
      </c>
      <c r="T1633" s="59"/>
      <c r="U1633" s="59"/>
      <c r="V1633" s="59"/>
      <c r="W1633" s="59"/>
      <c r="X1633" s="59"/>
      <c r="Y1633" s="59"/>
      <c r="Z1633" s="59"/>
      <c r="AA1633" s="59"/>
      <c r="AB1633" s="59"/>
      <c r="AC1633" s="59"/>
      <c r="AD1633" s="59"/>
      <c r="AE1633" s="59">
        <v>46505.542927290138</v>
      </c>
      <c r="AF1633" s="59">
        <v>47520</v>
      </c>
      <c r="AG1633" s="59" t="s">
        <v>125</v>
      </c>
      <c r="AH1633" s="59" t="s">
        <v>1185</v>
      </c>
    </row>
    <row r="1634" spans="1:34" x14ac:dyDescent="0.35">
      <c r="A1634" s="58">
        <v>2025</v>
      </c>
      <c r="B1634" s="58">
        <v>8</v>
      </c>
      <c r="C1634">
        <v>8</v>
      </c>
      <c r="D1634" s="58" t="s">
        <v>675</v>
      </c>
      <c r="E1634" t="s">
        <v>139</v>
      </c>
      <c r="F1634" s="58" t="s">
        <v>171</v>
      </c>
      <c r="G1634" t="s">
        <v>731</v>
      </c>
      <c r="H1634" s="58" t="s">
        <v>4</v>
      </c>
      <c r="I1634" t="s">
        <v>4</v>
      </c>
      <c r="J1634" s="58" t="s">
        <v>4</v>
      </c>
      <c r="K1634" t="s">
        <v>1476</v>
      </c>
      <c r="L1634" t="s">
        <v>1669</v>
      </c>
      <c r="M1634" t="s">
        <v>1430</v>
      </c>
      <c r="N1634" s="59">
        <v>300</v>
      </c>
      <c r="O1634" s="59">
        <v>10194600</v>
      </c>
      <c r="P1634" s="59">
        <v>165000.00866824272</v>
      </c>
      <c r="Q1634" s="59">
        <v>0</v>
      </c>
      <c r="R1634" s="59">
        <v>4358372</v>
      </c>
      <c r="S1634" s="59">
        <v>5671227.991331757</v>
      </c>
      <c r="T1634" s="59"/>
      <c r="U1634" s="59"/>
      <c r="V1634" s="59"/>
      <c r="W1634" s="59"/>
      <c r="X1634" s="59"/>
      <c r="Y1634" s="59"/>
      <c r="Z1634" s="59"/>
      <c r="AA1634" s="59"/>
      <c r="AB1634" s="59"/>
      <c r="AC1634" s="59"/>
      <c r="AD1634" s="59"/>
      <c r="AE1634" s="59">
        <v>216.95592927818504</v>
      </c>
      <c r="AF1634" s="59">
        <v>390</v>
      </c>
      <c r="AG1634" s="59" t="s">
        <v>139</v>
      </c>
      <c r="AH1634" s="59" t="s">
        <v>1166</v>
      </c>
    </row>
    <row r="1635" spans="1:34" x14ac:dyDescent="0.35">
      <c r="A1635" s="58">
        <v>2025</v>
      </c>
      <c r="B1635" s="58">
        <v>8</v>
      </c>
      <c r="C1635">
        <v>8</v>
      </c>
      <c r="D1635" s="58" t="s">
        <v>646</v>
      </c>
      <c r="E1635" t="s">
        <v>50</v>
      </c>
      <c r="F1635" s="58" t="s">
        <v>185</v>
      </c>
      <c r="G1635" t="s">
        <v>720</v>
      </c>
      <c r="H1635" s="58" t="s">
        <v>1428</v>
      </c>
      <c r="I1635" t="s">
        <v>75</v>
      </c>
      <c r="J1635" s="58" t="s">
        <v>75</v>
      </c>
      <c r="K1635" t="s">
        <v>1476</v>
      </c>
      <c r="L1635" t="s">
        <v>289</v>
      </c>
      <c r="M1635" t="s">
        <v>1430</v>
      </c>
      <c r="N1635" s="59">
        <v>27000</v>
      </c>
      <c r="O1635" s="59">
        <v>570109050</v>
      </c>
      <c r="P1635" s="59">
        <v>0</v>
      </c>
      <c r="Q1635" s="59">
        <v>0</v>
      </c>
      <c r="R1635" s="59">
        <v>113299301</v>
      </c>
      <c r="S1635" s="59">
        <v>456809749</v>
      </c>
      <c r="T1635" s="59"/>
      <c r="U1635" s="59"/>
      <c r="V1635" s="59"/>
      <c r="W1635" s="59"/>
      <c r="X1635" s="59"/>
      <c r="Y1635" s="59"/>
      <c r="Z1635" s="59"/>
      <c r="AA1635" s="59"/>
      <c r="AB1635" s="59"/>
      <c r="AC1635" s="59"/>
      <c r="AD1635" s="59"/>
      <c r="AE1635" s="59">
        <v>17415.545139153641</v>
      </c>
      <c r="AF1635" s="59">
        <v>21735</v>
      </c>
      <c r="AG1635" s="59" t="s">
        <v>50</v>
      </c>
      <c r="AH1635" s="59" t="s">
        <v>1199</v>
      </c>
    </row>
    <row r="1636" spans="1:34" x14ac:dyDescent="0.35">
      <c r="A1636" s="58">
        <v>2025</v>
      </c>
      <c r="B1636" s="58">
        <v>8</v>
      </c>
      <c r="C1636">
        <v>8</v>
      </c>
      <c r="D1636" s="58" t="s">
        <v>1555</v>
      </c>
      <c r="E1636" t="s">
        <v>1289</v>
      </c>
      <c r="F1636" s="58" t="s">
        <v>1486</v>
      </c>
      <c r="G1636" t="s">
        <v>1487</v>
      </c>
      <c r="H1636" s="58" t="s">
        <v>1012</v>
      </c>
      <c r="I1636" t="s">
        <v>1012</v>
      </c>
      <c r="J1636" s="58" t="s">
        <v>1012</v>
      </c>
      <c r="K1636" t="s">
        <v>1429</v>
      </c>
      <c r="L1636" t="s">
        <v>20</v>
      </c>
      <c r="M1636" t="s">
        <v>1430</v>
      </c>
      <c r="N1636" s="59">
        <v>0</v>
      </c>
      <c r="O1636" s="59">
        <v>0</v>
      </c>
      <c r="P1636" s="59">
        <v>0</v>
      </c>
      <c r="Q1636" s="59">
        <v>0</v>
      </c>
      <c r="R1636" s="59">
        <v>0</v>
      </c>
      <c r="S1636" s="59">
        <v>0</v>
      </c>
      <c r="T1636" s="59"/>
      <c r="U1636" s="59"/>
      <c r="V1636" s="59"/>
      <c r="W1636" s="59"/>
      <c r="X1636" s="59"/>
      <c r="Y1636" s="59"/>
      <c r="Z1636" s="59"/>
      <c r="AA1636" s="59"/>
      <c r="AB1636" s="59"/>
      <c r="AC1636" s="59"/>
      <c r="AD1636" s="59"/>
      <c r="AE1636" s="59">
        <v>0</v>
      </c>
      <c r="AF1636" s="59">
        <v>0</v>
      </c>
      <c r="AG1636" s="59" t="s">
        <v>1289</v>
      </c>
      <c r="AH1636" s="59" t="s">
        <v>1317</v>
      </c>
    </row>
    <row r="1637" spans="1:34" x14ac:dyDescent="0.35">
      <c r="A1637" s="58">
        <v>2025</v>
      </c>
      <c r="B1637" s="58">
        <v>8</v>
      </c>
      <c r="C1637">
        <v>8</v>
      </c>
      <c r="D1637" s="58" t="s">
        <v>1620</v>
      </c>
      <c r="E1637" t="s">
        <v>1295</v>
      </c>
      <c r="F1637" s="58" t="s">
        <v>1468</v>
      </c>
      <c r="G1637" t="s">
        <v>1012</v>
      </c>
      <c r="H1637" s="58" t="s">
        <v>1012</v>
      </c>
      <c r="I1637" t="s">
        <v>1012</v>
      </c>
      <c r="J1637" s="58" t="s">
        <v>1012</v>
      </c>
      <c r="K1637" t="s">
        <v>1429</v>
      </c>
      <c r="L1637" t="s">
        <v>20</v>
      </c>
      <c r="M1637" t="s">
        <v>1430</v>
      </c>
      <c r="N1637" s="59">
        <v>0</v>
      </c>
      <c r="O1637" s="59">
        <v>0</v>
      </c>
      <c r="P1637" s="59">
        <v>0</v>
      </c>
      <c r="Q1637" s="59">
        <v>0</v>
      </c>
      <c r="R1637" s="59">
        <v>0</v>
      </c>
      <c r="S1637" s="59">
        <v>0</v>
      </c>
      <c r="T1637" s="59"/>
      <c r="U1637" s="59"/>
      <c r="V1637" s="59"/>
      <c r="W1637" s="59"/>
      <c r="X1637" s="59"/>
      <c r="Y1637" s="59"/>
      <c r="Z1637" s="59"/>
      <c r="AA1637" s="59"/>
      <c r="AB1637" s="59"/>
      <c r="AC1637" s="59"/>
      <c r="AD1637" s="59"/>
      <c r="AE1637" s="59">
        <v>0</v>
      </c>
      <c r="AF1637" s="59">
        <v>0</v>
      </c>
      <c r="AG1637" s="59" t="s">
        <v>1295</v>
      </c>
      <c r="AH1637" s="59" t="s">
        <v>1284</v>
      </c>
    </row>
    <row r="1638" spans="1:34" x14ac:dyDescent="0.35">
      <c r="A1638" s="58">
        <v>2025</v>
      </c>
      <c r="B1638" s="58">
        <v>8</v>
      </c>
      <c r="C1638">
        <v>8</v>
      </c>
      <c r="D1638" s="58" t="s">
        <v>1484</v>
      </c>
      <c r="E1638" t="s">
        <v>1298</v>
      </c>
      <c r="F1638" s="58" t="s">
        <v>1482</v>
      </c>
      <c r="G1638" t="s">
        <v>1483</v>
      </c>
      <c r="H1638" s="58" t="s">
        <v>1012</v>
      </c>
      <c r="I1638" t="s">
        <v>1012</v>
      </c>
      <c r="J1638" s="58" t="s">
        <v>1012</v>
      </c>
      <c r="K1638" t="s">
        <v>1429</v>
      </c>
      <c r="L1638" t="s">
        <v>20</v>
      </c>
      <c r="M1638" t="s">
        <v>1430</v>
      </c>
      <c r="N1638" s="59">
        <v>0</v>
      </c>
      <c r="O1638" s="59">
        <v>19500000</v>
      </c>
      <c r="P1638" s="59">
        <v>0</v>
      </c>
      <c r="Q1638" s="59">
        <v>0</v>
      </c>
      <c r="R1638" s="59">
        <v>0</v>
      </c>
      <c r="S1638" s="59">
        <v>19500000</v>
      </c>
      <c r="T1638" s="59"/>
      <c r="U1638" s="59"/>
      <c r="V1638" s="59"/>
      <c r="W1638" s="59"/>
      <c r="X1638" s="59"/>
      <c r="Y1638" s="59"/>
      <c r="Z1638" s="59"/>
      <c r="AA1638" s="59"/>
      <c r="AB1638" s="59"/>
      <c r="AC1638" s="59"/>
      <c r="AD1638" s="59"/>
      <c r="AE1638" s="59">
        <v>746.18396097372079</v>
      </c>
      <c r="AF1638" s="59">
        <v>746.18396097372079</v>
      </c>
      <c r="AG1638" s="59" t="s">
        <v>1298</v>
      </c>
      <c r="AH1638" s="59" t="s">
        <v>1325</v>
      </c>
    </row>
    <row r="1639" spans="1:34" x14ac:dyDescent="0.35">
      <c r="A1639" s="58">
        <v>2025</v>
      </c>
      <c r="B1639" s="58">
        <v>8</v>
      </c>
      <c r="C1639">
        <v>8</v>
      </c>
      <c r="D1639" s="58" t="s">
        <v>1670</v>
      </c>
      <c r="E1639" t="s">
        <v>1316</v>
      </c>
      <c r="F1639" s="58" t="s">
        <v>1466</v>
      </c>
      <c r="G1639" t="s">
        <v>1467</v>
      </c>
      <c r="H1639" s="58" t="s">
        <v>1012</v>
      </c>
      <c r="I1639" t="s">
        <v>1012</v>
      </c>
      <c r="J1639" s="58" t="s">
        <v>1012</v>
      </c>
      <c r="K1639" t="s">
        <v>1429</v>
      </c>
      <c r="L1639" t="s">
        <v>20</v>
      </c>
      <c r="M1639" t="s">
        <v>1430</v>
      </c>
      <c r="N1639" s="59">
        <v>0</v>
      </c>
      <c r="O1639" s="59">
        <v>182193647</v>
      </c>
      <c r="P1639" s="59">
        <v>0</v>
      </c>
      <c r="Q1639" s="59">
        <v>0</v>
      </c>
      <c r="R1639" s="59">
        <v>0</v>
      </c>
      <c r="S1639" s="59">
        <v>182193647</v>
      </c>
      <c r="T1639" s="59"/>
      <c r="U1639" s="59"/>
      <c r="V1639" s="59"/>
      <c r="W1639" s="59"/>
      <c r="X1639" s="59"/>
      <c r="Y1639" s="59"/>
      <c r="Z1639" s="59"/>
      <c r="AA1639" s="59"/>
      <c r="AB1639" s="59"/>
      <c r="AC1639" s="59"/>
      <c r="AD1639" s="59"/>
      <c r="AE1639" s="59">
        <v>6971.7937016773267</v>
      </c>
      <c r="AF1639" s="59">
        <v>6971.7937016773267</v>
      </c>
      <c r="AG1639" s="59" t="s">
        <v>1316</v>
      </c>
      <c r="AH1639" s="59" t="s">
        <v>1306</v>
      </c>
    </row>
    <row r="1640" spans="1:34" x14ac:dyDescent="0.35">
      <c r="A1640" s="58">
        <v>2025</v>
      </c>
      <c r="B1640" s="58">
        <v>8</v>
      </c>
      <c r="C1640">
        <v>8</v>
      </c>
      <c r="D1640" s="58" t="s">
        <v>1671</v>
      </c>
      <c r="E1640" t="s">
        <v>1288</v>
      </c>
      <c r="F1640" s="58" t="s">
        <v>1468</v>
      </c>
      <c r="G1640" t="s">
        <v>1012</v>
      </c>
      <c r="H1640" s="58" t="s">
        <v>1012</v>
      </c>
      <c r="I1640" t="s">
        <v>1012</v>
      </c>
      <c r="J1640" s="58" t="s">
        <v>1012</v>
      </c>
      <c r="K1640" t="s">
        <v>1429</v>
      </c>
      <c r="L1640" t="s">
        <v>20</v>
      </c>
      <c r="M1640" t="s">
        <v>1430</v>
      </c>
      <c r="N1640" s="59">
        <v>0</v>
      </c>
      <c r="O1640" s="59">
        <v>0</v>
      </c>
      <c r="P1640" s="59">
        <v>0</v>
      </c>
      <c r="Q1640" s="59">
        <v>0</v>
      </c>
      <c r="R1640" s="59">
        <v>0</v>
      </c>
      <c r="S1640" s="59">
        <v>0</v>
      </c>
      <c r="T1640" s="59"/>
      <c r="U1640" s="59"/>
      <c r="V1640" s="59"/>
      <c r="W1640" s="59"/>
      <c r="X1640" s="59"/>
      <c r="Y1640" s="59"/>
      <c r="Z1640" s="59"/>
      <c r="AA1640" s="59"/>
      <c r="AB1640" s="59"/>
      <c r="AC1640" s="59"/>
      <c r="AD1640" s="59"/>
      <c r="AE1640" s="59">
        <v>0</v>
      </c>
      <c r="AF1640" s="59">
        <v>0</v>
      </c>
      <c r="AG1640" s="59" t="s">
        <v>1288</v>
      </c>
      <c r="AH1640" s="59" t="s">
        <v>1284</v>
      </c>
    </row>
    <row r="1641" spans="1:34" x14ac:dyDescent="0.35">
      <c r="A1641" s="58">
        <v>2025</v>
      </c>
      <c r="B1641" s="58">
        <v>8</v>
      </c>
      <c r="C1641">
        <v>8</v>
      </c>
      <c r="D1641" s="58" t="s">
        <v>1485</v>
      </c>
      <c r="E1641" t="s">
        <v>1318</v>
      </c>
      <c r="F1641" s="58" t="s">
        <v>1486</v>
      </c>
      <c r="G1641" t="s">
        <v>1487</v>
      </c>
      <c r="H1641" s="58" t="s">
        <v>1012</v>
      </c>
      <c r="I1641" t="s">
        <v>1012</v>
      </c>
      <c r="J1641" s="58" t="s">
        <v>1012</v>
      </c>
      <c r="K1641" t="s">
        <v>1429</v>
      </c>
      <c r="L1641" t="s">
        <v>20</v>
      </c>
      <c r="M1641" t="s">
        <v>1430</v>
      </c>
      <c r="N1641" s="59">
        <v>0</v>
      </c>
      <c r="O1641" s="59">
        <v>0</v>
      </c>
      <c r="P1641" s="59">
        <v>0</v>
      </c>
      <c r="Q1641" s="59">
        <v>0</v>
      </c>
      <c r="R1641" s="59">
        <v>0</v>
      </c>
      <c r="S1641" s="59">
        <v>0</v>
      </c>
      <c r="T1641" s="59"/>
      <c r="U1641" s="59"/>
      <c r="V1641" s="59"/>
      <c r="W1641" s="59"/>
      <c r="X1641" s="59"/>
      <c r="Y1641" s="59"/>
      <c r="Z1641" s="59"/>
      <c r="AA1641" s="59"/>
      <c r="AB1641" s="59"/>
      <c r="AC1641" s="59"/>
      <c r="AD1641" s="59"/>
      <c r="AE1641" s="59">
        <v>0</v>
      </c>
      <c r="AF1641" s="59">
        <v>0</v>
      </c>
      <c r="AG1641" s="59" t="s">
        <v>1318</v>
      </c>
      <c r="AH1641" s="59" t="s">
        <v>1317</v>
      </c>
    </row>
    <row r="1642" spans="1:34" x14ac:dyDescent="0.35">
      <c r="A1642" s="58">
        <v>2025</v>
      </c>
      <c r="B1642" s="58">
        <v>8</v>
      </c>
      <c r="C1642">
        <v>8</v>
      </c>
      <c r="D1642" s="58" t="s">
        <v>1653</v>
      </c>
      <c r="E1642" t="s">
        <v>1281</v>
      </c>
      <c r="F1642" s="58" t="s">
        <v>1524</v>
      </c>
      <c r="G1642" t="s">
        <v>1525</v>
      </c>
      <c r="H1642" s="58" t="s">
        <v>1012</v>
      </c>
      <c r="I1642" t="s">
        <v>1012</v>
      </c>
      <c r="J1642" s="58" t="s">
        <v>1012</v>
      </c>
      <c r="K1642" t="s">
        <v>1429</v>
      </c>
      <c r="L1642" t="s">
        <v>20</v>
      </c>
      <c r="M1642" t="s">
        <v>1430</v>
      </c>
      <c r="N1642" s="59">
        <v>0</v>
      </c>
      <c r="O1642" s="59">
        <v>0</v>
      </c>
      <c r="P1642" s="59">
        <v>0</v>
      </c>
      <c r="Q1642" s="59">
        <v>0</v>
      </c>
      <c r="R1642" s="59">
        <v>0</v>
      </c>
      <c r="S1642" s="59">
        <v>0</v>
      </c>
      <c r="T1642" s="59"/>
      <c r="U1642" s="59"/>
      <c r="V1642" s="59"/>
      <c r="W1642" s="59"/>
      <c r="X1642" s="59"/>
      <c r="Y1642" s="59"/>
      <c r="Z1642" s="59"/>
      <c r="AA1642" s="59"/>
      <c r="AB1642" s="59"/>
      <c r="AC1642" s="59"/>
      <c r="AD1642" s="59"/>
      <c r="AE1642" s="59">
        <v>0</v>
      </c>
      <c r="AF1642" s="59">
        <v>0</v>
      </c>
      <c r="AG1642" s="59" t="s">
        <v>1281</v>
      </c>
      <c r="AH1642" s="59" t="s">
        <v>1277</v>
      </c>
    </row>
    <row r="1643" spans="1:34" x14ac:dyDescent="0.35">
      <c r="A1643" s="58">
        <v>2025</v>
      </c>
      <c r="B1643" s="58">
        <v>8</v>
      </c>
      <c r="C1643">
        <v>8</v>
      </c>
      <c r="D1643" s="58" t="s">
        <v>1488</v>
      </c>
      <c r="E1643" t="s">
        <v>1275</v>
      </c>
      <c r="F1643" s="58" t="s">
        <v>1489</v>
      </c>
      <c r="G1643" t="s">
        <v>1490</v>
      </c>
      <c r="H1643" s="58" t="s">
        <v>1012</v>
      </c>
      <c r="I1643" t="s">
        <v>1012</v>
      </c>
      <c r="J1643" s="58" t="s">
        <v>1012</v>
      </c>
      <c r="K1643" t="s">
        <v>1429</v>
      </c>
      <c r="L1643" t="s">
        <v>20</v>
      </c>
      <c r="M1643" t="s">
        <v>1430</v>
      </c>
      <c r="N1643" s="59">
        <v>0</v>
      </c>
      <c r="O1643" s="59">
        <v>0</v>
      </c>
      <c r="P1643" s="59">
        <v>0</v>
      </c>
      <c r="Q1643" s="59">
        <v>0</v>
      </c>
      <c r="R1643" s="59">
        <v>0</v>
      </c>
      <c r="S1643" s="59">
        <v>0</v>
      </c>
      <c r="T1643" s="59"/>
      <c r="U1643" s="59"/>
      <c r="V1643" s="59"/>
      <c r="W1643" s="59"/>
      <c r="X1643" s="59"/>
      <c r="Y1643" s="59"/>
      <c r="Z1643" s="59"/>
      <c r="AA1643" s="59"/>
      <c r="AB1643" s="59"/>
      <c r="AC1643" s="59"/>
      <c r="AD1643" s="59"/>
      <c r="AE1643" s="59">
        <v>0</v>
      </c>
      <c r="AF1643" s="59">
        <v>0</v>
      </c>
      <c r="AG1643" s="59" t="s">
        <v>1275</v>
      </c>
      <c r="AH1643" s="59" t="s">
        <v>1274</v>
      </c>
    </row>
    <row r="1644" spans="1:34" x14ac:dyDescent="0.35">
      <c r="A1644" s="58">
        <v>2025</v>
      </c>
      <c r="B1644" s="58">
        <v>8</v>
      </c>
      <c r="C1644">
        <v>8</v>
      </c>
      <c r="D1644" s="58" t="s">
        <v>1672</v>
      </c>
      <c r="E1644" t="s">
        <v>1285</v>
      </c>
      <c r="F1644" s="58" t="s">
        <v>1468</v>
      </c>
      <c r="G1644" t="s">
        <v>1012</v>
      </c>
      <c r="H1644" s="58" t="s">
        <v>1012</v>
      </c>
      <c r="I1644" t="s">
        <v>1012</v>
      </c>
      <c r="J1644" s="58" t="s">
        <v>1012</v>
      </c>
      <c r="K1644" t="s">
        <v>1429</v>
      </c>
      <c r="L1644" t="s">
        <v>20</v>
      </c>
      <c r="M1644" t="s">
        <v>1430</v>
      </c>
      <c r="N1644" s="59">
        <v>0</v>
      </c>
      <c r="O1644" s="59">
        <v>-7000000</v>
      </c>
      <c r="P1644" s="59">
        <v>0</v>
      </c>
      <c r="Q1644" s="59">
        <v>0</v>
      </c>
      <c r="R1644" s="59">
        <v>0</v>
      </c>
      <c r="S1644" s="59">
        <v>-7000000</v>
      </c>
      <c r="T1644" s="59"/>
      <c r="U1644" s="59"/>
      <c r="V1644" s="59"/>
      <c r="W1644" s="59"/>
      <c r="X1644" s="59"/>
      <c r="Y1644" s="59"/>
      <c r="Z1644" s="59"/>
      <c r="AA1644" s="59"/>
      <c r="AB1644" s="59"/>
      <c r="AC1644" s="59"/>
      <c r="AD1644" s="59"/>
      <c r="AE1644" s="59">
        <v>-267.8609090674895</v>
      </c>
      <c r="AF1644" s="59">
        <v>-267.8609090674895</v>
      </c>
      <c r="AG1644" s="59" t="s">
        <v>1285</v>
      </c>
      <c r="AH1644" s="59" t="s">
        <v>1284</v>
      </c>
    </row>
    <row r="1645" spans="1:34" x14ac:dyDescent="0.35">
      <c r="A1645" s="58">
        <v>2025</v>
      </c>
      <c r="B1645" s="58">
        <v>8</v>
      </c>
      <c r="C1645">
        <v>8</v>
      </c>
      <c r="D1645" s="58" t="s">
        <v>1673</v>
      </c>
      <c r="E1645" t="s">
        <v>1293</v>
      </c>
      <c r="F1645" s="58" t="s">
        <v>1468</v>
      </c>
      <c r="G1645" t="s">
        <v>1012</v>
      </c>
      <c r="H1645" s="58" t="s">
        <v>1012</v>
      </c>
      <c r="I1645" t="s">
        <v>1012</v>
      </c>
      <c r="J1645" s="58" t="s">
        <v>1012</v>
      </c>
      <c r="K1645" t="s">
        <v>1429</v>
      </c>
      <c r="L1645" t="s">
        <v>20</v>
      </c>
      <c r="M1645" t="s">
        <v>1430</v>
      </c>
      <c r="N1645" s="59">
        <v>0</v>
      </c>
      <c r="O1645" s="59">
        <v>-60360000</v>
      </c>
      <c r="P1645" s="59">
        <v>0</v>
      </c>
      <c r="Q1645" s="59">
        <v>0</v>
      </c>
      <c r="R1645" s="59">
        <v>0</v>
      </c>
      <c r="S1645" s="59">
        <v>-60360000</v>
      </c>
      <c r="T1645" s="59"/>
      <c r="U1645" s="59"/>
      <c r="V1645" s="59"/>
      <c r="W1645" s="59"/>
      <c r="X1645" s="59"/>
      <c r="Y1645" s="59"/>
      <c r="Z1645" s="59"/>
      <c r="AA1645" s="59"/>
      <c r="AB1645" s="59"/>
      <c r="AC1645" s="59"/>
      <c r="AD1645" s="59"/>
      <c r="AE1645" s="59">
        <v>-2309.7263530448099</v>
      </c>
      <c r="AF1645" s="59">
        <v>-2309.7263530448099</v>
      </c>
      <c r="AG1645" s="59" t="s">
        <v>1293</v>
      </c>
      <c r="AH1645" s="59" t="s">
        <v>1284</v>
      </c>
    </row>
    <row r="1646" spans="1:34" x14ac:dyDescent="0.35">
      <c r="A1646" s="58">
        <v>2025</v>
      </c>
      <c r="B1646" s="58">
        <v>8</v>
      </c>
      <c r="C1646">
        <v>8</v>
      </c>
      <c r="D1646" s="58" t="s">
        <v>1674</v>
      </c>
      <c r="E1646" t="s">
        <v>1300</v>
      </c>
      <c r="F1646" s="58" t="s">
        <v>1468</v>
      </c>
      <c r="G1646" t="s">
        <v>1012</v>
      </c>
      <c r="H1646" s="58" t="s">
        <v>1012</v>
      </c>
      <c r="I1646" t="s">
        <v>1012</v>
      </c>
      <c r="J1646" s="58" t="s">
        <v>1012</v>
      </c>
      <c r="K1646" t="s">
        <v>1429</v>
      </c>
      <c r="L1646" t="s">
        <v>20</v>
      </c>
      <c r="M1646" t="s">
        <v>1430</v>
      </c>
      <c r="N1646" s="59">
        <v>0</v>
      </c>
      <c r="O1646" s="59">
        <v>-3409091</v>
      </c>
      <c r="P1646" s="59">
        <v>0</v>
      </c>
      <c r="Q1646" s="59">
        <v>0</v>
      </c>
      <c r="R1646" s="59">
        <v>0</v>
      </c>
      <c r="S1646" s="59">
        <v>-3409091</v>
      </c>
      <c r="T1646" s="59"/>
      <c r="U1646" s="59"/>
      <c r="V1646" s="59"/>
      <c r="W1646" s="59"/>
      <c r="X1646" s="59"/>
      <c r="Y1646" s="59"/>
      <c r="Z1646" s="59"/>
      <c r="AA1646" s="59"/>
      <c r="AB1646" s="59"/>
      <c r="AC1646" s="59"/>
      <c r="AD1646" s="59"/>
      <c r="AE1646" s="59">
        <v>-130.45174490768528</v>
      </c>
      <c r="AF1646" s="59">
        <v>-130.45174490768528</v>
      </c>
      <c r="AG1646" s="59" t="s">
        <v>1300</v>
      </c>
      <c r="AH1646" s="59" t="s">
        <v>1284</v>
      </c>
    </row>
    <row r="1647" spans="1:34" x14ac:dyDescent="0.35">
      <c r="A1647" s="58">
        <v>2025</v>
      </c>
      <c r="B1647" s="58">
        <v>8</v>
      </c>
      <c r="C1647">
        <v>8</v>
      </c>
      <c r="D1647" s="58" t="s">
        <v>1648</v>
      </c>
      <c r="E1647" t="s">
        <v>1287</v>
      </c>
      <c r="F1647" s="58" t="s">
        <v>1468</v>
      </c>
      <c r="G1647" t="s">
        <v>1012</v>
      </c>
      <c r="H1647" s="58" t="s">
        <v>1012</v>
      </c>
      <c r="I1647" t="s">
        <v>1012</v>
      </c>
      <c r="J1647" s="58" t="s">
        <v>1012</v>
      </c>
      <c r="K1647" t="s">
        <v>1429</v>
      </c>
      <c r="L1647" t="s">
        <v>20</v>
      </c>
      <c r="M1647" t="s">
        <v>1430</v>
      </c>
      <c r="N1647" s="59">
        <v>0</v>
      </c>
      <c r="O1647" s="59">
        <v>-219992649</v>
      </c>
      <c r="P1647" s="59">
        <v>0</v>
      </c>
      <c r="Q1647" s="59">
        <v>0</v>
      </c>
      <c r="R1647" s="59">
        <v>0</v>
      </c>
      <c r="S1647" s="59">
        <v>-219992649</v>
      </c>
      <c r="T1647" s="59"/>
      <c r="U1647" s="59"/>
      <c r="V1647" s="59"/>
      <c r="W1647" s="59"/>
      <c r="X1647" s="59"/>
      <c r="Y1647" s="59"/>
      <c r="Z1647" s="59"/>
      <c r="AA1647" s="59"/>
      <c r="AB1647" s="59"/>
      <c r="AC1647" s="59"/>
      <c r="AD1647" s="59"/>
      <c r="AE1647" s="59">
        <v>-8418.2044213293066</v>
      </c>
      <c r="AF1647" s="59">
        <v>-8418.2044213293066</v>
      </c>
      <c r="AG1647" s="59" t="s">
        <v>1287</v>
      </c>
      <c r="AH1647" s="59" t="s">
        <v>1284</v>
      </c>
    </row>
    <row r="1648" spans="1:34" x14ac:dyDescent="0.35">
      <c r="A1648" s="58">
        <v>2025</v>
      </c>
      <c r="B1648" s="58">
        <v>8</v>
      </c>
      <c r="C1648">
        <v>8</v>
      </c>
      <c r="D1648" s="58" t="s">
        <v>1491</v>
      </c>
      <c r="E1648" t="s">
        <v>1264</v>
      </c>
      <c r="F1648" s="58" t="s">
        <v>1492</v>
      </c>
      <c r="G1648" t="s">
        <v>1493</v>
      </c>
      <c r="H1648" s="58" t="s">
        <v>1012</v>
      </c>
      <c r="I1648" t="s">
        <v>1012</v>
      </c>
      <c r="J1648" s="58" t="s">
        <v>1012</v>
      </c>
      <c r="K1648" t="s">
        <v>1429</v>
      </c>
      <c r="L1648" t="s">
        <v>20</v>
      </c>
      <c r="M1648" t="s">
        <v>1430</v>
      </c>
      <c r="N1648" s="59">
        <v>0</v>
      </c>
      <c r="O1648" s="59">
        <v>0</v>
      </c>
      <c r="P1648" s="59">
        <v>15210242.83137146</v>
      </c>
      <c r="Q1648" s="59">
        <v>0</v>
      </c>
      <c r="R1648" s="59">
        <v>6300000</v>
      </c>
      <c r="S1648" s="59">
        <v>-21510242.83137146</v>
      </c>
      <c r="T1648" s="59"/>
      <c r="U1648" s="59"/>
      <c r="V1648" s="59"/>
      <c r="W1648" s="59"/>
      <c r="X1648" s="59"/>
      <c r="Y1648" s="59"/>
      <c r="Z1648" s="59"/>
      <c r="AA1648" s="59"/>
      <c r="AB1648" s="59"/>
      <c r="AC1648" s="59"/>
      <c r="AD1648" s="59"/>
      <c r="AE1648" s="59">
        <v>-823.10759986765834</v>
      </c>
      <c r="AF1648" s="59">
        <v>0</v>
      </c>
      <c r="AG1648" s="59" t="s">
        <v>1264</v>
      </c>
      <c r="AH1648" s="59" t="s">
        <v>1269</v>
      </c>
    </row>
    <row r="1649" spans="1:34" x14ac:dyDescent="0.35">
      <c r="A1649" s="58">
        <v>2025</v>
      </c>
      <c r="B1649" s="58">
        <v>8</v>
      </c>
      <c r="C1649">
        <v>8</v>
      </c>
      <c r="D1649" s="58" t="s">
        <v>1491</v>
      </c>
      <c r="E1649" t="s">
        <v>1264</v>
      </c>
      <c r="F1649" s="58" t="s">
        <v>1522</v>
      </c>
      <c r="G1649" t="s">
        <v>1523</v>
      </c>
      <c r="H1649" s="58" t="s">
        <v>1012</v>
      </c>
      <c r="I1649" t="s">
        <v>1012</v>
      </c>
      <c r="J1649" s="58" t="s">
        <v>1389</v>
      </c>
      <c r="K1649" t="s">
        <v>1429</v>
      </c>
      <c r="L1649" t="s">
        <v>20</v>
      </c>
      <c r="M1649" t="s">
        <v>1430</v>
      </c>
      <c r="N1649" s="59">
        <v>0</v>
      </c>
      <c r="O1649" s="59">
        <v>0</v>
      </c>
      <c r="P1649" s="59">
        <v>0</v>
      </c>
      <c r="Q1649" s="59">
        <v>0</v>
      </c>
      <c r="R1649" s="59">
        <v>-19398756.000000052</v>
      </c>
      <c r="S1649" s="59">
        <v>19398756.000000052</v>
      </c>
      <c r="T1649" s="59"/>
      <c r="U1649" s="59"/>
      <c r="V1649" s="59"/>
      <c r="W1649" s="59"/>
      <c r="X1649" s="59"/>
      <c r="Y1649" s="59"/>
      <c r="Z1649" s="59"/>
      <c r="AA1649" s="59"/>
      <c r="AB1649" s="59"/>
      <c r="AC1649" s="59"/>
      <c r="AD1649" s="59"/>
      <c r="AE1649" s="59">
        <v>742.30977384834728</v>
      </c>
      <c r="AF1649" s="59">
        <v>0</v>
      </c>
      <c r="AG1649" s="59" t="s">
        <v>1264</v>
      </c>
      <c r="AH1649" s="59" t="s">
        <v>1390</v>
      </c>
    </row>
    <row r="1650" spans="1:34" x14ac:dyDescent="0.35">
      <c r="A1650" s="58">
        <v>2025</v>
      </c>
      <c r="B1650" s="58">
        <v>8</v>
      </c>
      <c r="C1650">
        <v>8</v>
      </c>
      <c r="D1650" s="58" t="s">
        <v>1491</v>
      </c>
      <c r="E1650" t="s">
        <v>1264</v>
      </c>
      <c r="F1650" s="58" t="s">
        <v>1152</v>
      </c>
      <c r="G1650" t="s">
        <v>1153</v>
      </c>
      <c r="H1650" s="58" t="s">
        <v>1012</v>
      </c>
      <c r="I1650" t="s">
        <v>1012</v>
      </c>
      <c r="J1650" s="58" t="s">
        <v>1399</v>
      </c>
      <c r="K1650" t="s">
        <v>1429</v>
      </c>
      <c r="L1650" t="s">
        <v>20</v>
      </c>
      <c r="M1650" t="s">
        <v>1430</v>
      </c>
      <c r="N1650" s="59">
        <v>0</v>
      </c>
      <c r="O1650" s="59">
        <v>0</v>
      </c>
      <c r="P1650" s="59">
        <v>0</v>
      </c>
      <c r="Q1650" s="59">
        <v>0</v>
      </c>
      <c r="R1650" s="59">
        <v>12295604.999999968</v>
      </c>
      <c r="S1650" s="59">
        <v>-12295604.999999968</v>
      </c>
      <c r="T1650" s="59"/>
      <c r="U1650" s="59"/>
      <c r="V1650" s="59"/>
      <c r="W1650" s="59"/>
      <c r="X1650" s="59"/>
      <c r="Y1650" s="59"/>
      <c r="Z1650" s="59"/>
      <c r="AA1650" s="59"/>
      <c r="AB1650" s="59"/>
      <c r="AC1650" s="59"/>
      <c r="AD1650" s="59"/>
      <c r="AE1650" s="59">
        <v>-470.50170469068098</v>
      </c>
      <c r="AF1650" s="59">
        <v>0</v>
      </c>
      <c r="AG1650" s="59" t="s">
        <v>1264</v>
      </c>
      <c r="AH1650" s="59" t="s">
        <v>1400</v>
      </c>
    </row>
    <row r="1651" spans="1:34" x14ac:dyDescent="0.35">
      <c r="A1651" s="58">
        <v>2025</v>
      </c>
      <c r="B1651" s="58">
        <v>8</v>
      </c>
      <c r="C1651">
        <v>8</v>
      </c>
      <c r="D1651" s="58" t="s">
        <v>1491</v>
      </c>
      <c r="E1651" t="s">
        <v>1264</v>
      </c>
      <c r="F1651" s="58" t="s">
        <v>1468</v>
      </c>
      <c r="G1651" t="s">
        <v>1012</v>
      </c>
      <c r="H1651" s="58" t="s">
        <v>1012</v>
      </c>
      <c r="I1651" t="s">
        <v>1012</v>
      </c>
      <c r="J1651" s="58" t="s">
        <v>1012</v>
      </c>
      <c r="K1651" t="s">
        <v>1429</v>
      </c>
      <c r="L1651" t="s">
        <v>20</v>
      </c>
      <c r="M1651" t="s">
        <v>1430</v>
      </c>
      <c r="N1651" s="59">
        <v>0</v>
      </c>
      <c r="O1651" s="59">
        <v>0</v>
      </c>
      <c r="P1651" s="59">
        <v>0</v>
      </c>
      <c r="Q1651" s="59">
        <v>0</v>
      </c>
      <c r="R1651" s="59">
        <v>3080000</v>
      </c>
      <c r="S1651" s="59">
        <v>-3080000</v>
      </c>
      <c r="T1651" s="59"/>
      <c r="U1651" s="59"/>
      <c r="V1651" s="59"/>
      <c r="W1651" s="59"/>
      <c r="X1651" s="59"/>
      <c r="Y1651" s="59"/>
      <c r="Z1651" s="59"/>
      <c r="AA1651" s="59"/>
      <c r="AB1651" s="59"/>
      <c r="AC1651" s="59"/>
      <c r="AD1651" s="59"/>
      <c r="AE1651" s="59">
        <v>-117.85879998969538</v>
      </c>
      <c r="AF1651" s="59">
        <v>0</v>
      </c>
      <c r="AG1651" s="59" t="s">
        <v>1264</v>
      </c>
      <c r="AH1651" s="59" t="s">
        <v>1284</v>
      </c>
    </row>
    <row r="1652" spans="1:34" x14ac:dyDescent="0.35">
      <c r="A1652" s="58">
        <v>2025</v>
      </c>
      <c r="B1652" s="58">
        <v>8</v>
      </c>
      <c r="C1652">
        <v>8</v>
      </c>
      <c r="D1652" s="58" t="s">
        <v>1491</v>
      </c>
      <c r="E1652" t="s">
        <v>1264</v>
      </c>
      <c r="F1652" s="58" t="s">
        <v>1496</v>
      </c>
      <c r="G1652" t="s">
        <v>1497</v>
      </c>
      <c r="H1652" s="58" t="s">
        <v>1012</v>
      </c>
      <c r="I1652" t="s">
        <v>1012</v>
      </c>
      <c r="J1652" s="58" t="s">
        <v>1012</v>
      </c>
      <c r="K1652" t="s">
        <v>1429</v>
      </c>
      <c r="L1652" t="s">
        <v>20</v>
      </c>
      <c r="M1652" t="s">
        <v>1430</v>
      </c>
      <c r="N1652" s="59">
        <v>0</v>
      </c>
      <c r="O1652" s="59">
        <v>0</v>
      </c>
      <c r="P1652" s="59">
        <v>0</v>
      </c>
      <c r="Q1652" s="59">
        <v>0</v>
      </c>
      <c r="R1652" s="59">
        <v>0</v>
      </c>
      <c r="S1652" s="59">
        <v>0</v>
      </c>
      <c r="T1652" s="59"/>
      <c r="U1652" s="59"/>
      <c r="V1652" s="59"/>
      <c r="W1652" s="59"/>
      <c r="X1652" s="59"/>
      <c r="Y1652" s="59"/>
      <c r="Z1652" s="59"/>
      <c r="AA1652" s="59"/>
      <c r="AB1652" s="59"/>
      <c r="AC1652" s="59"/>
      <c r="AD1652" s="59"/>
      <c r="AE1652" s="59">
        <v>0</v>
      </c>
      <c r="AF1652" s="59">
        <v>0</v>
      </c>
      <c r="AG1652" s="59" t="s">
        <v>1264</v>
      </c>
      <c r="AH1652" s="59" t="s">
        <v>1329</v>
      </c>
    </row>
    <row r="1653" spans="1:34" x14ac:dyDescent="0.35">
      <c r="A1653" s="58">
        <v>2025</v>
      </c>
      <c r="B1653" s="58">
        <v>9</v>
      </c>
      <c r="C1653">
        <v>9</v>
      </c>
      <c r="D1653" s="58" t="s">
        <v>625</v>
      </c>
      <c r="E1653" t="s">
        <v>271</v>
      </c>
      <c r="F1653" s="58" t="s">
        <v>171</v>
      </c>
      <c r="G1653" t="s">
        <v>731</v>
      </c>
      <c r="H1653" s="58" t="s">
        <v>4</v>
      </c>
      <c r="I1653" t="s">
        <v>4</v>
      </c>
      <c r="J1653" s="58" t="s">
        <v>4</v>
      </c>
      <c r="K1653" t="s">
        <v>1429</v>
      </c>
      <c r="L1653" t="s">
        <v>20</v>
      </c>
      <c r="M1653" t="s">
        <v>1430</v>
      </c>
      <c r="N1653" s="59">
        <v>16500</v>
      </c>
      <c r="O1653" s="59">
        <v>535449860</v>
      </c>
      <c r="P1653" s="59">
        <v>2469556.7138810195</v>
      </c>
      <c r="Q1653" s="59">
        <v>0</v>
      </c>
      <c r="R1653" s="59">
        <v>0</v>
      </c>
      <c r="S1653" s="59">
        <v>532980303.28611898</v>
      </c>
      <c r="T1653" s="59"/>
      <c r="U1653" s="59"/>
      <c r="V1653" s="59"/>
      <c r="W1653" s="59"/>
      <c r="X1653" s="59"/>
      <c r="Y1653" s="59"/>
      <c r="Z1653" s="59"/>
      <c r="AA1653" s="59"/>
      <c r="AB1653" s="59"/>
      <c r="AC1653" s="59"/>
      <c r="AD1653" s="59"/>
      <c r="AE1653" s="59">
        <v>20334.61760555561</v>
      </c>
      <c r="AF1653" s="59">
        <v>20428.837769269699</v>
      </c>
      <c r="AG1653" s="59" t="s">
        <v>47</v>
      </c>
      <c r="AH1653" s="59" t="s">
        <v>1166</v>
      </c>
    </row>
    <row r="1654" spans="1:34" x14ac:dyDescent="0.35">
      <c r="A1654" s="58">
        <v>2025</v>
      </c>
      <c r="B1654" s="58">
        <v>9</v>
      </c>
      <c r="C1654">
        <v>9</v>
      </c>
      <c r="D1654" s="58" t="s">
        <v>625</v>
      </c>
      <c r="E1654" t="s">
        <v>271</v>
      </c>
      <c r="F1654" s="58" t="s">
        <v>194</v>
      </c>
      <c r="G1654" t="s">
        <v>743</v>
      </c>
      <c r="H1654" s="58" t="s">
        <v>1428</v>
      </c>
      <c r="I1654" t="s">
        <v>76</v>
      </c>
      <c r="J1654" s="58" t="s">
        <v>76</v>
      </c>
      <c r="K1654" t="s">
        <v>1429</v>
      </c>
      <c r="L1654" t="s">
        <v>20</v>
      </c>
      <c r="M1654" t="s">
        <v>1430</v>
      </c>
      <c r="N1654" s="59">
        <v>11000</v>
      </c>
      <c r="O1654" s="59">
        <v>220000000</v>
      </c>
      <c r="P1654" s="59">
        <v>0</v>
      </c>
      <c r="Q1654" s="59">
        <v>0</v>
      </c>
      <c r="R1654" s="59">
        <v>0</v>
      </c>
      <c r="S1654" s="59">
        <v>220000000</v>
      </c>
      <c r="T1654" s="59"/>
      <c r="U1654" s="59"/>
      <c r="V1654" s="59"/>
      <c r="W1654" s="59"/>
      <c r="X1654" s="59"/>
      <c r="Y1654" s="59"/>
      <c r="Z1654" s="59"/>
      <c r="AA1654" s="59"/>
      <c r="AB1654" s="59"/>
      <c r="AC1654" s="59"/>
      <c r="AD1654" s="59"/>
      <c r="AE1654" s="59">
        <v>8393.5857397354321</v>
      </c>
      <c r="AF1654" s="59">
        <v>8393.5857397354321</v>
      </c>
      <c r="AG1654" s="59" t="s">
        <v>47</v>
      </c>
      <c r="AH1654" s="59" t="s">
        <v>1246</v>
      </c>
    </row>
    <row r="1655" spans="1:34" x14ac:dyDescent="0.35">
      <c r="A1655" s="58">
        <v>2025</v>
      </c>
      <c r="B1655" s="58">
        <v>9</v>
      </c>
      <c r="C1655">
        <v>9</v>
      </c>
      <c r="D1655" s="58" t="s">
        <v>625</v>
      </c>
      <c r="E1655" t="s">
        <v>271</v>
      </c>
      <c r="F1655" s="58" t="s">
        <v>195</v>
      </c>
      <c r="G1655" t="s">
        <v>746</v>
      </c>
      <c r="H1655" s="58" t="s">
        <v>1428</v>
      </c>
      <c r="I1655" t="s">
        <v>76</v>
      </c>
      <c r="J1655" s="58" t="s">
        <v>76</v>
      </c>
      <c r="K1655" t="s">
        <v>1429</v>
      </c>
      <c r="L1655" t="s">
        <v>20</v>
      </c>
      <c r="M1655" t="s">
        <v>1430</v>
      </c>
      <c r="N1655" s="59">
        <v>5500</v>
      </c>
      <c r="O1655" s="59">
        <v>110000000</v>
      </c>
      <c r="P1655" s="59">
        <v>0</v>
      </c>
      <c r="Q1655" s="59">
        <v>0</v>
      </c>
      <c r="R1655" s="59">
        <v>0</v>
      </c>
      <c r="S1655" s="59">
        <v>110000000</v>
      </c>
      <c r="T1655" s="59"/>
      <c r="U1655" s="59"/>
      <c r="V1655" s="59"/>
      <c r="W1655" s="59"/>
      <c r="X1655" s="59"/>
      <c r="Y1655" s="59"/>
      <c r="Z1655" s="59"/>
      <c r="AA1655" s="59"/>
      <c r="AB1655" s="59"/>
      <c r="AC1655" s="59"/>
      <c r="AD1655" s="59"/>
      <c r="AE1655" s="59">
        <v>4196.792869867716</v>
      </c>
      <c r="AF1655" s="59">
        <v>4196.792869867716</v>
      </c>
      <c r="AG1655" s="59" t="s">
        <v>47</v>
      </c>
      <c r="AH1655" s="59" t="s">
        <v>1247</v>
      </c>
    </row>
    <row r="1656" spans="1:34" x14ac:dyDescent="0.35">
      <c r="A1656" s="58">
        <v>2025</v>
      </c>
      <c r="B1656" s="58">
        <v>9</v>
      </c>
      <c r="C1656">
        <v>9</v>
      </c>
      <c r="D1656" s="58" t="s">
        <v>625</v>
      </c>
      <c r="E1656" t="s">
        <v>271</v>
      </c>
      <c r="F1656" s="58" t="s">
        <v>197</v>
      </c>
      <c r="G1656" t="s">
        <v>752</v>
      </c>
      <c r="H1656" s="58" t="s">
        <v>1428</v>
      </c>
      <c r="I1656" t="s">
        <v>76</v>
      </c>
      <c r="J1656" s="58" t="s">
        <v>76</v>
      </c>
      <c r="K1656" t="s">
        <v>1429</v>
      </c>
      <c r="L1656" t="s">
        <v>20</v>
      </c>
      <c r="M1656" t="s">
        <v>1430</v>
      </c>
      <c r="N1656" s="59">
        <v>2750</v>
      </c>
      <c r="O1656" s="59">
        <v>55000000</v>
      </c>
      <c r="P1656" s="59">
        <v>0</v>
      </c>
      <c r="Q1656" s="59">
        <v>0</v>
      </c>
      <c r="R1656" s="59">
        <v>0</v>
      </c>
      <c r="S1656" s="59">
        <v>55000000</v>
      </c>
      <c r="T1656" s="59"/>
      <c r="U1656" s="59"/>
      <c r="V1656" s="59"/>
      <c r="W1656" s="59"/>
      <c r="X1656" s="59"/>
      <c r="Y1656" s="59"/>
      <c r="Z1656" s="59"/>
      <c r="AA1656" s="59"/>
      <c r="AB1656" s="59"/>
      <c r="AC1656" s="59"/>
      <c r="AD1656" s="59"/>
      <c r="AE1656" s="59">
        <v>2098.396434933858</v>
      </c>
      <c r="AF1656" s="59">
        <v>2098.396434933858</v>
      </c>
      <c r="AG1656" s="59" t="s">
        <v>47</v>
      </c>
      <c r="AH1656" s="59" t="s">
        <v>1249</v>
      </c>
    </row>
    <row r="1657" spans="1:34" x14ac:dyDescent="0.35">
      <c r="A1657" s="58">
        <v>2025</v>
      </c>
      <c r="B1657" s="58">
        <v>9</v>
      </c>
      <c r="C1657">
        <v>9</v>
      </c>
      <c r="D1657" s="58" t="s">
        <v>625</v>
      </c>
      <c r="E1657" t="s">
        <v>271</v>
      </c>
      <c r="F1657" s="58" t="s">
        <v>217</v>
      </c>
      <c r="G1657" t="s">
        <v>938</v>
      </c>
      <c r="H1657" s="58" t="s">
        <v>21</v>
      </c>
      <c r="I1657" t="s">
        <v>21</v>
      </c>
      <c r="J1657" s="58" t="s">
        <v>21</v>
      </c>
      <c r="K1657" t="s">
        <v>1429</v>
      </c>
      <c r="L1657" t="s">
        <v>20</v>
      </c>
      <c r="M1657" t="s">
        <v>1430</v>
      </c>
      <c r="N1657" s="59">
        <v>25</v>
      </c>
      <c r="O1657" s="59">
        <v>715716</v>
      </c>
      <c r="P1657" s="59">
        <v>0</v>
      </c>
      <c r="Q1657" s="59">
        <v>0</v>
      </c>
      <c r="R1657" s="59">
        <v>0</v>
      </c>
      <c r="S1657" s="59">
        <v>715716</v>
      </c>
      <c r="T1657" s="59"/>
      <c r="U1657" s="59"/>
      <c r="V1657" s="59"/>
      <c r="W1657" s="59"/>
      <c r="X1657" s="59"/>
      <c r="Y1657" s="59"/>
      <c r="Z1657" s="59"/>
      <c r="AA1657" s="59"/>
      <c r="AB1657" s="59"/>
      <c r="AC1657" s="59"/>
      <c r="AD1657" s="59"/>
      <c r="AE1657" s="59">
        <v>27.30647096045675</v>
      </c>
      <c r="AF1657" s="59">
        <v>27.30647096045675</v>
      </c>
      <c r="AG1657" s="59" t="s">
        <v>47</v>
      </c>
      <c r="AH1657" s="59" t="s">
        <v>1359</v>
      </c>
    </row>
    <row r="1658" spans="1:34" x14ac:dyDescent="0.35">
      <c r="A1658" s="58">
        <v>2025</v>
      </c>
      <c r="B1658" s="58">
        <v>9</v>
      </c>
      <c r="C1658">
        <v>9</v>
      </c>
      <c r="D1658" s="58" t="s">
        <v>1433</v>
      </c>
      <c r="E1658" t="s">
        <v>1276</v>
      </c>
      <c r="F1658" s="58" t="s">
        <v>1434</v>
      </c>
      <c r="G1658" t="s">
        <v>1435</v>
      </c>
      <c r="H1658" s="58" t="s">
        <v>1012</v>
      </c>
      <c r="I1658" t="s">
        <v>1012</v>
      </c>
      <c r="J1658" s="58" t="s">
        <v>1012</v>
      </c>
      <c r="K1658" t="s">
        <v>1429</v>
      </c>
      <c r="L1658" t="s">
        <v>20</v>
      </c>
      <c r="M1658" t="s">
        <v>1430</v>
      </c>
      <c r="N1658" s="59">
        <v>0</v>
      </c>
      <c r="O1658" s="59">
        <v>0</v>
      </c>
      <c r="P1658" s="59">
        <v>0</v>
      </c>
      <c r="Q1658" s="59">
        <v>0</v>
      </c>
      <c r="R1658" s="59">
        <v>0</v>
      </c>
      <c r="S1658" s="59">
        <v>0</v>
      </c>
      <c r="T1658" s="59"/>
      <c r="U1658" s="59"/>
      <c r="V1658" s="59"/>
      <c r="W1658" s="59"/>
      <c r="X1658" s="59"/>
      <c r="Y1658" s="59"/>
      <c r="Z1658" s="59"/>
      <c r="AA1658" s="59"/>
      <c r="AB1658" s="59"/>
      <c r="AC1658" s="59"/>
      <c r="AD1658" s="59"/>
      <c r="AE1658" s="59">
        <v>0</v>
      </c>
      <c r="AF1658" s="59">
        <v>0</v>
      </c>
      <c r="AG1658" s="59" t="s">
        <v>1276</v>
      </c>
      <c r="AH1658" s="59" t="s">
        <v>1319</v>
      </c>
    </row>
    <row r="1659" spans="1:34" x14ac:dyDescent="0.35">
      <c r="A1659" s="58">
        <v>2025</v>
      </c>
      <c r="B1659" s="58">
        <v>9</v>
      </c>
      <c r="C1659">
        <v>9</v>
      </c>
      <c r="D1659" s="58" t="s">
        <v>589</v>
      </c>
      <c r="E1659" t="s">
        <v>322</v>
      </c>
      <c r="F1659" s="58" t="s">
        <v>171</v>
      </c>
      <c r="G1659" t="s">
        <v>731</v>
      </c>
      <c r="H1659" s="58" t="s">
        <v>4</v>
      </c>
      <c r="I1659" t="s">
        <v>4</v>
      </c>
      <c r="J1659" s="58" t="s">
        <v>4</v>
      </c>
      <c r="K1659" t="s">
        <v>1429</v>
      </c>
      <c r="L1659" t="s">
        <v>20</v>
      </c>
      <c r="M1659" t="s">
        <v>1430</v>
      </c>
      <c r="N1659" s="59">
        <v>330000</v>
      </c>
      <c r="O1659" s="59">
        <v>10970850000</v>
      </c>
      <c r="P1659" s="59">
        <v>49391134.277620383</v>
      </c>
      <c r="Q1659" s="59">
        <v>0</v>
      </c>
      <c r="R1659" s="59">
        <v>46200000</v>
      </c>
      <c r="S1659" s="59">
        <v>10875258865.72238</v>
      </c>
      <c r="T1659" s="59"/>
      <c r="U1659" s="59"/>
      <c r="V1659" s="59"/>
      <c r="W1659" s="59"/>
      <c r="X1659" s="59"/>
      <c r="Y1659" s="59"/>
      <c r="Z1659" s="59"/>
      <c r="AA1659" s="59"/>
      <c r="AB1659" s="59"/>
      <c r="AC1659" s="59"/>
      <c r="AD1659" s="59"/>
      <c r="AE1659" s="59">
        <v>414920.08059663052</v>
      </c>
      <c r="AF1659" s="59">
        <v>418567.13687625679</v>
      </c>
      <c r="AG1659" s="59" t="s">
        <v>5</v>
      </c>
      <c r="AH1659" s="59" t="s">
        <v>1166</v>
      </c>
    </row>
    <row r="1660" spans="1:34" x14ac:dyDescent="0.35">
      <c r="A1660" s="58">
        <v>2025</v>
      </c>
      <c r="B1660" s="58">
        <v>9</v>
      </c>
      <c r="C1660">
        <v>9</v>
      </c>
      <c r="D1660" s="58" t="s">
        <v>589</v>
      </c>
      <c r="E1660" t="s">
        <v>322</v>
      </c>
      <c r="F1660" s="58" t="s">
        <v>1152</v>
      </c>
      <c r="G1660" t="s">
        <v>1153</v>
      </c>
      <c r="H1660" s="58" t="s">
        <v>1012</v>
      </c>
      <c r="I1660" t="s">
        <v>1012</v>
      </c>
      <c r="J1660" s="58" t="s">
        <v>1399</v>
      </c>
      <c r="K1660" t="s">
        <v>1429</v>
      </c>
      <c r="L1660" t="s">
        <v>20</v>
      </c>
      <c r="M1660" t="s">
        <v>1430</v>
      </c>
      <c r="N1660" s="59">
        <v>0</v>
      </c>
      <c r="O1660" s="59">
        <v>0</v>
      </c>
      <c r="P1660" s="59">
        <v>0</v>
      </c>
      <c r="Q1660" s="59">
        <v>0</v>
      </c>
      <c r="R1660" s="59">
        <v>0</v>
      </c>
      <c r="S1660" s="59">
        <v>0</v>
      </c>
      <c r="T1660" s="59"/>
      <c r="U1660" s="59"/>
      <c r="V1660" s="59"/>
      <c r="W1660" s="59"/>
      <c r="X1660" s="59"/>
      <c r="Y1660" s="59"/>
      <c r="Z1660" s="59"/>
      <c r="AA1660" s="59"/>
      <c r="AB1660" s="59"/>
      <c r="AC1660" s="59"/>
      <c r="AD1660" s="59"/>
      <c r="AE1660" s="59">
        <v>2.8421709430404007E-14</v>
      </c>
      <c r="AF1660" s="59">
        <v>0</v>
      </c>
      <c r="AG1660" s="59" t="s">
        <v>5</v>
      </c>
      <c r="AH1660" s="59" t="s">
        <v>1400</v>
      </c>
    </row>
    <row r="1661" spans="1:34" x14ac:dyDescent="0.35">
      <c r="A1661" s="58">
        <v>2025</v>
      </c>
      <c r="B1661" s="58">
        <v>9</v>
      </c>
      <c r="C1661">
        <v>9</v>
      </c>
      <c r="D1661" s="58" t="s">
        <v>621</v>
      </c>
      <c r="E1661" t="s">
        <v>257</v>
      </c>
      <c r="F1661" s="58" t="s">
        <v>180</v>
      </c>
      <c r="G1661" t="s">
        <v>1055</v>
      </c>
      <c r="H1661" s="58" t="s">
        <v>4</v>
      </c>
      <c r="I1661" t="s">
        <v>4</v>
      </c>
      <c r="J1661" s="58" t="s">
        <v>4</v>
      </c>
      <c r="K1661" t="s">
        <v>1429</v>
      </c>
      <c r="L1661" t="s">
        <v>20</v>
      </c>
      <c r="M1661" t="s">
        <v>1430</v>
      </c>
      <c r="N1661" s="59">
        <v>237600</v>
      </c>
      <c r="O1661" s="59">
        <v>8726161752</v>
      </c>
      <c r="P1661" s="59">
        <v>27337802.862708867</v>
      </c>
      <c r="Q1661" s="59">
        <v>0</v>
      </c>
      <c r="R1661" s="59">
        <v>2948000</v>
      </c>
      <c r="S1661" s="59">
        <v>8695875949.1372871</v>
      </c>
      <c r="T1661" s="59"/>
      <c r="U1661" s="59"/>
      <c r="V1661" s="59"/>
      <c r="W1661" s="59"/>
      <c r="X1661" s="59"/>
      <c r="Y1661" s="59"/>
      <c r="Z1661" s="59"/>
      <c r="AA1661" s="59"/>
      <c r="AB1661" s="59"/>
      <c r="AC1661" s="59"/>
      <c r="AD1661" s="59"/>
      <c r="AE1661" s="59">
        <v>331770.81982357765</v>
      </c>
      <c r="AF1661" s="59">
        <v>332926.30383732705</v>
      </c>
      <c r="AG1661" s="59" t="s">
        <v>16</v>
      </c>
      <c r="AH1661" s="59" t="s">
        <v>1194</v>
      </c>
    </row>
    <row r="1662" spans="1:34" x14ac:dyDescent="0.35">
      <c r="A1662" s="58">
        <v>2025</v>
      </c>
      <c r="B1662" s="58">
        <v>9</v>
      </c>
      <c r="C1662">
        <v>9</v>
      </c>
      <c r="D1662" s="58" t="s">
        <v>621</v>
      </c>
      <c r="E1662" t="s">
        <v>257</v>
      </c>
      <c r="F1662" s="58" t="s">
        <v>180</v>
      </c>
      <c r="G1662" t="s">
        <v>1055</v>
      </c>
      <c r="H1662" s="58" t="s">
        <v>4</v>
      </c>
      <c r="I1662" t="s">
        <v>4</v>
      </c>
      <c r="J1662" s="58" t="s">
        <v>4</v>
      </c>
      <c r="K1662" t="s">
        <v>20</v>
      </c>
      <c r="L1662" t="s">
        <v>20</v>
      </c>
      <c r="M1662" t="s">
        <v>1431</v>
      </c>
      <c r="N1662" s="59">
        <v>-2685</v>
      </c>
      <c r="O1662" s="59">
        <v>-99358425</v>
      </c>
      <c r="P1662" s="59">
        <v>-493911.34277620399</v>
      </c>
      <c r="Q1662" s="59">
        <v>0</v>
      </c>
      <c r="R1662" s="59">
        <v>0</v>
      </c>
      <c r="S1662" s="59">
        <v>-98864513.657223791</v>
      </c>
      <c r="T1662" s="59"/>
      <c r="U1662" s="59"/>
      <c r="V1662" s="59"/>
      <c r="W1662" s="59"/>
      <c r="X1662" s="59"/>
      <c r="Y1662" s="59"/>
      <c r="Z1662" s="59"/>
      <c r="AA1662" s="59"/>
      <c r="AB1662" s="59"/>
      <c r="AC1662" s="59"/>
      <c r="AD1662" s="59"/>
      <c r="AE1662" s="59">
        <v>-3771.9444181779659</v>
      </c>
      <c r="AF1662" s="59">
        <v>-3790.7884509207838</v>
      </c>
      <c r="AG1662" s="59" t="s">
        <v>16</v>
      </c>
      <c r="AH1662" s="59" t="s">
        <v>1194</v>
      </c>
    </row>
    <row r="1663" spans="1:34" x14ac:dyDescent="0.35">
      <c r="A1663" s="58">
        <v>2025</v>
      </c>
      <c r="B1663" s="58">
        <v>9</v>
      </c>
      <c r="C1663">
        <v>9</v>
      </c>
      <c r="D1663" s="58" t="s">
        <v>621</v>
      </c>
      <c r="E1663" t="s">
        <v>257</v>
      </c>
      <c r="F1663" s="58" t="s">
        <v>180</v>
      </c>
      <c r="G1663" t="s">
        <v>1055</v>
      </c>
      <c r="H1663" s="58" t="s">
        <v>4</v>
      </c>
      <c r="I1663" t="s">
        <v>4</v>
      </c>
      <c r="J1663" s="58" t="s">
        <v>4</v>
      </c>
      <c r="K1663" t="s">
        <v>20</v>
      </c>
      <c r="L1663" t="s">
        <v>20</v>
      </c>
      <c r="M1663" t="s">
        <v>1432</v>
      </c>
      <c r="N1663" s="59">
        <v>2685</v>
      </c>
      <c r="O1663" s="59">
        <v>99358425</v>
      </c>
      <c r="P1663" s="59">
        <v>493911.34277620399</v>
      </c>
      <c r="Q1663" s="59">
        <v>0</v>
      </c>
      <c r="R1663" s="59">
        <v>0</v>
      </c>
      <c r="S1663" s="59">
        <v>98864513.657223791</v>
      </c>
      <c r="T1663" s="59"/>
      <c r="U1663" s="59"/>
      <c r="V1663" s="59"/>
      <c r="W1663" s="59"/>
      <c r="X1663" s="59"/>
      <c r="Y1663" s="59"/>
      <c r="Z1663" s="59"/>
      <c r="AA1663" s="59"/>
      <c r="AB1663" s="59"/>
      <c r="AC1663" s="59"/>
      <c r="AD1663" s="59"/>
      <c r="AE1663" s="59">
        <v>3771.9444181779659</v>
      </c>
      <c r="AF1663" s="59">
        <v>3790.7884509207838</v>
      </c>
      <c r="AG1663" s="59" t="s">
        <v>16</v>
      </c>
      <c r="AH1663" s="59" t="s">
        <v>1194</v>
      </c>
    </row>
    <row r="1664" spans="1:34" x14ac:dyDescent="0.35">
      <c r="A1664" s="58">
        <v>2025</v>
      </c>
      <c r="B1664" s="58">
        <v>9</v>
      </c>
      <c r="C1664">
        <v>9</v>
      </c>
      <c r="D1664" s="58" t="s">
        <v>665</v>
      </c>
      <c r="E1664" t="s">
        <v>498</v>
      </c>
      <c r="F1664" s="58" t="s">
        <v>171</v>
      </c>
      <c r="G1664" t="s">
        <v>731</v>
      </c>
      <c r="H1664" s="58" t="s">
        <v>4</v>
      </c>
      <c r="I1664" t="s">
        <v>4</v>
      </c>
      <c r="J1664" s="58" t="s">
        <v>4</v>
      </c>
      <c r="K1664" t="s">
        <v>1429</v>
      </c>
      <c r="L1664" t="s">
        <v>20</v>
      </c>
      <c r="M1664" t="s">
        <v>1430</v>
      </c>
      <c r="N1664" s="59">
        <v>500</v>
      </c>
      <c r="O1664" s="59">
        <v>17822500</v>
      </c>
      <c r="P1664" s="59">
        <v>164637.11425873465</v>
      </c>
      <c r="Q1664" s="59">
        <v>0</v>
      </c>
      <c r="R1664" s="59">
        <v>1200000</v>
      </c>
      <c r="S1664" s="59">
        <v>16457862.885741265</v>
      </c>
      <c r="T1664" s="59"/>
      <c r="U1664" s="59"/>
      <c r="V1664" s="59"/>
      <c r="W1664" s="59"/>
      <c r="X1664" s="59"/>
      <c r="Y1664" s="59"/>
      <c r="Z1664" s="59"/>
      <c r="AA1664" s="59"/>
      <c r="AB1664" s="59"/>
      <c r="AC1664" s="59"/>
      <c r="AD1664" s="59"/>
      <c r="AE1664" s="59">
        <v>627.91128738308601</v>
      </c>
      <c r="AF1664" s="59">
        <v>679.97582657470343</v>
      </c>
      <c r="AG1664" s="59" t="s">
        <v>8</v>
      </c>
      <c r="AH1664" s="59" t="s">
        <v>1166</v>
      </c>
    </row>
    <row r="1665" spans="1:34" x14ac:dyDescent="0.35">
      <c r="A1665" s="58">
        <v>2025</v>
      </c>
      <c r="B1665" s="58">
        <v>9</v>
      </c>
      <c r="C1665">
        <v>9</v>
      </c>
      <c r="D1665" s="58" t="s">
        <v>665</v>
      </c>
      <c r="E1665" t="s">
        <v>498</v>
      </c>
      <c r="F1665" s="58" t="s">
        <v>1152</v>
      </c>
      <c r="G1665" t="s">
        <v>1153</v>
      </c>
      <c r="H1665" s="58" t="s">
        <v>1012</v>
      </c>
      <c r="I1665" t="s">
        <v>1012</v>
      </c>
      <c r="J1665" s="58" t="s">
        <v>1399</v>
      </c>
      <c r="K1665" t="s">
        <v>1429</v>
      </c>
      <c r="L1665" t="s">
        <v>20</v>
      </c>
      <c r="M1665" t="s">
        <v>1430</v>
      </c>
      <c r="N1665" s="59">
        <v>0</v>
      </c>
      <c r="O1665" s="59">
        <v>0</v>
      </c>
      <c r="P1665" s="59">
        <v>0</v>
      </c>
      <c r="Q1665" s="59">
        <v>0</v>
      </c>
      <c r="R1665" s="59">
        <v>-1200000</v>
      </c>
      <c r="S1665" s="59">
        <v>1200000</v>
      </c>
      <c r="T1665" s="59"/>
      <c r="U1665" s="59"/>
      <c r="V1665" s="59"/>
      <c r="W1665" s="59"/>
      <c r="X1665" s="59"/>
      <c r="Y1665" s="59"/>
      <c r="Z1665" s="59"/>
      <c r="AA1665" s="59"/>
      <c r="AB1665" s="59"/>
      <c r="AC1665" s="59"/>
      <c r="AD1665" s="59"/>
      <c r="AE1665" s="59">
        <v>45.783194944011449</v>
      </c>
      <c r="AF1665" s="59">
        <v>0</v>
      </c>
      <c r="AG1665" s="59" t="s">
        <v>8</v>
      </c>
      <c r="AH1665" s="59" t="s">
        <v>1400</v>
      </c>
    </row>
    <row r="1666" spans="1:34" x14ac:dyDescent="0.35">
      <c r="A1666" s="58">
        <v>2025</v>
      </c>
      <c r="B1666" s="58">
        <v>9</v>
      </c>
      <c r="C1666">
        <v>9</v>
      </c>
      <c r="D1666" s="58" t="s">
        <v>590</v>
      </c>
      <c r="E1666" t="s">
        <v>500</v>
      </c>
      <c r="F1666" s="58" t="s">
        <v>168</v>
      </c>
      <c r="G1666" t="s">
        <v>700</v>
      </c>
      <c r="H1666" s="58" t="s">
        <v>4</v>
      </c>
      <c r="I1666" t="s">
        <v>4</v>
      </c>
      <c r="J1666" s="58" t="s">
        <v>4</v>
      </c>
      <c r="K1666" t="s">
        <v>1429</v>
      </c>
      <c r="L1666" t="s">
        <v>20</v>
      </c>
      <c r="M1666" t="s">
        <v>1430</v>
      </c>
      <c r="N1666" s="59">
        <v>308000</v>
      </c>
      <c r="O1666" s="59">
        <v>10969420000</v>
      </c>
      <c r="P1666" s="59">
        <v>33842865.591397859</v>
      </c>
      <c r="Q1666" s="59">
        <v>0</v>
      </c>
      <c r="R1666" s="59">
        <v>382648148</v>
      </c>
      <c r="S1666" s="59">
        <v>10391626306.408604</v>
      </c>
      <c r="T1666" s="59"/>
      <c r="U1666" s="59"/>
      <c r="V1666" s="59"/>
      <c r="W1666" s="59"/>
      <c r="X1666" s="59"/>
      <c r="Y1666" s="59"/>
      <c r="Z1666" s="59"/>
      <c r="AA1666" s="59"/>
      <c r="AB1666" s="59"/>
      <c r="AC1666" s="59"/>
      <c r="AD1666" s="59"/>
      <c r="AE1666" s="59">
        <v>396468.2108096857</v>
      </c>
      <c r="AF1666" s="59">
        <v>418512.57856894849</v>
      </c>
      <c r="AG1666" s="59" t="s">
        <v>8</v>
      </c>
      <c r="AH1666" s="59" t="s">
        <v>1160</v>
      </c>
    </row>
    <row r="1667" spans="1:34" x14ac:dyDescent="0.35">
      <c r="A1667" s="58">
        <v>2025</v>
      </c>
      <c r="B1667" s="58">
        <v>9</v>
      </c>
      <c r="C1667">
        <v>9</v>
      </c>
      <c r="D1667" s="58" t="s">
        <v>590</v>
      </c>
      <c r="E1667" t="s">
        <v>500</v>
      </c>
      <c r="F1667" s="58" t="s">
        <v>168</v>
      </c>
      <c r="G1667" t="s">
        <v>700</v>
      </c>
      <c r="H1667" s="58" t="s">
        <v>4</v>
      </c>
      <c r="I1667" t="s">
        <v>4</v>
      </c>
      <c r="J1667" s="58" t="s">
        <v>4</v>
      </c>
      <c r="K1667" t="s">
        <v>1429</v>
      </c>
      <c r="L1667" t="s">
        <v>20</v>
      </c>
      <c r="M1667" t="s">
        <v>1675</v>
      </c>
      <c r="N1667" s="59">
        <v>0</v>
      </c>
      <c r="O1667" s="59">
        <v>-268400</v>
      </c>
      <c r="P1667" s="59">
        <v>0</v>
      </c>
      <c r="Q1667" s="59">
        <v>0</v>
      </c>
      <c r="R1667" s="59">
        <v>0</v>
      </c>
      <c r="S1667" s="59">
        <v>-268400</v>
      </c>
      <c r="T1667" s="59"/>
      <c r="U1667" s="59"/>
      <c r="V1667" s="59"/>
      <c r="W1667" s="59"/>
      <c r="X1667" s="59"/>
      <c r="Y1667" s="59"/>
      <c r="Z1667" s="59"/>
      <c r="AA1667" s="59"/>
      <c r="AB1667" s="59"/>
      <c r="AC1667" s="59"/>
      <c r="AD1667" s="59"/>
      <c r="AE1667" s="59">
        <v>-10.240174602477227</v>
      </c>
      <c r="AF1667" s="59">
        <v>-10.240174602477227</v>
      </c>
      <c r="AG1667" s="59" t="s">
        <v>8</v>
      </c>
      <c r="AH1667" s="59" t="s">
        <v>1160</v>
      </c>
    </row>
    <row r="1668" spans="1:34" x14ac:dyDescent="0.35">
      <c r="A1668" s="58">
        <v>2025</v>
      </c>
      <c r="B1668" s="58">
        <v>9</v>
      </c>
      <c r="C1668">
        <v>9</v>
      </c>
      <c r="D1668" s="58" t="s">
        <v>590</v>
      </c>
      <c r="E1668" t="s">
        <v>500</v>
      </c>
      <c r="F1668" s="58" t="s">
        <v>168</v>
      </c>
      <c r="G1668" t="s">
        <v>700</v>
      </c>
      <c r="H1668" s="58" t="s">
        <v>4</v>
      </c>
      <c r="I1668" t="s">
        <v>4</v>
      </c>
      <c r="J1668" s="58" t="s">
        <v>4</v>
      </c>
      <c r="K1668" t="s">
        <v>1429</v>
      </c>
      <c r="L1668" t="s">
        <v>20</v>
      </c>
      <c r="M1668" t="s">
        <v>1508</v>
      </c>
      <c r="N1668" s="59">
        <v>-181500</v>
      </c>
      <c r="O1668" s="59">
        <v>-6716139100</v>
      </c>
      <c r="P1668" s="59">
        <v>-21253319.591397852</v>
      </c>
      <c r="Q1668" s="59">
        <v>0</v>
      </c>
      <c r="R1668" s="59">
        <v>145185184</v>
      </c>
      <c r="S1668" s="59">
        <v>-6741226940.4086018</v>
      </c>
      <c r="T1668" s="59"/>
      <c r="U1668" s="59"/>
      <c r="V1668" s="59"/>
      <c r="W1668" s="59"/>
      <c r="X1668" s="59"/>
      <c r="Y1668" s="59"/>
      <c r="Z1668" s="59"/>
      <c r="AA1668" s="59"/>
      <c r="AB1668" s="59"/>
      <c r="AC1668" s="59"/>
      <c r="AD1668" s="59"/>
      <c r="AE1668" s="59">
        <v>-257195.75597879075</v>
      </c>
      <c r="AF1668" s="59">
        <v>-256238.58807199806</v>
      </c>
      <c r="AG1668" s="59" t="s">
        <v>8</v>
      </c>
      <c r="AH1668" s="59" t="s">
        <v>1160</v>
      </c>
    </row>
    <row r="1669" spans="1:34" x14ac:dyDescent="0.35">
      <c r="A1669" s="58">
        <v>2025</v>
      </c>
      <c r="B1669" s="58">
        <v>9</v>
      </c>
      <c r="C1669">
        <v>9</v>
      </c>
      <c r="D1669" s="58" t="s">
        <v>590</v>
      </c>
      <c r="E1669" t="s">
        <v>500</v>
      </c>
      <c r="F1669" s="58" t="s">
        <v>1152</v>
      </c>
      <c r="G1669" t="s">
        <v>1153</v>
      </c>
      <c r="H1669" s="58" t="s">
        <v>1012</v>
      </c>
      <c r="I1669" t="s">
        <v>1012</v>
      </c>
      <c r="J1669" s="58" t="s">
        <v>1399</v>
      </c>
      <c r="K1669" t="s">
        <v>1429</v>
      </c>
      <c r="L1669" t="s">
        <v>20</v>
      </c>
      <c r="M1669" t="s">
        <v>1430</v>
      </c>
      <c r="N1669" s="59">
        <v>0</v>
      </c>
      <c r="O1669" s="59">
        <v>0</v>
      </c>
      <c r="P1669" s="59">
        <v>0</v>
      </c>
      <c r="Q1669" s="59">
        <v>0</v>
      </c>
      <c r="R1669" s="59">
        <v>-84000000</v>
      </c>
      <c r="S1669" s="59">
        <v>84000000</v>
      </c>
      <c r="T1669" s="59"/>
      <c r="U1669" s="59"/>
      <c r="V1669" s="59"/>
      <c r="W1669" s="59"/>
      <c r="X1669" s="59"/>
      <c r="Y1669" s="59"/>
      <c r="Z1669" s="59"/>
      <c r="AA1669" s="59"/>
      <c r="AB1669" s="59"/>
      <c r="AC1669" s="59"/>
      <c r="AD1669" s="59"/>
      <c r="AE1669" s="59">
        <v>3204.8236460808016</v>
      </c>
      <c r="AF1669" s="59">
        <v>0</v>
      </c>
      <c r="AG1669" s="59" t="s">
        <v>8</v>
      </c>
      <c r="AH1669" s="59" t="s">
        <v>1400</v>
      </c>
    </row>
    <row r="1670" spans="1:34" x14ac:dyDescent="0.35">
      <c r="A1670" s="58">
        <v>2025</v>
      </c>
      <c r="B1670" s="58">
        <v>9</v>
      </c>
      <c r="C1670">
        <v>9</v>
      </c>
      <c r="D1670" s="58" t="s">
        <v>590</v>
      </c>
      <c r="E1670" t="s">
        <v>500</v>
      </c>
      <c r="F1670" s="58" t="s">
        <v>1468</v>
      </c>
      <c r="G1670" t="s">
        <v>1012</v>
      </c>
      <c r="H1670" s="58" t="s">
        <v>1012</v>
      </c>
      <c r="I1670" t="s">
        <v>1012</v>
      </c>
      <c r="J1670" s="58" t="s">
        <v>1012</v>
      </c>
      <c r="K1670" t="s">
        <v>1429</v>
      </c>
      <c r="L1670" t="s">
        <v>20</v>
      </c>
      <c r="M1670" t="s">
        <v>1430</v>
      </c>
      <c r="N1670" s="59">
        <v>0</v>
      </c>
      <c r="O1670" s="59">
        <v>5950200</v>
      </c>
      <c r="P1670" s="59">
        <v>0</v>
      </c>
      <c r="Q1670" s="59">
        <v>0</v>
      </c>
      <c r="R1670" s="59">
        <v>0</v>
      </c>
      <c r="S1670" s="59">
        <v>5950200</v>
      </c>
      <c r="T1670" s="59"/>
      <c r="U1670" s="59"/>
      <c r="V1670" s="59"/>
      <c r="W1670" s="59"/>
      <c r="X1670" s="59"/>
      <c r="Y1670" s="59"/>
      <c r="Z1670" s="59"/>
      <c r="AA1670" s="59"/>
      <c r="AB1670" s="59"/>
      <c r="AC1670" s="59"/>
      <c r="AD1670" s="59"/>
      <c r="AE1670" s="59">
        <v>227.01597212988077</v>
      </c>
      <c r="AF1670" s="59">
        <v>227.01597212988077</v>
      </c>
      <c r="AG1670" s="59" t="s">
        <v>8</v>
      </c>
      <c r="AH1670" s="59" t="s">
        <v>1284</v>
      </c>
    </row>
    <row r="1671" spans="1:34" x14ac:dyDescent="0.35">
      <c r="A1671" s="58">
        <v>2025</v>
      </c>
      <c r="B1671" s="58">
        <v>9</v>
      </c>
      <c r="C1671">
        <v>9</v>
      </c>
      <c r="D1671" s="58" t="s">
        <v>601</v>
      </c>
      <c r="E1671" t="s">
        <v>501</v>
      </c>
      <c r="F1671" s="58" t="s">
        <v>171</v>
      </c>
      <c r="G1671" t="s">
        <v>731</v>
      </c>
      <c r="H1671" s="58" t="s">
        <v>4</v>
      </c>
      <c r="I1671" t="s">
        <v>4</v>
      </c>
      <c r="J1671" s="58" t="s">
        <v>4</v>
      </c>
      <c r="K1671" t="s">
        <v>1429</v>
      </c>
      <c r="L1671" t="s">
        <v>20</v>
      </c>
      <c r="M1671" t="s">
        <v>1430</v>
      </c>
      <c r="N1671" s="59">
        <v>66000</v>
      </c>
      <c r="O1671" s="59">
        <v>2125728000</v>
      </c>
      <c r="P1671" s="59">
        <v>9878226.8555240799</v>
      </c>
      <c r="Q1671" s="59">
        <v>0</v>
      </c>
      <c r="R1671" s="59">
        <v>9240000</v>
      </c>
      <c r="S1671" s="59">
        <v>2106609773.1444757</v>
      </c>
      <c r="T1671" s="59"/>
      <c r="U1671" s="59"/>
      <c r="V1671" s="59"/>
      <c r="W1671" s="59"/>
      <c r="X1671" s="59"/>
      <c r="Y1671" s="59"/>
      <c r="Z1671" s="59"/>
      <c r="AA1671" s="59"/>
      <c r="AB1671" s="59"/>
      <c r="AC1671" s="59"/>
      <c r="AD1671" s="59"/>
      <c r="AE1671" s="59">
        <v>80372.771595694387</v>
      </c>
      <c r="AF1671" s="59">
        <v>81102.18285161964</v>
      </c>
      <c r="AG1671" s="59" t="s">
        <v>109</v>
      </c>
      <c r="AH1671" s="59" t="s">
        <v>1166</v>
      </c>
    </row>
    <row r="1672" spans="1:34" x14ac:dyDescent="0.35">
      <c r="A1672" s="58">
        <v>2025</v>
      </c>
      <c r="B1672" s="58">
        <v>9</v>
      </c>
      <c r="C1672">
        <v>9</v>
      </c>
      <c r="D1672" s="58" t="s">
        <v>682</v>
      </c>
      <c r="E1672" t="s">
        <v>156</v>
      </c>
      <c r="F1672" s="58" t="s">
        <v>979</v>
      </c>
      <c r="G1672" t="s">
        <v>980</v>
      </c>
      <c r="H1672" s="58" t="s">
        <v>1385</v>
      </c>
      <c r="I1672" t="s">
        <v>1385</v>
      </c>
      <c r="J1672" s="58" t="s">
        <v>1385</v>
      </c>
      <c r="K1672" t="s">
        <v>1429</v>
      </c>
      <c r="L1672" t="s">
        <v>20</v>
      </c>
      <c r="M1672" t="s">
        <v>1430</v>
      </c>
      <c r="N1672" s="59">
        <v>7718</v>
      </c>
      <c r="O1672" s="59">
        <v>114340741</v>
      </c>
      <c r="P1672" s="59">
        <v>0</v>
      </c>
      <c r="Q1672" s="59">
        <v>0</v>
      </c>
      <c r="R1672" s="59">
        <v>0</v>
      </c>
      <c r="S1672" s="59">
        <v>114340741</v>
      </c>
      <c r="T1672" s="59"/>
      <c r="U1672" s="59"/>
      <c r="V1672" s="59"/>
      <c r="W1672" s="59"/>
      <c r="X1672" s="59"/>
      <c r="Y1672" s="59"/>
      <c r="Z1672" s="59"/>
      <c r="AA1672" s="59"/>
      <c r="AB1672" s="59"/>
      <c r="AC1672" s="59"/>
      <c r="AD1672" s="59"/>
      <c r="AE1672" s="59">
        <v>4362.4036960381018</v>
      </c>
      <c r="AF1672" s="59">
        <v>4362.4036960381018</v>
      </c>
      <c r="AG1672" s="59" t="s">
        <v>156</v>
      </c>
      <c r="AH1672" s="59" t="s">
        <v>1388</v>
      </c>
    </row>
    <row r="1673" spans="1:34" x14ac:dyDescent="0.35">
      <c r="A1673" s="58">
        <v>2025</v>
      </c>
      <c r="B1673" s="58">
        <v>9</v>
      </c>
      <c r="C1673">
        <v>9</v>
      </c>
      <c r="D1673" s="58" t="s">
        <v>682</v>
      </c>
      <c r="E1673" t="s">
        <v>156</v>
      </c>
      <c r="F1673" s="58" t="s">
        <v>817</v>
      </c>
      <c r="G1673" t="s">
        <v>818</v>
      </c>
      <c r="H1673" s="58" t="s">
        <v>1012</v>
      </c>
      <c r="I1673" t="s">
        <v>86</v>
      </c>
      <c r="J1673" s="58" t="s">
        <v>86</v>
      </c>
      <c r="K1673" t="s">
        <v>1429</v>
      </c>
      <c r="L1673" t="s">
        <v>20</v>
      </c>
      <c r="M1673" t="s">
        <v>1430</v>
      </c>
      <c r="N1673" s="59">
        <v>14422</v>
      </c>
      <c r="O1673" s="59">
        <v>1335370</v>
      </c>
      <c r="P1673" s="59">
        <v>0</v>
      </c>
      <c r="Q1673" s="59">
        <v>0</v>
      </c>
      <c r="R1673" s="59">
        <v>0</v>
      </c>
      <c r="S1673" s="59">
        <v>1335370</v>
      </c>
      <c r="T1673" s="59"/>
      <c r="U1673" s="59"/>
      <c r="V1673" s="59"/>
      <c r="W1673" s="59"/>
      <c r="X1673" s="59"/>
      <c r="Y1673" s="59"/>
      <c r="Z1673" s="59"/>
      <c r="AA1673" s="59"/>
      <c r="AB1673" s="59"/>
      <c r="AC1673" s="59"/>
      <c r="AD1673" s="59"/>
      <c r="AE1673" s="59">
        <v>50.947920860320473</v>
      </c>
      <c r="AF1673" s="59">
        <v>50.947920860320473</v>
      </c>
      <c r="AG1673" s="59" t="s">
        <v>156</v>
      </c>
      <c r="AH1673" s="59" t="s">
        <v>1220</v>
      </c>
    </row>
    <row r="1674" spans="1:34" x14ac:dyDescent="0.35">
      <c r="A1674" s="58">
        <v>2025</v>
      </c>
      <c r="B1674" s="58">
        <v>9</v>
      </c>
      <c r="C1674">
        <v>9</v>
      </c>
      <c r="D1674" s="58" t="s">
        <v>682</v>
      </c>
      <c r="E1674" t="s">
        <v>156</v>
      </c>
      <c r="F1674" s="58" t="s">
        <v>1628</v>
      </c>
      <c r="G1674" t="s">
        <v>1629</v>
      </c>
      <c r="H1674" s="58" t="s">
        <v>1012</v>
      </c>
      <c r="I1674" t="s">
        <v>86</v>
      </c>
      <c r="J1674" s="58" t="s">
        <v>86</v>
      </c>
      <c r="K1674" t="s">
        <v>1429</v>
      </c>
      <c r="L1674" t="s">
        <v>20</v>
      </c>
      <c r="M1674" t="s">
        <v>1430</v>
      </c>
      <c r="N1674" s="59">
        <v>24501</v>
      </c>
      <c r="O1674" s="59">
        <v>2268611</v>
      </c>
      <c r="P1674" s="59">
        <v>0</v>
      </c>
      <c r="Q1674" s="59">
        <v>0</v>
      </c>
      <c r="R1674" s="59">
        <v>0</v>
      </c>
      <c r="S1674" s="59">
        <v>2268611</v>
      </c>
      <c r="T1674" s="59"/>
      <c r="U1674" s="59"/>
      <c r="V1674" s="59"/>
      <c r="W1674" s="59"/>
      <c r="X1674" s="59"/>
      <c r="Y1674" s="59"/>
      <c r="Z1674" s="59"/>
      <c r="AA1674" s="59"/>
      <c r="AB1674" s="59"/>
      <c r="AC1674" s="59"/>
      <c r="AD1674" s="59"/>
      <c r="AE1674" s="59">
        <v>86.553549720940623</v>
      </c>
      <c r="AF1674" s="59">
        <v>86.553549720940623</v>
      </c>
      <c r="AG1674" s="59" t="s">
        <v>156</v>
      </c>
      <c r="AH1674" s="59" t="s">
        <v>1233</v>
      </c>
    </row>
    <row r="1675" spans="1:34" x14ac:dyDescent="0.35">
      <c r="A1675" s="58">
        <v>2025</v>
      </c>
      <c r="B1675" s="58">
        <v>9</v>
      </c>
      <c r="C1675">
        <v>9</v>
      </c>
      <c r="D1675" s="58" t="s">
        <v>682</v>
      </c>
      <c r="E1675" t="s">
        <v>156</v>
      </c>
      <c r="F1675" s="58" t="s">
        <v>1468</v>
      </c>
      <c r="G1675" t="s">
        <v>1012</v>
      </c>
      <c r="H1675" s="58" t="s">
        <v>1012</v>
      </c>
      <c r="I1675" t="s">
        <v>1012</v>
      </c>
      <c r="J1675" s="58" t="s">
        <v>1012</v>
      </c>
      <c r="K1675" t="s">
        <v>1429</v>
      </c>
      <c r="L1675" t="s">
        <v>20</v>
      </c>
      <c r="M1675" t="s">
        <v>1430</v>
      </c>
      <c r="N1675" s="59">
        <v>0</v>
      </c>
      <c r="O1675" s="59">
        <v>52731480</v>
      </c>
      <c r="P1675" s="59">
        <v>0</v>
      </c>
      <c r="Q1675" s="59">
        <v>0</v>
      </c>
      <c r="R1675" s="59">
        <v>0</v>
      </c>
      <c r="S1675" s="59">
        <v>52731480</v>
      </c>
      <c r="T1675" s="59"/>
      <c r="U1675" s="59"/>
      <c r="V1675" s="59"/>
      <c r="W1675" s="59"/>
      <c r="X1675" s="59"/>
      <c r="Y1675" s="59"/>
      <c r="Z1675" s="59"/>
      <c r="AA1675" s="59"/>
      <c r="AB1675" s="59"/>
      <c r="AC1675" s="59"/>
      <c r="AD1675" s="59"/>
      <c r="AE1675" s="59">
        <v>2011.8463571052007</v>
      </c>
      <c r="AF1675" s="59">
        <v>2011.8463571052007</v>
      </c>
      <c r="AG1675" s="59" t="s">
        <v>156</v>
      </c>
      <c r="AH1675" s="59" t="s">
        <v>1284</v>
      </c>
    </row>
    <row r="1676" spans="1:34" x14ac:dyDescent="0.35">
      <c r="A1676" s="58">
        <v>2025</v>
      </c>
      <c r="B1676" s="58">
        <v>9</v>
      </c>
      <c r="C1676">
        <v>9</v>
      </c>
      <c r="D1676" s="58" t="s">
        <v>605</v>
      </c>
      <c r="E1676" t="s">
        <v>479</v>
      </c>
      <c r="F1676" s="58" t="s">
        <v>184</v>
      </c>
      <c r="G1676" t="s">
        <v>717</v>
      </c>
      <c r="H1676" s="58" t="s">
        <v>1428</v>
      </c>
      <c r="I1676" t="s">
        <v>75</v>
      </c>
      <c r="J1676" s="58" t="s">
        <v>75</v>
      </c>
      <c r="K1676" t="s">
        <v>1429</v>
      </c>
      <c r="L1676" t="s">
        <v>20</v>
      </c>
      <c r="M1676" t="s">
        <v>1430</v>
      </c>
      <c r="N1676" s="59">
        <v>35750</v>
      </c>
      <c r="O1676" s="59">
        <v>1315883250</v>
      </c>
      <c r="P1676" s="59">
        <v>0</v>
      </c>
      <c r="Q1676" s="59">
        <v>0</v>
      </c>
      <c r="R1676" s="59">
        <v>31111111</v>
      </c>
      <c r="S1676" s="59">
        <v>1284772139</v>
      </c>
      <c r="T1676" s="59"/>
      <c r="U1676" s="59"/>
      <c r="V1676" s="59"/>
      <c r="W1676" s="59"/>
      <c r="X1676" s="59"/>
      <c r="Y1676" s="59"/>
      <c r="Z1676" s="59"/>
      <c r="AA1676" s="59"/>
      <c r="AB1676" s="59"/>
      <c r="AC1676" s="59"/>
      <c r="AD1676" s="59"/>
      <c r="AE1676" s="59">
        <v>49017.477748726313</v>
      </c>
      <c r="AF1676" s="59">
        <v>50204.4494652578</v>
      </c>
      <c r="AG1676" s="59" t="s">
        <v>5</v>
      </c>
      <c r="AH1676" s="59" t="s">
        <v>1198</v>
      </c>
    </row>
    <row r="1677" spans="1:34" x14ac:dyDescent="0.35">
      <c r="A1677" s="58">
        <v>2025</v>
      </c>
      <c r="B1677" s="58">
        <v>9</v>
      </c>
      <c r="C1677">
        <v>9</v>
      </c>
      <c r="D1677" s="58" t="s">
        <v>605</v>
      </c>
      <c r="E1677" t="s">
        <v>479</v>
      </c>
      <c r="F1677" s="58" t="s">
        <v>1522</v>
      </c>
      <c r="G1677" t="s">
        <v>1523</v>
      </c>
      <c r="H1677" s="58" t="s">
        <v>1012</v>
      </c>
      <c r="I1677" t="s">
        <v>1012</v>
      </c>
      <c r="J1677" s="58" t="s">
        <v>1389</v>
      </c>
      <c r="K1677" t="s">
        <v>1429</v>
      </c>
      <c r="L1677" t="s">
        <v>20</v>
      </c>
      <c r="M1677" t="s">
        <v>1430</v>
      </c>
      <c r="N1677" s="59">
        <v>0</v>
      </c>
      <c r="O1677" s="59">
        <v>0</v>
      </c>
      <c r="P1677" s="59">
        <v>0</v>
      </c>
      <c r="Q1677" s="59">
        <v>0</v>
      </c>
      <c r="R1677" s="59">
        <v>17685185</v>
      </c>
      <c r="S1677" s="59">
        <v>-17685185</v>
      </c>
      <c r="T1677" s="59"/>
      <c r="U1677" s="59"/>
      <c r="V1677" s="59"/>
      <c r="W1677" s="59"/>
      <c r="X1677" s="59"/>
      <c r="Y1677" s="59"/>
      <c r="Z1677" s="59"/>
      <c r="AA1677" s="59"/>
      <c r="AB1677" s="59"/>
      <c r="AC1677" s="59"/>
      <c r="AD1677" s="59"/>
      <c r="AE1677" s="59">
        <v>-674.7368937299226</v>
      </c>
      <c r="AF1677" s="59">
        <v>0</v>
      </c>
      <c r="AG1677" s="59" t="s">
        <v>5</v>
      </c>
      <c r="AH1677" s="59" t="s">
        <v>1390</v>
      </c>
    </row>
    <row r="1678" spans="1:34" x14ac:dyDescent="0.35">
      <c r="A1678" s="58">
        <v>2025</v>
      </c>
      <c r="B1678" s="58">
        <v>9</v>
      </c>
      <c r="C1678">
        <v>9</v>
      </c>
      <c r="D1678" s="58" t="s">
        <v>1502</v>
      </c>
      <c r="E1678" t="s">
        <v>1236</v>
      </c>
      <c r="F1678" s="58" t="s">
        <v>879</v>
      </c>
      <c r="G1678" t="s">
        <v>880</v>
      </c>
      <c r="H1678" s="58" t="s">
        <v>1234</v>
      </c>
      <c r="I1678" t="s">
        <v>1234</v>
      </c>
      <c r="J1678" s="58" t="s">
        <v>1234</v>
      </c>
      <c r="K1678" t="s">
        <v>1429</v>
      </c>
      <c r="L1678" t="s">
        <v>20</v>
      </c>
      <c r="M1678" t="s">
        <v>1430</v>
      </c>
      <c r="N1678" s="59">
        <v>220000</v>
      </c>
      <c r="O1678" s="59">
        <v>4056500000</v>
      </c>
      <c r="P1678" s="59">
        <v>0</v>
      </c>
      <c r="Q1678" s="59">
        <v>295650000</v>
      </c>
      <c r="R1678" s="59">
        <v>0</v>
      </c>
      <c r="S1678" s="59">
        <v>3760850000</v>
      </c>
      <c r="T1678" s="59"/>
      <c r="U1678" s="59"/>
      <c r="V1678" s="59"/>
      <c r="W1678" s="59"/>
      <c r="X1678" s="59"/>
      <c r="Y1678" s="59"/>
      <c r="Z1678" s="59"/>
      <c r="AA1678" s="59"/>
      <c r="AB1678" s="59"/>
      <c r="AC1678" s="59"/>
      <c r="AD1678" s="59"/>
      <c r="AE1678" s="59">
        <v>143486.44058765456</v>
      </c>
      <c r="AF1678" s="59">
        <v>154766.27524198536</v>
      </c>
      <c r="AG1678" s="59" t="s">
        <v>1236</v>
      </c>
      <c r="AH1678" s="59" t="s">
        <v>1235</v>
      </c>
    </row>
    <row r="1679" spans="1:34" x14ac:dyDescent="0.35">
      <c r="A1679" s="58">
        <v>2025</v>
      </c>
      <c r="B1679" s="58">
        <v>9</v>
      </c>
      <c r="C1679">
        <v>9</v>
      </c>
      <c r="D1679" s="58" t="s">
        <v>1469</v>
      </c>
      <c r="E1679" t="s">
        <v>1211</v>
      </c>
      <c r="F1679" s="58" t="s">
        <v>1472</v>
      </c>
      <c r="G1679" t="s">
        <v>1473</v>
      </c>
      <c r="H1679" s="58" t="s">
        <v>1012</v>
      </c>
      <c r="I1679" t="s">
        <v>86</v>
      </c>
      <c r="J1679" s="58" t="s">
        <v>86</v>
      </c>
      <c r="K1679" t="s">
        <v>1429</v>
      </c>
      <c r="L1679" t="s">
        <v>20</v>
      </c>
      <c r="M1679" t="s">
        <v>1430</v>
      </c>
      <c r="N1679" s="59">
        <v>34534</v>
      </c>
      <c r="O1679" s="59">
        <v>679475000</v>
      </c>
      <c r="P1679" s="59">
        <v>0</v>
      </c>
      <c r="Q1679" s="59">
        <v>0</v>
      </c>
      <c r="R1679" s="59">
        <v>0</v>
      </c>
      <c r="S1679" s="59">
        <v>679475000</v>
      </c>
      <c r="T1679" s="59"/>
      <c r="U1679" s="59"/>
      <c r="V1679" s="59"/>
      <c r="W1679" s="59"/>
      <c r="X1679" s="59"/>
      <c r="Y1679" s="59"/>
      <c r="Z1679" s="59"/>
      <c r="AA1679" s="59"/>
      <c r="AB1679" s="59"/>
      <c r="AC1679" s="59"/>
      <c r="AD1679" s="59"/>
      <c r="AE1679" s="59">
        <v>25923.780320485148</v>
      </c>
      <c r="AF1679" s="59">
        <v>25923.780320485148</v>
      </c>
      <c r="AG1679" s="59" t="s">
        <v>1211</v>
      </c>
      <c r="AH1679" s="59" t="s">
        <v>1215</v>
      </c>
    </row>
    <row r="1680" spans="1:34" x14ac:dyDescent="0.35">
      <c r="A1680" s="58">
        <v>2025</v>
      </c>
      <c r="B1680" s="58">
        <v>9</v>
      </c>
      <c r="C1680">
        <v>9</v>
      </c>
      <c r="D1680" s="58" t="s">
        <v>1469</v>
      </c>
      <c r="E1680" t="s">
        <v>1211</v>
      </c>
      <c r="F1680" s="58" t="s">
        <v>1550</v>
      </c>
      <c r="G1680" t="s">
        <v>1551</v>
      </c>
      <c r="H1680" s="58" t="s">
        <v>1012</v>
      </c>
      <c r="I1680" t="s">
        <v>86</v>
      </c>
      <c r="J1680" s="58" t="s">
        <v>86</v>
      </c>
      <c r="K1680" t="s">
        <v>1429</v>
      </c>
      <c r="L1680" t="s">
        <v>20</v>
      </c>
      <c r="M1680" t="s">
        <v>1430</v>
      </c>
      <c r="N1680" s="59">
        <v>2032</v>
      </c>
      <c r="O1680" s="59">
        <v>39624000</v>
      </c>
      <c r="P1680" s="59">
        <v>0</v>
      </c>
      <c r="Q1680" s="59">
        <v>0</v>
      </c>
      <c r="R1680" s="59">
        <v>0</v>
      </c>
      <c r="S1680" s="59">
        <v>39624000</v>
      </c>
      <c r="T1680" s="59"/>
      <c r="U1680" s="59"/>
      <c r="V1680" s="59"/>
      <c r="W1680" s="59"/>
      <c r="X1680" s="59"/>
      <c r="Y1680" s="59"/>
      <c r="Z1680" s="59"/>
      <c r="AA1680" s="59"/>
      <c r="AB1680" s="59"/>
      <c r="AC1680" s="59"/>
      <c r="AD1680" s="59"/>
      <c r="AE1680" s="59">
        <v>1511.761097051258</v>
      </c>
      <c r="AF1680" s="59">
        <v>1511.761097051258</v>
      </c>
      <c r="AG1680" s="59" t="s">
        <v>1211</v>
      </c>
      <c r="AH1680" s="59" t="s">
        <v>1227</v>
      </c>
    </row>
    <row r="1681" spans="1:34" x14ac:dyDescent="0.35">
      <c r="A1681" s="58">
        <v>2025</v>
      </c>
      <c r="B1681" s="58">
        <v>9</v>
      </c>
      <c r="C1681">
        <v>9</v>
      </c>
      <c r="D1681" s="58" t="s">
        <v>1469</v>
      </c>
      <c r="E1681" t="s">
        <v>1211</v>
      </c>
      <c r="F1681" s="58" t="s">
        <v>1615</v>
      </c>
      <c r="G1681" t="s">
        <v>1616</v>
      </c>
      <c r="H1681" s="58" t="s">
        <v>1012</v>
      </c>
      <c r="I1681" t="s">
        <v>86</v>
      </c>
      <c r="J1681" s="58" t="s">
        <v>86</v>
      </c>
      <c r="K1681" t="s">
        <v>1429</v>
      </c>
      <c r="L1681" t="s">
        <v>20</v>
      </c>
      <c r="M1681" t="s">
        <v>1430</v>
      </c>
      <c r="N1681" s="59">
        <v>2082</v>
      </c>
      <c r="O1681" s="59">
        <v>39558000</v>
      </c>
      <c r="P1681" s="59">
        <v>0</v>
      </c>
      <c r="Q1681" s="59">
        <v>0</v>
      </c>
      <c r="R1681" s="59">
        <v>0</v>
      </c>
      <c r="S1681" s="59">
        <v>39558000</v>
      </c>
      <c r="T1681" s="59"/>
      <c r="U1681" s="59"/>
      <c r="V1681" s="59"/>
      <c r="W1681" s="59"/>
      <c r="X1681" s="59"/>
      <c r="Y1681" s="59"/>
      <c r="Z1681" s="59"/>
      <c r="AA1681" s="59"/>
      <c r="AB1681" s="59"/>
      <c r="AC1681" s="59"/>
      <c r="AD1681" s="59"/>
      <c r="AE1681" s="59">
        <v>1509.2430213293374</v>
      </c>
      <c r="AF1681" s="59">
        <v>1509.2430213293374</v>
      </c>
      <c r="AG1681" s="59" t="s">
        <v>1211</v>
      </c>
      <c r="AH1681" s="59" t="s">
        <v>1230</v>
      </c>
    </row>
    <row r="1682" spans="1:34" x14ac:dyDescent="0.35">
      <c r="A1682" s="58">
        <v>2025</v>
      </c>
      <c r="B1682" s="58">
        <v>9</v>
      </c>
      <c r="C1682">
        <v>9</v>
      </c>
      <c r="D1682" s="58" t="s">
        <v>635</v>
      </c>
      <c r="E1682" t="s">
        <v>62</v>
      </c>
      <c r="F1682" s="58" t="s">
        <v>209</v>
      </c>
      <c r="G1682" t="s">
        <v>822</v>
      </c>
      <c r="H1682" s="58" t="s">
        <v>21</v>
      </c>
      <c r="I1682" t="s">
        <v>21</v>
      </c>
      <c r="J1682" s="58" t="s">
        <v>21</v>
      </c>
      <c r="K1682" t="s">
        <v>1429</v>
      </c>
      <c r="L1682" t="s">
        <v>20</v>
      </c>
      <c r="M1682" t="s">
        <v>1430</v>
      </c>
      <c r="N1682" s="59">
        <v>16500</v>
      </c>
      <c r="O1682" s="59">
        <v>320833333</v>
      </c>
      <c r="P1682" s="59">
        <v>0</v>
      </c>
      <c r="Q1682" s="59">
        <v>0</v>
      </c>
      <c r="R1682" s="59">
        <v>0</v>
      </c>
      <c r="S1682" s="59">
        <v>320833333</v>
      </c>
      <c r="T1682" s="59"/>
      <c r="U1682" s="59"/>
      <c r="V1682" s="59"/>
      <c r="W1682" s="59"/>
      <c r="X1682" s="59"/>
      <c r="Y1682" s="59"/>
      <c r="Z1682" s="59"/>
      <c r="AA1682" s="59"/>
      <c r="AB1682" s="59"/>
      <c r="AC1682" s="59"/>
      <c r="AD1682" s="59"/>
      <c r="AE1682" s="59">
        <v>12240.645857729953</v>
      </c>
      <c r="AF1682" s="59">
        <v>12240.645857729953</v>
      </c>
      <c r="AG1682" s="59" t="s">
        <v>62</v>
      </c>
      <c r="AH1682" s="59" t="s">
        <v>1353</v>
      </c>
    </row>
    <row r="1683" spans="1:34" x14ac:dyDescent="0.35">
      <c r="A1683" s="58">
        <v>2025</v>
      </c>
      <c r="B1683" s="58">
        <v>9</v>
      </c>
      <c r="C1683">
        <v>9</v>
      </c>
      <c r="D1683" s="58" t="s">
        <v>635</v>
      </c>
      <c r="E1683" t="s">
        <v>62</v>
      </c>
      <c r="F1683" s="58" t="s">
        <v>200</v>
      </c>
      <c r="G1683" t="s">
        <v>470</v>
      </c>
      <c r="H1683" s="58" t="s">
        <v>1428</v>
      </c>
      <c r="I1683" t="s">
        <v>76</v>
      </c>
      <c r="J1683" s="58" t="s">
        <v>76</v>
      </c>
      <c r="K1683" t="s">
        <v>1429</v>
      </c>
      <c r="L1683" t="s">
        <v>20</v>
      </c>
      <c r="M1683" t="s">
        <v>1430</v>
      </c>
      <c r="N1683" s="59">
        <v>10500</v>
      </c>
      <c r="O1683" s="59">
        <v>170138889</v>
      </c>
      <c r="P1683" s="59">
        <v>2304919.5996222855</v>
      </c>
      <c r="Q1683" s="59">
        <v>0</v>
      </c>
      <c r="R1683" s="59">
        <v>0</v>
      </c>
      <c r="S1683" s="59">
        <v>167833969.40037772</v>
      </c>
      <c r="T1683" s="59"/>
      <c r="U1683" s="59"/>
      <c r="V1683" s="59"/>
      <c r="W1683" s="59"/>
      <c r="X1683" s="59"/>
      <c r="Y1683" s="59"/>
      <c r="Z1683" s="59"/>
      <c r="AA1683" s="59"/>
      <c r="AB1683" s="59"/>
      <c r="AC1683" s="59"/>
      <c r="AD1683" s="59"/>
      <c r="AE1683" s="59">
        <v>6403.3127827372882</v>
      </c>
      <c r="AF1683" s="59">
        <v>6491.2516022037707</v>
      </c>
      <c r="AG1683" s="59" t="s">
        <v>62</v>
      </c>
      <c r="AH1683" s="59" t="s">
        <v>79</v>
      </c>
    </row>
    <row r="1684" spans="1:34" x14ac:dyDescent="0.35">
      <c r="A1684" s="58">
        <v>2025</v>
      </c>
      <c r="B1684" s="58">
        <v>9</v>
      </c>
      <c r="C1684">
        <v>9</v>
      </c>
      <c r="D1684" s="58" t="s">
        <v>635</v>
      </c>
      <c r="E1684" t="s">
        <v>62</v>
      </c>
      <c r="F1684" s="58" t="s">
        <v>203</v>
      </c>
      <c r="G1684" t="s">
        <v>472</v>
      </c>
      <c r="H1684" s="58" t="s">
        <v>1428</v>
      </c>
      <c r="I1684" t="s">
        <v>76</v>
      </c>
      <c r="J1684" s="58" t="s">
        <v>76</v>
      </c>
      <c r="K1684" t="s">
        <v>1429</v>
      </c>
      <c r="L1684" t="s">
        <v>20</v>
      </c>
      <c r="M1684" t="s">
        <v>1430</v>
      </c>
      <c r="N1684" s="59">
        <v>5250</v>
      </c>
      <c r="O1684" s="59">
        <v>85069445</v>
      </c>
      <c r="P1684" s="59">
        <v>1152459.7998111427</v>
      </c>
      <c r="Q1684" s="59">
        <v>0</v>
      </c>
      <c r="R1684" s="59">
        <v>0</v>
      </c>
      <c r="S1684" s="59">
        <v>83916985.20018886</v>
      </c>
      <c r="T1684" s="59"/>
      <c r="U1684" s="59"/>
      <c r="V1684" s="59"/>
      <c r="W1684" s="59"/>
      <c r="X1684" s="59"/>
      <c r="Y1684" s="59"/>
      <c r="Z1684" s="59"/>
      <c r="AA1684" s="59"/>
      <c r="AB1684" s="59"/>
      <c r="AC1684" s="59"/>
      <c r="AD1684" s="59"/>
      <c r="AE1684" s="59">
        <v>3201.6564104449753</v>
      </c>
      <c r="AF1684" s="59">
        <v>3245.6258201782166</v>
      </c>
      <c r="AG1684" s="59" t="s">
        <v>62</v>
      </c>
      <c r="AH1684" s="59" t="s">
        <v>78</v>
      </c>
    </row>
    <row r="1685" spans="1:34" x14ac:dyDescent="0.35">
      <c r="A1685" s="58">
        <v>2025</v>
      </c>
      <c r="B1685" s="58">
        <v>9</v>
      </c>
      <c r="C1685">
        <v>9</v>
      </c>
      <c r="D1685" s="58" t="s">
        <v>1505</v>
      </c>
      <c r="E1685" t="s">
        <v>1216</v>
      </c>
      <c r="F1685" s="58" t="s">
        <v>1472</v>
      </c>
      <c r="G1685" t="s">
        <v>1473</v>
      </c>
      <c r="H1685" s="58" t="s">
        <v>1012</v>
      </c>
      <c r="I1685" t="s">
        <v>86</v>
      </c>
      <c r="J1685" s="58" t="s">
        <v>86</v>
      </c>
      <c r="K1685" t="s">
        <v>1429</v>
      </c>
      <c r="L1685" t="s">
        <v>20</v>
      </c>
      <c r="M1685" t="s">
        <v>1430</v>
      </c>
      <c r="N1685" s="59">
        <v>2844</v>
      </c>
      <c r="O1685" s="59">
        <v>55458000</v>
      </c>
      <c r="P1685" s="59">
        <v>0</v>
      </c>
      <c r="Q1685" s="59">
        <v>0</v>
      </c>
      <c r="R1685" s="59">
        <v>0</v>
      </c>
      <c r="S1685" s="59">
        <v>55458000</v>
      </c>
      <c r="T1685" s="59"/>
      <c r="U1685" s="59"/>
      <c r="V1685" s="59"/>
      <c r="W1685" s="59"/>
      <c r="X1685" s="59"/>
      <c r="Y1685" s="59"/>
      <c r="Z1685" s="59"/>
      <c r="AA1685" s="59"/>
      <c r="AB1685" s="59"/>
      <c r="AC1685" s="59"/>
      <c r="AD1685" s="59"/>
      <c r="AE1685" s="59">
        <v>2115.8703543374891</v>
      </c>
      <c r="AF1685" s="59">
        <v>2115.8703543374891</v>
      </c>
      <c r="AG1685" s="59" t="s">
        <v>1216</v>
      </c>
      <c r="AH1685" s="59" t="s">
        <v>1215</v>
      </c>
    </row>
    <row r="1686" spans="1:34" x14ac:dyDescent="0.35">
      <c r="A1686" s="58">
        <v>2025</v>
      </c>
      <c r="B1686" s="58">
        <v>9</v>
      </c>
      <c r="C1686">
        <v>9</v>
      </c>
      <c r="D1686" s="58" t="s">
        <v>1505</v>
      </c>
      <c r="E1686" t="s">
        <v>1216</v>
      </c>
      <c r="F1686" s="58" t="s">
        <v>1615</v>
      </c>
      <c r="G1686" t="s">
        <v>1616</v>
      </c>
      <c r="H1686" s="58" t="s">
        <v>1012</v>
      </c>
      <c r="I1686" t="s">
        <v>86</v>
      </c>
      <c r="J1686" s="58" t="s">
        <v>86</v>
      </c>
      <c r="K1686" t="s">
        <v>1429</v>
      </c>
      <c r="L1686" t="s">
        <v>20</v>
      </c>
      <c r="M1686" t="s">
        <v>1430</v>
      </c>
      <c r="N1686" s="59">
        <v>4750</v>
      </c>
      <c r="O1686" s="59">
        <v>90250000</v>
      </c>
      <c r="P1686" s="59">
        <v>0</v>
      </c>
      <c r="Q1686" s="59">
        <v>0</v>
      </c>
      <c r="R1686" s="59">
        <v>0</v>
      </c>
      <c r="S1686" s="59">
        <v>90250000</v>
      </c>
      <c r="T1686" s="59"/>
      <c r="U1686" s="59"/>
      <c r="V1686" s="59"/>
      <c r="W1686" s="59"/>
      <c r="X1686" s="59"/>
      <c r="Y1686" s="59"/>
      <c r="Z1686" s="59"/>
      <c r="AA1686" s="59"/>
      <c r="AB1686" s="59"/>
      <c r="AC1686" s="59"/>
      <c r="AD1686" s="59"/>
      <c r="AE1686" s="59">
        <v>3443.2777864141945</v>
      </c>
      <c r="AF1686" s="59">
        <v>3443.2777864141945</v>
      </c>
      <c r="AG1686" s="59" t="s">
        <v>1216</v>
      </c>
      <c r="AH1686" s="59" t="s">
        <v>1230</v>
      </c>
    </row>
    <row r="1687" spans="1:34" x14ac:dyDescent="0.35">
      <c r="A1687" s="58">
        <v>2025</v>
      </c>
      <c r="B1687" s="58">
        <v>9</v>
      </c>
      <c r="C1687">
        <v>9</v>
      </c>
      <c r="D1687" s="58" t="s">
        <v>595</v>
      </c>
      <c r="E1687" t="s">
        <v>478</v>
      </c>
      <c r="F1687" s="58" t="s">
        <v>184</v>
      </c>
      <c r="G1687" t="s">
        <v>717</v>
      </c>
      <c r="H1687" s="58" t="s">
        <v>1428</v>
      </c>
      <c r="I1687" t="s">
        <v>75</v>
      </c>
      <c r="J1687" s="58" t="s">
        <v>75</v>
      </c>
      <c r="K1687" t="s">
        <v>1429</v>
      </c>
      <c r="L1687" t="s">
        <v>20</v>
      </c>
      <c r="M1687" t="s">
        <v>1430</v>
      </c>
      <c r="N1687" s="59">
        <v>77000</v>
      </c>
      <c r="O1687" s="59">
        <v>2759890980</v>
      </c>
      <c r="P1687" s="59">
        <v>0</v>
      </c>
      <c r="Q1687" s="59">
        <v>0</v>
      </c>
      <c r="R1687" s="59">
        <v>0</v>
      </c>
      <c r="S1687" s="59">
        <v>2759890980</v>
      </c>
      <c r="T1687" s="59"/>
      <c r="U1687" s="59"/>
      <c r="V1687" s="59"/>
      <c r="W1687" s="59"/>
      <c r="X1687" s="59"/>
      <c r="Y1687" s="59"/>
      <c r="Z1687" s="59"/>
      <c r="AA1687" s="59"/>
      <c r="AB1687" s="59"/>
      <c r="AC1687" s="59"/>
      <c r="AD1687" s="59"/>
      <c r="AE1687" s="59">
        <v>105297.18896796567</v>
      </c>
      <c r="AF1687" s="59">
        <v>105297.18896796567</v>
      </c>
      <c r="AG1687" s="59" t="s">
        <v>5</v>
      </c>
      <c r="AH1687" s="59" t="s">
        <v>1198</v>
      </c>
    </row>
    <row r="1688" spans="1:34" x14ac:dyDescent="0.35">
      <c r="A1688" s="58">
        <v>2025</v>
      </c>
      <c r="B1688" s="58">
        <v>9</v>
      </c>
      <c r="C1688">
        <v>9</v>
      </c>
      <c r="D1688" s="58" t="s">
        <v>595</v>
      </c>
      <c r="E1688" t="s">
        <v>478</v>
      </c>
      <c r="F1688" s="58" t="s">
        <v>187</v>
      </c>
      <c r="G1688" t="s">
        <v>869</v>
      </c>
      <c r="H1688" s="58" t="s">
        <v>1428</v>
      </c>
      <c r="I1688" t="s">
        <v>75</v>
      </c>
      <c r="J1688" s="58" t="s">
        <v>75</v>
      </c>
      <c r="K1688" t="s">
        <v>1429</v>
      </c>
      <c r="L1688" t="s">
        <v>20</v>
      </c>
      <c r="M1688" t="s">
        <v>1430</v>
      </c>
      <c r="N1688" s="59">
        <v>5500</v>
      </c>
      <c r="O1688" s="59">
        <v>187135465</v>
      </c>
      <c r="P1688" s="59">
        <v>0</v>
      </c>
      <c r="Q1688" s="59">
        <v>0</v>
      </c>
      <c r="R1688" s="59">
        <v>0</v>
      </c>
      <c r="S1688" s="59">
        <v>187135465</v>
      </c>
      <c r="T1688" s="59"/>
      <c r="U1688" s="59"/>
      <c r="V1688" s="59"/>
      <c r="W1688" s="59"/>
      <c r="X1688" s="59"/>
      <c r="Y1688" s="59"/>
      <c r="Z1688" s="59"/>
      <c r="AA1688" s="59"/>
      <c r="AB1688" s="59"/>
      <c r="AC1688" s="59"/>
      <c r="AD1688" s="59"/>
      <c r="AE1688" s="59">
        <v>7139.7162291943596</v>
      </c>
      <c r="AF1688" s="59">
        <v>7139.7162291943596</v>
      </c>
      <c r="AG1688" s="59" t="s">
        <v>5</v>
      </c>
      <c r="AH1688" s="59" t="s">
        <v>1203</v>
      </c>
    </row>
    <row r="1689" spans="1:34" x14ac:dyDescent="0.35">
      <c r="A1689" s="58">
        <v>2025</v>
      </c>
      <c r="B1689" s="58">
        <v>9</v>
      </c>
      <c r="C1689">
        <v>9</v>
      </c>
      <c r="D1689" s="58" t="s">
        <v>595</v>
      </c>
      <c r="E1689" t="s">
        <v>478</v>
      </c>
      <c r="F1689" s="58" t="s">
        <v>188</v>
      </c>
      <c r="G1689" t="s">
        <v>872</v>
      </c>
      <c r="H1689" s="58" t="s">
        <v>1428</v>
      </c>
      <c r="I1689" t="s">
        <v>75</v>
      </c>
      <c r="J1689" s="58" t="s">
        <v>75</v>
      </c>
      <c r="K1689" t="s">
        <v>1429</v>
      </c>
      <c r="L1689" t="s">
        <v>20</v>
      </c>
      <c r="M1689" t="s">
        <v>1430</v>
      </c>
      <c r="N1689" s="59">
        <v>33000</v>
      </c>
      <c r="O1689" s="59">
        <v>1122812791</v>
      </c>
      <c r="P1689" s="59">
        <v>0</v>
      </c>
      <c r="Q1689" s="59">
        <v>0</v>
      </c>
      <c r="R1689" s="59">
        <v>0</v>
      </c>
      <c r="S1689" s="59">
        <v>1122812791</v>
      </c>
      <c r="T1689" s="59"/>
      <c r="U1689" s="59"/>
      <c r="V1689" s="59"/>
      <c r="W1689" s="59"/>
      <c r="X1689" s="59"/>
      <c r="Y1689" s="59"/>
      <c r="Z1689" s="59"/>
      <c r="AA1689" s="59"/>
      <c r="AB1689" s="59"/>
      <c r="AC1689" s="59"/>
      <c r="AD1689" s="59"/>
      <c r="AE1689" s="59">
        <v>42838.297413318818</v>
      </c>
      <c r="AF1689" s="59">
        <v>42838.297413318818</v>
      </c>
      <c r="AG1689" s="59" t="s">
        <v>5</v>
      </c>
      <c r="AH1689" s="59" t="s">
        <v>1204</v>
      </c>
    </row>
    <row r="1690" spans="1:34" x14ac:dyDescent="0.35">
      <c r="A1690" s="58">
        <v>2025</v>
      </c>
      <c r="B1690" s="58">
        <v>9</v>
      </c>
      <c r="C1690">
        <v>9</v>
      </c>
      <c r="D1690" s="58" t="s">
        <v>595</v>
      </c>
      <c r="E1690" t="s">
        <v>478</v>
      </c>
      <c r="F1690" s="58" t="s">
        <v>191</v>
      </c>
      <c r="G1690" t="s">
        <v>941</v>
      </c>
      <c r="H1690" s="58" t="s">
        <v>1428</v>
      </c>
      <c r="I1690" t="s">
        <v>75</v>
      </c>
      <c r="J1690" s="58" t="s">
        <v>75</v>
      </c>
      <c r="K1690" t="s">
        <v>1429</v>
      </c>
      <c r="L1690" t="s">
        <v>20</v>
      </c>
      <c r="M1690" t="s">
        <v>1430</v>
      </c>
      <c r="N1690" s="59">
        <v>22000</v>
      </c>
      <c r="O1690" s="59">
        <v>788540284</v>
      </c>
      <c r="P1690" s="59">
        <v>0</v>
      </c>
      <c r="Q1690" s="59">
        <v>0</v>
      </c>
      <c r="R1690" s="59">
        <v>0</v>
      </c>
      <c r="S1690" s="59">
        <v>788540284</v>
      </c>
      <c r="T1690" s="59"/>
      <c r="U1690" s="59"/>
      <c r="V1690" s="59"/>
      <c r="W1690" s="59"/>
      <c r="X1690" s="59"/>
      <c r="Y1690" s="59"/>
      <c r="Z1690" s="59"/>
      <c r="AA1690" s="59"/>
      <c r="AB1690" s="59"/>
      <c r="AC1690" s="59"/>
      <c r="AD1690" s="59"/>
      <c r="AE1690" s="59">
        <v>30084.911286315128</v>
      </c>
      <c r="AF1690" s="59">
        <v>30084.911286315128</v>
      </c>
      <c r="AG1690" s="59" t="s">
        <v>5</v>
      </c>
      <c r="AH1690" s="59" t="s">
        <v>1208</v>
      </c>
    </row>
    <row r="1691" spans="1:34" x14ac:dyDescent="0.35">
      <c r="A1691" s="58">
        <v>2025</v>
      </c>
      <c r="B1691" s="58">
        <v>9</v>
      </c>
      <c r="C1691">
        <v>9</v>
      </c>
      <c r="D1691" s="58" t="s">
        <v>1518</v>
      </c>
      <c r="E1691" t="s">
        <v>1172</v>
      </c>
      <c r="F1691" s="58" t="s">
        <v>784</v>
      </c>
      <c r="G1691" t="s">
        <v>785</v>
      </c>
      <c r="H1691" s="58" t="s">
        <v>4</v>
      </c>
      <c r="I1691" t="s">
        <v>4</v>
      </c>
      <c r="J1691" s="58" t="s">
        <v>4</v>
      </c>
      <c r="K1691" t="s">
        <v>1429</v>
      </c>
      <c r="L1691" t="s">
        <v>20</v>
      </c>
      <c r="M1691" t="s">
        <v>1430</v>
      </c>
      <c r="N1691" s="59">
        <v>100</v>
      </c>
      <c r="O1691" s="59">
        <v>3362500</v>
      </c>
      <c r="P1691" s="59">
        <v>0</v>
      </c>
      <c r="Q1691" s="59">
        <v>0</v>
      </c>
      <c r="R1691" s="59">
        <v>0</v>
      </c>
      <c r="S1691" s="59">
        <v>3362500</v>
      </c>
      <c r="T1691" s="59"/>
      <c r="U1691" s="59"/>
      <c r="V1691" s="59"/>
      <c r="W1691" s="59"/>
      <c r="X1691" s="59"/>
      <c r="Y1691" s="59"/>
      <c r="Z1691" s="59"/>
      <c r="AA1691" s="59"/>
      <c r="AB1691" s="59"/>
      <c r="AC1691" s="59"/>
      <c r="AD1691" s="59"/>
      <c r="AE1691" s="59">
        <v>128.28832749936541</v>
      </c>
      <c r="AF1691" s="59">
        <v>128.28832749936541</v>
      </c>
      <c r="AG1691" s="59" t="s">
        <v>1172</v>
      </c>
      <c r="AH1691" s="59" t="s">
        <v>1186</v>
      </c>
    </row>
    <row r="1692" spans="1:34" x14ac:dyDescent="0.35">
      <c r="A1692" s="58">
        <v>2025</v>
      </c>
      <c r="B1692" s="58">
        <v>9</v>
      </c>
      <c r="C1692">
        <v>9</v>
      </c>
      <c r="D1692" s="58" t="s">
        <v>684</v>
      </c>
      <c r="E1692" t="s">
        <v>63</v>
      </c>
      <c r="F1692" s="58" t="s">
        <v>219</v>
      </c>
      <c r="G1692" t="s">
        <v>983</v>
      </c>
      <c r="H1692" s="58" t="s">
        <v>21</v>
      </c>
      <c r="I1692" t="s">
        <v>21</v>
      </c>
      <c r="J1692" s="58" t="s">
        <v>21</v>
      </c>
      <c r="K1692" t="s">
        <v>1429</v>
      </c>
      <c r="L1692" t="s">
        <v>20</v>
      </c>
      <c r="M1692" t="s">
        <v>1430</v>
      </c>
      <c r="N1692" s="59">
        <v>5000</v>
      </c>
      <c r="O1692" s="59">
        <v>100000000</v>
      </c>
      <c r="P1692" s="59">
        <v>0</v>
      </c>
      <c r="Q1692" s="59">
        <v>0</v>
      </c>
      <c r="R1692" s="59">
        <v>0</v>
      </c>
      <c r="S1692" s="59">
        <v>100000000</v>
      </c>
      <c r="T1692" s="59"/>
      <c r="U1692" s="59"/>
      <c r="V1692" s="59"/>
      <c r="W1692" s="59"/>
      <c r="X1692" s="59"/>
      <c r="Y1692" s="59"/>
      <c r="Z1692" s="59"/>
      <c r="AA1692" s="59"/>
      <c r="AB1692" s="59"/>
      <c r="AC1692" s="59"/>
      <c r="AD1692" s="59"/>
      <c r="AE1692" s="59">
        <v>3815.2662453342873</v>
      </c>
      <c r="AF1692" s="59">
        <v>3815.2662453342873</v>
      </c>
      <c r="AG1692" s="59" t="s">
        <v>63</v>
      </c>
      <c r="AH1692" s="59" t="s">
        <v>1362</v>
      </c>
    </row>
    <row r="1693" spans="1:34" x14ac:dyDescent="0.35">
      <c r="A1693" s="58">
        <v>2025</v>
      </c>
      <c r="B1693" s="58">
        <v>9</v>
      </c>
      <c r="C1693">
        <v>9</v>
      </c>
      <c r="D1693" s="58" t="s">
        <v>606</v>
      </c>
      <c r="E1693" t="s">
        <v>325</v>
      </c>
      <c r="F1693" s="58" t="s">
        <v>168</v>
      </c>
      <c r="G1693" t="s">
        <v>700</v>
      </c>
      <c r="H1693" s="58" t="s">
        <v>4</v>
      </c>
      <c r="I1693" t="s">
        <v>4</v>
      </c>
      <c r="J1693" s="58" t="s">
        <v>4</v>
      </c>
      <c r="K1693" t="s">
        <v>1429</v>
      </c>
      <c r="L1693" t="s">
        <v>20</v>
      </c>
      <c r="M1693" t="s">
        <v>1430</v>
      </c>
      <c r="N1693" s="59">
        <v>110000</v>
      </c>
      <c r="O1693" s="59">
        <v>3869635000</v>
      </c>
      <c r="P1693" s="59">
        <v>16463711.425873468</v>
      </c>
      <c r="Q1693" s="59">
        <v>0</v>
      </c>
      <c r="R1693" s="59">
        <v>15400000</v>
      </c>
      <c r="S1693" s="59">
        <v>3780163188.5741262</v>
      </c>
      <c r="T1693" s="59"/>
      <c r="U1693" s="59"/>
      <c r="V1693" s="59"/>
      <c r="W1693" s="59"/>
      <c r="X1693" s="59"/>
      <c r="Y1693" s="59"/>
      <c r="Z1693" s="59"/>
      <c r="AA1693" s="59"/>
      <c r="AB1693" s="59"/>
      <c r="AC1693" s="59"/>
      <c r="AD1693" s="59"/>
      <c r="AE1693" s="59">
        <v>144223.29015222093</v>
      </c>
      <c r="AF1693" s="59">
        <v>147636.87797264144</v>
      </c>
      <c r="AG1693" s="59" t="s">
        <v>8</v>
      </c>
      <c r="AH1693" s="59" t="s">
        <v>1160</v>
      </c>
    </row>
    <row r="1694" spans="1:34" x14ac:dyDescent="0.35">
      <c r="A1694" s="58">
        <v>2025</v>
      </c>
      <c r="B1694" s="58">
        <v>9</v>
      </c>
      <c r="C1694">
        <v>9</v>
      </c>
      <c r="D1694" s="58" t="s">
        <v>610</v>
      </c>
      <c r="E1694" t="s">
        <v>44</v>
      </c>
      <c r="F1694" s="58" t="s">
        <v>186</v>
      </c>
      <c r="G1694" t="s">
        <v>781</v>
      </c>
      <c r="H1694" s="58" t="s">
        <v>1428</v>
      </c>
      <c r="I1694" t="s">
        <v>75</v>
      </c>
      <c r="J1694" s="58" t="s">
        <v>75</v>
      </c>
      <c r="K1694" t="s">
        <v>1429</v>
      </c>
      <c r="L1694" t="s">
        <v>20</v>
      </c>
      <c r="M1694" t="s">
        <v>1430</v>
      </c>
      <c r="N1694" s="59">
        <v>33000</v>
      </c>
      <c r="O1694" s="59">
        <v>1070358300</v>
      </c>
      <c r="P1694" s="59">
        <v>0</v>
      </c>
      <c r="Q1694" s="59">
        <v>0</v>
      </c>
      <c r="R1694" s="59">
        <v>0</v>
      </c>
      <c r="S1694" s="59">
        <v>1070358300</v>
      </c>
      <c r="T1694" s="59"/>
      <c r="U1694" s="59"/>
      <c r="V1694" s="59"/>
      <c r="W1694" s="59"/>
      <c r="X1694" s="59"/>
      <c r="Y1694" s="59"/>
      <c r="Z1694" s="59"/>
      <c r="AA1694" s="59"/>
      <c r="AB1694" s="59"/>
      <c r="AC1694" s="59"/>
      <c r="AD1694" s="59"/>
      <c r="AE1694" s="59">
        <v>40837.018924033902</v>
      </c>
      <c r="AF1694" s="59">
        <v>40837.018924033902</v>
      </c>
      <c r="AG1694" s="59" t="s">
        <v>44</v>
      </c>
      <c r="AH1694" s="59" t="s">
        <v>1202</v>
      </c>
    </row>
    <row r="1695" spans="1:34" x14ac:dyDescent="0.35">
      <c r="A1695" s="58">
        <v>2025</v>
      </c>
      <c r="B1695" s="58">
        <v>9</v>
      </c>
      <c r="C1695">
        <v>9</v>
      </c>
      <c r="D1695" s="58" t="s">
        <v>624</v>
      </c>
      <c r="E1695" t="s">
        <v>272</v>
      </c>
      <c r="F1695" s="58" t="s">
        <v>172</v>
      </c>
      <c r="G1695" t="s">
        <v>734</v>
      </c>
      <c r="H1695" s="58" t="s">
        <v>4</v>
      </c>
      <c r="I1695" t="s">
        <v>4</v>
      </c>
      <c r="J1695" s="58" t="s">
        <v>4</v>
      </c>
      <c r="K1695" t="s">
        <v>1429</v>
      </c>
      <c r="L1695" t="s">
        <v>20</v>
      </c>
      <c r="M1695" t="s">
        <v>1430</v>
      </c>
      <c r="N1695" s="59">
        <v>3300</v>
      </c>
      <c r="O1695" s="59">
        <v>110632821</v>
      </c>
      <c r="P1695" s="59">
        <v>493911.34277620399</v>
      </c>
      <c r="Q1695" s="59">
        <v>0</v>
      </c>
      <c r="R1695" s="59">
        <v>0</v>
      </c>
      <c r="S1695" s="59">
        <v>110138909.65722379</v>
      </c>
      <c r="T1695" s="59"/>
      <c r="U1695" s="59"/>
      <c r="V1695" s="59"/>
      <c r="W1695" s="59"/>
      <c r="X1695" s="59"/>
      <c r="Y1695" s="59"/>
      <c r="Z1695" s="59"/>
      <c r="AA1695" s="59"/>
      <c r="AB1695" s="59"/>
      <c r="AC1695" s="59"/>
      <c r="AD1695" s="59"/>
      <c r="AE1695" s="59">
        <v>4202.0926431312855</v>
      </c>
      <c r="AF1695" s="59">
        <v>4220.9366758741035</v>
      </c>
      <c r="AG1695" s="59" t="s">
        <v>103</v>
      </c>
      <c r="AH1695" s="59" t="s">
        <v>1175</v>
      </c>
    </row>
    <row r="1696" spans="1:34" x14ac:dyDescent="0.35">
      <c r="A1696" s="58">
        <v>2025</v>
      </c>
      <c r="B1696" s="58">
        <v>9</v>
      </c>
      <c r="C1696">
        <v>9</v>
      </c>
      <c r="D1696" s="58" t="s">
        <v>594</v>
      </c>
      <c r="E1696" t="s">
        <v>267</v>
      </c>
      <c r="F1696" s="58" t="s">
        <v>182</v>
      </c>
      <c r="G1696" t="s">
        <v>905</v>
      </c>
      <c r="H1696" s="58" t="s">
        <v>74</v>
      </c>
      <c r="I1696" t="s">
        <v>74</v>
      </c>
      <c r="J1696" s="58" t="s">
        <v>74</v>
      </c>
      <c r="K1696" t="s">
        <v>1429</v>
      </c>
      <c r="L1696" t="s">
        <v>20</v>
      </c>
      <c r="M1696" t="s">
        <v>1430</v>
      </c>
      <c r="N1696" s="59">
        <v>177450</v>
      </c>
      <c r="O1696" s="59">
        <v>3158610000</v>
      </c>
      <c r="P1696" s="59">
        <v>27823672.309726156</v>
      </c>
      <c r="Q1696" s="59">
        <v>0</v>
      </c>
      <c r="R1696" s="59">
        <v>0</v>
      </c>
      <c r="S1696" s="59">
        <v>3130786327.6902742</v>
      </c>
      <c r="T1696" s="59"/>
      <c r="U1696" s="59"/>
      <c r="V1696" s="59"/>
      <c r="W1696" s="59"/>
      <c r="X1696" s="59"/>
      <c r="Y1696" s="59"/>
      <c r="Z1696" s="59"/>
      <c r="AA1696" s="59"/>
      <c r="AB1696" s="59"/>
      <c r="AC1696" s="59"/>
      <c r="AD1696" s="59"/>
      <c r="AE1696" s="59">
        <v>119447.83397390794</v>
      </c>
      <c r="AF1696" s="59">
        <v>120509.38115175333</v>
      </c>
      <c r="AG1696" s="59" t="s">
        <v>22</v>
      </c>
      <c r="AH1696" s="59" t="s">
        <v>1242</v>
      </c>
    </row>
    <row r="1697" spans="1:34" x14ac:dyDescent="0.35">
      <c r="A1697" s="58">
        <v>2025</v>
      </c>
      <c r="B1697" s="58">
        <v>9</v>
      </c>
      <c r="C1697">
        <v>9</v>
      </c>
      <c r="D1697" s="58" t="s">
        <v>594</v>
      </c>
      <c r="E1697" t="s">
        <v>267</v>
      </c>
      <c r="F1697" s="58" t="s">
        <v>182</v>
      </c>
      <c r="G1697" t="s">
        <v>905</v>
      </c>
      <c r="H1697" s="58" t="s">
        <v>74</v>
      </c>
      <c r="I1697" t="s">
        <v>74</v>
      </c>
      <c r="J1697" s="58" t="s">
        <v>74</v>
      </c>
      <c r="K1697" t="s">
        <v>20</v>
      </c>
      <c r="L1697" t="s">
        <v>20</v>
      </c>
      <c r="M1697" t="s">
        <v>1431</v>
      </c>
      <c r="N1697" s="59">
        <v>-1050</v>
      </c>
      <c r="O1697" s="59">
        <v>-38855250</v>
      </c>
      <c r="P1697" s="59">
        <v>-164637.11425873465</v>
      </c>
      <c r="Q1697" s="59">
        <v>0</v>
      </c>
      <c r="R1697" s="59">
        <v>0</v>
      </c>
      <c r="S1697" s="59">
        <v>-38690612.885741264</v>
      </c>
      <c r="T1697" s="59"/>
      <c r="U1697" s="59"/>
      <c r="V1697" s="59"/>
      <c r="W1697" s="59"/>
      <c r="X1697" s="59"/>
      <c r="Y1697" s="59"/>
      <c r="Z1697" s="59"/>
      <c r="AA1697" s="59"/>
      <c r="AB1697" s="59"/>
      <c r="AC1697" s="59"/>
      <c r="AD1697" s="59"/>
      <c r="AE1697" s="59">
        <v>-1476.1498935426448</v>
      </c>
      <c r="AF1697" s="59">
        <v>-1482.4312377902506</v>
      </c>
      <c r="AG1697" s="59" t="s">
        <v>22</v>
      </c>
      <c r="AH1697" s="59" t="s">
        <v>1242</v>
      </c>
    </row>
    <row r="1698" spans="1:34" x14ac:dyDescent="0.35">
      <c r="A1698" s="58">
        <v>2025</v>
      </c>
      <c r="B1698" s="58">
        <v>9</v>
      </c>
      <c r="C1698">
        <v>9</v>
      </c>
      <c r="D1698" s="58" t="s">
        <v>594</v>
      </c>
      <c r="E1698" t="s">
        <v>267</v>
      </c>
      <c r="F1698" s="58" t="s">
        <v>182</v>
      </c>
      <c r="G1698" t="s">
        <v>905</v>
      </c>
      <c r="H1698" s="58" t="s">
        <v>74</v>
      </c>
      <c r="I1698" t="s">
        <v>74</v>
      </c>
      <c r="J1698" s="58" t="s">
        <v>74</v>
      </c>
      <c r="K1698" t="s">
        <v>20</v>
      </c>
      <c r="L1698" t="s">
        <v>20</v>
      </c>
      <c r="M1698" t="s">
        <v>1432</v>
      </c>
      <c r="N1698" s="59">
        <v>1050</v>
      </c>
      <c r="O1698" s="59">
        <v>38855250</v>
      </c>
      <c r="P1698" s="59">
        <v>329274.22851746931</v>
      </c>
      <c r="Q1698" s="59">
        <v>0</v>
      </c>
      <c r="R1698" s="59">
        <v>0</v>
      </c>
      <c r="S1698" s="59">
        <v>38525975.771482527</v>
      </c>
      <c r="T1698" s="59"/>
      <c r="U1698" s="59"/>
      <c r="V1698" s="59"/>
      <c r="W1698" s="59"/>
      <c r="X1698" s="59"/>
      <c r="Y1698" s="59"/>
      <c r="Z1698" s="59"/>
      <c r="AA1698" s="59"/>
      <c r="AB1698" s="59"/>
      <c r="AC1698" s="59"/>
      <c r="AD1698" s="59"/>
      <c r="AE1698" s="59">
        <v>1469.8685492950387</v>
      </c>
      <c r="AF1698" s="59">
        <v>1482.4312377902506</v>
      </c>
      <c r="AG1698" s="59" t="s">
        <v>22</v>
      </c>
      <c r="AH1698" s="59" t="s">
        <v>1242</v>
      </c>
    </row>
    <row r="1699" spans="1:34" x14ac:dyDescent="0.35">
      <c r="A1699" s="58">
        <v>2025</v>
      </c>
      <c r="B1699" s="58">
        <v>9</v>
      </c>
      <c r="C1699">
        <v>9</v>
      </c>
      <c r="D1699" s="58" t="s">
        <v>1558</v>
      </c>
      <c r="E1699" t="s">
        <v>1223</v>
      </c>
      <c r="F1699" s="58" t="s">
        <v>841</v>
      </c>
      <c r="G1699" t="s">
        <v>842</v>
      </c>
      <c r="H1699" s="58" t="s">
        <v>1012</v>
      </c>
      <c r="I1699" t="s">
        <v>86</v>
      </c>
      <c r="J1699" s="58" t="s">
        <v>86</v>
      </c>
      <c r="K1699" t="s">
        <v>1429</v>
      </c>
      <c r="L1699" t="s">
        <v>20</v>
      </c>
      <c r="M1699" t="s">
        <v>1430</v>
      </c>
      <c r="N1699" s="59">
        <v>20801</v>
      </c>
      <c r="O1699" s="59">
        <v>94374908</v>
      </c>
      <c r="P1699" s="59">
        <v>0</v>
      </c>
      <c r="Q1699" s="59">
        <v>0</v>
      </c>
      <c r="R1699" s="59">
        <v>0</v>
      </c>
      <c r="S1699" s="59">
        <v>94374908</v>
      </c>
      <c r="T1699" s="59"/>
      <c r="U1699" s="59"/>
      <c r="V1699" s="59"/>
      <c r="W1699" s="59"/>
      <c r="X1699" s="59"/>
      <c r="Y1699" s="59"/>
      <c r="Z1699" s="59"/>
      <c r="AA1699" s="59"/>
      <c r="AB1699" s="59"/>
      <c r="AC1699" s="59"/>
      <c r="AD1699" s="59"/>
      <c r="AE1699" s="59">
        <v>3600.6540089892878</v>
      </c>
      <c r="AF1699" s="59">
        <v>3600.6540089892878</v>
      </c>
      <c r="AG1699" s="59" t="s">
        <v>1223</v>
      </c>
      <c r="AH1699" s="59" t="s">
        <v>1222</v>
      </c>
    </row>
    <row r="1700" spans="1:34" x14ac:dyDescent="0.35">
      <c r="A1700" s="58">
        <v>2025</v>
      </c>
      <c r="B1700" s="58">
        <v>9</v>
      </c>
      <c r="C1700">
        <v>9</v>
      </c>
      <c r="D1700" s="58" t="s">
        <v>1558</v>
      </c>
      <c r="E1700" t="s">
        <v>1223</v>
      </c>
      <c r="F1700" s="58" t="s">
        <v>843</v>
      </c>
      <c r="G1700" t="s">
        <v>844</v>
      </c>
      <c r="H1700" s="58" t="s">
        <v>1012</v>
      </c>
      <c r="I1700" t="s">
        <v>86</v>
      </c>
      <c r="J1700" s="58" t="s">
        <v>86</v>
      </c>
      <c r="K1700" t="s">
        <v>1429</v>
      </c>
      <c r="L1700" t="s">
        <v>20</v>
      </c>
      <c r="M1700" t="s">
        <v>1430</v>
      </c>
      <c r="N1700" s="59">
        <v>17893</v>
      </c>
      <c r="O1700" s="59">
        <v>81181203</v>
      </c>
      <c r="P1700" s="59">
        <v>0</v>
      </c>
      <c r="Q1700" s="59">
        <v>0</v>
      </c>
      <c r="R1700" s="59">
        <v>0</v>
      </c>
      <c r="S1700" s="59">
        <v>81181203</v>
      </c>
      <c r="T1700" s="59"/>
      <c r="U1700" s="59"/>
      <c r="V1700" s="59"/>
      <c r="W1700" s="59"/>
      <c r="X1700" s="59"/>
      <c r="Y1700" s="59"/>
      <c r="Z1700" s="59"/>
      <c r="AA1700" s="59"/>
      <c r="AB1700" s="59"/>
      <c r="AC1700" s="59"/>
      <c r="AD1700" s="59"/>
      <c r="AE1700" s="59">
        <v>3097.2790356153055</v>
      </c>
      <c r="AF1700" s="59">
        <v>3097.2790356153055</v>
      </c>
      <c r="AG1700" s="59" t="s">
        <v>1223</v>
      </c>
      <c r="AH1700" s="59" t="s">
        <v>1224</v>
      </c>
    </row>
    <row r="1701" spans="1:34" x14ac:dyDescent="0.35">
      <c r="A1701" s="58">
        <v>2025</v>
      </c>
      <c r="B1701" s="58">
        <v>9</v>
      </c>
      <c r="C1701">
        <v>9</v>
      </c>
      <c r="D1701" s="58" t="s">
        <v>1558</v>
      </c>
      <c r="E1701" t="s">
        <v>1223</v>
      </c>
      <c r="F1701" s="58" t="s">
        <v>845</v>
      </c>
      <c r="G1701" t="s">
        <v>846</v>
      </c>
      <c r="H1701" s="58" t="s">
        <v>1012</v>
      </c>
      <c r="I1701" t="s">
        <v>86</v>
      </c>
      <c r="J1701" s="58" t="s">
        <v>86</v>
      </c>
      <c r="K1701" t="s">
        <v>1429</v>
      </c>
      <c r="L1701" t="s">
        <v>20</v>
      </c>
      <c r="M1701" t="s">
        <v>1430</v>
      </c>
      <c r="N1701" s="59">
        <v>7166</v>
      </c>
      <c r="O1701" s="59">
        <v>32512407</v>
      </c>
      <c r="P1701" s="59">
        <v>0</v>
      </c>
      <c r="Q1701" s="59">
        <v>0</v>
      </c>
      <c r="R1701" s="59">
        <v>0</v>
      </c>
      <c r="S1701" s="59">
        <v>32512407</v>
      </c>
      <c r="T1701" s="59"/>
      <c r="U1701" s="59"/>
      <c r="V1701" s="59"/>
      <c r="W1701" s="59"/>
      <c r="X1701" s="59"/>
      <c r="Y1701" s="59"/>
      <c r="Z1701" s="59"/>
      <c r="AA1701" s="59"/>
      <c r="AB1701" s="59"/>
      <c r="AC1701" s="59"/>
      <c r="AD1701" s="59"/>
      <c r="AE1701" s="59">
        <v>1240.434889816702</v>
      </c>
      <c r="AF1701" s="59">
        <v>1240.434889816702</v>
      </c>
      <c r="AG1701" s="59" t="s">
        <v>1223</v>
      </c>
      <c r="AH1701" s="59" t="s">
        <v>1225</v>
      </c>
    </row>
    <row r="1702" spans="1:34" x14ac:dyDescent="0.35">
      <c r="A1702" s="58">
        <v>2025</v>
      </c>
      <c r="B1702" s="58">
        <v>9</v>
      </c>
      <c r="C1702">
        <v>9</v>
      </c>
      <c r="D1702" s="58" t="s">
        <v>1558</v>
      </c>
      <c r="E1702" t="s">
        <v>1223</v>
      </c>
      <c r="F1702" s="58" t="s">
        <v>847</v>
      </c>
      <c r="G1702" t="s">
        <v>848</v>
      </c>
      <c r="H1702" s="58" t="s">
        <v>1012</v>
      </c>
      <c r="I1702" t="s">
        <v>86</v>
      </c>
      <c r="J1702" s="58" t="s">
        <v>86</v>
      </c>
      <c r="K1702" t="s">
        <v>1429</v>
      </c>
      <c r="L1702" t="s">
        <v>20</v>
      </c>
      <c r="M1702" t="s">
        <v>1430</v>
      </c>
      <c r="N1702" s="59">
        <v>22234</v>
      </c>
      <c r="O1702" s="59">
        <v>100876481</v>
      </c>
      <c r="P1702" s="59">
        <v>0</v>
      </c>
      <c r="Q1702" s="59">
        <v>0</v>
      </c>
      <c r="R1702" s="59">
        <v>0</v>
      </c>
      <c r="S1702" s="59">
        <v>100876481</v>
      </c>
      <c r="T1702" s="59"/>
      <c r="U1702" s="59"/>
      <c r="V1702" s="59"/>
      <c r="W1702" s="59"/>
      <c r="X1702" s="59"/>
      <c r="Y1702" s="59"/>
      <c r="Z1702" s="59"/>
      <c r="AA1702" s="59"/>
      <c r="AB1702" s="59"/>
      <c r="AC1702" s="59"/>
      <c r="AD1702" s="59"/>
      <c r="AE1702" s="59">
        <v>3848.7063290740562</v>
      </c>
      <c r="AF1702" s="59">
        <v>3848.7063290740562</v>
      </c>
      <c r="AG1702" s="59" t="s">
        <v>1223</v>
      </c>
      <c r="AH1702" s="59" t="s">
        <v>1226</v>
      </c>
    </row>
    <row r="1703" spans="1:34" x14ac:dyDescent="0.35">
      <c r="A1703" s="58">
        <v>2025</v>
      </c>
      <c r="B1703" s="58">
        <v>9</v>
      </c>
      <c r="C1703">
        <v>9</v>
      </c>
      <c r="D1703" s="58" t="s">
        <v>652</v>
      </c>
      <c r="E1703" t="s">
        <v>71</v>
      </c>
      <c r="F1703" s="58" t="s">
        <v>173</v>
      </c>
      <c r="G1703" t="s">
        <v>737</v>
      </c>
      <c r="H1703" s="58" t="s">
        <v>4</v>
      </c>
      <c r="I1703" t="s">
        <v>4</v>
      </c>
      <c r="J1703" s="58" t="s">
        <v>4</v>
      </c>
      <c r="K1703" t="s">
        <v>1429</v>
      </c>
      <c r="L1703" t="s">
        <v>20</v>
      </c>
      <c r="M1703" t="s">
        <v>1430</v>
      </c>
      <c r="N1703" s="59">
        <v>3300</v>
      </c>
      <c r="O1703" s="59">
        <v>101242944</v>
      </c>
      <c r="P1703" s="59">
        <v>493911.34277620399</v>
      </c>
      <c r="Q1703" s="59">
        <v>0</v>
      </c>
      <c r="R1703" s="59">
        <v>0</v>
      </c>
      <c r="S1703" s="59">
        <v>100749032.65722379</v>
      </c>
      <c r="T1703" s="59"/>
      <c r="U1703" s="59"/>
      <c r="V1703" s="59"/>
      <c r="W1703" s="59"/>
      <c r="X1703" s="59"/>
      <c r="Y1703" s="59"/>
      <c r="Z1703" s="59"/>
      <c r="AA1703" s="59"/>
      <c r="AB1703" s="59"/>
      <c r="AC1703" s="59"/>
      <c r="AD1703" s="59"/>
      <c r="AE1703" s="59">
        <v>3843.8438354718774</v>
      </c>
      <c r="AF1703" s="59">
        <v>3862.6878682146953</v>
      </c>
      <c r="AG1703" s="59" t="s">
        <v>71</v>
      </c>
      <c r="AH1703" s="59" t="s">
        <v>1183</v>
      </c>
    </row>
    <row r="1704" spans="1:34" x14ac:dyDescent="0.35">
      <c r="A1704" s="58">
        <v>2025</v>
      </c>
      <c r="B1704" s="58">
        <v>9</v>
      </c>
      <c r="C1704">
        <v>9</v>
      </c>
      <c r="D1704" s="58" t="s">
        <v>612</v>
      </c>
      <c r="E1704" t="s">
        <v>321</v>
      </c>
      <c r="F1704" s="58" t="s">
        <v>1152</v>
      </c>
      <c r="G1704" t="s">
        <v>1153</v>
      </c>
      <c r="H1704" s="58" t="s">
        <v>1012</v>
      </c>
      <c r="I1704" t="s">
        <v>1012</v>
      </c>
      <c r="J1704" s="58" t="s">
        <v>1399</v>
      </c>
      <c r="K1704" t="s">
        <v>1429</v>
      </c>
      <c r="L1704" t="s">
        <v>20</v>
      </c>
      <c r="M1704" t="s">
        <v>1430</v>
      </c>
      <c r="N1704" s="59">
        <v>0</v>
      </c>
      <c r="O1704" s="59">
        <v>0</v>
      </c>
      <c r="P1704" s="59">
        <v>0</v>
      </c>
      <c r="Q1704" s="59">
        <v>0</v>
      </c>
      <c r="R1704" s="59">
        <v>14960000</v>
      </c>
      <c r="S1704" s="59">
        <v>-14960000</v>
      </c>
      <c r="T1704" s="59"/>
      <c r="U1704" s="59"/>
      <c r="V1704" s="59"/>
      <c r="W1704" s="59"/>
      <c r="X1704" s="59"/>
      <c r="Y1704" s="59"/>
      <c r="Z1704" s="59"/>
      <c r="AA1704" s="59"/>
      <c r="AB1704" s="59"/>
      <c r="AC1704" s="59"/>
      <c r="AD1704" s="59"/>
      <c r="AE1704" s="59">
        <v>-570.76383030200941</v>
      </c>
      <c r="AF1704" s="59">
        <v>0</v>
      </c>
      <c r="AG1704" s="59" t="s">
        <v>99</v>
      </c>
      <c r="AH1704" s="59" t="s">
        <v>1400</v>
      </c>
    </row>
    <row r="1705" spans="1:34" x14ac:dyDescent="0.35">
      <c r="A1705" s="58">
        <v>2025</v>
      </c>
      <c r="B1705" s="58">
        <v>9</v>
      </c>
      <c r="C1705">
        <v>9</v>
      </c>
      <c r="D1705" s="58" t="s">
        <v>685</v>
      </c>
      <c r="E1705" t="s">
        <v>112</v>
      </c>
      <c r="F1705" s="58" t="s">
        <v>171</v>
      </c>
      <c r="G1705" t="s">
        <v>731</v>
      </c>
      <c r="H1705" s="58" t="s">
        <v>4</v>
      </c>
      <c r="I1705" t="s">
        <v>4</v>
      </c>
      <c r="J1705" s="58" t="s">
        <v>4</v>
      </c>
      <c r="K1705" t="s">
        <v>1429</v>
      </c>
      <c r="L1705" t="s">
        <v>20</v>
      </c>
      <c r="M1705" t="s">
        <v>1430</v>
      </c>
      <c r="N1705" s="59">
        <v>13200</v>
      </c>
      <c r="O1705" s="59">
        <v>425145600</v>
      </c>
      <c r="P1705" s="59">
        <v>1975645.3711048155</v>
      </c>
      <c r="Q1705" s="59">
        <v>0</v>
      </c>
      <c r="R1705" s="59">
        <v>1078000.0000000002</v>
      </c>
      <c r="S1705" s="59">
        <v>422091954.62889516</v>
      </c>
      <c r="T1705" s="59"/>
      <c r="U1705" s="59"/>
      <c r="V1705" s="59"/>
      <c r="W1705" s="59"/>
      <c r="X1705" s="59"/>
      <c r="Y1705" s="59"/>
      <c r="Z1705" s="59"/>
      <c r="AA1705" s="59"/>
      <c r="AB1705" s="59"/>
      <c r="AC1705" s="59"/>
      <c r="AD1705" s="59"/>
      <c r="AE1705" s="59">
        <v>16103.931869227952</v>
      </c>
      <c r="AF1705" s="59">
        <v>16220.436570323929</v>
      </c>
      <c r="AG1705" s="59" t="s">
        <v>112</v>
      </c>
      <c r="AH1705" s="59" t="s">
        <v>1166</v>
      </c>
    </row>
    <row r="1706" spans="1:34" x14ac:dyDescent="0.35">
      <c r="A1706" s="58">
        <v>2025</v>
      </c>
      <c r="B1706" s="58">
        <v>9</v>
      </c>
      <c r="C1706">
        <v>9</v>
      </c>
      <c r="D1706" s="58" t="s">
        <v>1612</v>
      </c>
      <c r="E1706" t="s">
        <v>1213</v>
      </c>
      <c r="F1706" s="58" t="s">
        <v>1613</v>
      </c>
      <c r="G1706" t="s">
        <v>1614</v>
      </c>
      <c r="H1706" s="58" t="s">
        <v>1012</v>
      </c>
      <c r="I1706" t="s">
        <v>86</v>
      </c>
      <c r="J1706" s="58" t="s">
        <v>86</v>
      </c>
      <c r="K1706" t="s">
        <v>1429</v>
      </c>
      <c r="L1706" t="s">
        <v>20</v>
      </c>
      <c r="M1706" t="s">
        <v>1430</v>
      </c>
      <c r="N1706" s="59">
        <v>2022</v>
      </c>
      <c r="O1706" s="59">
        <v>38418000</v>
      </c>
      <c r="P1706" s="59">
        <v>0</v>
      </c>
      <c r="Q1706" s="59">
        <v>0</v>
      </c>
      <c r="R1706" s="59">
        <v>0</v>
      </c>
      <c r="S1706" s="59">
        <v>38418000</v>
      </c>
      <c r="T1706" s="59"/>
      <c r="U1706" s="59"/>
      <c r="V1706" s="59"/>
      <c r="W1706" s="59"/>
      <c r="X1706" s="59"/>
      <c r="Y1706" s="59"/>
      <c r="Z1706" s="59"/>
      <c r="AA1706" s="59"/>
      <c r="AB1706" s="59"/>
      <c r="AC1706" s="59"/>
      <c r="AD1706" s="59"/>
      <c r="AE1706" s="59">
        <v>1465.7489861325266</v>
      </c>
      <c r="AF1706" s="59">
        <v>1465.7489861325266</v>
      </c>
      <c r="AG1706" s="59" t="s">
        <v>1213</v>
      </c>
      <c r="AH1706" s="59" t="s">
        <v>1212</v>
      </c>
    </row>
    <row r="1707" spans="1:34" x14ac:dyDescent="0.35">
      <c r="A1707" s="58">
        <v>2025</v>
      </c>
      <c r="B1707" s="58">
        <v>9</v>
      </c>
      <c r="C1707">
        <v>9</v>
      </c>
      <c r="D1707" s="58" t="s">
        <v>1612</v>
      </c>
      <c r="E1707" t="s">
        <v>1213</v>
      </c>
      <c r="F1707" s="58" t="s">
        <v>1472</v>
      </c>
      <c r="G1707" t="s">
        <v>1473</v>
      </c>
      <c r="H1707" s="58" t="s">
        <v>1012</v>
      </c>
      <c r="I1707" t="s">
        <v>86</v>
      </c>
      <c r="J1707" s="58" t="s">
        <v>86</v>
      </c>
      <c r="K1707" t="s">
        <v>1429</v>
      </c>
      <c r="L1707" t="s">
        <v>20</v>
      </c>
      <c r="M1707" t="s">
        <v>1676</v>
      </c>
      <c r="N1707" s="59">
        <v>-974</v>
      </c>
      <c r="O1707" s="59">
        <v>-18993000</v>
      </c>
      <c r="P1707" s="59">
        <v>0</v>
      </c>
      <c r="Q1707" s="59">
        <v>0</v>
      </c>
      <c r="R1707" s="59">
        <v>0</v>
      </c>
      <c r="S1707" s="59">
        <v>-18993000</v>
      </c>
      <c r="T1707" s="59"/>
      <c r="U1707" s="59"/>
      <c r="V1707" s="59"/>
      <c r="W1707" s="59"/>
      <c r="X1707" s="59"/>
      <c r="Y1707" s="59"/>
      <c r="Z1707" s="59"/>
      <c r="AA1707" s="59"/>
      <c r="AB1707" s="59"/>
      <c r="AC1707" s="59"/>
      <c r="AD1707" s="59"/>
      <c r="AE1707" s="59">
        <v>-724.63351797634118</v>
      </c>
      <c r="AF1707" s="59">
        <v>-724.63351797634118</v>
      </c>
      <c r="AG1707" s="59" t="s">
        <v>1213</v>
      </c>
      <c r="AH1707" s="59" t="s">
        <v>1215</v>
      </c>
    </row>
    <row r="1708" spans="1:34" x14ac:dyDescent="0.35">
      <c r="A1708" s="58">
        <v>2025</v>
      </c>
      <c r="B1708" s="58">
        <v>9</v>
      </c>
      <c r="C1708">
        <v>9</v>
      </c>
      <c r="D1708" s="58" t="s">
        <v>1612</v>
      </c>
      <c r="E1708" t="s">
        <v>1213</v>
      </c>
      <c r="F1708" s="58" t="s">
        <v>1472</v>
      </c>
      <c r="G1708" t="s">
        <v>1473</v>
      </c>
      <c r="H1708" s="58" t="s">
        <v>1012</v>
      </c>
      <c r="I1708" t="s">
        <v>86</v>
      </c>
      <c r="J1708" s="58" t="s">
        <v>86</v>
      </c>
      <c r="K1708" t="s">
        <v>1429</v>
      </c>
      <c r="L1708" t="s">
        <v>20</v>
      </c>
      <c r="M1708" t="s">
        <v>1430</v>
      </c>
      <c r="N1708" s="59">
        <v>1262</v>
      </c>
      <c r="O1708" s="59">
        <v>24609000</v>
      </c>
      <c r="P1708" s="59">
        <v>0</v>
      </c>
      <c r="Q1708" s="59">
        <v>0</v>
      </c>
      <c r="R1708" s="59">
        <v>0</v>
      </c>
      <c r="S1708" s="59">
        <v>24609000</v>
      </c>
      <c r="T1708" s="59"/>
      <c r="U1708" s="59"/>
      <c r="V1708" s="59"/>
      <c r="W1708" s="59"/>
      <c r="X1708" s="59"/>
      <c r="Y1708" s="59"/>
      <c r="Z1708" s="59"/>
      <c r="AA1708" s="59"/>
      <c r="AB1708" s="59"/>
      <c r="AC1708" s="59"/>
      <c r="AD1708" s="59"/>
      <c r="AE1708" s="59">
        <v>938.89887031431476</v>
      </c>
      <c r="AF1708" s="59">
        <v>938.89887031431476</v>
      </c>
      <c r="AG1708" s="59" t="s">
        <v>1213</v>
      </c>
      <c r="AH1708" s="59" t="s">
        <v>1215</v>
      </c>
    </row>
    <row r="1709" spans="1:34" x14ac:dyDescent="0.35">
      <c r="A1709" s="58">
        <v>2025</v>
      </c>
      <c r="B1709" s="58">
        <v>9</v>
      </c>
      <c r="C1709">
        <v>9</v>
      </c>
      <c r="D1709" s="58" t="s">
        <v>1612</v>
      </c>
      <c r="E1709" t="s">
        <v>1213</v>
      </c>
      <c r="F1709" s="58" t="s">
        <v>1550</v>
      </c>
      <c r="G1709" t="s">
        <v>1551</v>
      </c>
      <c r="H1709" s="58" t="s">
        <v>1012</v>
      </c>
      <c r="I1709" t="s">
        <v>86</v>
      </c>
      <c r="J1709" s="58" t="s">
        <v>86</v>
      </c>
      <c r="K1709" t="s">
        <v>1429</v>
      </c>
      <c r="L1709" t="s">
        <v>20</v>
      </c>
      <c r="M1709" t="s">
        <v>1430</v>
      </c>
      <c r="N1709" s="59">
        <v>2150</v>
      </c>
      <c r="O1709" s="59">
        <v>41925000</v>
      </c>
      <c r="P1709" s="59">
        <v>0</v>
      </c>
      <c r="Q1709" s="59">
        <v>0</v>
      </c>
      <c r="R1709" s="59">
        <v>0</v>
      </c>
      <c r="S1709" s="59">
        <v>41925000</v>
      </c>
      <c r="T1709" s="59"/>
      <c r="U1709" s="59"/>
      <c r="V1709" s="59"/>
      <c r="W1709" s="59"/>
      <c r="X1709" s="59"/>
      <c r="Y1709" s="59"/>
      <c r="Z1709" s="59"/>
      <c r="AA1709" s="59"/>
      <c r="AB1709" s="59"/>
      <c r="AC1709" s="59"/>
      <c r="AD1709" s="59"/>
      <c r="AE1709" s="59">
        <v>1599.5503733564001</v>
      </c>
      <c r="AF1709" s="59">
        <v>1599.5503733564001</v>
      </c>
      <c r="AG1709" s="59" t="s">
        <v>1213</v>
      </c>
      <c r="AH1709" s="59" t="s">
        <v>1227</v>
      </c>
    </row>
    <row r="1710" spans="1:34" x14ac:dyDescent="0.35">
      <c r="A1710" s="58">
        <v>2025</v>
      </c>
      <c r="B1710" s="58">
        <v>9</v>
      </c>
      <c r="C1710">
        <v>9</v>
      </c>
      <c r="D1710" s="58" t="s">
        <v>1612</v>
      </c>
      <c r="E1710" t="s">
        <v>1213</v>
      </c>
      <c r="F1710" s="58" t="s">
        <v>1677</v>
      </c>
      <c r="G1710" t="s">
        <v>1678</v>
      </c>
      <c r="H1710" s="58" t="s">
        <v>1012</v>
      </c>
      <c r="I1710" t="s">
        <v>86</v>
      </c>
      <c r="J1710" s="58" t="s">
        <v>86</v>
      </c>
      <c r="K1710" t="s">
        <v>1429</v>
      </c>
      <c r="L1710" t="s">
        <v>20</v>
      </c>
      <c r="M1710" t="s">
        <v>1430</v>
      </c>
      <c r="N1710" s="59">
        <v>974</v>
      </c>
      <c r="O1710" s="59">
        <v>18993000</v>
      </c>
      <c r="P1710" s="59">
        <v>0</v>
      </c>
      <c r="Q1710" s="59">
        <v>0</v>
      </c>
      <c r="R1710" s="59">
        <v>0</v>
      </c>
      <c r="S1710" s="59">
        <v>18993000</v>
      </c>
      <c r="T1710" s="59"/>
      <c r="U1710" s="59"/>
      <c r="V1710" s="59"/>
      <c r="W1710" s="59"/>
      <c r="X1710" s="59"/>
      <c r="Y1710" s="59"/>
      <c r="Z1710" s="59"/>
      <c r="AA1710" s="59"/>
      <c r="AB1710" s="59"/>
      <c r="AC1710" s="59"/>
      <c r="AD1710" s="59"/>
      <c r="AE1710" s="59">
        <v>724.63351797634118</v>
      </c>
      <c r="AF1710" s="59">
        <v>724.63351797634118</v>
      </c>
      <c r="AG1710" s="59" t="s">
        <v>1213</v>
      </c>
      <c r="AH1710" s="59" t="s">
        <v>1228</v>
      </c>
    </row>
    <row r="1711" spans="1:34" x14ac:dyDescent="0.35">
      <c r="A1711" s="58">
        <v>2025</v>
      </c>
      <c r="B1711" s="58">
        <v>9</v>
      </c>
      <c r="C1711">
        <v>9</v>
      </c>
      <c r="D1711" s="58" t="s">
        <v>1612</v>
      </c>
      <c r="E1711" t="s">
        <v>1213</v>
      </c>
      <c r="F1711" s="58" t="s">
        <v>1615</v>
      </c>
      <c r="G1711" t="s">
        <v>1616</v>
      </c>
      <c r="H1711" s="58" t="s">
        <v>1012</v>
      </c>
      <c r="I1711" t="s">
        <v>86</v>
      </c>
      <c r="J1711" s="58" t="s">
        <v>86</v>
      </c>
      <c r="K1711" t="s">
        <v>1429</v>
      </c>
      <c r="L1711" t="s">
        <v>20</v>
      </c>
      <c r="M1711" t="s">
        <v>1676</v>
      </c>
      <c r="N1711" s="59">
        <v>-2022</v>
      </c>
      <c r="O1711" s="59">
        <v>-38418000</v>
      </c>
      <c r="P1711" s="59">
        <v>0</v>
      </c>
      <c r="Q1711" s="59">
        <v>0</v>
      </c>
      <c r="R1711" s="59">
        <v>0</v>
      </c>
      <c r="S1711" s="59">
        <v>-38418000</v>
      </c>
      <c r="T1711" s="59"/>
      <c r="U1711" s="59"/>
      <c r="V1711" s="59"/>
      <c r="W1711" s="59"/>
      <c r="X1711" s="59"/>
      <c r="Y1711" s="59"/>
      <c r="Z1711" s="59"/>
      <c r="AA1711" s="59"/>
      <c r="AB1711" s="59"/>
      <c r="AC1711" s="59"/>
      <c r="AD1711" s="59"/>
      <c r="AE1711" s="59">
        <v>-1465.7489861325266</v>
      </c>
      <c r="AF1711" s="59">
        <v>-1465.7489861325266</v>
      </c>
      <c r="AG1711" s="59" t="s">
        <v>1213</v>
      </c>
      <c r="AH1711" s="59" t="s">
        <v>1230</v>
      </c>
    </row>
    <row r="1712" spans="1:34" x14ac:dyDescent="0.35">
      <c r="A1712" s="58">
        <v>2025</v>
      </c>
      <c r="B1712" s="58">
        <v>9</v>
      </c>
      <c r="C1712">
        <v>9</v>
      </c>
      <c r="D1712" s="58" t="s">
        <v>1612</v>
      </c>
      <c r="E1712" t="s">
        <v>1213</v>
      </c>
      <c r="F1712" s="58" t="s">
        <v>1615</v>
      </c>
      <c r="G1712" t="s">
        <v>1616</v>
      </c>
      <c r="H1712" s="58" t="s">
        <v>1012</v>
      </c>
      <c r="I1712" t="s">
        <v>86</v>
      </c>
      <c r="J1712" s="58" t="s">
        <v>86</v>
      </c>
      <c r="K1712" t="s">
        <v>1429</v>
      </c>
      <c r="L1712" t="s">
        <v>20</v>
      </c>
      <c r="M1712" t="s">
        <v>1430</v>
      </c>
      <c r="N1712" s="59">
        <v>2022</v>
      </c>
      <c r="O1712" s="59">
        <v>38418000</v>
      </c>
      <c r="P1712" s="59">
        <v>0</v>
      </c>
      <c r="Q1712" s="59">
        <v>0</v>
      </c>
      <c r="R1712" s="59">
        <v>0</v>
      </c>
      <c r="S1712" s="59">
        <v>38418000</v>
      </c>
      <c r="T1712" s="59"/>
      <c r="U1712" s="59"/>
      <c r="V1712" s="59"/>
      <c r="W1712" s="59"/>
      <c r="X1712" s="59"/>
      <c r="Y1712" s="59"/>
      <c r="Z1712" s="59"/>
      <c r="AA1712" s="59"/>
      <c r="AB1712" s="59"/>
      <c r="AC1712" s="59"/>
      <c r="AD1712" s="59"/>
      <c r="AE1712" s="59">
        <v>1465.7489861325266</v>
      </c>
      <c r="AF1712" s="59">
        <v>1465.7489861325266</v>
      </c>
      <c r="AG1712" s="59" t="s">
        <v>1213</v>
      </c>
      <c r="AH1712" s="59" t="s">
        <v>1230</v>
      </c>
    </row>
    <row r="1713" spans="1:34" x14ac:dyDescent="0.35">
      <c r="A1713" s="58">
        <v>2025</v>
      </c>
      <c r="B1713" s="58">
        <v>9</v>
      </c>
      <c r="C1713">
        <v>9</v>
      </c>
      <c r="D1713" s="58" t="s">
        <v>1612</v>
      </c>
      <c r="E1713" t="s">
        <v>1213</v>
      </c>
      <c r="F1713" s="58" t="s">
        <v>1663</v>
      </c>
      <c r="G1713" t="s">
        <v>1664</v>
      </c>
      <c r="H1713" s="58" t="s">
        <v>1012</v>
      </c>
      <c r="I1713" t="s">
        <v>86</v>
      </c>
      <c r="J1713" s="58" t="s">
        <v>86</v>
      </c>
      <c r="K1713" t="s">
        <v>1429</v>
      </c>
      <c r="L1713" t="s">
        <v>20</v>
      </c>
      <c r="M1713" t="s">
        <v>1430</v>
      </c>
      <c r="N1713" s="59">
        <v>258</v>
      </c>
      <c r="O1713" s="59">
        <v>4386000</v>
      </c>
      <c r="P1713" s="59">
        <v>0</v>
      </c>
      <c r="Q1713" s="59">
        <v>0</v>
      </c>
      <c r="R1713" s="59">
        <v>0</v>
      </c>
      <c r="S1713" s="59">
        <v>4386000</v>
      </c>
      <c r="T1713" s="59"/>
      <c r="U1713" s="59"/>
      <c r="V1713" s="59"/>
      <c r="W1713" s="59"/>
      <c r="X1713" s="59"/>
      <c r="Y1713" s="59"/>
      <c r="Z1713" s="59"/>
      <c r="AA1713" s="59"/>
      <c r="AB1713" s="59"/>
      <c r="AC1713" s="59"/>
      <c r="AD1713" s="59"/>
      <c r="AE1713" s="59">
        <v>167.33757752036186</v>
      </c>
      <c r="AF1713" s="59">
        <v>167.33757752036186</v>
      </c>
      <c r="AG1713" s="59" t="s">
        <v>1213</v>
      </c>
      <c r="AH1713" s="59" t="s">
        <v>1231</v>
      </c>
    </row>
    <row r="1714" spans="1:34" x14ac:dyDescent="0.35">
      <c r="A1714" s="58">
        <v>2025</v>
      </c>
      <c r="B1714" s="58">
        <v>9</v>
      </c>
      <c r="C1714">
        <v>9</v>
      </c>
      <c r="D1714" s="58" t="s">
        <v>627</v>
      </c>
      <c r="E1714" t="s">
        <v>58</v>
      </c>
      <c r="F1714" s="58" t="s">
        <v>200</v>
      </c>
      <c r="G1714" t="s">
        <v>470</v>
      </c>
      <c r="H1714" s="58" t="s">
        <v>1428</v>
      </c>
      <c r="I1714" t="s">
        <v>76</v>
      </c>
      <c r="J1714" s="58" t="s">
        <v>76</v>
      </c>
      <c r="K1714" t="s">
        <v>1429</v>
      </c>
      <c r="L1714" t="s">
        <v>20</v>
      </c>
      <c r="M1714" t="s">
        <v>1430</v>
      </c>
      <c r="N1714" s="59">
        <v>12750</v>
      </c>
      <c r="O1714" s="59">
        <v>197625000</v>
      </c>
      <c r="P1714" s="59">
        <v>3413958.6220465088</v>
      </c>
      <c r="Q1714" s="59">
        <v>0</v>
      </c>
      <c r="R1714" s="59">
        <v>0</v>
      </c>
      <c r="S1714" s="59">
        <v>194211041.37795347</v>
      </c>
      <c r="T1714" s="59"/>
      <c r="U1714" s="59"/>
      <c r="V1714" s="59"/>
      <c r="W1714" s="59"/>
      <c r="X1714" s="59"/>
      <c r="Y1714" s="59"/>
      <c r="Z1714" s="59"/>
      <c r="AA1714" s="59"/>
      <c r="AB1714" s="59"/>
      <c r="AC1714" s="59"/>
      <c r="AD1714" s="59"/>
      <c r="AE1714" s="59">
        <v>7409.6683064052659</v>
      </c>
      <c r="AF1714" s="59">
        <v>7539.9199173418856</v>
      </c>
      <c r="AG1714" s="59" t="s">
        <v>58</v>
      </c>
      <c r="AH1714" s="59" t="s">
        <v>79</v>
      </c>
    </row>
    <row r="1715" spans="1:34" x14ac:dyDescent="0.35">
      <c r="A1715" s="58">
        <v>2025</v>
      </c>
      <c r="B1715" s="58">
        <v>9</v>
      </c>
      <c r="C1715">
        <v>9</v>
      </c>
      <c r="D1715" s="58" t="s">
        <v>627</v>
      </c>
      <c r="E1715" t="s">
        <v>58</v>
      </c>
      <c r="F1715" s="58" t="s">
        <v>201</v>
      </c>
      <c r="G1715" t="s">
        <v>471</v>
      </c>
      <c r="H1715" s="58" t="s">
        <v>1428</v>
      </c>
      <c r="I1715" t="s">
        <v>76</v>
      </c>
      <c r="J1715" s="58" t="s">
        <v>76</v>
      </c>
      <c r="K1715" t="s">
        <v>1429</v>
      </c>
      <c r="L1715" t="s">
        <v>20</v>
      </c>
      <c r="M1715" t="s">
        <v>1430</v>
      </c>
      <c r="N1715" s="59">
        <v>21000</v>
      </c>
      <c r="O1715" s="59">
        <v>315000000</v>
      </c>
      <c r="P1715" s="59">
        <v>4609839.19924457</v>
      </c>
      <c r="Q1715" s="59">
        <v>0</v>
      </c>
      <c r="R1715" s="59">
        <v>0</v>
      </c>
      <c r="S1715" s="59">
        <v>310390160.80075544</v>
      </c>
      <c r="T1715" s="59"/>
      <c r="U1715" s="59"/>
      <c r="V1715" s="59"/>
      <c r="W1715" s="59"/>
      <c r="X1715" s="59"/>
      <c r="Y1715" s="59"/>
      <c r="Z1715" s="59"/>
      <c r="AA1715" s="59"/>
      <c r="AB1715" s="59"/>
      <c r="AC1715" s="59"/>
      <c r="AD1715" s="59"/>
      <c r="AE1715" s="59">
        <v>11842.211033870039</v>
      </c>
      <c r="AF1715" s="59">
        <v>12018.088672803005</v>
      </c>
      <c r="AG1715" s="59" t="s">
        <v>58</v>
      </c>
      <c r="AH1715" s="59" t="s">
        <v>77</v>
      </c>
    </row>
    <row r="1716" spans="1:34" x14ac:dyDescent="0.35">
      <c r="A1716" s="58">
        <v>2025</v>
      </c>
      <c r="B1716" s="58">
        <v>9</v>
      </c>
      <c r="C1716">
        <v>9</v>
      </c>
      <c r="D1716" s="58" t="s">
        <v>627</v>
      </c>
      <c r="E1716" t="s">
        <v>58</v>
      </c>
      <c r="F1716" s="58" t="s">
        <v>202</v>
      </c>
      <c r="G1716" t="s">
        <v>473</v>
      </c>
      <c r="H1716" s="58" t="s">
        <v>1428</v>
      </c>
      <c r="I1716" t="s">
        <v>76</v>
      </c>
      <c r="J1716" s="58" t="s">
        <v>76</v>
      </c>
      <c r="K1716" t="s">
        <v>1429</v>
      </c>
      <c r="L1716" t="s">
        <v>20</v>
      </c>
      <c r="M1716" t="s">
        <v>1430</v>
      </c>
      <c r="N1716" s="59">
        <v>14250</v>
      </c>
      <c r="O1716" s="59">
        <v>221085000</v>
      </c>
      <c r="P1716" s="59">
        <v>3128105.1709159589</v>
      </c>
      <c r="Q1716" s="59">
        <v>0</v>
      </c>
      <c r="R1716" s="59">
        <v>0</v>
      </c>
      <c r="S1716" s="59">
        <v>217956894.82908401</v>
      </c>
      <c r="T1716" s="59"/>
      <c r="U1716" s="59"/>
      <c r="V1716" s="59"/>
      <c r="W1716" s="59"/>
      <c r="X1716" s="59"/>
      <c r="Y1716" s="59"/>
      <c r="Z1716" s="59"/>
      <c r="AA1716" s="59"/>
      <c r="AB1716" s="59"/>
      <c r="AC1716" s="59"/>
      <c r="AD1716" s="59"/>
      <c r="AE1716" s="59">
        <v>8315.6358377927954</v>
      </c>
      <c r="AF1716" s="59">
        <v>8434.9813784973085</v>
      </c>
      <c r="AG1716" s="59" t="s">
        <v>58</v>
      </c>
      <c r="AH1716" s="59" t="s">
        <v>80</v>
      </c>
    </row>
    <row r="1717" spans="1:34" x14ac:dyDescent="0.35">
      <c r="A1717" s="58">
        <v>2025</v>
      </c>
      <c r="B1717" s="58">
        <v>9</v>
      </c>
      <c r="C1717">
        <v>9</v>
      </c>
      <c r="D1717" s="58" t="s">
        <v>627</v>
      </c>
      <c r="E1717" t="s">
        <v>58</v>
      </c>
      <c r="F1717" s="58" t="s">
        <v>221</v>
      </c>
      <c r="G1717" t="s">
        <v>964</v>
      </c>
      <c r="H1717" s="58" t="s">
        <v>1012</v>
      </c>
      <c r="I1717" t="s">
        <v>86</v>
      </c>
      <c r="J1717" s="58" t="s">
        <v>86</v>
      </c>
      <c r="K1717" t="s">
        <v>1429</v>
      </c>
      <c r="L1717" t="s">
        <v>20</v>
      </c>
      <c r="M1717" t="s">
        <v>1430</v>
      </c>
      <c r="N1717" s="59">
        <v>10538</v>
      </c>
      <c r="O1717" s="59">
        <v>107331482</v>
      </c>
      <c r="P1717" s="59">
        <v>2677614.6055266736</v>
      </c>
      <c r="Q1717" s="59">
        <v>0</v>
      </c>
      <c r="R1717" s="59">
        <v>0</v>
      </c>
      <c r="S1717" s="59">
        <v>104653867.39447334</v>
      </c>
      <c r="T1717" s="59"/>
      <c r="U1717" s="59"/>
      <c r="V1717" s="59"/>
      <c r="W1717" s="59"/>
      <c r="X1717" s="59"/>
      <c r="Y1717" s="59"/>
      <c r="Z1717" s="59"/>
      <c r="AA1717" s="59"/>
      <c r="AB1717" s="59"/>
      <c r="AC1717" s="59"/>
      <c r="AD1717" s="59"/>
      <c r="AE1717" s="59">
        <v>3992.8236771382467</v>
      </c>
      <c r="AF1717" s="59">
        <v>4094.9818033630468</v>
      </c>
      <c r="AG1717" s="59" t="s">
        <v>58</v>
      </c>
      <c r="AH1717" s="59" t="s">
        <v>1232</v>
      </c>
    </row>
    <row r="1718" spans="1:34" x14ac:dyDescent="0.35">
      <c r="A1718" s="58">
        <v>2025</v>
      </c>
      <c r="B1718" s="58">
        <v>9</v>
      </c>
      <c r="C1718">
        <v>9</v>
      </c>
      <c r="D1718" s="58" t="s">
        <v>683</v>
      </c>
      <c r="E1718" t="s">
        <v>72</v>
      </c>
      <c r="F1718" s="58" t="s">
        <v>210</v>
      </c>
      <c r="G1718" t="s">
        <v>833</v>
      </c>
      <c r="H1718" s="58" t="s">
        <v>21</v>
      </c>
      <c r="I1718" t="s">
        <v>21</v>
      </c>
      <c r="J1718" s="58" t="s">
        <v>21</v>
      </c>
      <c r="K1718" t="s">
        <v>1429</v>
      </c>
      <c r="L1718" t="s">
        <v>20</v>
      </c>
      <c r="M1718" t="s">
        <v>1430</v>
      </c>
      <c r="N1718" s="59">
        <v>25</v>
      </c>
      <c r="O1718" s="59">
        <v>437500</v>
      </c>
      <c r="P1718" s="59">
        <v>0</v>
      </c>
      <c r="Q1718" s="59">
        <v>0</v>
      </c>
      <c r="R1718" s="59">
        <v>0</v>
      </c>
      <c r="S1718" s="59">
        <v>437500</v>
      </c>
      <c r="T1718" s="59"/>
      <c r="U1718" s="59"/>
      <c r="V1718" s="59"/>
      <c r="W1718" s="59"/>
      <c r="X1718" s="59"/>
      <c r="Y1718" s="59"/>
      <c r="Z1718" s="59"/>
      <c r="AA1718" s="59"/>
      <c r="AB1718" s="59"/>
      <c r="AC1718" s="59"/>
      <c r="AD1718" s="59"/>
      <c r="AE1718" s="59">
        <v>16.691789823337508</v>
      </c>
      <c r="AF1718" s="59">
        <v>16.691789823337508</v>
      </c>
      <c r="AG1718" s="59" t="s">
        <v>72</v>
      </c>
      <c r="AH1718" s="59" t="s">
        <v>1354</v>
      </c>
    </row>
    <row r="1719" spans="1:34" x14ac:dyDescent="0.35">
      <c r="A1719" s="58">
        <v>2025</v>
      </c>
      <c r="B1719" s="58">
        <v>9</v>
      </c>
      <c r="C1719">
        <v>9</v>
      </c>
      <c r="D1719" s="58" t="s">
        <v>661</v>
      </c>
      <c r="E1719" t="s">
        <v>106</v>
      </c>
      <c r="F1719" s="58" t="s">
        <v>170</v>
      </c>
      <c r="G1719" t="s">
        <v>706</v>
      </c>
      <c r="H1719" s="58" t="s">
        <v>4</v>
      </c>
      <c r="I1719" t="s">
        <v>4</v>
      </c>
      <c r="J1719" s="58" t="s">
        <v>4</v>
      </c>
      <c r="K1719" t="s">
        <v>1429</v>
      </c>
      <c r="L1719" t="s">
        <v>20</v>
      </c>
      <c r="M1719" t="s">
        <v>1430</v>
      </c>
      <c r="N1719" s="59">
        <v>24200</v>
      </c>
      <c r="O1719" s="59">
        <v>504166666</v>
      </c>
      <c r="P1719" s="59">
        <v>3622016.5136921625</v>
      </c>
      <c r="Q1719" s="59">
        <v>0</v>
      </c>
      <c r="R1719" s="59">
        <v>6399999.9999999991</v>
      </c>
      <c r="S1719" s="59">
        <v>494144649.48630786</v>
      </c>
      <c r="T1719" s="59"/>
      <c r="U1719" s="59"/>
      <c r="V1719" s="59"/>
      <c r="W1719" s="59"/>
      <c r="X1719" s="59"/>
      <c r="Y1719" s="59"/>
      <c r="Z1719" s="59"/>
      <c r="AA1719" s="59"/>
      <c r="AB1719" s="59"/>
      <c r="AC1719" s="59"/>
      <c r="AD1719" s="59"/>
      <c r="AE1719" s="59">
        <v>18852.934014976534</v>
      </c>
      <c r="AF1719" s="59">
        <v>19235.300628125256</v>
      </c>
      <c r="AG1719" s="59" t="s">
        <v>106</v>
      </c>
      <c r="AH1719" s="59" t="s">
        <v>1165</v>
      </c>
    </row>
    <row r="1720" spans="1:34" x14ac:dyDescent="0.35">
      <c r="A1720" s="58">
        <v>2025</v>
      </c>
      <c r="B1720" s="58">
        <v>9</v>
      </c>
      <c r="C1720">
        <v>9</v>
      </c>
      <c r="D1720" s="58" t="s">
        <v>661</v>
      </c>
      <c r="E1720" t="s">
        <v>106</v>
      </c>
      <c r="F1720" s="58" t="s">
        <v>1152</v>
      </c>
      <c r="G1720" t="s">
        <v>1153</v>
      </c>
      <c r="H1720" s="58" t="s">
        <v>1012</v>
      </c>
      <c r="I1720" t="s">
        <v>1012</v>
      </c>
      <c r="J1720" s="58" t="s">
        <v>1399</v>
      </c>
      <c r="K1720" t="s">
        <v>1429</v>
      </c>
      <c r="L1720" t="s">
        <v>20</v>
      </c>
      <c r="M1720" t="s">
        <v>1430</v>
      </c>
      <c r="N1720" s="59">
        <v>0</v>
      </c>
      <c r="O1720" s="59">
        <v>0</v>
      </c>
      <c r="P1720" s="59">
        <v>0</v>
      </c>
      <c r="Q1720" s="59">
        <v>0</v>
      </c>
      <c r="R1720" s="59">
        <v>-6400000</v>
      </c>
      <c r="S1720" s="59">
        <v>6400000</v>
      </c>
      <c r="T1720" s="59"/>
      <c r="U1720" s="59"/>
      <c r="V1720" s="59"/>
      <c r="W1720" s="59"/>
      <c r="X1720" s="59"/>
      <c r="Y1720" s="59"/>
      <c r="Z1720" s="59"/>
      <c r="AA1720" s="59"/>
      <c r="AB1720" s="59"/>
      <c r="AC1720" s="59"/>
      <c r="AD1720" s="59"/>
      <c r="AE1720" s="59">
        <v>244.17703970139439</v>
      </c>
      <c r="AF1720" s="59">
        <v>0</v>
      </c>
      <c r="AG1720" s="59" t="s">
        <v>106</v>
      </c>
      <c r="AH1720" s="59" t="s">
        <v>1400</v>
      </c>
    </row>
    <row r="1721" spans="1:34" x14ac:dyDescent="0.35">
      <c r="A1721" s="58">
        <v>2025</v>
      </c>
      <c r="B1721" s="58">
        <v>9</v>
      </c>
      <c r="C1721">
        <v>9</v>
      </c>
      <c r="D1721" s="58" t="s">
        <v>603</v>
      </c>
      <c r="E1721" t="s">
        <v>56</v>
      </c>
      <c r="F1721" s="58" t="s">
        <v>201</v>
      </c>
      <c r="G1721" t="s">
        <v>471</v>
      </c>
      <c r="H1721" s="58" t="s">
        <v>1428</v>
      </c>
      <c r="I1721" t="s">
        <v>76</v>
      </c>
      <c r="J1721" s="58" t="s">
        <v>76</v>
      </c>
      <c r="K1721" t="s">
        <v>1429</v>
      </c>
      <c r="L1721" t="s">
        <v>20</v>
      </c>
      <c r="M1721" t="s">
        <v>1430</v>
      </c>
      <c r="N1721" s="59">
        <v>190500</v>
      </c>
      <c r="O1721" s="59">
        <v>2781300000</v>
      </c>
      <c r="P1721" s="59">
        <v>0</v>
      </c>
      <c r="Q1721" s="59">
        <v>0</v>
      </c>
      <c r="R1721" s="59">
        <v>0</v>
      </c>
      <c r="S1721" s="59">
        <v>2781300000</v>
      </c>
      <c r="T1721" s="59"/>
      <c r="U1721" s="59"/>
      <c r="V1721" s="59"/>
      <c r="W1721" s="59"/>
      <c r="X1721" s="59"/>
      <c r="Y1721" s="59"/>
      <c r="Z1721" s="59"/>
      <c r="AA1721" s="59"/>
      <c r="AB1721" s="59"/>
      <c r="AC1721" s="59"/>
      <c r="AD1721" s="59"/>
      <c r="AE1721" s="59">
        <v>106114.00008148253</v>
      </c>
      <c r="AF1721" s="59">
        <v>106114.00008148253</v>
      </c>
      <c r="AG1721" s="59" t="s">
        <v>56</v>
      </c>
      <c r="AH1721" s="59" t="s">
        <v>77</v>
      </c>
    </row>
    <row r="1722" spans="1:34" x14ac:dyDescent="0.35">
      <c r="A1722" s="58">
        <v>2025</v>
      </c>
      <c r="B1722" s="58">
        <v>9</v>
      </c>
      <c r="C1722">
        <v>9</v>
      </c>
      <c r="D1722" s="58" t="s">
        <v>603</v>
      </c>
      <c r="E1722" t="s">
        <v>56</v>
      </c>
      <c r="F1722" s="58" t="s">
        <v>220</v>
      </c>
      <c r="G1722" t="s">
        <v>1090</v>
      </c>
      <c r="H1722" s="58" t="s">
        <v>1012</v>
      </c>
      <c r="I1722" t="s">
        <v>86</v>
      </c>
      <c r="J1722" s="58" t="s">
        <v>86</v>
      </c>
      <c r="K1722" t="s">
        <v>1429</v>
      </c>
      <c r="L1722" t="s">
        <v>20</v>
      </c>
      <c r="M1722" t="s">
        <v>1430</v>
      </c>
      <c r="N1722" s="59">
        <v>59760</v>
      </c>
      <c r="O1722" s="59">
        <v>664000000</v>
      </c>
      <c r="P1722" s="59">
        <v>0</v>
      </c>
      <c r="Q1722" s="59">
        <v>0</v>
      </c>
      <c r="R1722" s="59">
        <v>0</v>
      </c>
      <c r="S1722" s="59">
        <v>664000000</v>
      </c>
      <c r="T1722" s="59"/>
      <c r="U1722" s="59"/>
      <c r="V1722" s="59"/>
      <c r="W1722" s="59"/>
      <c r="X1722" s="59"/>
      <c r="Y1722" s="59"/>
      <c r="Z1722" s="59"/>
      <c r="AA1722" s="59"/>
      <c r="AB1722" s="59"/>
      <c r="AC1722" s="59"/>
      <c r="AD1722" s="59"/>
      <c r="AE1722" s="59">
        <v>25333.367869019665</v>
      </c>
      <c r="AF1722" s="59">
        <v>25333.367869019665</v>
      </c>
      <c r="AG1722" s="59" t="s">
        <v>56</v>
      </c>
      <c r="AH1722" s="59" t="s">
        <v>1221</v>
      </c>
    </row>
    <row r="1723" spans="1:34" x14ac:dyDescent="0.35">
      <c r="A1723" s="58">
        <v>2025</v>
      </c>
      <c r="B1723" s="58">
        <v>9</v>
      </c>
      <c r="C1723">
        <v>9</v>
      </c>
      <c r="D1723" s="58" t="s">
        <v>628</v>
      </c>
      <c r="E1723" t="s">
        <v>57</v>
      </c>
      <c r="F1723" s="58" t="s">
        <v>195</v>
      </c>
      <c r="G1723" t="s">
        <v>746</v>
      </c>
      <c r="H1723" s="58" t="s">
        <v>1428</v>
      </c>
      <c r="I1723" t="s">
        <v>76</v>
      </c>
      <c r="J1723" s="58" t="s">
        <v>76</v>
      </c>
      <c r="K1723" t="s">
        <v>1429</v>
      </c>
      <c r="L1723" t="s">
        <v>20</v>
      </c>
      <c r="M1723" t="s">
        <v>1430</v>
      </c>
      <c r="N1723" s="59">
        <v>22000</v>
      </c>
      <c r="O1723" s="59">
        <v>419222222</v>
      </c>
      <c r="P1723" s="59">
        <v>0</v>
      </c>
      <c r="Q1723" s="59">
        <v>22000000</v>
      </c>
      <c r="R1723" s="59">
        <v>0</v>
      </c>
      <c r="S1723" s="59">
        <v>397222222</v>
      </c>
      <c r="T1723" s="59"/>
      <c r="U1723" s="59"/>
      <c r="V1723" s="59"/>
      <c r="W1723" s="59"/>
      <c r="X1723" s="59"/>
      <c r="Y1723" s="59"/>
      <c r="Z1723" s="59"/>
      <c r="AA1723" s="59"/>
      <c r="AB1723" s="59"/>
      <c r="AC1723" s="59"/>
      <c r="AD1723" s="59"/>
      <c r="AE1723" s="59">
        <v>15155.085354932828</v>
      </c>
      <c r="AF1723" s="59">
        <v>15994.44392890637</v>
      </c>
      <c r="AG1723" s="59" t="s">
        <v>57</v>
      </c>
      <c r="AH1723" s="59" t="s">
        <v>1247</v>
      </c>
    </row>
    <row r="1724" spans="1:34" x14ac:dyDescent="0.35">
      <c r="A1724" s="58">
        <v>2025</v>
      </c>
      <c r="B1724" s="58">
        <v>9</v>
      </c>
      <c r="C1724">
        <v>9</v>
      </c>
      <c r="D1724" s="58" t="s">
        <v>628</v>
      </c>
      <c r="E1724" t="s">
        <v>57</v>
      </c>
      <c r="F1724" s="58" t="s">
        <v>197</v>
      </c>
      <c r="G1724" t="s">
        <v>752</v>
      </c>
      <c r="H1724" s="58" t="s">
        <v>1428</v>
      </c>
      <c r="I1724" t="s">
        <v>76</v>
      </c>
      <c r="J1724" s="58" t="s">
        <v>76</v>
      </c>
      <c r="K1724" t="s">
        <v>1429</v>
      </c>
      <c r="L1724" t="s">
        <v>20</v>
      </c>
      <c r="M1724" t="s">
        <v>1430</v>
      </c>
      <c r="N1724" s="59">
        <v>28875</v>
      </c>
      <c r="O1724" s="59">
        <v>550229164</v>
      </c>
      <c r="P1724" s="59">
        <v>0</v>
      </c>
      <c r="Q1724" s="59">
        <v>28875000</v>
      </c>
      <c r="R1724" s="59">
        <v>0</v>
      </c>
      <c r="S1724" s="59">
        <v>521354164</v>
      </c>
      <c r="T1724" s="59"/>
      <c r="U1724" s="59"/>
      <c r="V1724" s="59"/>
      <c r="W1724" s="59"/>
      <c r="X1724" s="59"/>
      <c r="Y1724" s="59"/>
      <c r="Z1724" s="59"/>
      <c r="AA1724" s="59"/>
      <c r="AB1724" s="59"/>
      <c r="AC1724" s="59"/>
      <c r="AD1724" s="59"/>
      <c r="AE1724" s="59">
        <v>19891.049437736761</v>
      </c>
      <c r="AF1724" s="59">
        <v>20992.707566077039</v>
      </c>
      <c r="AG1724" s="59" t="s">
        <v>57</v>
      </c>
      <c r="AH1724" s="59" t="s">
        <v>1249</v>
      </c>
    </row>
    <row r="1725" spans="1:34" x14ac:dyDescent="0.35">
      <c r="A1725" s="58">
        <v>2025</v>
      </c>
      <c r="B1725" s="58">
        <v>9</v>
      </c>
      <c r="C1725">
        <v>9</v>
      </c>
      <c r="D1725" s="58" t="s">
        <v>628</v>
      </c>
      <c r="E1725" t="s">
        <v>57</v>
      </c>
      <c r="F1725" s="58" t="s">
        <v>199</v>
      </c>
      <c r="G1725" t="s">
        <v>758</v>
      </c>
      <c r="H1725" s="58" t="s">
        <v>1428</v>
      </c>
      <c r="I1725" t="s">
        <v>76</v>
      </c>
      <c r="J1725" s="58" t="s">
        <v>76</v>
      </c>
      <c r="K1725" t="s">
        <v>1429</v>
      </c>
      <c r="L1725" t="s">
        <v>20</v>
      </c>
      <c r="M1725" t="s">
        <v>1430</v>
      </c>
      <c r="N1725" s="59">
        <v>23375</v>
      </c>
      <c r="O1725" s="59">
        <v>445423611</v>
      </c>
      <c r="P1725" s="59">
        <v>0</v>
      </c>
      <c r="Q1725" s="59">
        <v>23375000</v>
      </c>
      <c r="R1725" s="59">
        <v>0</v>
      </c>
      <c r="S1725" s="59">
        <v>422048611</v>
      </c>
      <c r="T1725" s="59"/>
      <c r="U1725" s="59"/>
      <c r="V1725" s="59"/>
      <c r="W1725" s="59"/>
      <c r="X1725" s="59"/>
      <c r="Y1725" s="59"/>
      <c r="Z1725" s="59"/>
      <c r="AA1725" s="59"/>
      <c r="AB1725" s="59"/>
      <c r="AC1725" s="59"/>
      <c r="AD1725" s="59"/>
      <c r="AE1725" s="59">
        <v>16102.278194385213</v>
      </c>
      <c r="AF1725" s="59">
        <v>16994.096679232101</v>
      </c>
      <c r="AG1725" s="59" t="s">
        <v>57</v>
      </c>
      <c r="AH1725" s="59" t="s">
        <v>1254</v>
      </c>
    </row>
    <row r="1726" spans="1:34" x14ac:dyDescent="0.35">
      <c r="A1726" s="58">
        <v>2025</v>
      </c>
      <c r="B1726" s="58">
        <v>9</v>
      </c>
      <c r="C1726">
        <v>9</v>
      </c>
      <c r="D1726" s="58" t="s">
        <v>638</v>
      </c>
      <c r="E1726" t="s">
        <v>52</v>
      </c>
      <c r="F1726" s="58" t="s">
        <v>185</v>
      </c>
      <c r="G1726" t="s">
        <v>720</v>
      </c>
      <c r="H1726" s="58" t="s">
        <v>1428</v>
      </c>
      <c r="I1726" t="s">
        <v>75</v>
      </c>
      <c r="J1726" s="58" t="s">
        <v>75</v>
      </c>
      <c r="K1726" t="s">
        <v>1429</v>
      </c>
      <c r="L1726" t="s">
        <v>20</v>
      </c>
      <c r="M1726" t="s">
        <v>1430</v>
      </c>
      <c r="N1726" s="59">
        <v>48125</v>
      </c>
      <c r="O1726" s="59">
        <v>757523153</v>
      </c>
      <c r="P1726" s="59">
        <v>0</v>
      </c>
      <c r="Q1726" s="59">
        <v>0</v>
      </c>
      <c r="R1726" s="59">
        <v>0</v>
      </c>
      <c r="S1726" s="59">
        <v>757523153</v>
      </c>
      <c r="T1726" s="59"/>
      <c r="U1726" s="59"/>
      <c r="V1726" s="59"/>
      <c r="W1726" s="59"/>
      <c r="X1726" s="59"/>
      <c r="Y1726" s="59"/>
      <c r="Z1726" s="59"/>
      <c r="AA1726" s="59"/>
      <c r="AB1726" s="59"/>
      <c r="AC1726" s="59"/>
      <c r="AD1726" s="59"/>
      <c r="AE1726" s="59">
        <v>28901.525157001015</v>
      </c>
      <c r="AF1726" s="59">
        <v>28901.525157001015</v>
      </c>
      <c r="AG1726" s="59" t="s">
        <v>52</v>
      </c>
      <c r="AH1726" s="59" t="s">
        <v>1199</v>
      </c>
    </row>
    <row r="1727" spans="1:34" x14ac:dyDescent="0.35">
      <c r="A1727" s="58">
        <v>2025</v>
      </c>
      <c r="B1727" s="58">
        <v>9</v>
      </c>
      <c r="C1727">
        <v>9</v>
      </c>
      <c r="D1727" s="58" t="s">
        <v>600</v>
      </c>
      <c r="E1727" t="s">
        <v>323</v>
      </c>
      <c r="F1727" s="58" t="s">
        <v>171</v>
      </c>
      <c r="G1727" t="s">
        <v>731</v>
      </c>
      <c r="H1727" s="58" t="s">
        <v>4</v>
      </c>
      <c r="I1727" t="s">
        <v>4</v>
      </c>
      <c r="J1727" s="58" t="s">
        <v>4</v>
      </c>
      <c r="K1727" t="s">
        <v>1429</v>
      </c>
      <c r="L1727" t="s">
        <v>20</v>
      </c>
      <c r="M1727" t="s">
        <v>1430</v>
      </c>
      <c r="N1727" s="59">
        <v>66000</v>
      </c>
      <c r="O1727" s="59">
        <v>2194170000</v>
      </c>
      <c r="P1727" s="59">
        <v>9878226.855524078</v>
      </c>
      <c r="Q1727" s="59">
        <v>0</v>
      </c>
      <c r="R1727" s="59">
        <v>9240000</v>
      </c>
      <c r="S1727" s="59">
        <v>2175051773.1444759</v>
      </c>
      <c r="T1727" s="59"/>
      <c r="U1727" s="59"/>
      <c r="V1727" s="59"/>
      <c r="W1727" s="59"/>
      <c r="X1727" s="59"/>
      <c r="Y1727" s="59"/>
      <c r="Z1727" s="59"/>
      <c r="AA1727" s="59"/>
      <c r="AB1727" s="59"/>
      <c r="AC1727" s="59"/>
      <c r="AD1727" s="59"/>
      <c r="AE1727" s="59">
        <v>82984.016119326086</v>
      </c>
      <c r="AF1727" s="59">
        <v>83713.42737525134</v>
      </c>
      <c r="AG1727" s="59" t="s">
        <v>5</v>
      </c>
      <c r="AH1727" s="59" t="s">
        <v>1166</v>
      </c>
    </row>
    <row r="1728" spans="1:34" x14ac:dyDescent="0.35">
      <c r="A1728" s="58">
        <v>2025</v>
      </c>
      <c r="B1728" s="58">
        <v>9</v>
      </c>
      <c r="C1728">
        <v>9</v>
      </c>
      <c r="D1728" s="58" t="s">
        <v>655</v>
      </c>
      <c r="E1728" t="s">
        <v>65</v>
      </c>
      <c r="F1728" s="58" t="s">
        <v>201</v>
      </c>
      <c r="G1728" t="s">
        <v>471</v>
      </c>
      <c r="H1728" s="58" t="s">
        <v>1428</v>
      </c>
      <c r="I1728" t="s">
        <v>76</v>
      </c>
      <c r="J1728" s="58" t="s">
        <v>76</v>
      </c>
      <c r="K1728" t="s">
        <v>1429</v>
      </c>
      <c r="L1728" t="s">
        <v>20</v>
      </c>
      <c r="M1728" t="s">
        <v>1430</v>
      </c>
      <c r="N1728" s="59">
        <v>6000</v>
      </c>
      <c r="O1728" s="59">
        <v>90000000</v>
      </c>
      <c r="P1728" s="59">
        <v>1317096.9140698772</v>
      </c>
      <c r="Q1728" s="59">
        <v>0</v>
      </c>
      <c r="R1728" s="59">
        <v>0</v>
      </c>
      <c r="S1728" s="59">
        <v>88682903.085930124</v>
      </c>
      <c r="T1728" s="59"/>
      <c r="U1728" s="59"/>
      <c r="V1728" s="59"/>
      <c r="W1728" s="59"/>
      <c r="X1728" s="59"/>
      <c r="Y1728" s="59"/>
      <c r="Z1728" s="59"/>
      <c r="AA1728" s="59"/>
      <c r="AB1728" s="59"/>
      <c r="AC1728" s="59"/>
      <c r="AD1728" s="59"/>
      <c r="AE1728" s="59">
        <v>3383.488866820011</v>
      </c>
      <c r="AF1728" s="59">
        <v>3433.7396208008586</v>
      </c>
      <c r="AG1728" s="59" t="s">
        <v>65</v>
      </c>
      <c r="AH1728" s="59" t="s">
        <v>77</v>
      </c>
    </row>
    <row r="1729" spans="1:34" x14ac:dyDescent="0.35">
      <c r="A1729" s="58">
        <v>2025</v>
      </c>
      <c r="B1729" s="58">
        <v>9</v>
      </c>
      <c r="C1729">
        <v>9</v>
      </c>
      <c r="D1729" s="58" t="s">
        <v>655</v>
      </c>
      <c r="E1729" t="s">
        <v>65</v>
      </c>
      <c r="F1729" s="58" t="s">
        <v>212</v>
      </c>
      <c r="G1729" t="s">
        <v>481</v>
      </c>
      <c r="H1729" s="58" t="s">
        <v>21</v>
      </c>
      <c r="I1729" t="s">
        <v>21</v>
      </c>
      <c r="J1729" s="58" t="s">
        <v>21</v>
      </c>
      <c r="K1729" t="s">
        <v>1429</v>
      </c>
      <c r="L1729" t="s">
        <v>20</v>
      </c>
      <c r="M1729" t="s">
        <v>1430</v>
      </c>
      <c r="N1729" s="59">
        <v>6000</v>
      </c>
      <c r="O1729" s="59">
        <v>97222222</v>
      </c>
      <c r="P1729" s="59">
        <v>1317096.9140698772</v>
      </c>
      <c r="Q1729" s="59">
        <v>0</v>
      </c>
      <c r="R1729" s="59">
        <v>0</v>
      </c>
      <c r="S1729" s="59">
        <v>95905125.085930124</v>
      </c>
      <c r="T1729" s="59"/>
      <c r="U1729" s="59"/>
      <c r="V1729" s="59"/>
      <c r="W1729" s="59"/>
      <c r="X1729" s="59"/>
      <c r="Y1729" s="59"/>
      <c r="Z1729" s="59"/>
      <c r="AA1729" s="59"/>
      <c r="AB1729" s="59"/>
      <c r="AC1729" s="59"/>
      <c r="AD1729" s="59"/>
      <c r="AE1729" s="59">
        <v>3659.0358649491181</v>
      </c>
      <c r="AF1729" s="59">
        <v>3709.2866189299657</v>
      </c>
      <c r="AG1729" s="59" t="s">
        <v>65</v>
      </c>
      <c r="AH1729" s="59" t="s">
        <v>84</v>
      </c>
    </row>
    <row r="1730" spans="1:34" x14ac:dyDescent="0.35">
      <c r="A1730" s="58">
        <v>2025</v>
      </c>
      <c r="B1730" s="58">
        <v>9</v>
      </c>
      <c r="C1730">
        <v>9</v>
      </c>
      <c r="D1730" s="58" t="s">
        <v>639</v>
      </c>
      <c r="E1730" t="s">
        <v>25</v>
      </c>
      <c r="F1730" s="58" t="s">
        <v>182</v>
      </c>
      <c r="G1730" t="s">
        <v>905</v>
      </c>
      <c r="H1730" s="58" t="s">
        <v>74</v>
      </c>
      <c r="I1730" t="s">
        <v>74</v>
      </c>
      <c r="J1730" s="58" t="s">
        <v>74</v>
      </c>
      <c r="K1730" t="s">
        <v>1429</v>
      </c>
      <c r="L1730" t="s">
        <v>20</v>
      </c>
      <c r="M1730" t="s">
        <v>1430</v>
      </c>
      <c r="N1730" s="59">
        <v>25200</v>
      </c>
      <c r="O1730" s="59">
        <v>448560000</v>
      </c>
      <c r="P1730" s="59">
        <v>3951290.7422096319</v>
      </c>
      <c r="Q1730" s="59">
        <v>0</v>
      </c>
      <c r="R1730" s="59">
        <v>0</v>
      </c>
      <c r="S1730" s="59">
        <v>444608709.25779039</v>
      </c>
      <c r="T1730" s="59"/>
      <c r="U1730" s="59"/>
      <c r="V1730" s="59"/>
      <c r="W1730" s="59"/>
      <c r="X1730" s="59"/>
      <c r="Y1730" s="59"/>
      <c r="Z1730" s="59"/>
      <c r="AA1730" s="59"/>
      <c r="AB1730" s="59"/>
      <c r="AC1730" s="59"/>
      <c r="AD1730" s="59"/>
      <c r="AE1730" s="59">
        <v>16963.006008128938</v>
      </c>
      <c r="AF1730" s="59">
        <v>17113.758270071481</v>
      </c>
      <c r="AG1730" s="59" t="s">
        <v>25</v>
      </c>
      <c r="AH1730" s="59" t="s">
        <v>1242</v>
      </c>
    </row>
    <row r="1731" spans="1:34" x14ac:dyDescent="0.35">
      <c r="A1731" s="58">
        <v>2025</v>
      </c>
      <c r="B1731" s="58">
        <v>9</v>
      </c>
      <c r="C1731">
        <v>9</v>
      </c>
      <c r="D1731" s="58" t="s">
        <v>686</v>
      </c>
      <c r="E1731" t="s">
        <v>116</v>
      </c>
      <c r="F1731" s="58" t="s">
        <v>170</v>
      </c>
      <c r="G1731" t="s">
        <v>706</v>
      </c>
      <c r="H1731" s="58" t="s">
        <v>4</v>
      </c>
      <c r="I1731" t="s">
        <v>4</v>
      </c>
      <c r="J1731" s="58" t="s">
        <v>4</v>
      </c>
      <c r="K1731" t="s">
        <v>1429</v>
      </c>
      <c r="L1731" t="s">
        <v>20</v>
      </c>
      <c r="M1731" t="s">
        <v>1430</v>
      </c>
      <c r="N1731" s="59">
        <v>19800</v>
      </c>
      <c r="O1731" s="59">
        <v>384999999.99999994</v>
      </c>
      <c r="P1731" s="59">
        <v>2963468.056657224</v>
      </c>
      <c r="Q1731" s="59">
        <v>0</v>
      </c>
      <c r="R1731" s="59">
        <v>3800000</v>
      </c>
      <c r="S1731" s="59">
        <v>378236531.94334275</v>
      </c>
      <c r="T1731" s="59"/>
      <c r="U1731" s="59"/>
      <c r="V1731" s="59"/>
      <c r="W1731" s="59"/>
      <c r="X1731" s="59"/>
      <c r="Y1731" s="59"/>
      <c r="Z1731" s="59"/>
      <c r="AA1731" s="59"/>
      <c r="AB1731" s="59"/>
      <c r="AC1731" s="59"/>
      <c r="AD1731" s="59"/>
      <c r="AE1731" s="59">
        <v>14430.730730757396</v>
      </c>
      <c r="AF1731" s="59">
        <v>14688.775044537004</v>
      </c>
      <c r="AG1731" s="59" t="s">
        <v>116</v>
      </c>
      <c r="AH1731" s="59" t="s">
        <v>1165</v>
      </c>
    </row>
    <row r="1732" spans="1:34" x14ac:dyDescent="0.35">
      <c r="A1732" s="58">
        <v>2025</v>
      </c>
      <c r="B1732" s="58">
        <v>9</v>
      </c>
      <c r="C1732">
        <v>9</v>
      </c>
      <c r="D1732" s="58" t="s">
        <v>686</v>
      </c>
      <c r="E1732" t="s">
        <v>116</v>
      </c>
      <c r="F1732" s="58" t="s">
        <v>1152</v>
      </c>
      <c r="G1732" t="s">
        <v>1153</v>
      </c>
      <c r="H1732" s="58" t="s">
        <v>1012</v>
      </c>
      <c r="I1732" t="s">
        <v>1012</v>
      </c>
      <c r="J1732" s="58" t="s">
        <v>1399</v>
      </c>
      <c r="K1732" t="s">
        <v>1429</v>
      </c>
      <c r="L1732" t="s">
        <v>20</v>
      </c>
      <c r="M1732" t="s">
        <v>1430</v>
      </c>
      <c r="N1732" s="59">
        <v>0</v>
      </c>
      <c r="O1732" s="59">
        <v>0</v>
      </c>
      <c r="P1732" s="59">
        <v>0</v>
      </c>
      <c r="Q1732" s="59">
        <v>0</v>
      </c>
      <c r="R1732" s="59">
        <v>-3800000</v>
      </c>
      <c r="S1732" s="59">
        <v>3800000</v>
      </c>
      <c r="T1732" s="59"/>
      <c r="U1732" s="59"/>
      <c r="V1732" s="59"/>
      <c r="W1732" s="59"/>
      <c r="X1732" s="59"/>
      <c r="Y1732" s="59"/>
      <c r="Z1732" s="59"/>
      <c r="AA1732" s="59"/>
      <c r="AB1732" s="59"/>
      <c r="AC1732" s="59"/>
      <c r="AD1732" s="59"/>
      <c r="AE1732" s="59">
        <v>144.98011732270291</v>
      </c>
      <c r="AF1732" s="59">
        <v>0</v>
      </c>
      <c r="AG1732" s="59" t="s">
        <v>116</v>
      </c>
      <c r="AH1732" s="59" t="s">
        <v>1400</v>
      </c>
    </row>
    <row r="1733" spans="1:34" x14ac:dyDescent="0.35">
      <c r="A1733" s="58">
        <v>2025</v>
      </c>
      <c r="B1733" s="58">
        <v>9</v>
      </c>
      <c r="C1733">
        <v>9</v>
      </c>
      <c r="D1733" s="58" t="s">
        <v>1679</v>
      </c>
      <c r="E1733" t="s">
        <v>1312</v>
      </c>
      <c r="F1733" s="58" t="s">
        <v>1466</v>
      </c>
      <c r="G1733" t="s">
        <v>1467</v>
      </c>
      <c r="H1733" s="58" t="s">
        <v>1012</v>
      </c>
      <c r="I1733" t="s">
        <v>1012</v>
      </c>
      <c r="J1733" s="58" t="s">
        <v>1012</v>
      </c>
      <c r="K1733" t="s">
        <v>1429</v>
      </c>
      <c r="L1733" t="s">
        <v>20</v>
      </c>
      <c r="M1733" t="s">
        <v>1430</v>
      </c>
      <c r="N1733" s="59">
        <v>0</v>
      </c>
      <c r="O1733" s="59">
        <v>323260800</v>
      </c>
      <c r="P1733" s="59">
        <v>0</v>
      </c>
      <c r="Q1733" s="59">
        <v>0</v>
      </c>
      <c r="R1733" s="59">
        <v>0</v>
      </c>
      <c r="S1733" s="59">
        <v>323260800</v>
      </c>
      <c r="T1733" s="59"/>
      <c r="U1733" s="59"/>
      <c r="V1733" s="59"/>
      <c r="W1733" s="59"/>
      <c r="X1733" s="59"/>
      <c r="Y1733" s="59"/>
      <c r="Z1733" s="59"/>
      <c r="AA1733" s="59"/>
      <c r="AB1733" s="59"/>
      <c r="AC1733" s="59"/>
      <c r="AD1733" s="59"/>
      <c r="AE1733" s="59">
        <v>12333.260186797581</v>
      </c>
      <c r="AF1733" s="59">
        <v>12333.260186797581</v>
      </c>
      <c r="AG1733" s="59" t="s">
        <v>1312</v>
      </c>
      <c r="AH1733" s="59" t="s">
        <v>1306</v>
      </c>
    </row>
    <row r="1734" spans="1:34" x14ac:dyDescent="0.35">
      <c r="A1734" s="58">
        <v>2025</v>
      </c>
      <c r="B1734" s="58">
        <v>9</v>
      </c>
      <c r="C1734">
        <v>9</v>
      </c>
      <c r="D1734" s="58" t="s">
        <v>1680</v>
      </c>
      <c r="E1734" t="s">
        <v>1307</v>
      </c>
      <c r="F1734" s="58" t="s">
        <v>1466</v>
      </c>
      <c r="G1734" t="s">
        <v>1467</v>
      </c>
      <c r="H1734" s="58" t="s">
        <v>1012</v>
      </c>
      <c r="I1734" t="s">
        <v>1012</v>
      </c>
      <c r="J1734" s="58" t="s">
        <v>1012</v>
      </c>
      <c r="K1734" t="s">
        <v>1429</v>
      </c>
      <c r="L1734" t="s">
        <v>20</v>
      </c>
      <c r="M1734" t="s">
        <v>1430</v>
      </c>
      <c r="N1734" s="59">
        <v>0</v>
      </c>
      <c r="O1734" s="59">
        <v>548824800</v>
      </c>
      <c r="P1734" s="59">
        <v>0</v>
      </c>
      <c r="Q1734" s="59">
        <v>0</v>
      </c>
      <c r="R1734" s="59">
        <v>0</v>
      </c>
      <c r="S1734" s="59">
        <v>548824800</v>
      </c>
      <c r="T1734" s="59"/>
      <c r="U1734" s="59"/>
      <c r="V1734" s="59"/>
      <c r="W1734" s="59"/>
      <c r="X1734" s="59"/>
      <c r="Y1734" s="59"/>
      <c r="Z1734" s="59"/>
      <c r="AA1734" s="59"/>
      <c r="AB1734" s="59"/>
      <c r="AC1734" s="59"/>
      <c r="AD1734" s="59"/>
      <c r="AE1734" s="59">
        <v>20939.127340423413</v>
      </c>
      <c r="AF1734" s="59">
        <v>20939.127340423413</v>
      </c>
      <c r="AG1734" s="59" t="s">
        <v>1307</v>
      </c>
      <c r="AH1734" s="59" t="s">
        <v>1306</v>
      </c>
    </row>
    <row r="1735" spans="1:34" x14ac:dyDescent="0.35">
      <c r="A1735" s="58">
        <v>2025</v>
      </c>
      <c r="B1735" s="58">
        <v>9</v>
      </c>
      <c r="C1735">
        <v>9</v>
      </c>
      <c r="D1735" s="58" t="s">
        <v>1681</v>
      </c>
      <c r="E1735" t="s">
        <v>1310</v>
      </c>
      <c r="F1735" s="58" t="s">
        <v>1466</v>
      </c>
      <c r="G1735" t="s">
        <v>1467</v>
      </c>
      <c r="H1735" s="58" t="s">
        <v>1012</v>
      </c>
      <c r="I1735" t="s">
        <v>1012</v>
      </c>
      <c r="J1735" s="58" t="s">
        <v>1012</v>
      </c>
      <c r="K1735" t="s">
        <v>1429</v>
      </c>
      <c r="L1735" t="s">
        <v>20</v>
      </c>
      <c r="M1735" t="s">
        <v>1430</v>
      </c>
      <c r="N1735" s="59">
        <v>0</v>
      </c>
      <c r="O1735" s="59">
        <v>9190800</v>
      </c>
      <c r="P1735" s="59">
        <v>0</v>
      </c>
      <c r="Q1735" s="59">
        <v>0</v>
      </c>
      <c r="R1735" s="59">
        <v>0</v>
      </c>
      <c r="S1735" s="59">
        <v>9190800</v>
      </c>
      <c r="T1735" s="59"/>
      <c r="U1735" s="59"/>
      <c r="V1735" s="59"/>
      <c r="W1735" s="59"/>
      <c r="X1735" s="59"/>
      <c r="Y1735" s="59"/>
      <c r="Z1735" s="59"/>
      <c r="AA1735" s="59"/>
      <c r="AB1735" s="59"/>
      <c r="AC1735" s="59"/>
      <c r="AD1735" s="59"/>
      <c r="AE1735" s="59">
        <v>350.65349007618369</v>
      </c>
      <c r="AF1735" s="59">
        <v>350.65349007618369</v>
      </c>
      <c r="AG1735" s="59" t="s">
        <v>1310</v>
      </c>
      <c r="AH1735" s="59" t="s">
        <v>1306</v>
      </c>
    </row>
    <row r="1736" spans="1:34" x14ac:dyDescent="0.35">
      <c r="A1736" s="58">
        <v>2025</v>
      </c>
      <c r="B1736" s="58">
        <v>9</v>
      </c>
      <c r="C1736">
        <v>9</v>
      </c>
      <c r="D1736" s="58" t="s">
        <v>1682</v>
      </c>
      <c r="E1736" t="s">
        <v>1308</v>
      </c>
      <c r="F1736" s="58" t="s">
        <v>1466</v>
      </c>
      <c r="G1736" t="s">
        <v>1467</v>
      </c>
      <c r="H1736" s="58" t="s">
        <v>1012</v>
      </c>
      <c r="I1736" t="s">
        <v>1012</v>
      </c>
      <c r="J1736" s="58" t="s">
        <v>1012</v>
      </c>
      <c r="K1736" t="s">
        <v>1429</v>
      </c>
      <c r="L1736" t="s">
        <v>20</v>
      </c>
      <c r="M1736" t="s">
        <v>1430</v>
      </c>
      <c r="N1736" s="59">
        <v>0</v>
      </c>
      <c r="O1736" s="59">
        <v>537080400</v>
      </c>
      <c r="P1736" s="59">
        <v>0</v>
      </c>
      <c r="Q1736" s="59">
        <v>0</v>
      </c>
      <c r="R1736" s="59">
        <v>0</v>
      </c>
      <c r="S1736" s="59">
        <v>537080400</v>
      </c>
      <c r="T1736" s="59"/>
      <c r="U1736" s="59"/>
      <c r="V1736" s="59"/>
      <c r="W1736" s="59"/>
      <c r="X1736" s="59"/>
      <c r="Y1736" s="59"/>
      <c r="Z1736" s="59"/>
      <c r="AA1736" s="59"/>
      <c r="AB1736" s="59"/>
      <c r="AC1736" s="59"/>
      <c r="AD1736" s="59"/>
      <c r="AE1736" s="59">
        <v>20491.047211506371</v>
      </c>
      <c r="AF1736" s="59">
        <v>20491.047211506371</v>
      </c>
      <c r="AG1736" s="59" t="s">
        <v>1308</v>
      </c>
      <c r="AH1736" s="59" t="s">
        <v>1306</v>
      </c>
    </row>
    <row r="1737" spans="1:34" x14ac:dyDescent="0.35">
      <c r="A1737" s="58">
        <v>2025</v>
      </c>
      <c r="B1737" s="58">
        <v>9</v>
      </c>
      <c r="C1737">
        <v>9</v>
      </c>
      <c r="D1737" s="58" t="s">
        <v>1683</v>
      </c>
      <c r="E1737" t="s">
        <v>1302</v>
      </c>
      <c r="F1737" s="58" t="s">
        <v>1468</v>
      </c>
      <c r="G1737" t="s">
        <v>1012</v>
      </c>
      <c r="H1737" s="58" t="s">
        <v>1012</v>
      </c>
      <c r="I1737" t="s">
        <v>1012</v>
      </c>
      <c r="J1737" s="58" t="s">
        <v>1012</v>
      </c>
      <c r="K1737" t="s">
        <v>1429</v>
      </c>
      <c r="L1737" t="s">
        <v>20</v>
      </c>
      <c r="M1737" t="s">
        <v>1430</v>
      </c>
      <c r="N1737" s="59">
        <v>0</v>
      </c>
      <c r="O1737" s="59">
        <v>0</v>
      </c>
      <c r="P1737" s="59">
        <v>0</v>
      </c>
      <c r="Q1737" s="59">
        <v>0</v>
      </c>
      <c r="R1737" s="59">
        <v>0</v>
      </c>
      <c r="S1737" s="59">
        <v>0</v>
      </c>
      <c r="T1737" s="59"/>
      <c r="U1737" s="59"/>
      <c r="V1737" s="59"/>
      <c r="W1737" s="59"/>
      <c r="X1737" s="59"/>
      <c r="Y1737" s="59"/>
      <c r="Z1737" s="59"/>
      <c r="AA1737" s="59"/>
      <c r="AB1737" s="59"/>
      <c r="AC1737" s="59"/>
      <c r="AD1737" s="59"/>
      <c r="AE1737" s="59">
        <v>0</v>
      </c>
      <c r="AF1737" s="59">
        <v>0</v>
      </c>
      <c r="AG1737" s="59" t="s">
        <v>1302</v>
      </c>
      <c r="AH1737" s="59" t="s">
        <v>1284</v>
      </c>
    </row>
    <row r="1738" spans="1:34" x14ac:dyDescent="0.35">
      <c r="A1738" s="58">
        <v>2025</v>
      </c>
      <c r="B1738" s="58">
        <v>9</v>
      </c>
      <c r="C1738">
        <v>9</v>
      </c>
      <c r="D1738" s="58" t="s">
        <v>1596</v>
      </c>
      <c r="E1738" t="s">
        <v>1297</v>
      </c>
      <c r="F1738" s="58" t="s">
        <v>1468</v>
      </c>
      <c r="G1738" t="s">
        <v>1012</v>
      </c>
      <c r="H1738" s="58" t="s">
        <v>1012</v>
      </c>
      <c r="I1738" t="s">
        <v>1012</v>
      </c>
      <c r="J1738" s="58" t="s">
        <v>1012</v>
      </c>
      <c r="K1738" t="s">
        <v>1429</v>
      </c>
      <c r="L1738" t="s">
        <v>20</v>
      </c>
      <c r="M1738" t="s">
        <v>1430</v>
      </c>
      <c r="N1738" s="59">
        <v>0</v>
      </c>
      <c r="O1738" s="59">
        <v>0</v>
      </c>
      <c r="P1738" s="59">
        <v>0</v>
      </c>
      <c r="Q1738" s="59">
        <v>0</v>
      </c>
      <c r="R1738" s="59">
        <v>0</v>
      </c>
      <c r="S1738" s="59">
        <v>0</v>
      </c>
      <c r="T1738" s="59"/>
      <c r="U1738" s="59"/>
      <c r="V1738" s="59"/>
      <c r="W1738" s="59"/>
      <c r="X1738" s="59"/>
      <c r="Y1738" s="59"/>
      <c r="Z1738" s="59"/>
      <c r="AA1738" s="59"/>
      <c r="AB1738" s="59"/>
      <c r="AC1738" s="59"/>
      <c r="AD1738" s="59"/>
      <c r="AE1738" s="59">
        <v>0</v>
      </c>
      <c r="AF1738" s="59">
        <v>0</v>
      </c>
      <c r="AG1738" s="59" t="s">
        <v>1297</v>
      </c>
      <c r="AH1738" s="59" t="s">
        <v>1284</v>
      </c>
    </row>
    <row r="1739" spans="1:34" x14ac:dyDescent="0.35">
      <c r="A1739" s="58">
        <v>2025</v>
      </c>
      <c r="B1739" s="58">
        <v>9</v>
      </c>
      <c r="C1739">
        <v>9</v>
      </c>
      <c r="D1739" s="58" t="s">
        <v>587</v>
      </c>
      <c r="E1739" t="s">
        <v>6</v>
      </c>
      <c r="F1739" s="58" t="s">
        <v>171</v>
      </c>
      <c r="G1739" t="s">
        <v>731</v>
      </c>
      <c r="H1739" s="58" t="s">
        <v>4</v>
      </c>
      <c r="I1739" t="s">
        <v>4</v>
      </c>
      <c r="J1739" s="58" t="s">
        <v>4</v>
      </c>
      <c r="K1739" t="s">
        <v>1476</v>
      </c>
      <c r="L1739" t="s">
        <v>1509</v>
      </c>
      <c r="M1739" t="s">
        <v>1430</v>
      </c>
      <c r="N1739" s="59">
        <v>220000</v>
      </c>
      <c r="O1739" s="59">
        <v>6927360000</v>
      </c>
      <c r="P1739" s="59">
        <v>16479795.217391307</v>
      </c>
      <c r="Q1739" s="59">
        <v>103910400</v>
      </c>
      <c r="R1739" s="59">
        <v>107646896</v>
      </c>
      <c r="S1739" s="59">
        <v>6699322908.782609</v>
      </c>
      <c r="T1739" s="59"/>
      <c r="U1739" s="59"/>
      <c r="V1739" s="59"/>
      <c r="W1739" s="59"/>
      <c r="X1739" s="59"/>
      <c r="Y1739" s="59"/>
      <c r="Z1739" s="59"/>
      <c r="AA1739" s="59"/>
      <c r="AB1739" s="59"/>
      <c r="AC1739" s="59"/>
      <c r="AD1739" s="59"/>
      <c r="AE1739" s="59">
        <v>255309.56207250798</v>
      </c>
      <c r="AF1739" s="59">
        <v>264000</v>
      </c>
      <c r="AG1739" s="59" t="s">
        <v>6</v>
      </c>
      <c r="AH1739" s="59" t="s">
        <v>1166</v>
      </c>
    </row>
    <row r="1740" spans="1:34" x14ac:dyDescent="0.35">
      <c r="A1740" s="58">
        <v>2025</v>
      </c>
      <c r="B1740" s="58">
        <v>9</v>
      </c>
      <c r="C1740">
        <v>9</v>
      </c>
      <c r="D1740" s="58" t="s">
        <v>587</v>
      </c>
      <c r="E1740" t="s">
        <v>6</v>
      </c>
      <c r="F1740" s="58" t="s">
        <v>171</v>
      </c>
      <c r="G1740" t="s">
        <v>731</v>
      </c>
      <c r="H1740" s="58" t="s">
        <v>4</v>
      </c>
      <c r="I1740" t="s">
        <v>4</v>
      </c>
      <c r="J1740" s="58" t="s">
        <v>4</v>
      </c>
      <c r="K1740" t="s">
        <v>1476</v>
      </c>
      <c r="L1740" t="s">
        <v>1477</v>
      </c>
      <c r="M1740" t="s">
        <v>1430</v>
      </c>
      <c r="N1740" s="59">
        <v>418000</v>
      </c>
      <c r="O1740" s="59">
        <v>13284612792</v>
      </c>
      <c r="P1740" s="59">
        <v>31311610.913043469</v>
      </c>
      <c r="Q1740" s="59">
        <v>199269191.87999994</v>
      </c>
      <c r="R1740" s="59">
        <v>169951569.00000003</v>
      </c>
      <c r="S1740" s="59">
        <v>12884080420.206963</v>
      </c>
      <c r="T1740" s="59"/>
      <c r="U1740" s="59"/>
      <c r="V1740" s="59"/>
      <c r="W1740" s="59"/>
      <c r="X1740" s="59"/>
      <c r="Y1740" s="59"/>
      <c r="Z1740" s="59"/>
      <c r="AA1740" s="59"/>
      <c r="AB1740" s="59"/>
      <c r="AC1740" s="59"/>
      <c r="AD1740" s="59"/>
      <c r="AE1740" s="59">
        <v>491827.99449405272</v>
      </c>
      <c r="AF1740" s="59">
        <v>507117.60000000021</v>
      </c>
      <c r="AG1740" s="59" t="s">
        <v>6</v>
      </c>
      <c r="AH1740" s="59" t="s">
        <v>1166</v>
      </c>
    </row>
    <row r="1741" spans="1:34" x14ac:dyDescent="0.35">
      <c r="A1741" s="58">
        <v>2025</v>
      </c>
      <c r="B1741" s="58">
        <v>9</v>
      </c>
      <c r="C1741">
        <v>9</v>
      </c>
      <c r="D1741" s="58" t="s">
        <v>587</v>
      </c>
      <c r="E1741" t="s">
        <v>6</v>
      </c>
      <c r="F1741" s="58" t="s">
        <v>1468</v>
      </c>
      <c r="G1741" t="s">
        <v>1012</v>
      </c>
      <c r="H1741" s="58" t="s">
        <v>1012</v>
      </c>
      <c r="I1741" t="s">
        <v>1012</v>
      </c>
      <c r="J1741" s="58" t="s">
        <v>1012</v>
      </c>
      <c r="K1741" t="s">
        <v>1429</v>
      </c>
      <c r="L1741" t="s">
        <v>20</v>
      </c>
      <c r="M1741" t="s">
        <v>1430</v>
      </c>
      <c r="N1741" s="59">
        <v>0</v>
      </c>
      <c r="O1741" s="59">
        <v>0</v>
      </c>
      <c r="P1741" s="59">
        <v>0</v>
      </c>
      <c r="Q1741" s="59">
        <v>157.12000006437302</v>
      </c>
      <c r="R1741" s="59">
        <v>0</v>
      </c>
      <c r="S1741" s="59">
        <v>-157.12000006437302</v>
      </c>
      <c r="T1741" s="59"/>
      <c r="U1741" s="59"/>
      <c r="V1741" s="59"/>
      <c r="W1741" s="59"/>
      <c r="X1741" s="59"/>
      <c r="Y1741" s="59"/>
      <c r="Z1741" s="59"/>
      <c r="AA1741" s="59"/>
      <c r="AB1741" s="59"/>
      <c r="AC1741" s="59"/>
      <c r="AD1741" s="59"/>
      <c r="AE1741" s="59">
        <v>-5.9945463271252348E-3</v>
      </c>
      <c r="AF1741" s="59">
        <v>0</v>
      </c>
      <c r="AG1741" s="59" t="s">
        <v>6</v>
      </c>
      <c r="AH1741" s="59" t="s">
        <v>1284</v>
      </c>
    </row>
    <row r="1742" spans="1:34" x14ac:dyDescent="0.35">
      <c r="A1742" s="58">
        <v>2025</v>
      </c>
      <c r="B1742" s="58">
        <v>9</v>
      </c>
      <c r="C1742">
        <v>9</v>
      </c>
      <c r="D1742" s="58" t="s">
        <v>637</v>
      </c>
      <c r="E1742" t="s">
        <v>64</v>
      </c>
      <c r="F1742" s="58" t="s">
        <v>216</v>
      </c>
      <c r="G1742" t="s">
        <v>935</v>
      </c>
      <c r="H1742" s="58" t="s">
        <v>21</v>
      </c>
      <c r="I1742" t="s">
        <v>21</v>
      </c>
      <c r="J1742" s="58" t="s">
        <v>21</v>
      </c>
      <c r="K1742" t="s">
        <v>1476</v>
      </c>
      <c r="L1742" t="s">
        <v>301</v>
      </c>
      <c r="M1742" t="s">
        <v>1430</v>
      </c>
      <c r="N1742" s="59">
        <v>16000</v>
      </c>
      <c r="O1742" s="59">
        <v>453600000.00000006</v>
      </c>
      <c r="P1742" s="59">
        <v>0</v>
      </c>
      <c r="Q1742" s="59">
        <v>0</v>
      </c>
      <c r="R1742" s="59">
        <v>12473570.666666666</v>
      </c>
      <c r="S1742" s="59">
        <v>441126429.33333337</v>
      </c>
      <c r="T1742" s="59"/>
      <c r="U1742" s="59"/>
      <c r="V1742" s="59"/>
      <c r="W1742" s="59"/>
      <c r="X1742" s="59"/>
      <c r="Y1742" s="59"/>
      <c r="Z1742" s="59"/>
      <c r="AA1742" s="59"/>
      <c r="AB1742" s="59"/>
      <c r="AC1742" s="59"/>
      <c r="AD1742" s="59"/>
      <c r="AE1742" s="59">
        <v>16804.816355555558</v>
      </c>
      <c r="AF1742" s="59">
        <v>17280.000000000004</v>
      </c>
      <c r="AG1742" s="59" t="s">
        <v>64</v>
      </c>
      <c r="AH1742" s="59" t="s">
        <v>1358</v>
      </c>
    </row>
    <row r="1743" spans="1:34" x14ac:dyDescent="0.35">
      <c r="A1743" s="58">
        <v>2025</v>
      </c>
      <c r="B1743" s="58">
        <v>9</v>
      </c>
      <c r="C1743">
        <v>9</v>
      </c>
      <c r="D1743" s="58" t="s">
        <v>637</v>
      </c>
      <c r="E1743" t="s">
        <v>64</v>
      </c>
      <c r="F1743" s="58" t="s">
        <v>217</v>
      </c>
      <c r="G1743" t="s">
        <v>938</v>
      </c>
      <c r="H1743" s="58" t="s">
        <v>21</v>
      </c>
      <c r="I1743" t="s">
        <v>21</v>
      </c>
      <c r="J1743" s="58" t="s">
        <v>21</v>
      </c>
      <c r="K1743" t="s">
        <v>1476</v>
      </c>
      <c r="L1743" t="s">
        <v>301</v>
      </c>
      <c r="M1743" t="s">
        <v>1430</v>
      </c>
      <c r="N1743" s="59">
        <v>8000</v>
      </c>
      <c r="O1743" s="59">
        <v>226800000.00000003</v>
      </c>
      <c r="P1743" s="59">
        <v>0</v>
      </c>
      <c r="Q1743" s="59">
        <v>0</v>
      </c>
      <c r="R1743" s="59">
        <v>6236785.333333333</v>
      </c>
      <c r="S1743" s="59">
        <v>220563214.66666669</v>
      </c>
      <c r="T1743" s="59"/>
      <c r="U1743" s="59"/>
      <c r="V1743" s="59"/>
      <c r="W1743" s="59"/>
      <c r="X1743" s="59"/>
      <c r="Y1743" s="59"/>
      <c r="Z1743" s="59"/>
      <c r="AA1743" s="59"/>
      <c r="AB1743" s="59"/>
      <c r="AC1743" s="59"/>
      <c r="AD1743" s="59"/>
      <c r="AE1743" s="59">
        <v>8402.4081777777792</v>
      </c>
      <c r="AF1743" s="59">
        <v>8640.0000000000018</v>
      </c>
      <c r="AG1743" s="59" t="s">
        <v>64</v>
      </c>
      <c r="AH1743" s="59" t="s">
        <v>1359</v>
      </c>
    </row>
    <row r="1744" spans="1:34" x14ac:dyDescent="0.35">
      <c r="A1744" s="58">
        <v>2025</v>
      </c>
      <c r="B1744" s="58">
        <v>9</v>
      </c>
      <c r="C1744">
        <v>9</v>
      </c>
      <c r="D1744" s="58" t="s">
        <v>632</v>
      </c>
      <c r="E1744" t="s">
        <v>131</v>
      </c>
      <c r="F1744" s="58" t="s">
        <v>174</v>
      </c>
      <c r="G1744" t="s">
        <v>740</v>
      </c>
      <c r="H1744" s="58" t="s">
        <v>4</v>
      </c>
      <c r="I1744" t="s">
        <v>4</v>
      </c>
      <c r="J1744" s="58" t="s">
        <v>4</v>
      </c>
      <c r="K1744" t="s">
        <v>1476</v>
      </c>
      <c r="L1744" t="s">
        <v>1510</v>
      </c>
      <c r="M1744" t="s">
        <v>1430</v>
      </c>
      <c r="N1744" s="59">
        <v>66000</v>
      </c>
      <c r="O1744" s="59">
        <v>1902120000.0000005</v>
      </c>
      <c r="P1744" s="59">
        <v>4943938.5652173907</v>
      </c>
      <c r="Q1744" s="59">
        <v>0</v>
      </c>
      <c r="R1744" s="59">
        <v>31967505</v>
      </c>
      <c r="S1744" s="59">
        <v>1865208556.434783</v>
      </c>
      <c r="T1744" s="59"/>
      <c r="U1744" s="59"/>
      <c r="V1744" s="59"/>
      <c r="W1744" s="59"/>
      <c r="X1744" s="59"/>
      <c r="Y1744" s="59"/>
      <c r="Z1744" s="59"/>
      <c r="AA1744" s="59"/>
      <c r="AB1744" s="59"/>
      <c r="AC1744" s="59"/>
      <c r="AD1744" s="59"/>
      <c r="AE1744" s="59">
        <v>71191.166276136762</v>
      </c>
      <c r="AF1744" s="59">
        <v>72600.000000000015</v>
      </c>
      <c r="AG1744" s="59" t="s">
        <v>131</v>
      </c>
      <c r="AH1744" s="59" t="s">
        <v>1185</v>
      </c>
    </row>
    <row r="1745" spans="1:34" x14ac:dyDescent="0.35">
      <c r="A1745" s="58">
        <v>2025</v>
      </c>
      <c r="B1745" s="58">
        <v>9</v>
      </c>
      <c r="C1745">
        <v>9</v>
      </c>
      <c r="D1745" s="58" t="s">
        <v>614</v>
      </c>
      <c r="E1745" t="s">
        <v>304</v>
      </c>
      <c r="F1745" s="58" t="s">
        <v>171</v>
      </c>
      <c r="G1745" t="s">
        <v>731</v>
      </c>
      <c r="H1745" s="58" t="s">
        <v>4</v>
      </c>
      <c r="I1745" t="s">
        <v>4</v>
      </c>
      <c r="J1745" s="58" t="s">
        <v>4</v>
      </c>
      <c r="K1745" t="s">
        <v>1476</v>
      </c>
      <c r="L1745" t="s">
        <v>1520</v>
      </c>
      <c r="M1745" t="s">
        <v>1430</v>
      </c>
      <c r="N1745" s="59">
        <v>64900</v>
      </c>
      <c r="O1745" s="59">
        <v>2125475524</v>
      </c>
      <c r="P1745" s="59">
        <v>4861539.5891304351</v>
      </c>
      <c r="Q1745" s="59">
        <v>0</v>
      </c>
      <c r="R1745" s="59">
        <v>94949990.172666654</v>
      </c>
      <c r="S1745" s="59">
        <v>2025663994.238203</v>
      </c>
      <c r="T1745" s="59"/>
      <c r="U1745" s="59"/>
      <c r="V1745" s="59"/>
      <c r="W1745" s="59"/>
      <c r="X1745" s="59"/>
      <c r="Y1745" s="59"/>
      <c r="Z1745" s="59"/>
      <c r="AA1745" s="59"/>
      <c r="AB1745" s="59"/>
      <c r="AC1745" s="59"/>
      <c r="AD1745" s="59"/>
      <c r="AE1745" s="59">
        <v>77315.419627412324</v>
      </c>
      <c r="AF1745" s="59">
        <v>81125.01999999999</v>
      </c>
      <c r="AG1745" s="59" t="s">
        <v>130</v>
      </c>
      <c r="AH1745" s="59" t="s">
        <v>1166</v>
      </c>
    </row>
    <row r="1746" spans="1:34" x14ac:dyDescent="0.35">
      <c r="A1746" s="58">
        <v>2025</v>
      </c>
      <c r="B1746" s="58">
        <v>9</v>
      </c>
      <c r="C1746">
        <v>9</v>
      </c>
      <c r="D1746" s="58" t="s">
        <v>614</v>
      </c>
      <c r="E1746" t="s">
        <v>304</v>
      </c>
      <c r="F1746" s="58" t="s">
        <v>174</v>
      </c>
      <c r="G1746" t="s">
        <v>740</v>
      </c>
      <c r="H1746" s="58" t="s">
        <v>4</v>
      </c>
      <c r="I1746" t="s">
        <v>4</v>
      </c>
      <c r="J1746" s="58" t="s">
        <v>4</v>
      </c>
      <c r="K1746" t="s">
        <v>1476</v>
      </c>
      <c r="L1746" t="s">
        <v>1520</v>
      </c>
      <c r="M1746" t="s">
        <v>1430</v>
      </c>
      <c r="N1746" s="59">
        <v>1100</v>
      </c>
      <c r="O1746" s="59">
        <v>34007600</v>
      </c>
      <c r="P1746" s="59">
        <v>82398.976086956522</v>
      </c>
      <c r="Q1746" s="59">
        <v>0</v>
      </c>
      <c r="R1746" s="59">
        <v>1609321.8673333335</v>
      </c>
      <c r="S1746" s="59">
        <v>32315879.156579711</v>
      </c>
      <c r="T1746" s="59"/>
      <c r="U1746" s="59"/>
      <c r="V1746" s="59"/>
      <c r="W1746" s="59"/>
      <c r="X1746" s="59"/>
      <c r="Y1746" s="59"/>
      <c r="Z1746" s="59"/>
      <c r="AA1746" s="59"/>
      <c r="AB1746" s="59"/>
      <c r="AC1746" s="59"/>
      <c r="AD1746" s="59"/>
      <c r="AE1746" s="59">
        <v>1233.430502159531</v>
      </c>
      <c r="AF1746" s="59">
        <v>1298</v>
      </c>
      <c r="AG1746" s="59" t="s">
        <v>130</v>
      </c>
      <c r="AH1746" s="59" t="s">
        <v>1185</v>
      </c>
    </row>
    <row r="1747" spans="1:34" x14ac:dyDescent="0.35">
      <c r="A1747" s="58">
        <v>2025</v>
      </c>
      <c r="B1747" s="58">
        <v>9</v>
      </c>
      <c r="C1747">
        <v>9</v>
      </c>
      <c r="D1747" s="58" t="s">
        <v>1555</v>
      </c>
      <c r="E1747" t="s">
        <v>1289</v>
      </c>
      <c r="F1747" s="58" t="s">
        <v>1486</v>
      </c>
      <c r="G1747" t="s">
        <v>1487</v>
      </c>
      <c r="H1747" s="58" t="s">
        <v>1012</v>
      </c>
      <c r="I1747" t="s">
        <v>1012</v>
      </c>
      <c r="J1747" s="58" t="s">
        <v>1012</v>
      </c>
      <c r="K1747" t="s">
        <v>1429</v>
      </c>
      <c r="L1747" t="s">
        <v>20</v>
      </c>
      <c r="M1747" t="s">
        <v>1430</v>
      </c>
      <c r="N1747" s="59">
        <v>0</v>
      </c>
      <c r="O1747" s="59">
        <v>0</v>
      </c>
      <c r="P1747" s="59">
        <v>0</v>
      </c>
      <c r="Q1747" s="59">
        <v>0</v>
      </c>
      <c r="R1747" s="59">
        <v>0</v>
      </c>
      <c r="S1747" s="59">
        <v>0</v>
      </c>
      <c r="T1747" s="59"/>
      <c r="U1747" s="59"/>
      <c r="V1747" s="59"/>
      <c r="W1747" s="59"/>
      <c r="X1747" s="59"/>
      <c r="Y1747" s="59"/>
      <c r="Z1747" s="59"/>
      <c r="AA1747" s="59"/>
      <c r="AB1747" s="59"/>
      <c r="AC1747" s="59"/>
      <c r="AD1747" s="59"/>
      <c r="AE1747" s="59">
        <v>0</v>
      </c>
      <c r="AF1747" s="59">
        <v>0</v>
      </c>
      <c r="AG1747" s="59" t="s">
        <v>1289</v>
      </c>
      <c r="AH1747" s="59" t="s">
        <v>1317</v>
      </c>
    </row>
    <row r="1748" spans="1:34" x14ac:dyDescent="0.35">
      <c r="A1748" s="58">
        <v>2025</v>
      </c>
      <c r="B1748" s="58">
        <v>9</v>
      </c>
      <c r="C1748">
        <v>9</v>
      </c>
      <c r="D1748" s="58" t="s">
        <v>1620</v>
      </c>
      <c r="E1748" t="s">
        <v>1295</v>
      </c>
      <c r="F1748" s="58" t="s">
        <v>1597</v>
      </c>
      <c r="G1748" t="s">
        <v>1598</v>
      </c>
      <c r="H1748" s="58" t="s">
        <v>1012</v>
      </c>
      <c r="I1748" t="s">
        <v>1012</v>
      </c>
      <c r="J1748" s="58" t="s">
        <v>1012</v>
      </c>
      <c r="K1748" t="s">
        <v>1429</v>
      </c>
      <c r="L1748" t="s">
        <v>20</v>
      </c>
      <c r="M1748" t="s">
        <v>1430</v>
      </c>
      <c r="N1748" s="59">
        <v>0</v>
      </c>
      <c r="O1748" s="59">
        <v>0</v>
      </c>
      <c r="P1748" s="59">
        <v>0</v>
      </c>
      <c r="Q1748" s="59">
        <v>0</v>
      </c>
      <c r="R1748" s="59">
        <v>0</v>
      </c>
      <c r="S1748" s="59">
        <v>0</v>
      </c>
      <c r="T1748" s="59"/>
      <c r="U1748" s="59"/>
      <c r="V1748" s="59"/>
      <c r="W1748" s="59"/>
      <c r="X1748" s="59"/>
      <c r="Y1748" s="59"/>
      <c r="Z1748" s="59"/>
      <c r="AA1748" s="59"/>
      <c r="AB1748" s="59"/>
      <c r="AC1748" s="59"/>
      <c r="AD1748" s="59"/>
      <c r="AE1748" s="59">
        <v>0</v>
      </c>
      <c r="AF1748" s="59">
        <v>0</v>
      </c>
      <c r="AG1748" s="59" t="s">
        <v>1295</v>
      </c>
      <c r="AH1748" s="59" t="s">
        <v>1327</v>
      </c>
    </row>
    <row r="1749" spans="1:34" x14ac:dyDescent="0.35">
      <c r="A1749" s="58">
        <v>2025</v>
      </c>
      <c r="B1749" s="58">
        <v>9</v>
      </c>
      <c r="C1749">
        <v>9</v>
      </c>
      <c r="D1749" s="58" t="s">
        <v>1485</v>
      </c>
      <c r="E1749" t="s">
        <v>1318</v>
      </c>
      <c r="F1749" s="58" t="s">
        <v>1486</v>
      </c>
      <c r="G1749" t="s">
        <v>1487</v>
      </c>
      <c r="H1749" s="58" t="s">
        <v>1012</v>
      </c>
      <c r="I1749" t="s">
        <v>1012</v>
      </c>
      <c r="J1749" s="58" t="s">
        <v>1012</v>
      </c>
      <c r="K1749" t="s">
        <v>1429</v>
      </c>
      <c r="L1749" t="s">
        <v>20</v>
      </c>
      <c r="M1749" t="s">
        <v>1430</v>
      </c>
      <c r="N1749" s="59">
        <v>0</v>
      </c>
      <c r="O1749" s="59">
        <v>0</v>
      </c>
      <c r="P1749" s="59">
        <v>0</v>
      </c>
      <c r="Q1749" s="59">
        <v>0</v>
      </c>
      <c r="R1749" s="59">
        <v>0</v>
      </c>
      <c r="S1749" s="59">
        <v>0</v>
      </c>
      <c r="T1749" s="59"/>
      <c r="U1749" s="59"/>
      <c r="V1749" s="59"/>
      <c r="W1749" s="59"/>
      <c r="X1749" s="59"/>
      <c r="Y1749" s="59"/>
      <c r="Z1749" s="59"/>
      <c r="AA1749" s="59"/>
      <c r="AB1749" s="59"/>
      <c r="AC1749" s="59"/>
      <c r="AD1749" s="59"/>
      <c r="AE1749" s="59">
        <v>0</v>
      </c>
      <c r="AF1749" s="59">
        <v>0</v>
      </c>
      <c r="AG1749" s="59" t="s">
        <v>1318</v>
      </c>
      <c r="AH1749" s="59" t="s">
        <v>1317</v>
      </c>
    </row>
    <row r="1750" spans="1:34" x14ac:dyDescent="0.35">
      <c r="A1750" s="58">
        <v>2025</v>
      </c>
      <c r="B1750" s="58">
        <v>9</v>
      </c>
      <c r="C1750">
        <v>9</v>
      </c>
      <c r="D1750" s="58" t="s">
        <v>1624</v>
      </c>
      <c r="E1750" t="s">
        <v>1286</v>
      </c>
      <c r="F1750" s="58" t="s">
        <v>1468</v>
      </c>
      <c r="G1750" t="s">
        <v>1012</v>
      </c>
      <c r="H1750" s="58" t="s">
        <v>1012</v>
      </c>
      <c r="I1750" t="s">
        <v>1012</v>
      </c>
      <c r="J1750" s="58" t="s">
        <v>1012</v>
      </c>
      <c r="K1750" t="s">
        <v>1429</v>
      </c>
      <c r="L1750" t="s">
        <v>20</v>
      </c>
      <c r="M1750" t="s">
        <v>1430</v>
      </c>
      <c r="N1750" s="59">
        <v>0</v>
      </c>
      <c r="O1750" s="59">
        <v>0</v>
      </c>
      <c r="P1750" s="59">
        <v>0</v>
      </c>
      <c r="Q1750" s="59">
        <v>0</v>
      </c>
      <c r="R1750" s="59">
        <v>0</v>
      </c>
      <c r="S1750" s="59">
        <v>0</v>
      </c>
      <c r="T1750" s="59"/>
      <c r="U1750" s="59"/>
      <c r="V1750" s="59"/>
      <c r="W1750" s="59"/>
      <c r="X1750" s="59"/>
      <c r="Y1750" s="59"/>
      <c r="Z1750" s="59"/>
      <c r="AA1750" s="59"/>
      <c r="AB1750" s="59"/>
      <c r="AC1750" s="59"/>
      <c r="AD1750" s="59"/>
      <c r="AE1750" s="59">
        <v>0</v>
      </c>
      <c r="AF1750" s="59">
        <v>0</v>
      </c>
      <c r="AG1750" s="59" t="s">
        <v>1286</v>
      </c>
      <c r="AH1750" s="59" t="s">
        <v>1284</v>
      </c>
    </row>
    <row r="1751" spans="1:34" x14ac:dyDescent="0.35">
      <c r="A1751" s="58">
        <v>2025</v>
      </c>
      <c r="B1751" s="58">
        <v>9</v>
      </c>
      <c r="C1751">
        <v>9</v>
      </c>
      <c r="D1751" s="58" t="s">
        <v>1488</v>
      </c>
      <c r="E1751" t="s">
        <v>1275</v>
      </c>
      <c r="F1751" s="58" t="s">
        <v>1489</v>
      </c>
      <c r="G1751" t="s">
        <v>1490</v>
      </c>
      <c r="H1751" s="58" t="s">
        <v>1012</v>
      </c>
      <c r="I1751" t="s">
        <v>1012</v>
      </c>
      <c r="J1751" s="58" t="s">
        <v>1012</v>
      </c>
      <c r="K1751" t="s">
        <v>1429</v>
      </c>
      <c r="L1751" t="s">
        <v>20</v>
      </c>
      <c r="M1751" t="s">
        <v>1430</v>
      </c>
      <c r="N1751" s="59">
        <v>0</v>
      </c>
      <c r="O1751" s="59">
        <v>0</v>
      </c>
      <c r="P1751" s="59">
        <v>0</v>
      </c>
      <c r="Q1751" s="59">
        <v>0</v>
      </c>
      <c r="R1751" s="59">
        <v>0</v>
      </c>
      <c r="S1751" s="59">
        <v>0</v>
      </c>
      <c r="T1751" s="59"/>
      <c r="U1751" s="59"/>
      <c r="V1751" s="59"/>
      <c r="W1751" s="59"/>
      <c r="X1751" s="59"/>
      <c r="Y1751" s="59"/>
      <c r="Z1751" s="59"/>
      <c r="AA1751" s="59"/>
      <c r="AB1751" s="59"/>
      <c r="AC1751" s="59"/>
      <c r="AD1751" s="59"/>
      <c r="AE1751" s="59">
        <v>0</v>
      </c>
      <c r="AF1751" s="59">
        <v>0</v>
      </c>
      <c r="AG1751" s="59" t="s">
        <v>1275</v>
      </c>
      <c r="AH1751" s="59" t="s">
        <v>1274</v>
      </c>
    </row>
    <row r="1752" spans="1:34" x14ac:dyDescent="0.35">
      <c r="A1752" s="58">
        <v>2025</v>
      </c>
      <c r="B1752" s="58">
        <v>9</v>
      </c>
      <c r="C1752">
        <v>9</v>
      </c>
      <c r="D1752" s="58" t="s">
        <v>1491</v>
      </c>
      <c r="E1752" t="s">
        <v>1264</v>
      </c>
      <c r="F1752" s="58" t="s">
        <v>1492</v>
      </c>
      <c r="G1752" t="s">
        <v>1493</v>
      </c>
      <c r="H1752" s="58" t="s">
        <v>1012</v>
      </c>
      <c r="I1752" t="s">
        <v>1012</v>
      </c>
      <c r="J1752" s="58" t="s">
        <v>1012</v>
      </c>
      <c r="K1752" t="s">
        <v>1429</v>
      </c>
      <c r="L1752" t="s">
        <v>20</v>
      </c>
      <c r="M1752" t="s">
        <v>1430</v>
      </c>
      <c r="N1752" s="59">
        <v>0</v>
      </c>
      <c r="O1752" s="59">
        <v>0</v>
      </c>
      <c r="P1752" s="59">
        <v>0</v>
      </c>
      <c r="Q1752" s="59">
        <v>0</v>
      </c>
      <c r="R1752" s="59">
        <v>3139999.9599996209</v>
      </c>
      <c r="S1752" s="59">
        <v>-3139999.9599996209</v>
      </c>
      <c r="T1752" s="59"/>
      <c r="U1752" s="59"/>
      <c r="V1752" s="59"/>
      <c r="W1752" s="59"/>
      <c r="X1752" s="59"/>
      <c r="Y1752" s="59"/>
      <c r="Z1752" s="59"/>
      <c r="AA1752" s="59"/>
      <c r="AB1752" s="59"/>
      <c r="AC1752" s="59"/>
      <c r="AD1752" s="59"/>
      <c r="AE1752" s="59">
        <v>-119.79935857737567</v>
      </c>
      <c r="AF1752" s="59">
        <v>0</v>
      </c>
      <c r="AG1752" s="59" t="s">
        <v>1264</v>
      </c>
      <c r="AH1752" s="59" t="s">
        <v>1269</v>
      </c>
    </row>
    <row r="1753" spans="1:34" x14ac:dyDescent="0.35">
      <c r="A1753" s="58">
        <v>2025</v>
      </c>
      <c r="B1753" s="58">
        <v>9</v>
      </c>
      <c r="C1753">
        <v>9</v>
      </c>
      <c r="D1753" s="58" t="s">
        <v>1491</v>
      </c>
      <c r="E1753" t="s">
        <v>1264</v>
      </c>
      <c r="F1753" s="58" t="s">
        <v>1522</v>
      </c>
      <c r="G1753" t="s">
        <v>1523</v>
      </c>
      <c r="H1753" s="58" t="s">
        <v>1012</v>
      </c>
      <c r="I1753" t="s">
        <v>1012</v>
      </c>
      <c r="J1753" s="58" t="s">
        <v>1389</v>
      </c>
      <c r="K1753" t="s">
        <v>1429</v>
      </c>
      <c r="L1753" t="s">
        <v>20</v>
      </c>
      <c r="M1753" t="s">
        <v>1430</v>
      </c>
      <c r="N1753" s="59">
        <v>0</v>
      </c>
      <c r="O1753" s="59">
        <v>0</v>
      </c>
      <c r="P1753" s="59">
        <v>0</v>
      </c>
      <c r="Q1753" s="59">
        <v>0</v>
      </c>
      <c r="R1753" s="59">
        <v>19398756.000000052</v>
      </c>
      <c r="S1753" s="59">
        <v>-19398756.000000052</v>
      </c>
      <c r="T1753" s="59"/>
      <c r="U1753" s="59"/>
      <c r="V1753" s="59"/>
      <c r="W1753" s="59"/>
      <c r="X1753" s="59"/>
      <c r="Y1753" s="59"/>
      <c r="Z1753" s="59"/>
      <c r="AA1753" s="59"/>
      <c r="AB1753" s="59"/>
      <c r="AC1753" s="59"/>
      <c r="AD1753" s="59"/>
      <c r="AE1753" s="59">
        <v>-740.11418968276178</v>
      </c>
      <c r="AF1753" s="59">
        <v>0</v>
      </c>
      <c r="AG1753" s="59" t="s">
        <v>1264</v>
      </c>
      <c r="AH1753" s="59" t="s">
        <v>1390</v>
      </c>
    </row>
    <row r="1754" spans="1:34" x14ac:dyDescent="0.35">
      <c r="A1754" s="58">
        <v>2025</v>
      </c>
      <c r="B1754" s="58">
        <v>9</v>
      </c>
      <c r="C1754">
        <v>9</v>
      </c>
      <c r="D1754" s="58" t="s">
        <v>1491</v>
      </c>
      <c r="E1754" t="s">
        <v>1264</v>
      </c>
      <c r="F1754" s="58" t="s">
        <v>1152</v>
      </c>
      <c r="G1754" t="s">
        <v>1153</v>
      </c>
      <c r="H1754" s="58" t="s">
        <v>1012</v>
      </c>
      <c r="I1754" t="s">
        <v>1012</v>
      </c>
      <c r="J1754" s="58" t="s">
        <v>1399</v>
      </c>
      <c r="K1754" t="s">
        <v>1429</v>
      </c>
      <c r="L1754" t="s">
        <v>20</v>
      </c>
      <c r="M1754" t="s">
        <v>1430</v>
      </c>
      <c r="N1754" s="59">
        <v>0</v>
      </c>
      <c r="O1754" s="59">
        <v>0</v>
      </c>
      <c r="P1754" s="59">
        <v>15485539.015231762</v>
      </c>
      <c r="Q1754" s="59">
        <v>0</v>
      </c>
      <c r="R1754" s="59">
        <v>-12693336.999999968</v>
      </c>
      <c r="S1754" s="59">
        <v>-2792202.0152317937</v>
      </c>
      <c r="T1754" s="59"/>
      <c r="U1754" s="59"/>
      <c r="V1754" s="59"/>
      <c r="W1754" s="59"/>
      <c r="X1754" s="59"/>
      <c r="Y1754" s="59"/>
      <c r="Z1754" s="59"/>
      <c r="AA1754" s="59"/>
      <c r="AB1754" s="59"/>
      <c r="AC1754" s="59"/>
      <c r="AD1754" s="59"/>
      <c r="AE1754" s="59">
        <v>-106.52994098868038</v>
      </c>
      <c r="AF1754" s="59">
        <v>0</v>
      </c>
      <c r="AG1754" s="59" t="s">
        <v>1264</v>
      </c>
      <c r="AH1754" s="59" t="s">
        <v>1400</v>
      </c>
    </row>
    <row r="1755" spans="1:34" x14ac:dyDescent="0.35">
      <c r="A1755" s="58">
        <v>2025</v>
      </c>
      <c r="B1755" s="58">
        <v>9</v>
      </c>
      <c r="C1755">
        <v>9</v>
      </c>
      <c r="D1755" s="58" t="s">
        <v>1491</v>
      </c>
      <c r="E1755" t="s">
        <v>1264</v>
      </c>
      <c r="F1755" s="58" t="s">
        <v>1496</v>
      </c>
      <c r="G1755" t="s">
        <v>1497</v>
      </c>
      <c r="H1755" s="58" t="s">
        <v>1012</v>
      </c>
      <c r="I1755" t="s">
        <v>1012</v>
      </c>
      <c r="J1755" s="58" t="s">
        <v>1012</v>
      </c>
      <c r="K1755" t="s">
        <v>1429</v>
      </c>
      <c r="L1755" t="s">
        <v>20</v>
      </c>
      <c r="M1755" t="s">
        <v>1430</v>
      </c>
      <c r="N1755" s="59">
        <v>0</v>
      </c>
      <c r="O1755" s="59">
        <v>0</v>
      </c>
      <c r="P1755" s="59">
        <v>0</v>
      </c>
      <c r="Q1755" s="59">
        <v>0</v>
      </c>
      <c r="R1755" s="59">
        <v>0</v>
      </c>
      <c r="S1755" s="59">
        <v>0</v>
      </c>
      <c r="T1755" s="59"/>
      <c r="U1755" s="59"/>
      <c r="V1755" s="59"/>
      <c r="W1755" s="59"/>
      <c r="X1755" s="59"/>
      <c r="Y1755" s="59"/>
      <c r="Z1755" s="59"/>
      <c r="AA1755" s="59"/>
      <c r="AB1755" s="59"/>
      <c r="AC1755" s="59"/>
      <c r="AD1755" s="59"/>
      <c r="AE1755" s="59">
        <v>0</v>
      </c>
      <c r="AF1755" s="59">
        <v>0</v>
      </c>
      <c r="AG1755" s="59" t="s">
        <v>1264</v>
      </c>
      <c r="AH1755" s="59" t="s">
        <v>1329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_rels/item63.xml.rels><?xml version="1.0" encoding="UTF-8" standalone="yes"?>
<Relationships xmlns="http://schemas.openxmlformats.org/package/2006/relationships"><Relationship Id="rId1" Type="http://schemas.openxmlformats.org/officeDocument/2006/relationships/customXmlProps" Target="itemProps63.xml"/></Relationships>
</file>

<file path=customXml/_rels/item64.xml.rels><?xml version="1.0" encoding="UTF-8" standalone="yes"?>
<Relationships xmlns="http://schemas.openxmlformats.org/package/2006/relationships"><Relationship Id="rId1" Type="http://schemas.openxmlformats.org/officeDocument/2006/relationships/customXmlProps" Target="itemProps64.xml"/></Relationships>
</file>

<file path=customXml/_rels/item65.xml.rels><?xml version="1.0" encoding="UTF-8" standalone="yes"?>
<Relationships xmlns="http://schemas.openxmlformats.org/package/2006/relationships"><Relationship Id="rId1" Type="http://schemas.openxmlformats.org/officeDocument/2006/relationships/customXmlProps" Target="itemProps65.xml"/></Relationships>
</file>

<file path=customXml/_rels/item66.xml.rels><?xml version="1.0" encoding="UTF-8" standalone="yes"?>
<Relationships xmlns="http://schemas.openxmlformats.org/package/2006/relationships"><Relationship Id="rId1" Type="http://schemas.openxmlformats.org/officeDocument/2006/relationships/customXmlProps" Target="itemProps66.xml"/></Relationships>
</file>

<file path=customXml/_rels/item67.xml.rels><?xml version="1.0" encoding="UTF-8" standalone="yes"?>
<Relationships xmlns="http://schemas.openxmlformats.org/package/2006/relationships"><Relationship Id="rId1" Type="http://schemas.openxmlformats.org/officeDocument/2006/relationships/customXmlProps" Target="itemProps67.xml"/></Relationships>
</file>

<file path=customXml/_rels/item68.xml.rels><?xml version="1.0" encoding="UTF-8" standalone="yes"?>
<Relationships xmlns="http://schemas.openxmlformats.org/package/2006/relationships"><Relationship Id="rId1" Type="http://schemas.openxmlformats.org/officeDocument/2006/relationships/customXmlProps" Target="itemProps68.xml"/></Relationships>
</file>

<file path=customXml/_rels/item69.xml.rels><?xml version="1.0" encoding="UTF-8" standalone="yes"?>
<Relationships xmlns="http://schemas.openxmlformats.org/package/2006/relationships"><Relationship Id="rId1" Type="http://schemas.openxmlformats.org/officeDocument/2006/relationships/customXmlProps" Target="itemProps69.xml"/></Relationships>
</file>

<file path=customXml/_rels/item70.xml.rels><?xml version="1.0" encoding="UTF-8" standalone="yes"?>
<Relationships xmlns="http://schemas.openxmlformats.org/package/2006/relationships"><Relationship Id="rId1" Type="http://schemas.openxmlformats.org/officeDocument/2006/relationships/customXmlProps" Target="itemProps70.xml"/></Relationships>
</file>

<file path=customXml/_rels/item71.xml.rels><?xml version="1.0" encoding="UTF-8" standalone="yes"?>
<Relationships xmlns="http://schemas.openxmlformats.org/package/2006/relationships"><Relationship Id="rId1" Type="http://schemas.openxmlformats.org/officeDocument/2006/relationships/customXmlProps" Target="itemProps71.xml"/></Relationships>
</file>

<file path=customXml/_rels/item72.xml.rels><?xml version="1.0" encoding="UTF-8" standalone="yes"?>
<Relationships xmlns="http://schemas.openxmlformats.org/package/2006/relationships"><Relationship Id="rId1" Type="http://schemas.openxmlformats.org/officeDocument/2006/relationships/customXmlProps" Target="itemProps72.xml"/></Relationships>
</file>

<file path=customXml/_rels/item73.xml.rels><?xml version="1.0" encoding="UTF-8" standalone="yes"?>
<Relationships xmlns="http://schemas.openxmlformats.org/package/2006/relationships"><Relationship Id="rId1" Type="http://schemas.openxmlformats.org/officeDocument/2006/relationships/customXmlProps" Target="itemProps73.xml"/></Relationships>
</file>

<file path=customXml/_rels/item74.xml.rels><?xml version="1.0" encoding="UTF-8" standalone="yes"?>
<Relationships xmlns="http://schemas.openxmlformats.org/package/2006/relationships"><Relationship Id="rId1" Type="http://schemas.openxmlformats.org/officeDocument/2006/relationships/customXmlProps" Target="itemProps74.xml"/></Relationships>
</file>

<file path=customXml/_rels/item75.xml.rels><?xml version="1.0" encoding="UTF-8" standalone="yes"?>
<Relationships xmlns="http://schemas.openxmlformats.org/package/2006/relationships"><Relationship Id="rId1" Type="http://schemas.openxmlformats.org/officeDocument/2006/relationships/customXmlProps" Target="itemProps75.xml"/></Relationships>
</file>

<file path=customXml/_rels/item76.xml.rels><?xml version="1.0" encoding="UTF-8" standalone="yes"?>
<Relationships xmlns="http://schemas.openxmlformats.org/package/2006/relationships"><Relationship Id="rId1" Type="http://schemas.openxmlformats.org/officeDocument/2006/relationships/customXmlProps" Target="itemProps7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xml version="1.0" encoding="utf-8"?>
<ct:contentTypeSchema xmlns:ct="http://schemas.microsoft.com/office/2006/metadata/contentType" xmlns:ma="http://schemas.microsoft.com/office/2006/metadata/properties/metaAttributes" ct:_="" ma:_="" ma:contentTypeName="Document" ma:contentTypeID="0x010100A1EB7EC96C858E4596FDEA8DB8B384EC" ma:contentTypeVersion="19" ma:contentTypeDescription="Create a new document." ma:contentTypeScope="" ma:versionID="ed75c058c563791519a63f28b06c36ff">
  <xsd:schema xmlns:xsd="http://www.w3.org/2001/XMLSchema" xmlns:xs="http://www.w3.org/2001/XMLSchema" xmlns:p="http://schemas.microsoft.com/office/2006/metadata/properties" xmlns:ns2="ce8f918e-70ef-4d5b-b57f-0705af1536e2" xmlns:ns3="32f2f5af-ffb0-442b-bb68-0e1242028c1e" targetNamespace="http://schemas.microsoft.com/office/2006/metadata/properties" ma:root="true" ma:fieldsID="559812cdff617eac674c066174d432d9" ns2:_="" ns3:_="">
    <xsd:import namespace="ce8f918e-70ef-4d5b-b57f-0705af1536e2"/>
    <xsd:import namespace="32f2f5af-ffb0-442b-bb68-0e1242028c1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3:SharedWithUsers" minOccurs="0"/>
                <xsd:element ref="ns3:SharedWithDetails" minOccurs="0"/>
                <xsd:element ref="ns2:MediaServiceObjectDetectorVersions" minOccurs="0"/>
                <xsd:element ref="ns2:MediaServiceSearchProperties" minOccurs="0"/>
                <xsd:element ref="ns2:MediaServiceBillingMetadata"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8f918e-70ef-4d5b-b57f-0705af1536e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18" nillable="true" ma:displayName="Location"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3eac797d-9452-442f-b5f7-665479590df6"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32f2f5af-ffb0-442b-bb68-0e1242028c1e"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3.xml>��""""""""""""""""
</file>

<file path=customXml/item14.xml>��
</file>

<file path=customXml/item15.xml>��""""""""""""""""
</file>

<file path=customXml/item16.xml>��""""""""""""
</file>

<file path=customXml/item17.xml>����a i�m ���c ��������i s����a i�m ���c ��������i s��
</file>

<file path=customXml/item18.xml>����a i�m ���c ��������i s����a i�m ���c ��������i s��
</file>

<file path=customXml/item19.xml>����a i�m ���c ���������i s���c � kh���a i�m ���c ���������i s���c � kh�
</file>

<file path=customXml/item20.xml>��""""""""""""""""
</file>

<file path=customXml/item21.xml>��""""""""""""
</file>

<file path=customXml/item22.xml>����a i�m ���c ���������i s���c � kh���a i�m ���c ���������i s���c � kh�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������t/V���������t/V�����
</file>

<file path=customXml/item32.xml>������t/V�������a i�m ���c ���������i s���c � kh���a i�m ���c ���������i s���c � kh���a i�m ���c ���������i s���c � kh���t/V����a i�m ���c ���������i s���c � kh���a i�m ���c ��������i s����a i�m ���c ��������i s����a i�m ���c ��������i s����c � kh���a i�m ���c ���������i s���c � kh�
</file>

<file path=customXml/item33.xml>��
</file>

<file path=customXml/item34.xml>����t/V����t/V��
</file>

<file path=customXml/item35.xml>��
</file>

<file path=customXml/item36.xml>��""""""""""""""""
</file>

<file path=customXml/item37.xml><?xml version="1.0" encoding="utf-8"?>
<?mso-contentType ?>
<FormTemplates xmlns="http://schemas.microsoft.com/sharepoint/v3/contenttype/forms">
  <Display>DocumentLibraryForm</Display>
  <Edit>DocumentLibraryForm</Edit>
  <New>DocumentLibraryForm</New>
</FormTemplates>
</file>

<file path=customXml/item38.xml>����a i�m ���c ���������i s���c � kh���a i�m ���c ���������i s���c � kh�
</file>

<file path=customXml/item39.xml>��
</file>

<file path=customXml/item40.xml>��""""""""""""
</file>

<file path=customXml/item41.xml>��""""""""""""""""
</file>

<file path=customXml/item42.xml>����a i�m ���c ���������i s���c � kh���a i�m ���c ���������i s���c � kh�
</file>

<file path=customXml/item43.xml>��
</file>

<file path=customXml/item44.xml>��""""""""""""""""
</file>

<file path=customXml/item45.xml>��""""""""""""""""
</file>

<file path=customXml/item46.xml>��""""""""""""""""
</file>

<file path=customXml/item47.xml>��
</file>

<file path=customXml/item48.xml>��""""""""""""""""
</file>

<file path=customXml/item49.xml>��
</file>

<file path=customXml/item50.xml>����a i�m ���c ��������i s����a i�m ���c ��������i s����a i�m ���c ��������i s����a i�m ���c ��������i s����a i�m ���c ���������i s���c � kh���a i�m ���c ���������i s���c � kh���a i�m ���c ��������i s����c � kh���a i�m ���c ��������i s����c � kh���t/V����t/V����a i�m ���c ���������i s���c � kh���a i�m ���c ���������i s���c � kh�����t/V���������t/V�����""""""""""""""""""""""""""""""""""""""""""""""""����t/V�������t/V����a i�m ���c ��������i s��""""""""����a i�m ���c ���������i s���c � kh���a i�m ���c ���������i s���c � kh���a i�m ���c ���������i s���c � kh���a i�m ���c ���������i s���c � kh�����t/V�������t/V����a i�m ���c ��������i s��""""""""����a i�m ���c ���������i s���c � kh���a i�m ���c ���������i s���c � kh���a i�m ���c ���������i s���c � kh���a i�m ���c ���������i s���c � kh�
</file>

<file path=customXml/item51.xml>��""""""""""""""""
</file>

<file path=customXml/item52.xml>��""""""""""""""""
</file>

<file path=customXml/item53.xml>��""""""""""""""""
</file>

<file path=customXml/item54.xml>����a i�m ���c ���������i s���c � kh���a i�m ���c ���������i s���c � kh�
</file>

<file path=customXml/item55.xml>��
</file>

<file path=customXml/item56.xml>��""""""""""""""""
</file>

<file path=customXml/item57.xml>��
</file>

<file path=customXml/item58.xml>��""""
</file>

<file path=customXml/item59.xml>��
</file>

<file path=customXml/item60.xml><?xml version="1.0" encoding="utf-8"?>
<p:properties xmlns:p="http://schemas.microsoft.com/office/2006/metadata/properties" xmlns:xsi="http://www.w3.org/2001/XMLSchema-instance" xmlns:pc="http://schemas.microsoft.com/office/infopath/2007/PartnerControls">
  <documentManagement>
    <lcf76f155ced4ddcb4097134ff3c332f xmlns="ce8f918e-70ef-4d5b-b57f-0705af1536e2">
      <Terms xmlns="http://schemas.microsoft.com/office/infopath/2007/PartnerControls"/>
    </lcf76f155ced4ddcb4097134ff3c332f>
  </documentManagement>
</p:properties>
</file>

<file path=customXml/item61.xml>����a i�m ���c ���������i s���c � kh���a i�m ���c ���������i s���c � kh�
</file>

<file path=customXml/item62.xml>��""""""""""""
</file>

<file path=customXml/item63.xml>����a i�m ���c ��������i s����c � kh���a i�m ���c ��������i s����c � kh�
</file>

<file path=customXml/item64.xml>��""""""""""""
</file>

<file path=customXml/item65.xml>��""""""""""""""""
</file>

<file path=customXml/item66.xml>��""""""""""""
</file>

<file path=customXml/item67.xml>��""""""""""""""""
</file>

<file path=customXml/item68.xml>��""""""""""""""""
</file>

<file path=customXml/item69.xml>��""""""""""""
</file>

<file path=customXml/item70.xml>��""""""""""""""""
</file>

<file path=customXml/item71.xml>����a i�m ���c ���������i s���c � kh���a i�m ���c ���������i s���c � kh�
</file>

<file path=customXml/item72.xml>��""""""""""""""""
</file>

<file path=customXml/item73.xml>��
</file>

<file path=customXml/item74.xml>��""""""""""""""""
</file>

<file path=customXml/item75.xml>��
</file>

<file path=customXml/item76.xml>��""""""""""""""""
</file>

<file path=customXml/itemProps1.xml><?xml version="1.0" encoding="utf-8"?>
<ds:datastoreItem xmlns:ds="http://schemas.openxmlformats.org/officeDocument/2006/customXml" ds:itemID="{4AEC8574-9F81-435E-82B8-824DB6365458}">
  <ds:schemaRefs>
    <ds:schemaRef ds:uri="http://gemini/pivotcustomization/97e0a6b0-372e-4f14-9d8f-28ccd4cd4e09"/>
  </ds:schemaRefs>
</ds:datastoreItem>
</file>

<file path=customXml/itemProps2.xml><?xml version="1.0" encoding="utf-8"?>
<ds:datastoreItem xmlns:ds="http://schemas.openxmlformats.org/officeDocument/2006/customXml" ds:itemID="{B853A58D-DD7A-4E31-B85F-F633FC0D8068}">
  <ds:schemaRefs>
    <ds:schemaRef ds:uri="http://gemini/pivotcustomization/ShowHidden"/>
  </ds:schemaRefs>
</ds:datastoreItem>
</file>

<file path=customXml/itemProps3.xml><?xml version="1.0" encoding="utf-8"?>
<ds:datastoreItem xmlns:ds="http://schemas.openxmlformats.org/officeDocument/2006/customXml" ds:itemID="{39A27E3C-B42A-4223-8F38-AE6B51966629}">
  <ds:schemaRefs>
    <ds:schemaRef ds:uri="http://gemini/pivotcustomization/b1cbaaae-8d0a-43d6-904f-490eaf34a9c5"/>
  </ds:schemaRefs>
</ds:datastoreItem>
</file>

<file path=customXml/itemProps4.xml><?xml version="1.0" encoding="utf-8"?>
<ds:datastoreItem xmlns:ds="http://schemas.openxmlformats.org/officeDocument/2006/customXml" ds:itemID="{6B324853-7B9A-48F5-9888-971FB0DB99A9}">
  <ds:schemaRefs>
    <ds:schemaRef ds:uri="http://gemini/pivotcustomization/24f2ee95-16c0-40ac-8276-7d2002c93459"/>
  </ds:schemaRefs>
</ds:datastoreItem>
</file>

<file path=customXml/itemProps5.xml><?xml version="1.0" encoding="utf-8"?>
<ds:datastoreItem xmlns:ds="http://schemas.openxmlformats.org/officeDocument/2006/customXml" ds:itemID="{E35D3844-8F2F-4C41-965A-A8E9829A2E4D}">
  <ds:schemaRefs>
    <ds:schemaRef ds:uri="http://gemini/pivotcustomization/669c09c2-0ccd-4d6a-8190-09e6bd12f3d0"/>
  </ds:schemaRefs>
</ds:datastoreItem>
</file>

<file path=customXml/itemProps6.xml><?xml version="1.0" encoding="utf-8"?>
<ds:datastoreItem xmlns:ds="http://schemas.openxmlformats.org/officeDocument/2006/customXml" ds:itemID="{03CC4CD2-730B-4329-A6C6-AE56BC3A6F8E}">
  <ds:schemaRefs>
    <ds:schemaRef ds:uri="http://gemini/pivotcustomization/0d1a85d2-5153-4b10-aca3-889ae4dd1c9b"/>
  </ds:schemaRefs>
</ds:datastoreItem>
</file>

<file path=customXml/itemProps7.xml><?xml version="1.0" encoding="utf-8"?>
<ds:datastoreItem xmlns:ds="http://schemas.openxmlformats.org/officeDocument/2006/customXml" ds:itemID="{0BDEE2BF-DCF8-4936-9C28-CA3C19F9FD93}">
  <ds:schemaRefs>
    <ds:schemaRef ds:uri="http://gemini/pivotcustomization/5a4170ac-ac91-4d52-9ea0-970e794677f7"/>
  </ds:schemaRefs>
</ds:datastoreItem>
</file>

<file path=customXml/itemProps8.xml><?xml version="1.0" encoding="utf-8"?>
<ds:datastoreItem xmlns:ds="http://schemas.openxmlformats.org/officeDocument/2006/customXml" ds:itemID="{B0617BF6-88D6-428A-A6C1-813149D468A0}">
  <ds:schemaRefs>
    <ds:schemaRef ds:uri="http://gemini/pivotcustomization/LinkedTableUpdateMode"/>
  </ds:schemaRefs>
</ds:datastoreItem>
</file>

<file path=customXml/itemProps9.xml><?xml version="1.0" encoding="utf-8"?>
<ds:datastoreItem xmlns:ds="http://schemas.openxmlformats.org/officeDocument/2006/customXml" ds:itemID="{4517571D-AAAA-4BE2-8DB4-7AE5F1B6B266}">
  <ds:schemaRefs>
    <ds:schemaRef ds:uri="http://gemini/pivotcustomization/2fe70d53-503b-45ec-8aeb-2032f8302747"/>
  </ds:schemaRefs>
</ds:datastoreItem>
</file>

<file path=customXml/itemProps10.xml><?xml version="1.0" encoding="utf-8"?>
<ds:datastoreItem xmlns:ds="http://schemas.openxmlformats.org/officeDocument/2006/customXml" ds:itemID="{3D0F4237-C20C-46C9-89FB-9E500CBC2B02}">
  <ds:schemaRefs>
    <ds:schemaRef ds:uri="http://gemini/pivotcustomization/e5c6730c-f4be-4614-afe3-f581719fff9a"/>
  </ds:schemaRefs>
</ds:datastoreItem>
</file>

<file path=customXml/itemProps11.xml><?xml version="1.0" encoding="utf-8"?>
<ds:datastoreItem xmlns:ds="http://schemas.openxmlformats.org/officeDocument/2006/customXml" ds:itemID="{2F0CE418-5868-4DC6-8173-D8C81C03E3F7}">
  <ds:schemaRefs>
    <ds:schemaRef ds:uri="http://gemini/pivotcustomization/TableXML_MD_Salesman_fc778cc6-f86e-4566-a7ce-3d85ffd0e690"/>
  </ds:schemaRefs>
</ds:datastoreItem>
</file>

<file path=customXml/itemProps12.xml><?xml version="1.0" encoding="utf-8"?>
<ds:datastoreItem xmlns:ds="http://schemas.openxmlformats.org/officeDocument/2006/customXml" ds:itemID="{1A27A40F-F8D4-4459-A2BF-D2927FB205F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e8f918e-70ef-4d5b-b57f-0705af1536e2"/>
    <ds:schemaRef ds:uri="32f2f5af-ffb0-442b-bb68-0e1242028c1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13.xml><?xml version="1.0" encoding="utf-8"?>
<ds:datastoreItem xmlns:ds="http://schemas.openxmlformats.org/officeDocument/2006/customXml" ds:itemID="{A562FF2B-EB00-4095-B78C-ADD311E710F2}">
  <ds:schemaRefs>
    <ds:schemaRef ds:uri="http://gemini/pivotcustomization/121ae43b-3b5c-4e27-b43e-75e57798fc51"/>
  </ds:schemaRefs>
</ds:datastoreItem>
</file>

<file path=customXml/itemProps14.xml><?xml version="1.0" encoding="utf-8"?>
<ds:datastoreItem xmlns:ds="http://schemas.openxmlformats.org/officeDocument/2006/customXml" ds:itemID="{65D2EB4E-12C9-4169-B7BE-06B4AD526084}">
  <ds:schemaRefs>
    <ds:schemaRef ds:uri="http://gemini/pivotcustomization/FormulaBarState"/>
  </ds:schemaRefs>
</ds:datastoreItem>
</file>

<file path=customXml/itemProps15.xml><?xml version="1.0" encoding="utf-8"?>
<ds:datastoreItem xmlns:ds="http://schemas.openxmlformats.org/officeDocument/2006/customXml" ds:itemID="{5D434F5E-82AB-44CA-B69E-4BAE0E2A4270}">
  <ds:schemaRefs>
    <ds:schemaRef ds:uri="http://gemini/pivotcustomization/93e56785-b5f7-483f-96a8-b44c383b6592"/>
  </ds:schemaRefs>
</ds:datastoreItem>
</file>

<file path=customXml/itemProps16.xml><?xml version="1.0" encoding="utf-8"?>
<ds:datastoreItem xmlns:ds="http://schemas.openxmlformats.org/officeDocument/2006/customXml" ds:itemID="{CFE1ED4A-B0E0-4BB9-8AA2-FE3D8B901889}">
  <ds:schemaRefs>
    <ds:schemaRef ds:uri="http://gemini/pivotcustomization/b9d6e0cb-3639-4d91-8d6a-88c29685da89"/>
  </ds:schemaRefs>
</ds:datastoreItem>
</file>

<file path=customXml/itemProps17.xml><?xml version="1.0" encoding="utf-8"?>
<ds:datastoreItem xmlns:ds="http://schemas.openxmlformats.org/officeDocument/2006/customXml" ds:itemID="{98BE5BE9-A7E0-4E0C-957F-B78312034235}">
  <ds:schemaRefs>
    <ds:schemaRef ds:uri="http://gemini/pivotcustomization/TableXML_DB_25"/>
  </ds:schemaRefs>
</ds:datastoreItem>
</file>

<file path=customXml/itemProps18.xml><?xml version="1.0" encoding="utf-8"?>
<ds:datastoreItem xmlns:ds="http://schemas.openxmlformats.org/officeDocument/2006/customXml" ds:itemID="{9174ED5F-DFCD-404B-AE63-FE5A3C85B2B2}">
  <ds:schemaRefs>
    <ds:schemaRef ds:uri="http://gemini/pivotcustomization/TableXML_DB_25 1_0150ad36-8f21-4cc1-8fe2-ee00d03fbc81"/>
  </ds:schemaRefs>
</ds:datastoreItem>
</file>

<file path=customXml/itemProps19.xml><?xml version="1.0" encoding="utf-8"?>
<ds:datastoreItem xmlns:ds="http://schemas.openxmlformats.org/officeDocument/2006/customXml" ds:itemID="{E2580047-5465-41DA-B65C-D7BBD2C6A445}">
  <ds:schemaRefs>
    <ds:schemaRef ds:uri="http://gemini/pivotcustomization/TableXML_KH_26_Normal_5f4d8fd3-4950-4681-b994-bf5daedf748c"/>
  </ds:schemaRefs>
</ds:datastoreItem>
</file>

<file path=customXml/itemProps20.xml><?xml version="1.0" encoding="utf-8"?>
<ds:datastoreItem xmlns:ds="http://schemas.openxmlformats.org/officeDocument/2006/customXml" ds:itemID="{70EFFB33-5301-4740-86B1-29091DDA3600}">
  <ds:schemaRefs>
    <ds:schemaRef ds:uri="http://gemini/pivotcustomization/007908fe-25a4-4b5c-ae9b-f58e1b106359"/>
  </ds:schemaRefs>
</ds:datastoreItem>
</file>

<file path=customXml/itemProps21.xml><?xml version="1.0" encoding="utf-8"?>
<ds:datastoreItem xmlns:ds="http://schemas.openxmlformats.org/officeDocument/2006/customXml" ds:itemID="{D10D07FF-99EE-4251-BECC-C3DD2E67FE8C}">
  <ds:schemaRefs>
    <ds:schemaRef ds:uri="http://gemini/pivotcustomization/888ba940-bdb1-4e49-9dba-aba37b4f631f"/>
  </ds:schemaRefs>
</ds:datastoreItem>
</file>

<file path=customXml/itemProps22.xml><?xml version="1.0" encoding="utf-8"?>
<ds:datastoreItem xmlns:ds="http://schemas.openxmlformats.org/officeDocument/2006/customXml" ds:itemID="{01A3778C-8EE3-4692-A083-7F307B11F3B5}">
  <ds:schemaRefs>
    <ds:schemaRef ds:uri="http://gemini/pivotcustomization/TableXML_KH_26 1_da6aba18-7d3d-4faf-96cc-e04fbd3344a4"/>
  </ds:schemaRefs>
</ds:datastoreItem>
</file>

<file path=customXml/itemProps23.xml><?xml version="1.0" encoding="utf-8"?>
<ds:datastoreItem xmlns:ds="http://schemas.openxmlformats.org/officeDocument/2006/customXml" ds:itemID="{AA863A61-2719-4D00-8F48-57BD745A1213}">
  <ds:schemaRefs>
    <ds:schemaRef ds:uri="http://gemini/pivotcustomization/ClientWindowXML"/>
  </ds:schemaRefs>
</ds:datastoreItem>
</file>

<file path=customXml/itemProps24.xml><?xml version="1.0" encoding="utf-8"?>
<ds:datastoreItem xmlns:ds="http://schemas.openxmlformats.org/officeDocument/2006/customXml" ds:itemID="{9DB7C273-0897-4ED4-BFA1-69A369E6D6AC}">
  <ds:schemaRefs>
    <ds:schemaRef ds:uri="http://www.w3.org/2001/XMLSchema"/>
    <ds:schemaRef ds:uri="http://microsoft.data.visualization.Client.Excel/1.0"/>
  </ds:schemaRefs>
</ds:datastoreItem>
</file>

<file path=customXml/itemProps25.xml><?xml version="1.0" encoding="utf-8"?>
<ds:datastoreItem xmlns:ds="http://schemas.openxmlformats.org/officeDocument/2006/customXml" ds:itemID="{88227E15-8955-4EFC-B072-6A3A4D4B3093}">
  <ds:schemaRefs>
    <ds:schemaRef ds:uri="http://gemini/pivotcustomization/53fd2c46-ecc2-4a91-ae66-dee69eb6c63b"/>
  </ds:schemaRefs>
</ds:datastoreItem>
</file>

<file path=customXml/itemProps26.xml><?xml version="1.0" encoding="utf-8"?>
<ds:datastoreItem xmlns:ds="http://schemas.openxmlformats.org/officeDocument/2006/customXml" ds:itemID="{8AD571AF-69A7-449B-9FD7-B9859CF507A1}">
  <ds:schemaRefs>
    <ds:schemaRef ds:uri="http://gemini/pivotcustomization/77d22f58-e1a2-41ff-93c4-590c914b93fa"/>
  </ds:schemaRefs>
</ds:datastoreItem>
</file>

<file path=customXml/itemProps27.xml><?xml version="1.0" encoding="utf-8"?>
<ds:datastoreItem xmlns:ds="http://schemas.openxmlformats.org/officeDocument/2006/customXml" ds:itemID="{C528E6CF-8DC9-4458-A2FC-7D2FFBCCD0E8}">
  <ds:schemaRefs>
    <ds:schemaRef ds:uri="http://gemini/pivotcustomization/9ce47d02-b624-417a-879f-9574f6578d7d"/>
  </ds:schemaRefs>
</ds:datastoreItem>
</file>

<file path=customXml/itemProps28.xml><?xml version="1.0" encoding="utf-8"?>
<ds:datastoreItem xmlns:ds="http://schemas.openxmlformats.org/officeDocument/2006/customXml" ds:itemID="{7E8B198F-D77C-45EE-828A-FBF7B535AF4B}">
  <ds:schemaRefs>
    <ds:schemaRef ds:uri="http://gemini/pivotcustomization/TableXML_BlankQuery_6193c9e5-a552-4ac1-8471-320a0e2275ec"/>
  </ds:schemaRefs>
</ds:datastoreItem>
</file>

<file path=customXml/itemProps29.xml><?xml version="1.0" encoding="utf-8"?>
<ds:datastoreItem xmlns:ds="http://schemas.openxmlformats.org/officeDocument/2006/customXml" ds:itemID="{64A51A38-E0F3-4526-9E82-9189F4CC190A}">
  <ds:schemaRefs>
    <ds:schemaRef ds:uri="http://gemini/pivotcustomization/b46e500c-a7b8-4f83-893e-93937788d6aa"/>
  </ds:schemaRefs>
</ds:datastoreItem>
</file>

<file path=customXml/itemProps30.xml><?xml version="1.0" encoding="utf-8"?>
<ds:datastoreItem xmlns:ds="http://schemas.openxmlformats.org/officeDocument/2006/customXml" ds:itemID="{99420CA2-311F-4622-A4E3-3000889109D8}">
  <ds:schemaRefs/>
</ds:datastoreItem>
</file>

<file path=customXml/itemProps31.xml><?xml version="1.0" encoding="utf-8"?>
<ds:datastoreItem xmlns:ds="http://schemas.openxmlformats.org/officeDocument/2006/customXml" ds:itemID="{4BC746CD-15E1-44F3-817A-2C940D4D01BB}">
  <ds:schemaRefs>
    <ds:schemaRef ds:uri="http://gemini/pivotcustomization/TableXML_Dim_CustomerProduct_f610e2f4-b931-446b-8e8e-84b3e997283a"/>
  </ds:schemaRefs>
</ds:datastoreItem>
</file>

<file path=customXml/itemProps32.xml><?xml version="1.0" encoding="utf-8"?>
<ds:datastoreItem xmlns:ds="http://schemas.openxmlformats.org/officeDocument/2006/customXml" ds:itemID="{DF41FD32-C3CF-41A0-BF54-0E6F4217525A}">
  <ds:schemaRefs>
    <ds:schemaRef ds:uri="http://gemini/pivotcustomization/TableWidget"/>
  </ds:schemaRefs>
</ds:datastoreItem>
</file>

<file path=customXml/itemProps33.xml><?xml version="1.0" encoding="utf-8"?>
<ds:datastoreItem xmlns:ds="http://schemas.openxmlformats.org/officeDocument/2006/customXml" ds:itemID="{5E7153F3-9EBE-426A-A3EF-36A7AA418562}">
  <ds:schemaRefs>
    <ds:schemaRef ds:uri="http://schemas.microsoft.com/DataMashup"/>
  </ds:schemaRefs>
</ds:datastoreItem>
</file>

<file path=customXml/itemProps34.xml><?xml version="1.0" encoding="utf-8"?>
<ds:datastoreItem xmlns:ds="http://schemas.openxmlformats.org/officeDocument/2006/customXml" ds:itemID="{9DFF5482-F775-41F9-8DE3-FA0D1DA9525A}">
  <ds:schemaRefs>
    <ds:schemaRef ds:uri="http://gemini/pivotcustomization/TableXML_MD_SKU_3a682ac0-60c7-46d8-b299-f30d26e6d0c0"/>
  </ds:schemaRefs>
</ds:datastoreItem>
</file>

<file path=customXml/itemProps35.xml><?xml version="1.0" encoding="utf-8"?>
<ds:datastoreItem xmlns:ds="http://schemas.openxmlformats.org/officeDocument/2006/customXml" ds:itemID="{BE5A7E33-5F0F-4F9F-9BF8-C4829C865D36}">
  <ds:schemaRefs>
    <ds:schemaRef ds:uri="http://gemini/pivotcustomization/ManualCalcMode"/>
  </ds:schemaRefs>
</ds:datastoreItem>
</file>

<file path=customXml/itemProps36.xml><?xml version="1.0" encoding="utf-8"?>
<ds:datastoreItem xmlns:ds="http://schemas.openxmlformats.org/officeDocument/2006/customXml" ds:itemID="{4F8D6F09-DD5D-40E4-91C8-078238D12C8A}">
  <ds:schemaRefs>
    <ds:schemaRef ds:uri="http://gemini/pivotcustomization/a8a39b55-4fc8-452b-9507-a5194ceb790b"/>
  </ds:schemaRefs>
</ds:datastoreItem>
</file>

<file path=customXml/itemProps37.xml><?xml version="1.0" encoding="utf-8"?>
<ds:datastoreItem xmlns:ds="http://schemas.openxmlformats.org/officeDocument/2006/customXml" ds:itemID="{9DBEBC06-6D31-40DB-A66C-105A33F428EE}">
  <ds:schemaRefs>
    <ds:schemaRef ds:uri="http://schemas.microsoft.com/sharepoint/v3/contenttype/forms"/>
  </ds:schemaRefs>
</ds:datastoreItem>
</file>

<file path=customXml/itemProps38.xml><?xml version="1.0" encoding="utf-8"?>
<ds:datastoreItem xmlns:ds="http://schemas.openxmlformats.org/officeDocument/2006/customXml" ds:itemID="{C83CB46E-F4AB-4526-958F-1C7F307B0B31}">
  <ds:schemaRefs>
    <ds:schemaRef ds:uri="http://gemini/pivotcustomization/TableXML_KH_26_OPT4_ce83d7d9-d494-4708-a6fc-a1ed37595a64"/>
  </ds:schemaRefs>
</ds:datastoreItem>
</file>

<file path=customXml/itemProps39.xml><?xml version="1.0" encoding="utf-8"?>
<ds:datastoreItem xmlns:ds="http://schemas.openxmlformats.org/officeDocument/2006/customXml" ds:itemID="{C5B2D123-9B22-48E2-9D2B-96581676FB75}">
  <ds:schemaRefs>
    <ds:schemaRef ds:uri="http://gemini/pivotcustomization/TableOrder"/>
  </ds:schemaRefs>
</ds:datastoreItem>
</file>

<file path=customXml/itemProps40.xml><?xml version="1.0" encoding="utf-8"?>
<ds:datastoreItem xmlns:ds="http://schemas.openxmlformats.org/officeDocument/2006/customXml" ds:itemID="{949955DE-47B8-4C9A-9919-4C5EC9D1B5BF}">
  <ds:schemaRefs>
    <ds:schemaRef ds:uri="http://gemini/pivotcustomization/90589ad5-b568-4d56-b09c-b75732464d10"/>
  </ds:schemaRefs>
</ds:datastoreItem>
</file>

<file path=customXml/itemProps41.xml><?xml version="1.0" encoding="utf-8"?>
<ds:datastoreItem xmlns:ds="http://schemas.openxmlformats.org/officeDocument/2006/customXml" ds:itemID="{3A90FFFD-B0F8-433A-96D3-ED12ADA96C85}">
  <ds:schemaRefs>
    <ds:schemaRef ds:uri="http://gemini/pivotcustomization/c36d7dfd-61ac-4316-9ca6-5d7fdb9fd52d"/>
  </ds:schemaRefs>
</ds:datastoreItem>
</file>

<file path=customXml/itemProps42.xml><?xml version="1.0" encoding="utf-8"?>
<ds:datastoreItem xmlns:ds="http://schemas.openxmlformats.org/officeDocument/2006/customXml" ds:itemID="{AD9D3567-7340-495E-9B8E-361E8119711B}">
  <ds:schemaRefs>
    <ds:schemaRef ds:uri="http://gemini/pivotcustomization/TableXML_KH_26"/>
  </ds:schemaRefs>
</ds:datastoreItem>
</file>

<file path=customXml/itemProps43.xml><?xml version="1.0" encoding="utf-8"?>
<ds:datastoreItem xmlns:ds="http://schemas.openxmlformats.org/officeDocument/2006/customXml" ds:itemID="{9C77FAD1-1D88-4398-B4FD-7CBBA9C11D65}">
  <ds:schemaRefs>
    <ds:schemaRef ds:uri="http://www.w3.org/2001/XMLSchema"/>
    <ds:schemaRef ds:uri="http://microsoft.data.visualization.engine.tours/1.0"/>
  </ds:schemaRefs>
</ds:datastoreItem>
</file>

<file path=customXml/itemProps44.xml><?xml version="1.0" encoding="utf-8"?>
<ds:datastoreItem xmlns:ds="http://schemas.openxmlformats.org/officeDocument/2006/customXml" ds:itemID="{922AD52B-7D57-44D2-837C-446D7DCDA24F}">
  <ds:schemaRefs>
    <ds:schemaRef ds:uri="http://gemini/pivotcustomization/db95c343-baaa-4bb8-b58c-f2381fd04b3a"/>
  </ds:schemaRefs>
</ds:datastoreItem>
</file>

<file path=customXml/itemProps45.xml><?xml version="1.0" encoding="utf-8"?>
<ds:datastoreItem xmlns:ds="http://schemas.openxmlformats.org/officeDocument/2006/customXml" ds:itemID="{DA87B14B-AEDC-4884-A5B2-805F8BB01D4B}">
  <ds:schemaRefs>
    <ds:schemaRef ds:uri="http://gemini/pivotcustomization/930440dd-558a-424c-8dca-2b2afc1f206c"/>
  </ds:schemaRefs>
</ds:datastoreItem>
</file>

<file path=customXml/itemProps46.xml><?xml version="1.0" encoding="utf-8"?>
<ds:datastoreItem xmlns:ds="http://schemas.openxmlformats.org/officeDocument/2006/customXml" ds:itemID="{1F397D11-AED6-4153-A16D-59A39E125351}">
  <ds:schemaRefs>
    <ds:schemaRef ds:uri="http://gemini/pivotcustomization/420a1a08-6c31-41a5-8d4f-acca693a06b7"/>
  </ds:schemaRefs>
</ds:datastoreItem>
</file>

<file path=customXml/itemProps47.xml><?xml version="1.0" encoding="utf-8"?>
<ds:datastoreItem xmlns:ds="http://schemas.openxmlformats.org/officeDocument/2006/customXml" ds:itemID="{B3F6D03E-612A-40E6-9C4E-B38E70751156}">
  <ds:schemaRefs/>
</ds:datastoreItem>
</file>

<file path=customXml/itemProps48.xml><?xml version="1.0" encoding="utf-8"?>
<ds:datastoreItem xmlns:ds="http://schemas.openxmlformats.org/officeDocument/2006/customXml" ds:itemID="{397D28AA-894B-400F-9ACA-CACE3163EF55}">
  <ds:schemaRefs>
    <ds:schemaRef ds:uri="http://gemini/pivotcustomization/ba163923-d6ad-45c7-b070-e953d234d98c"/>
  </ds:schemaRefs>
</ds:datastoreItem>
</file>

<file path=customXml/itemProps49.xml><?xml version="1.0" encoding="utf-8"?>
<ds:datastoreItem xmlns:ds="http://schemas.openxmlformats.org/officeDocument/2006/customXml" ds:itemID="{4EE3FCC8-A63C-493F-87AF-7D6A4D18681C}">
  <ds:schemaRefs/>
</ds:datastoreItem>
</file>

<file path=customXml/itemProps50.xml><?xml version="1.0" encoding="utf-8"?>
<ds:datastoreItem xmlns:ds="http://schemas.openxmlformats.org/officeDocument/2006/customXml" ds:itemID="{3ADE3E86-7215-4F91-93B7-A2DE2A320B5A}">
  <ds:schemaRefs>
    <ds:schemaRef ds:uri="http://gemini/pivotcustomization/Diagrams"/>
  </ds:schemaRefs>
</ds:datastoreItem>
</file>

<file path=customXml/itemProps51.xml><?xml version="1.0" encoding="utf-8"?>
<ds:datastoreItem xmlns:ds="http://schemas.openxmlformats.org/officeDocument/2006/customXml" ds:itemID="{A258D41F-E5A6-4ECA-B479-1418895CA520}">
  <ds:schemaRefs>
    <ds:schemaRef ds:uri="http://gemini/pivotcustomization/c183f1d2-c9d5-4dd4-8f70-e183b81b2710"/>
  </ds:schemaRefs>
</ds:datastoreItem>
</file>

<file path=customXml/itemProps52.xml><?xml version="1.0" encoding="utf-8"?>
<ds:datastoreItem xmlns:ds="http://schemas.openxmlformats.org/officeDocument/2006/customXml" ds:itemID="{889E83EC-361A-493D-9E2C-3822E3F9B6AC}">
  <ds:schemaRefs>
    <ds:schemaRef ds:uri="http://gemini/pivotcustomization/fc18ba3b-5f3f-41cd-8e81-e66bb26e4a26"/>
  </ds:schemaRefs>
</ds:datastoreItem>
</file>

<file path=customXml/itemProps53.xml><?xml version="1.0" encoding="utf-8"?>
<ds:datastoreItem xmlns:ds="http://schemas.openxmlformats.org/officeDocument/2006/customXml" ds:itemID="{599FEB16-EDD9-405D-ADF3-9C9E7832AEC7}">
  <ds:schemaRefs>
    <ds:schemaRef ds:uri="http://gemini/pivotcustomization/3d28dd8b-0b95-413e-9702-ac5eedb7dd16"/>
  </ds:schemaRefs>
</ds:datastoreItem>
</file>

<file path=customXml/itemProps54.xml><?xml version="1.0" encoding="utf-8"?>
<ds:datastoreItem xmlns:ds="http://schemas.openxmlformats.org/officeDocument/2006/customXml" ds:itemID="{626874EB-A43B-4BB8-97AD-0083D522FE34}">
  <ds:schemaRefs>
    <ds:schemaRef ds:uri="http://gemini/pivotcustomization/TableXML_KH_26_Best_fedbc012-e7c2-49f2-a5a3-1493da346504"/>
  </ds:schemaRefs>
</ds:datastoreItem>
</file>

<file path=customXml/itemProps55.xml><?xml version="1.0" encoding="utf-8"?>
<ds:datastoreItem xmlns:ds="http://schemas.openxmlformats.org/officeDocument/2006/customXml" ds:itemID="{B28C5C00-75D5-47F4-9915-329C4F13FA36}">
  <ds:schemaRefs>
    <ds:schemaRef ds:uri="http://gemini/pivotcustomization/ShowImplicitMeasures"/>
  </ds:schemaRefs>
</ds:datastoreItem>
</file>

<file path=customXml/itemProps56.xml><?xml version="1.0" encoding="utf-8"?>
<ds:datastoreItem xmlns:ds="http://schemas.openxmlformats.org/officeDocument/2006/customXml" ds:itemID="{5DA13918-AD3E-4280-8B31-75D5C80A6536}">
  <ds:schemaRefs>
    <ds:schemaRef ds:uri="http://gemini/pivotcustomization/33d8f273-21dd-4554-b2b9-897f032d073b"/>
  </ds:schemaRefs>
</ds:datastoreItem>
</file>

<file path=customXml/itemProps57.xml><?xml version="1.0" encoding="utf-8"?>
<ds:datastoreItem xmlns:ds="http://schemas.openxmlformats.org/officeDocument/2006/customXml" ds:itemID="{98643422-20C0-44A3-8513-6BA2ED19F522}">
  <ds:schemaRefs>
    <ds:schemaRef ds:uri="http://gemini/pivotcustomization/MeasureGridState"/>
  </ds:schemaRefs>
</ds:datastoreItem>
</file>

<file path=customXml/itemProps58.xml><?xml version="1.0" encoding="utf-8"?>
<ds:datastoreItem xmlns:ds="http://schemas.openxmlformats.org/officeDocument/2006/customXml" ds:itemID="{90BEF030-7E06-4EB9-8F90-D0F65D4AF389}">
  <ds:schemaRefs>
    <ds:schemaRef ds:uri="http://gemini/pivotcustomization/b23432a7-54b7-4ef9-a36a-b269ca90ef46"/>
  </ds:schemaRefs>
</ds:datastoreItem>
</file>

<file path=customXml/itemProps59.xml><?xml version="1.0" encoding="utf-8"?>
<ds:datastoreItem xmlns:ds="http://schemas.openxmlformats.org/officeDocument/2006/customXml" ds:itemID="{B942A592-4968-4D43-ADCF-6B3DAF510FDE}">
  <ds:schemaRefs>
    <ds:schemaRef ds:uri="http://gemini/pivotcustomization/TableXML_Formulas_e885fe1b-0386-4465-af51-aa2f7685d429"/>
  </ds:schemaRefs>
</ds:datastoreItem>
</file>

<file path=customXml/itemProps60.xml><?xml version="1.0" encoding="utf-8"?>
<ds:datastoreItem xmlns:ds="http://schemas.openxmlformats.org/officeDocument/2006/customXml" ds:itemID="{7FB99F55-3340-4594-9F80-8D6E18250092}">
  <ds:schemaRefs>
    <ds:schemaRef ds:uri="ce8f918e-70ef-4d5b-b57f-0705af1536e2"/>
    <ds:schemaRef ds:uri="32f2f5af-ffb0-442b-bb68-0e1242028c1e"/>
    <ds:schemaRef ds:uri="http://schemas.microsoft.com/office/infopath/2007/PartnerControls"/>
    <ds:schemaRef ds:uri="http://schemas.microsoft.com/office/2006/documentManagement/types"/>
    <ds:schemaRef ds:uri="http://schemas.microsoft.com/office/2006/metadata/properties"/>
    <ds:schemaRef ds:uri="http://purl.org/dc/dcmitype/"/>
    <ds:schemaRef ds:uri="http://schemas.openxmlformats.org/package/2006/metadata/core-properties"/>
    <ds:schemaRef ds:uri="http://www.w3.org/XML/1998/namespace"/>
    <ds:schemaRef ds:uri="http://purl.org/dc/terms/"/>
    <ds:schemaRef ds:uri="http://purl.org/dc/elements/1.1/"/>
  </ds:schemaRefs>
</ds:datastoreItem>
</file>

<file path=customXml/itemProps61.xml><?xml version="1.0" encoding="utf-8"?>
<ds:datastoreItem xmlns:ds="http://schemas.openxmlformats.org/officeDocument/2006/customXml" ds:itemID="{9C623905-3752-4553-90C1-5EEAFC9EDF39}">
  <ds:schemaRefs>
    <ds:schemaRef ds:uri="http://gemini/pivotcustomization/TableXML_KH_26_Bad_58b23b60-32db-452e-9e98-958dcdcd0aea"/>
  </ds:schemaRefs>
</ds:datastoreItem>
</file>

<file path=customXml/itemProps62.xml><?xml version="1.0" encoding="utf-8"?>
<ds:datastoreItem xmlns:ds="http://schemas.openxmlformats.org/officeDocument/2006/customXml" ds:itemID="{44450CF3-6562-4B92-8A4B-ED6181E4D6BD}">
  <ds:schemaRefs>
    <ds:schemaRef ds:uri="http://gemini/pivotcustomization/49fa1fa1-95be-4fa6-b2eb-4e7217f5519e"/>
  </ds:schemaRefs>
</ds:datastoreItem>
</file>

<file path=customXml/itemProps63.xml><?xml version="1.0" encoding="utf-8"?>
<ds:datastoreItem xmlns:ds="http://schemas.openxmlformats.org/officeDocument/2006/customXml" ds:itemID="{DDC9078E-A658-4201-BCD7-0CEEC6897EE4}">
  <ds:schemaRefs>
    <ds:schemaRef ds:uri="http://gemini/pivotcustomization/TableXML_Fact_Sales_d48a8174-0a57-42b0-ba00-e4da636adbb2"/>
  </ds:schemaRefs>
</ds:datastoreItem>
</file>

<file path=customXml/itemProps64.xml><?xml version="1.0" encoding="utf-8"?>
<ds:datastoreItem xmlns:ds="http://schemas.openxmlformats.org/officeDocument/2006/customXml" ds:itemID="{62A1E389-64BF-4D96-88C1-6CC3C918DE14}">
  <ds:schemaRefs>
    <ds:schemaRef ds:uri="http://gemini/pivotcustomization/3ee0f15b-0d9b-4385-ba04-f940e4319c51"/>
  </ds:schemaRefs>
</ds:datastoreItem>
</file>

<file path=customXml/itemProps65.xml><?xml version="1.0" encoding="utf-8"?>
<ds:datastoreItem xmlns:ds="http://schemas.openxmlformats.org/officeDocument/2006/customXml" ds:itemID="{A6C974B1-A5CA-4445-AABE-EDC007F26A8B}">
  <ds:schemaRefs>
    <ds:schemaRef ds:uri="http://gemini/pivotcustomization/61049f62-eacb-49b1-9d60-67472e95089d"/>
  </ds:schemaRefs>
</ds:datastoreItem>
</file>

<file path=customXml/itemProps66.xml><?xml version="1.0" encoding="utf-8"?>
<ds:datastoreItem xmlns:ds="http://schemas.openxmlformats.org/officeDocument/2006/customXml" ds:itemID="{BA284C4C-78FB-4128-AFE5-F7944E79611E}">
  <ds:schemaRefs>
    <ds:schemaRef ds:uri="http://gemini/pivotcustomization/2e0de81d-08f7-492f-8196-b927767071e7"/>
  </ds:schemaRefs>
</ds:datastoreItem>
</file>

<file path=customXml/itemProps67.xml><?xml version="1.0" encoding="utf-8"?>
<ds:datastoreItem xmlns:ds="http://schemas.openxmlformats.org/officeDocument/2006/customXml" ds:itemID="{E493C38A-F06D-4BB5-9886-2AB4C7242AC6}">
  <ds:schemaRefs>
    <ds:schemaRef ds:uri="http://gemini/pivotcustomization/b604c881-99ae-4c96-be4a-c3f1ca04d1ad"/>
  </ds:schemaRefs>
</ds:datastoreItem>
</file>

<file path=customXml/itemProps68.xml><?xml version="1.0" encoding="utf-8"?>
<ds:datastoreItem xmlns:ds="http://schemas.openxmlformats.org/officeDocument/2006/customXml" ds:itemID="{A5A57E45-7733-4C61-ADF0-704CBAA407A7}">
  <ds:schemaRefs>
    <ds:schemaRef ds:uri="http://gemini/pivotcustomization/2daf64dc-e285-41e0-9a3b-3b16770c15cd"/>
  </ds:schemaRefs>
</ds:datastoreItem>
</file>

<file path=customXml/itemProps69.xml><?xml version="1.0" encoding="utf-8"?>
<ds:datastoreItem xmlns:ds="http://schemas.openxmlformats.org/officeDocument/2006/customXml" ds:itemID="{52F91FDE-904F-49B3-88B7-2DB0375B32D9}">
  <ds:schemaRefs>
    <ds:schemaRef ds:uri="http://gemini/pivotcustomization/a393da5e-2445-440d-b8d5-62fd9c1304a6"/>
  </ds:schemaRefs>
</ds:datastoreItem>
</file>

<file path=customXml/itemProps70.xml><?xml version="1.0" encoding="utf-8"?>
<ds:datastoreItem xmlns:ds="http://schemas.openxmlformats.org/officeDocument/2006/customXml" ds:itemID="{A484BA85-2DEE-4646-BC8C-DA82291AFEC4}">
  <ds:schemaRefs>
    <ds:schemaRef ds:uri="http://gemini/pivotcustomization/b6ebb6ef-1903-4fac-b244-30349b0891a8"/>
  </ds:schemaRefs>
</ds:datastoreItem>
</file>

<file path=customXml/itemProps71.xml><?xml version="1.0" encoding="utf-8"?>
<ds:datastoreItem xmlns:ds="http://schemas.openxmlformats.org/officeDocument/2006/customXml" ds:itemID="{F59A4107-2218-4238-9645-D13AA2A0E24B}">
  <ds:schemaRefs>
    <ds:schemaRef ds:uri="http://gemini/pivotcustomization/TableXML_KH_2612"/>
  </ds:schemaRefs>
</ds:datastoreItem>
</file>

<file path=customXml/itemProps72.xml><?xml version="1.0" encoding="utf-8"?>
<ds:datastoreItem xmlns:ds="http://schemas.openxmlformats.org/officeDocument/2006/customXml" ds:itemID="{17B73292-5AE0-4CB4-969A-5C06A59E32EC}">
  <ds:schemaRefs/>
</ds:datastoreItem>
</file>

<file path=customXml/itemProps73.xml><?xml version="1.0" encoding="utf-8"?>
<ds:datastoreItem xmlns:ds="http://schemas.openxmlformats.org/officeDocument/2006/customXml" ds:itemID="{387D6274-C1B1-4398-A72B-D6CE71C22ED4}">
  <ds:schemaRefs/>
</ds:datastoreItem>
</file>

<file path=customXml/itemProps74.xml><?xml version="1.0" encoding="utf-8"?>
<ds:datastoreItem xmlns:ds="http://schemas.openxmlformats.org/officeDocument/2006/customXml" ds:itemID="{6EC80690-4E3E-43A5-9587-D2A43CC7C7BA}">
  <ds:schemaRefs>
    <ds:schemaRef ds:uri="http://gemini/pivotcustomization/c5940e0a-b7f3-436d-8d61-459fa7b39764"/>
  </ds:schemaRefs>
</ds:datastoreItem>
</file>

<file path=customXml/itemProps75.xml><?xml version="1.0" encoding="utf-8"?>
<ds:datastoreItem xmlns:ds="http://schemas.openxmlformats.org/officeDocument/2006/customXml" ds:itemID="{2BE97956-014E-4779-873D-39B973589D8F}">
  <ds:schemaRefs/>
</ds:datastoreItem>
</file>

<file path=customXml/itemProps76.xml><?xml version="1.0" encoding="utf-8"?>
<ds:datastoreItem xmlns:ds="http://schemas.openxmlformats.org/officeDocument/2006/customXml" ds:itemID="{61B8B131-0964-4A8C-8D7E-58C887B6276D}">
  <ds:schemaRefs>
    <ds:schemaRef ds:uri="http://gemini/pivotcustomization/8554183c-24d1-4028-9422-67cfb219cc4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vt:i4>
      </vt:variant>
    </vt:vector>
  </HeadingPairs>
  <TitlesOfParts>
    <vt:vector size="17" baseType="lpstr">
      <vt:lpstr>Ghi chú</vt:lpstr>
      <vt:lpstr>ĐGVC</vt:lpstr>
      <vt:lpstr>Source_VC</vt:lpstr>
      <vt:lpstr>Sheet1</vt:lpstr>
      <vt:lpstr>KH 2026_OPT6</vt:lpstr>
      <vt:lpstr>Giá bán 2026</vt:lpstr>
      <vt:lpstr>DB 2025</vt:lpstr>
      <vt:lpstr>DB 2025-Cũ</vt:lpstr>
      <vt:lpstr>HTK-31.08</vt:lpstr>
      <vt:lpstr>MD</vt:lpstr>
      <vt:lpstr>Asm.</vt:lpstr>
      <vt:lpstr>Nia</vt:lpstr>
      <vt:lpstr>||</vt:lpstr>
      <vt:lpstr>PV_Data</vt:lpstr>
      <vt:lpstr>PV_Data_2</vt:lpstr>
      <vt:lpstr>Data</vt:lpstr>
      <vt:lpstr>EXR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Danh, Hoàng Duy</dc:creator>
  <cp:keywords/>
  <dc:description/>
  <cp:lastModifiedBy>Diễm, Nguyễn Thị Thanh</cp:lastModifiedBy>
  <cp:revision/>
  <dcterms:created xsi:type="dcterms:W3CDTF">2025-09-17T05:43:03Z</dcterms:created>
  <dcterms:modified xsi:type="dcterms:W3CDTF">2026-01-29T09:46:09Z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0x010100A1EB7EC96C858E4596FDEA8DB8B384EC</vt:lpwstr>
  </property>
</Properties>
</file>